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hidePivotFieldList="1"/>
  <bookViews>
    <workbookView xWindow="-105" yWindow="-105" windowWidth="19425" windowHeight="10305" tabRatio="944" activeTab="9"/>
  </bookViews>
  <sheets>
    <sheet name="CF STAT" sheetId="159" r:id="rId1"/>
    <sheet name="RECEIPT" sheetId="128" r:id="rId2"/>
    <sheet name="BANK STAT" sheetId="134" r:id="rId3"/>
    <sheet name="ATTACH" sheetId="135" r:id="rId4"/>
    <sheet name="LIST CEK" sheetId="136" r:id="rId5"/>
    <sheet name="PROJECT" sheetId="79" r:id="rId6"/>
    <sheet name="BCA" sheetId="76" r:id="rId7"/>
    <sheet name="HSBC ITF" sheetId="157" state="hidden" r:id="rId8"/>
    <sheet name="HSBC 15 HR" sheetId="160" state="hidden" r:id="rId9"/>
    <sheet name="HSBC" sheetId="15" r:id="rId10"/>
    <sheet name="OCBC" sheetId="115" r:id="rId11"/>
    <sheet name="UOB" sheetId="78" r:id="rId12"/>
    <sheet name="CONTROL PAYMENT 2022" sheetId="169" r:id="rId13"/>
    <sheet name="CONTROL PAYMENT 2021" sheetId="165" r:id="rId14"/>
    <sheet name="REKAP DISCOST" sheetId="167" r:id="rId15"/>
    <sheet name="INSENTIF DROPP" sheetId="156" r:id="rId16"/>
    <sheet name="CONTROL PICKUP" sheetId="158" r:id="rId17"/>
    <sheet name="REKAP RENTOKIL" sheetId="164" r:id="rId18"/>
    <sheet name="REKAP PAJAK " sheetId="161" r:id="rId19"/>
    <sheet name="REKAP BG " sheetId="163" r:id="rId20"/>
    <sheet name="CONTROL PAYMENT 2020" sheetId="155" r:id="rId21"/>
    <sheet name="REKAP LEASING" sheetId="166" r:id="rId22"/>
    <sheet name="RAKAP ASURANSI" sheetId="168" r:id="rId23"/>
  </sheets>
  <externalReferences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6" hidden="1">BCA!$A$6:$AW$6</definedName>
    <definedName name="_xlnm._FilterDatabase" localSheetId="11" hidden="1">UOB!$B$2:$B$28</definedName>
    <definedName name="_xlnm.Print_Area" localSheetId="6">BCA!$A$4:$T$14</definedName>
    <definedName name="_xlnm.Print_Area" localSheetId="20">'REKAP RENTOKIL'!$BL$4:$BS$13</definedName>
    <definedName name="_xlnm.Print_Area" localSheetId="16">'CONTROL PICKUP'!$B$5945:$E$5955</definedName>
    <definedName name="_xlnm.Print_Area" localSheetId="9">HSBC!$A$1:$T$34</definedName>
    <definedName name="_xlnm.Print_Area" localSheetId="8">'HSBC 15 HR'!$A$4:$R$42</definedName>
    <definedName name="_xlnm.Print_Area" localSheetId="7">'HSBC ITF'!$A$1:$R$19</definedName>
    <definedName name="_xlnm.Print_Area" localSheetId="10">OCBC!$A$1:$O$11</definedName>
    <definedName name="_xlnm.Print_Area" localSheetId="5">PROJECT!$A$1:$AH$68</definedName>
    <definedName name="_xlnm.Print_Area" localSheetId="1">RECEIPT!#REF!</definedName>
    <definedName name="_xlnm.Print_Area" localSheetId="14">'REKAP DISCOST'!$A$21:$E$39</definedName>
    <definedName name="_xlnm.Print_Area" localSheetId="11">UOB!$A$4:$O$7</definedName>
    <definedName name="_xlnm.Print_Titles" localSheetId="5">PROJECT!$A:$B,PROJECT!$5:$6</definedName>
  </definedNames>
  <calcPr calcId="144525"/>
</workbook>
</file>

<file path=xl/calcChain.xml><?xml version="1.0" encoding="utf-8"?>
<calcChain xmlns="http://schemas.openxmlformats.org/spreadsheetml/2006/main">
  <c r="G143" i="135" l="1"/>
  <c r="G153" i="135"/>
  <c r="G120" i="135"/>
  <c r="G23" i="135"/>
  <c r="G158" i="135"/>
  <c r="E73" i="128"/>
  <c r="F73" i="128"/>
  <c r="G73" i="128"/>
  <c r="H73" i="128"/>
  <c r="J73" i="128"/>
  <c r="K73" i="128"/>
  <c r="P73" i="128"/>
  <c r="Q73" i="128"/>
  <c r="R73" i="128"/>
  <c r="S73" i="128"/>
  <c r="T73" i="128"/>
  <c r="U73" i="128"/>
  <c r="V73" i="128"/>
  <c r="W73" i="128"/>
  <c r="X73" i="128"/>
  <c r="Y73" i="128"/>
  <c r="Z73" i="128"/>
  <c r="AA73" i="128"/>
  <c r="AB73" i="128"/>
  <c r="AC73" i="128"/>
  <c r="AD73" i="128"/>
  <c r="AE73" i="128"/>
  <c r="AF73" i="128"/>
  <c r="AG73" i="128"/>
  <c r="AH73" i="128"/>
  <c r="AI73" i="128"/>
  <c r="AJ73" i="128"/>
  <c r="AK73" i="128"/>
  <c r="AL73" i="128"/>
  <c r="D73" i="128"/>
  <c r="D108" i="128" s="1"/>
  <c r="E167" i="135"/>
  <c r="E7" i="135"/>
  <c r="E139" i="135"/>
  <c r="E159" i="135" l="1"/>
  <c r="E43" i="135"/>
  <c r="F106" i="128"/>
  <c r="AV72" i="128"/>
  <c r="AT72" i="128"/>
  <c r="AR72" i="128"/>
  <c r="AP72" i="128"/>
  <c r="AL72" i="128"/>
  <c r="AK72" i="128"/>
  <c r="AJ72" i="128"/>
  <c r="AI72" i="128"/>
  <c r="AH72" i="128"/>
  <c r="AG72" i="128"/>
  <c r="AF72" i="128"/>
  <c r="AE72" i="128"/>
  <c r="AD72" i="128"/>
  <c r="AC72" i="128"/>
  <c r="AB72" i="128"/>
  <c r="AA72" i="128"/>
  <c r="Z72" i="128"/>
  <c r="Y72" i="128"/>
  <c r="X72" i="128"/>
  <c r="W72" i="128"/>
  <c r="V72" i="128"/>
  <c r="U72" i="128"/>
  <c r="T72" i="128"/>
  <c r="S72" i="128"/>
  <c r="R72" i="128"/>
  <c r="Q72" i="128"/>
  <c r="P72" i="128"/>
  <c r="O72" i="128"/>
  <c r="N72" i="128"/>
  <c r="M72" i="128"/>
  <c r="L72" i="128"/>
  <c r="K72" i="128"/>
  <c r="J72" i="128"/>
  <c r="I72" i="128"/>
  <c r="H72" i="128"/>
  <c r="G72" i="128"/>
  <c r="F72" i="128"/>
  <c r="E72" i="128"/>
  <c r="D72" i="128"/>
  <c r="AW71" i="128"/>
  <c r="AU71" i="128"/>
  <c r="AS71" i="128"/>
  <c r="AQ71" i="128"/>
  <c r="AO71" i="128"/>
  <c r="AY71" i="128" s="1"/>
  <c r="AM71" i="128"/>
  <c r="AW70" i="128"/>
  <c r="AU70" i="128"/>
  <c r="AS70" i="128"/>
  <c r="AQ70" i="128"/>
  <c r="AO70" i="128"/>
  <c r="AY70" i="128" s="1"/>
  <c r="AM70" i="128"/>
  <c r="AW69" i="128"/>
  <c r="AW72" i="128" s="1"/>
  <c r="AU69" i="128"/>
  <c r="AU72" i="128" s="1"/>
  <c r="AS69" i="128"/>
  <c r="AS72" i="128" s="1"/>
  <c r="AQ69" i="128"/>
  <c r="AQ72" i="128" s="1"/>
  <c r="AO69" i="128"/>
  <c r="AY69" i="128" s="1"/>
  <c r="AM69" i="128"/>
  <c r="AV68" i="128"/>
  <c r="AT68" i="128"/>
  <c r="AR68" i="128"/>
  <c r="AP68" i="128"/>
  <c r="AL68" i="128"/>
  <c r="AK68" i="128"/>
  <c r="AJ68" i="128"/>
  <c r="AI68" i="128"/>
  <c r="AH68" i="128"/>
  <c r="AG68" i="128"/>
  <c r="AF68" i="128"/>
  <c r="AE68" i="128"/>
  <c r="AD68" i="128"/>
  <c r="AC68" i="128"/>
  <c r="AB68" i="128"/>
  <c r="AA68" i="128"/>
  <c r="Z68" i="128"/>
  <c r="Y68" i="128"/>
  <c r="X68" i="128"/>
  <c r="W68" i="128"/>
  <c r="V68" i="128"/>
  <c r="U68" i="128"/>
  <c r="T68" i="128"/>
  <c r="S68" i="128"/>
  <c r="R68" i="128"/>
  <c r="Q68" i="128"/>
  <c r="P68" i="128"/>
  <c r="O68" i="128"/>
  <c r="N68" i="128"/>
  <c r="M68" i="128"/>
  <c r="L68" i="128"/>
  <c r="K68" i="128"/>
  <c r="J68" i="128"/>
  <c r="I68" i="128"/>
  <c r="H68" i="128"/>
  <c r="G68" i="128"/>
  <c r="F68" i="128"/>
  <c r="E68" i="128"/>
  <c r="D68" i="128"/>
  <c r="AW67" i="128"/>
  <c r="AU67" i="128"/>
  <c r="AS67" i="128"/>
  <c r="AQ67" i="128"/>
  <c r="AO67" i="128"/>
  <c r="AM67" i="128"/>
  <c r="AW66" i="128"/>
  <c r="AU66" i="128"/>
  <c r="AS66" i="128"/>
  <c r="AQ66" i="128"/>
  <c r="AO66" i="128"/>
  <c r="AY66" i="128" s="1"/>
  <c r="AM66" i="128"/>
  <c r="AW65" i="128"/>
  <c r="AW68" i="128" s="1"/>
  <c r="AU65" i="128"/>
  <c r="AU68" i="128" s="1"/>
  <c r="AS65" i="128"/>
  <c r="AS68" i="128" s="1"/>
  <c r="AQ65" i="128"/>
  <c r="AQ68" i="128" s="1"/>
  <c r="AO65" i="128"/>
  <c r="AO68" i="128" s="1"/>
  <c r="AM65" i="128"/>
  <c r="F11" i="134"/>
  <c r="E10884" i="158"/>
  <c r="F10884" i="158"/>
  <c r="G10884" i="158"/>
  <c r="D10884" i="158"/>
  <c r="G10883" i="158"/>
  <c r="G10882" i="158"/>
  <c r="G10881" i="158"/>
  <c r="G10880" i="158"/>
  <c r="G10879" i="158"/>
  <c r="G10878" i="158"/>
  <c r="G10877" i="158"/>
  <c r="G10876" i="158"/>
  <c r="G10875" i="158"/>
  <c r="G10874" i="158"/>
  <c r="G10873" i="158"/>
  <c r="G10872" i="158"/>
  <c r="G10871" i="158"/>
  <c r="G10870" i="158"/>
  <c r="G10869" i="158"/>
  <c r="G10868" i="158"/>
  <c r="E21" i="115"/>
  <c r="E22" i="115"/>
  <c r="E23" i="115"/>
  <c r="D21" i="115"/>
  <c r="D22" i="115"/>
  <c r="D23" i="115"/>
  <c r="C27" i="115"/>
  <c r="I23" i="115"/>
  <c r="I22" i="115"/>
  <c r="I21" i="115"/>
  <c r="D61" i="15"/>
  <c r="D62" i="15"/>
  <c r="D63" i="15"/>
  <c r="D64" i="15"/>
  <c r="D65" i="15"/>
  <c r="C68" i="15"/>
  <c r="I65" i="15"/>
  <c r="I68" i="15"/>
  <c r="I64" i="15"/>
  <c r="I63" i="15"/>
  <c r="E63" i="15"/>
  <c r="AY67" i="128" l="1"/>
  <c r="AY72" i="128"/>
  <c r="AM72" i="128"/>
  <c r="AO72" i="128"/>
  <c r="AM68" i="128"/>
  <c r="AY65" i="128"/>
  <c r="E17" i="115"/>
  <c r="E18" i="115"/>
  <c r="E19" i="115"/>
  <c r="E20" i="115"/>
  <c r="I9" i="115"/>
  <c r="I10" i="115"/>
  <c r="I11" i="115"/>
  <c r="I12" i="115"/>
  <c r="I13" i="115"/>
  <c r="I14" i="115"/>
  <c r="I15" i="115"/>
  <c r="I16" i="115"/>
  <c r="I17" i="115"/>
  <c r="I18" i="115"/>
  <c r="I19" i="115"/>
  <c r="I20" i="115"/>
  <c r="F10860" i="158"/>
  <c r="G10860" i="158" s="1"/>
  <c r="G10866" i="158"/>
  <c r="G10865" i="158"/>
  <c r="G10864" i="158"/>
  <c r="G10863" i="158"/>
  <c r="G10862" i="158"/>
  <c r="G10861" i="158"/>
  <c r="G10859" i="158"/>
  <c r="G10858" i="158"/>
  <c r="G10857" i="158"/>
  <c r="G10856" i="158"/>
  <c r="G10855" i="158"/>
  <c r="G10854" i="158"/>
  <c r="G10853" i="158"/>
  <c r="G10852" i="158"/>
  <c r="G10851" i="158"/>
  <c r="I62" i="15"/>
  <c r="E62" i="15"/>
  <c r="D18" i="115"/>
  <c r="D19" i="115"/>
  <c r="D20" i="115"/>
  <c r="AY68" i="128" l="1"/>
  <c r="G10849" i="158"/>
  <c r="G10848" i="158"/>
  <c r="G10847" i="158"/>
  <c r="G10846" i="158"/>
  <c r="G10845" i="158"/>
  <c r="G10844" i="158"/>
  <c r="G10843" i="158"/>
  <c r="G10842" i="158"/>
  <c r="G10841" i="158"/>
  <c r="G10840" i="158"/>
  <c r="G10839" i="158"/>
  <c r="G10838" i="158"/>
  <c r="G10837" i="158"/>
  <c r="G10836" i="158"/>
  <c r="G10835" i="158"/>
  <c r="G10834" i="158"/>
  <c r="E10850" i="158"/>
  <c r="F10850" i="158"/>
  <c r="D10850" i="158"/>
  <c r="G10850" i="158" l="1"/>
  <c r="I61" i="15" l="1"/>
  <c r="E61" i="15"/>
  <c r="N31" i="15"/>
  <c r="N30" i="15"/>
  <c r="N32" i="15"/>
  <c r="N33" i="15"/>
  <c r="N34" i="15"/>
  <c r="S28" i="15"/>
  <c r="S29" i="15"/>
  <c r="S30" i="15"/>
  <c r="S23" i="15"/>
  <c r="S24" i="15"/>
  <c r="S25" i="15"/>
  <c r="S26" i="15"/>
  <c r="S27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E10833" i="158" l="1"/>
  <c r="F10833" i="158"/>
  <c r="D10833" i="158"/>
  <c r="G10832" i="158"/>
  <c r="G10831" i="158"/>
  <c r="G10830" i="158"/>
  <c r="G10829" i="158"/>
  <c r="G10828" i="158"/>
  <c r="G10827" i="158"/>
  <c r="G10826" i="158"/>
  <c r="G10825" i="158"/>
  <c r="G10824" i="158"/>
  <c r="G10823" i="158"/>
  <c r="G10822" i="158"/>
  <c r="G10821" i="158"/>
  <c r="G10820" i="158"/>
  <c r="G10819" i="158"/>
  <c r="G10818" i="158"/>
  <c r="G10817" i="158"/>
  <c r="N29" i="15"/>
  <c r="N28" i="15"/>
  <c r="N27" i="15"/>
  <c r="N26" i="15"/>
  <c r="N25" i="15"/>
  <c r="N24" i="15"/>
  <c r="N23" i="15"/>
  <c r="J27" i="15"/>
  <c r="J29" i="15"/>
  <c r="J31" i="15"/>
  <c r="J33" i="15"/>
  <c r="J26" i="15"/>
  <c r="J28" i="15"/>
  <c r="J30" i="15"/>
  <c r="J32" i="15"/>
  <c r="J34" i="15"/>
  <c r="H19" i="15"/>
  <c r="H20" i="15"/>
  <c r="J20" i="15" s="1"/>
  <c r="H21" i="15"/>
  <c r="J22" i="15"/>
  <c r="J23" i="15"/>
  <c r="J24" i="15"/>
  <c r="J25" i="15"/>
  <c r="J21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I48" i="15"/>
  <c r="I47" i="15"/>
  <c r="I46" i="15"/>
  <c r="G10833" i="158" l="1"/>
  <c r="F10799" i="158"/>
  <c r="G10785" i="158"/>
  <c r="E10816" i="158"/>
  <c r="F10816" i="158"/>
  <c r="D10816" i="158"/>
  <c r="G10815" i="158"/>
  <c r="G10814" i="158"/>
  <c r="G10813" i="158"/>
  <c r="G10812" i="158"/>
  <c r="G10811" i="158"/>
  <c r="G10810" i="158"/>
  <c r="G10809" i="158"/>
  <c r="G10808" i="158"/>
  <c r="G10807" i="158"/>
  <c r="G10806" i="158"/>
  <c r="G10805" i="158"/>
  <c r="G10804" i="158"/>
  <c r="G10803" i="158"/>
  <c r="G10802" i="158"/>
  <c r="G10801" i="158"/>
  <c r="G10800" i="158"/>
  <c r="G10816" i="158" l="1"/>
  <c r="E15" i="115"/>
  <c r="E16" i="115"/>
  <c r="N14" i="76"/>
  <c r="N13" i="76"/>
  <c r="N12" i="76"/>
  <c r="J11" i="76"/>
  <c r="J12" i="76"/>
  <c r="J13" i="76"/>
  <c r="J14" i="76"/>
  <c r="H10" i="76"/>
  <c r="H11" i="76"/>
  <c r="H12" i="76"/>
  <c r="H13" i="76"/>
  <c r="H14" i="76"/>
  <c r="F16" i="76"/>
  <c r="N11" i="115"/>
  <c r="N10" i="115"/>
  <c r="N9" i="115"/>
  <c r="J9" i="115"/>
  <c r="J10" i="115"/>
  <c r="J11" i="115"/>
  <c r="H8" i="115"/>
  <c r="H9" i="115"/>
  <c r="H10" i="115"/>
  <c r="H11" i="115"/>
  <c r="I60" i="15"/>
  <c r="I59" i="15"/>
  <c r="I58" i="15"/>
  <c r="I57" i="15"/>
  <c r="D14" i="115"/>
  <c r="D15" i="115"/>
  <c r="D16" i="115"/>
  <c r="D17" i="115"/>
  <c r="G10775" i="158" l="1"/>
  <c r="G10776" i="158"/>
  <c r="G10777" i="158"/>
  <c r="G10778" i="158"/>
  <c r="G10779" i="158"/>
  <c r="G10780" i="158"/>
  <c r="G10781" i="158"/>
  <c r="D10799" i="158"/>
  <c r="E10799" i="158"/>
  <c r="G10798" i="158"/>
  <c r="G10797" i="158"/>
  <c r="G10796" i="158"/>
  <c r="G10795" i="158"/>
  <c r="G10794" i="158"/>
  <c r="G10793" i="158"/>
  <c r="G10792" i="158"/>
  <c r="G10791" i="158"/>
  <c r="G10790" i="158"/>
  <c r="G10789" i="158"/>
  <c r="G10788" i="158"/>
  <c r="G10787" i="158"/>
  <c r="G10786" i="158"/>
  <c r="G10784" i="158"/>
  <c r="G10783" i="158"/>
  <c r="G10799" i="158" l="1"/>
  <c r="I57" i="167"/>
  <c r="F10750" i="158" l="1"/>
  <c r="F10758" i="158" l="1"/>
  <c r="E10782" i="158"/>
  <c r="F10782" i="158"/>
  <c r="D10782" i="158"/>
  <c r="G10774" i="158"/>
  <c r="G10773" i="158"/>
  <c r="G10772" i="158"/>
  <c r="G10771" i="158"/>
  <c r="G10770" i="158"/>
  <c r="G10769" i="158"/>
  <c r="G10768" i="158"/>
  <c r="G10767" i="158"/>
  <c r="G10766" i="158"/>
  <c r="G10782" i="158" l="1"/>
  <c r="I56" i="15"/>
  <c r="I55" i="15"/>
  <c r="I54" i="15"/>
  <c r="I53" i="15"/>
  <c r="E12" i="115"/>
  <c r="E13" i="115"/>
  <c r="E14" i="115"/>
  <c r="D13" i="115"/>
  <c r="E12" i="76" l="1"/>
  <c r="E13" i="76"/>
  <c r="E14" i="76"/>
  <c r="E10765" i="158"/>
  <c r="F10765" i="158"/>
  <c r="D10765" i="158"/>
  <c r="G10764" i="158"/>
  <c r="G10763" i="158"/>
  <c r="G10762" i="158"/>
  <c r="G10761" i="158"/>
  <c r="G10760" i="158"/>
  <c r="G10759" i="158"/>
  <c r="G10758" i="158"/>
  <c r="G10757" i="158"/>
  <c r="G10756" i="158"/>
  <c r="G10755" i="158"/>
  <c r="G10754" i="158"/>
  <c r="G10753" i="158"/>
  <c r="G10752" i="158"/>
  <c r="G10751" i="158"/>
  <c r="G10750" i="158"/>
  <c r="G10749" i="158"/>
  <c r="G10765" i="158" l="1"/>
  <c r="F19" i="76"/>
  <c r="F18" i="76"/>
  <c r="I52" i="15"/>
  <c r="E10748" i="158" l="1"/>
  <c r="F10748" i="158"/>
  <c r="D10748" i="158"/>
  <c r="G10747" i="158"/>
  <c r="G10746" i="158"/>
  <c r="G10745" i="158"/>
  <c r="G10744" i="158"/>
  <c r="G10743" i="158"/>
  <c r="G10742" i="158"/>
  <c r="G10741" i="158"/>
  <c r="G10740" i="158"/>
  <c r="G10739" i="158"/>
  <c r="G10738" i="158"/>
  <c r="G10737" i="158"/>
  <c r="G10736" i="158"/>
  <c r="G10735" i="158"/>
  <c r="G10734" i="158"/>
  <c r="G10733" i="158"/>
  <c r="G10732" i="158"/>
  <c r="G10748" i="158" l="1"/>
  <c r="E10731" i="158" l="1"/>
  <c r="F10731" i="158"/>
  <c r="D10731" i="158"/>
  <c r="G10730" i="158"/>
  <c r="G10729" i="158"/>
  <c r="G10728" i="158"/>
  <c r="G10727" i="158"/>
  <c r="G10726" i="158"/>
  <c r="G10725" i="158"/>
  <c r="G10724" i="158"/>
  <c r="G10723" i="158"/>
  <c r="G10722" i="158"/>
  <c r="G10721" i="158"/>
  <c r="G10720" i="158"/>
  <c r="G10719" i="158"/>
  <c r="G10718" i="158"/>
  <c r="G10717" i="158"/>
  <c r="G10716" i="158"/>
  <c r="G10715" i="158"/>
  <c r="G10731" i="158" l="1"/>
  <c r="S9" i="76" l="1"/>
  <c r="S10" i="76"/>
  <c r="S16" i="76" s="1"/>
  <c r="S8" i="76"/>
  <c r="F31" i="115" l="1"/>
  <c r="F30" i="115"/>
  <c r="N27" i="115"/>
  <c r="F27" i="115"/>
  <c r="N6" i="115"/>
  <c r="N7" i="115"/>
  <c r="N8" i="115"/>
  <c r="N5" i="115"/>
  <c r="J6" i="115"/>
  <c r="J7" i="115"/>
  <c r="J8" i="115"/>
  <c r="J27" i="115" s="1"/>
  <c r="J5" i="115"/>
  <c r="H6" i="115"/>
  <c r="H7" i="115"/>
  <c r="H5" i="115"/>
  <c r="D6" i="115"/>
  <c r="D5" i="115"/>
  <c r="D7" i="115"/>
  <c r="D8" i="115"/>
  <c r="D9" i="115"/>
  <c r="D10" i="115"/>
  <c r="D11" i="115"/>
  <c r="D12" i="115"/>
  <c r="C16" i="76"/>
  <c r="N8" i="76"/>
  <c r="N10" i="76"/>
  <c r="N16" i="76" s="1"/>
  <c r="N11" i="76"/>
  <c r="N9" i="76"/>
  <c r="H8" i="76"/>
  <c r="J8" i="76" s="1"/>
  <c r="J10" i="76"/>
  <c r="J16" i="76" s="1"/>
  <c r="H9" i="76"/>
  <c r="J9" i="76" s="1"/>
  <c r="I51" i="15"/>
  <c r="I50" i="15"/>
  <c r="I49" i="15"/>
  <c r="E10714" i="158" l="1"/>
  <c r="F10714" i="158"/>
  <c r="D10714" i="158"/>
  <c r="G10713" i="158"/>
  <c r="G10712" i="158"/>
  <c r="G10711" i="158"/>
  <c r="G10710" i="158"/>
  <c r="G10709" i="158"/>
  <c r="G10708" i="158"/>
  <c r="G10707" i="158"/>
  <c r="G10706" i="158"/>
  <c r="G10705" i="158"/>
  <c r="G10704" i="158"/>
  <c r="G10703" i="158"/>
  <c r="G10702" i="158"/>
  <c r="G10701" i="158"/>
  <c r="G10700" i="158"/>
  <c r="G10699" i="158"/>
  <c r="G10698" i="158"/>
  <c r="E10697" i="158"/>
  <c r="F10697" i="158"/>
  <c r="D10697" i="158"/>
  <c r="G10696" i="158"/>
  <c r="G10695" i="158"/>
  <c r="G10694" i="158"/>
  <c r="G10693" i="158"/>
  <c r="G10692" i="158"/>
  <c r="G10691" i="158"/>
  <c r="G10690" i="158"/>
  <c r="G10689" i="158"/>
  <c r="G10688" i="158"/>
  <c r="G10687" i="158"/>
  <c r="G10686" i="158"/>
  <c r="G10685" i="158"/>
  <c r="G10684" i="158"/>
  <c r="G10683" i="158"/>
  <c r="G10682" i="158"/>
  <c r="G10681" i="158"/>
  <c r="G10714" i="158" l="1"/>
  <c r="G10697" i="158"/>
  <c r="F10656" i="158" l="1"/>
  <c r="D11" i="76"/>
  <c r="D12" i="76"/>
  <c r="D13" i="76"/>
  <c r="D14" i="76"/>
  <c r="F10673" i="158" l="1"/>
  <c r="E11" i="115"/>
  <c r="F68" i="15"/>
  <c r="I12" i="76"/>
  <c r="I13" i="76"/>
  <c r="I14" i="76"/>
  <c r="I16" i="76" l="1"/>
  <c r="E10680" i="158"/>
  <c r="F10680" i="158"/>
  <c r="D10680" i="158"/>
  <c r="G10679" i="158"/>
  <c r="G10678" i="158"/>
  <c r="G10677" i="158"/>
  <c r="G10676" i="158"/>
  <c r="G10675" i="158"/>
  <c r="G10674" i="158"/>
  <c r="G10673" i="158"/>
  <c r="G10672" i="158"/>
  <c r="G10671" i="158"/>
  <c r="G10670" i="158"/>
  <c r="G10669" i="158"/>
  <c r="G10668" i="158"/>
  <c r="G10667" i="158"/>
  <c r="G10666" i="158"/>
  <c r="G10665" i="158"/>
  <c r="G10664" i="158"/>
  <c r="E10663" i="158"/>
  <c r="F10663" i="158"/>
  <c r="D10663" i="158"/>
  <c r="G10662" i="158"/>
  <c r="G10661" i="158"/>
  <c r="G10660" i="158"/>
  <c r="G10659" i="158"/>
  <c r="G10658" i="158"/>
  <c r="G10657" i="158"/>
  <c r="G10656" i="158"/>
  <c r="G10655" i="158"/>
  <c r="G10654" i="158"/>
  <c r="G10653" i="158"/>
  <c r="G10652" i="158"/>
  <c r="G10651" i="158"/>
  <c r="G10650" i="158"/>
  <c r="G10649" i="158"/>
  <c r="G10648" i="158"/>
  <c r="G10647" i="158"/>
  <c r="G10680" i="158" l="1"/>
  <c r="G10663" i="158"/>
  <c r="S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5" i="15"/>
  <c r="I38" i="15"/>
  <c r="D38" i="15"/>
  <c r="E38" i="15" s="1"/>
  <c r="D40" i="15"/>
  <c r="D41" i="15"/>
  <c r="I45" i="15"/>
  <c r="I44" i="15"/>
  <c r="I43" i="15"/>
  <c r="I42" i="15"/>
  <c r="I41" i="15"/>
  <c r="H5" i="15"/>
  <c r="H6" i="15"/>
  <c r="H7" i="15"/>
  <c r="H8" i="15"/>
  <c r="J8" i="15" s="1"/>
  <c r="H9" i="15"/>
  <c r="J9" i="15" s="1"/>
  <c r="H10" i="15"/>
  <c r="J10" i="15" s="1"/>
  <c r="H11" i="15"/>
  <c r="J11" i="15" s="1"/>
  <c r="H12" i="15"/>
  <c r="J12" i="15" s="1"/>
  <c r="H13" i="15"/>
  <c r="J13" i="15" s="1"/>
  <c r="H14" i="15"/>
  <c r="J14" i="15" s="1"/>
  <c r="H15" i="15"/>
  <c r="J15" i="15" s="1"/>
  <c r="H16" i="15"/>
  <c r="J16" i="15" s="1"/>
  <c r="H17" i="15"/>
  <c r="J17" i="15" s="1"/>
  <c r="H18" i="15"/>
  <c r="J18" i="15" s="1"/>
  <c r="J19" i="15"/>
  <c r="S68" i="15" l="1"/>
  <c r="E10646" i="158"/>
  <c r="F10646" i="158"/>
  <c r="D10646" i="158"/>
  <c r="G10645" i="158"/>
  <c r="G10644" i="158"/>
  <c r="G10643" i="158"/>
  <c r="G10642" i="158"/>
  <c r="G10641" i="158"/>
  <c r="G10640" i="158"/>
  <c r="G10639" i="158"/>
  <c r="G10638" i="158"/>
  <c r="G10637" i="158"/>
  <c r="G10636" i="158"/>
  <c r="G10635" i="158"/>
  <c r="G10634" i="158"/>
  <c r="G10633" i="158"/>
  <c r="G10632" i="158"/>
  <c r="G10631" i="158"/>
  <c r="G10630" i="158"/>
  <c r="G10646" i="158" l="1"/>
  <c r="J7" i="15"/>
  <c r="E10629" i="158" l="1"/>
  <c r="F10629" i="158"/>
  <c r="H10629" i="158"/>
  <c r="D10629" i="158"/>
  <c r="E10612" i="158"/>
  <c r="F10612" i="158"/>
  <c r="D10612" i="158"/>
  <c r="G10628" i="158"/>
  <c r="G10627" i="158"/>
  <c r="G10626" i="158"/>
  <c r="G10625" i="158"/>
  <c r="G10624" i="158"/>
  <c r="G10623" i="158"/>
  <c r="G10622" i="158"/>
  <c r="G10621" i="158"/>
  <c r="G10620" i="158"/>
  <c r="G10619" i="158"/>
  <c r="G10618" i="158"/>
  <c r="G10617" i="158"/>
  <c r="G10616" i="158"/>
  <c r="G10615" i="158"/>
  <c r="G10614" i="158"/>
  <c r="G10613" i="158"/>
  <c r="G10611" i="158"/>
  <c r="G10610" i="158"/>
  <c r="G10609" i="158"/>
  <c r="G10608" i="158"/>
  <c r="G10607" i="158"/>
  <c r="G10606" i="158"/>
  <c r="G10605" i="158"/>
  <c r="G10604" i="158"/>
  <c r="G10603" i="158"/>
  <c r="G10602" i="158"/>
  <c r="G10601" i="158"/>
  <c r="G10600" i="158"/>
  <c r="G10599" i="158"/>
  <c r="G10598" i="158"/>
  <c r="G10597" i="158"/>
  <c r="G10596" i="158"/>
  <c r="G10629" i="158" l="1"/>
  <c r="G10612" i="158"/>
  <c r="J5" i="15"/>
  <c r="J6" i="15"/>
  <c r="D39" i="15" l="1"/>
  <c r="E39" i="15" s="1"/>
  <c r="I40" i="15"/>
  <c r="I39" i="15"/>
  <c r="E10" i="115" l="1"/>
  <c r="F10563" i="158" l="1"/>
  <c r="E10595" i="158" l="1"/>
  <c r="F10595" i="158"/>
  <c r="D10595" i="158"/>
  <c r="G10594" i="158"/>
  <c r="G10593" i="158"/>
  <c r="G10592" i="158"/>
  <c r="G10591" i="158"/>
  <c r="G10590" i="158"/>
  <c r="G10589" i="158"/>
  <c r="G10588" i="158"/>
  <c r="G10587" i="158"/>
  <c r="G10586" i="158"/>
  <c r="G10585" i="158"/>
  <c r="G10584" i="158"/>
  <c r="G10583" i="158"/>
  <c r="G10582" i="158"/>
  <c r="G10581" i="158"/>
  <c r="G10580" i="158"/>
  <c r="G10579" i="158"/>
  <c r="G10595" i="158" l="1"/>
  <c r="E10578" i="158"/>
  <c r="F10578" i="158"/>
  <c r="D10578" i="158"/>
  <c r="G10577" i="158"/>
  <c r="G10576" i="158"/>
  <c r="G10575" i="158"/>
  <c r="G10574" i="158"/>
  <c r="G10573" i="158"/>
  <c r="G10572" i="158"/>
  <c r="G10571" i="158"/>
  <c r="G10570" i="158"/>
  <c r="G10569" i="158"/>
  <c r="G10568" i="158"/>
  <c r="G10567" i="158"/>
  <c r="G10566" i="158"/>
  <c r="G10565" i="158"/>
  <c r="G10564" i="158"/>
  <c r="G10563" i="158"/>
  <c r="G10562" i="158"/>
  <c r="G10578" i="158" l="1"/>
  <c r="N6" i="15"/>
  <c r="N7" i="15"/>
  <c r="N8" i="15"/>
  <c r="N9" i="15"/>
  <c r="N10" i="15"/>
  <c r="N11" i="15"/>
  <c r="N12" i="15"/>
  <c r="N5" i="15"/>
  <c r="N68" i="15" s="1"/>
  <c r="E10561" i="158" l="1"/>
  <c r="F10561" i="158"/>
  <c r="D10561" i="158"/>
  <c r="G10560" i="158"/>
  <c r="G10559" i="158"/>
  <c r="G10558" i="158"/>
  <c r="G10557" i="158"/>
  <c r="G10556" i="158"/>
  <c r="G10555" i="158"/>
  <c r="G10554" i="158"/>
  <c r="G10553" i="158"/>
  <c r="G10552" i="158"/>
  <c r="G10551" i="158"/>
  <c r="G10550" i="158"/>
  <c r="G10549" i="158"/>
  <c r="G10548" i="158"/>
  <c r="G10547" i="158"/>
  <c r="G10546" i="158"/>
  <c r="G10545" i="158"/>
  <c r="G10561" i="158" l="1"/>
  <c r="D33" i="15"/>
  <c r="E33" i="15" s="1"/>
  <c r="D34" i="15"/>
  <c r="E34" i="15" s="1"/>
  <c r="D35" i="15"/>
  <c r="E35" i="15" s="1"/>
  <c r="D36" i="15"/>
  <c r="E36" i="15" s="1"/>
  <c r="D37" i="15"/>
  <c r="E37" i="15" s="1"/>
  <c r="I37" i="15"/>
  <c r="I36" i="15"/>
  <c r="I35" i="15"/>
  <c r="E10544" i="158" l="1"/>
  <c r="F10544" i="158"/>
  <c r="D10544" i="158"/>
  <c r="G10543" i="158"/>
  <c r="G10542" i="158"/>
  <c r="G10541" i="158"/>
  <c r="G10540" i="158"/>
  <c r="G10539" i="158"/>
  <c r="G10538" i="158"/>
  <c r="G10537" i="158"/>
  <c r="G10536" i="158"/>
  <c r="G10535" i="158"/>
  <c r="G10534" i="158"/>
  <c r="G10533" i="158"/>
  <c r="G10532" i="158"/>
  <c r="G10531" i="158"/>
  <c r="G10530" i="158"/>
  <c r="G10529" i="158"/>
  <c r="G10528" i="158"/>
  <c r="G10544" i="158" l="1"/>
  <c r="E10527" i="158"/>
  <c r="F10527" i="158"/>
  <c r="D10527" i="158"/>
  <c r="G10526" i="158"/>
  <c r="G10525" i="158"/>
  <c r="G10524" i="158"/>
  <c r="G10523" i="158"/>
  <c r="G10522" i="158"/>
  <c r="G10521" i="158"/>
  <c r="G10520" i="158"/>
  <c r="G10519" i="158"/>
  <c r="G10518" i="158"/>
  <c r="G10517" i="158"/>
  <c r="G10516" i="158"/>
  <c r="G10515" i="158"/>
  <c r="G10514" i="158"/>
  <c r="G10513" i="158"/>
  <c r="G10512" i="158"/>
  <c r="G10511" i="158"/>
  <c r="G10527" i="158" l="1"/>
  <c r="E5" i="115"/>
  <c r="E7" i="115"/>
  <c r="E8" i="115"/>
  <c r="E9" i="115"/>
  <c r="E10510" i="158" l="1"/>
  <c r="F10510" i="158"/>
  <c r="D10510" i="158"/>
  <c r="G10509" i="158"/>
  <c r="G10508" i="158"/>
  <c r="G10507" i="158"/>
  <c r="G10506" i="158"/>
  <c r="G10505" i="158"/>
  <c r="G10504" i="158"/>
  <c r="G10503" i="158"/>
  <c r="G10502" i="158"/>
  <c r="G10501" i="158"/>
  <c r="G10500" i="158"/>
  <c r="G10499" i="158"/>
  <c r="G10498" i="158"/>
  <c r="G10497" i="158"/>
  <c r="G10496" i="158"/>
  <c r="G10495" i="158"/>
  <c r="G10494" i="158"/>
  <c r="G10510" i="158" l="1"/>
  <c r="D29" i="15"/>
  <c r="E29" i="15" s="1"/>
  <c r="D30" i="15"/>
  <c r="E30" i="15" s="1"/>
  <c r="D31" i="15"/>
  <c r="E31" i="15" s="1"/>
  <c r="D32" i="15"/>
  <c r="E32" i="15" s="1"/>
  <c r="I34" i="15"/>
  <c r="I33" i="15"/>
  <c r="I32" i="15"/>
  <c r="I31" i="15"/>
  <c r="F10461" i="158" l="1"/>
  <c r="E10493" i="158" l="1"/>
  <c r="F10493" i="158"/>
  <c r="D10493" i="158"/>
  <c r="G10492" i="158"/>
  <c r="G10491" i="158"/>
  <c r="G10490" i="158"/>
  <c r="G10489" i="158"/>
  <c r="G10488" i="158"/>
  <c r="G10487" i="158"/>
  <c r="G10486" i="158"/>
  <c r="G10485" i="158"/>
  <c r="G10484" i="158"/>
  <c r="G10483" i="158"/>
  <c r="G10482" i="158"/>
  <c r="G10481" i="158"/>
  <c r="G10480" i="158"/>
  <c r="G10479" i="158"/>
  <c r="G10478" i="158"/>
  <c r="G10477" i="158"/>
  <c r="G10493" i="158" l="1"/>
  <c r="E10476" i="158"/>
  <c r="F10476" i="158"/>
  <c r="D10476" i="158"/>
  <c r="G10475" i="158"/>
  <c r="G10474" i="158"/>
  <c r="G10473" i="158"/>
  <c r="G10472" i="158"/>
  <c r="G10471" i="158"/>
  <c r="G10470" i="158"/>
  <c r="G10469" i="158"/>
  <c r="G10468" i="158"/>
  <c r="G10467" i="158"/>
  <c r="G10466" i="158"/>
  <c r="G10465" i="158"/>
  <c r="G10464" i="158"/>
  <c r="G10463" i="158"/>
  <c r="G10462" i="158"/>
  <c r="G10461" i="158"/>
  <c r="G10460" i="158"/>
  <c r="G10476" i="158" l="1"/>
  <c r="D28" i="15"/>
  <c r="D27" i="15"/>
  <c r="E27" i="15" s="1"/>
  <c r="I30" i="15"/>
  <c r="I29" i="15"/>
  <c r="I8" i="115"/>
  <c r="I7" i="115"/>
  <c r="I11" i="76"/>
  <c r="E11" i="76"/>
  <c r="E10459" i="158" l="1"/>
  <c r="F10459" i="158"/>
  <c r="D10459" i="158"/>
  <c r="G10458" i="158"/>
  <c r="G10457" i="158"/>
  <c r="G10456" i="158"/>
  <c r="G10455" i="158"/>
  <c r="G10454" i="158"/>
  <c r="G10453" i="158"/>
  <c r="G10452" i="158"/>
  <c r="G10451" i="158"/>
  <c r="G10450" i="158"/>
  <c r="G10449" i="158"/>
  <c r="G10448" i="158"/>
  <c r="G10447" i="158"/>
  <c r="G10446" i="158"/>
  <c r="G10445" i="158"/>
  <c r="G10444" i="158"/>
  <c r="G10443" i="158"/>
  <c r="G10459" i="158" l="1"/>
  <c r="E10442" i="158" l="1"/>
  <c r="F10442" i="158"/>
  <c r="D10442" i="158"/>
  <c r="G10441" i="158"/>
  <c r="G10440" i="158"/>
  <c r="G10439" i="158"/>
  <c r="G10438" i="158"/>
  <c r="G10437" i="158"/>
  <c r="G10436" i="158"/>
  <c r="G10435" i="158"/>
  <c r="G10434" i="158"/>
  <c r="G10433" i="158"/>
  <c r="G10432" i="158"/>
  <c r="G10431" i="158"/>
  <c r="G10430" i="158"/>
  <c r="G10429" i="158"/>
  <c r="G10428" i="158"/>
  <c r="G10427" i="158"/>
  <c r="G10426" i="158"/>
  <c r="E28" i="15"/>
  <c r="D21" i="15"/>
  <c r="E21" i="15" s="1"/>
  <c r="D23" i="15"/>
  <c r="E23" i="15" s="1"/>
  <c r="D24" i="15"/>
  <c r="E24" i="15" s="1"/>
  <c r="D25" i="15"/>
  <c r="E25" i="15" s="1"/>
  <c r="D26" i="15"/>
  <c r="E26" i="15" s="1"/>
  <c r="I27" i="15"/>
  <c r="I28" i="15"/>
  <c r="I26" i="15"/>
  <c r="I25" i="15"/>
  <c r="G10442" i="158" l="1"/>
  <c r="G10392" i="158" l="1"/>
  <c r="E10425" i="158"/>
  <c r="F10425" i="158"/>
  <c r="D10425" i="158"/>
  <c r="G10424" i="158"/>
  <c r="G10423" i="158"/>
  <c r="G10422" i="158"/>
  <c r="G10421" i="158"/>
  <c r="G10420" i="158"/>
  <c r="G10419" i="158"/>
  <c r="G10418" i="158"/>
  <c r="G10417" i="158"/>
  <c r="G10416" i="158"/>
  <c r="G10415" i="158"/>
  <c r="G10414" i="158"/>
  <c r="G10413" i="158"/>
  <c r="G10412" i="158"/>
  <c r="G10411" i="158"/>
  <c r="G10410" i="158"/>
  <c r="G10409" i="158"/>
  <c r="G10425" i="158" l="1"/>
  <c r="I10" i="76"/>
  <c r="D10" i="76"/>
  <c r="E10" i="76" s="1"/>
  <c r="E6" i="115" l="1"/>
  <c r="I5" i="115"/>
  <c r="I6" i="115"/>
  <c r="I27" i="115" s="1"/>
  <c r="D9" i="76"/>
  <c r="E9" i="76" s="1"/>
  <c r="D8" i="76"/>
  <c r="E8" i="76" s="1"/>
  <c r="I8" i="76"/>
  <c r="I9" i="76"/>
  <c r="I24" i="15"/>
  <c r="I23" i="15"/>
  <c r="D19" i="15"/>
  <c r="E19" i="15" s="1"/>
  <c r="D20" i="15"/>
  <c r="E20" i="15" s="1"/>
  <c r="D22" i="15"/>
  <c r="E22" i="15" s="1"/>
  <c r="I21" i="15"/>
  <c r="I22" i="15"/>
  <c r="I20" i="15"/>
  <c r="E10408" i="158" l="1"/>
  <c r="F10408" i="158"/>
  <c r="D10408" i="158"/>
  <c r="G10407" i="158"/>
  <c r="G10406" i="158"/>
  <c r="G10405" i="158"/>
  <c r="G10404" i="158"/>
  <c r="G10403" i="158"/>
  <c r="G10402" i="158"/>
  <c r="G10401" i="158"/>
  <c r="G10400" i="158"/>
  <c r="G10399" i="158"/>
  <c r="G10398" i="158"/>
  <c r="G10397" i="158"/>
  <c r="G10396" i="158"/>
  <c r="G10395" i="158"/>
  <c r="G10394" i="158"/>
  <c r="G10393" i="158"/>
  <c r="G10408" i="158" l="1"/>
  <c r="E10391" i="158"/>
  <c r="F10391" i="158"/>
  <c r="D10391" i="158"/>
  <c r="G10390" i="158"/>
  <c r="G10389" i="158"/>
  <c r="G10388" i="158"/>
  <c r="G10387" i="158"/>
  <c r="G10386" i="158"/>
  <c r="G10385" i="158"/>
  <c r="G10384" i="158"/>
  <c r="G10383" i="158"/>
  <c r="G10382" i="158"/>
  <c r="G10381" i="158"/>
  <c r="G10380" i="158"/>
  <c r="G10379" i="158"/>
  <c r="G10378" i="158"/>
  <c r="G10377" i="158"/>
  <c r="G10376" i="158"/>
  <c r="G10375" i="158"/>
  <c r="G10391" i="158" l="1"/>
  <c r="F71" i="15" l="1"/>
  <c r="F70" i="15"/>
  <c r="D17" i="15"/>
  <c r="D18" i="15"/>
  <c r="E18" i="15" s="1"/>
  <c r="I19" i="15"/>
  <c r="I18" i="15"/>
  <c r="E10374" i="158" l="1"/>
  <c r="F10374" i="158"/>
  <c r="D10374" i="158"/>
  <c r="G10373" i="158"/>
  <c r="G10372" i="158"/>
  <c r="G10371" i="158"/>
  <c r="G10370" i="158"/>
  <c r="G10369" i="158"/>
  <c r="G10368" i="158"/>
  <c r="G10367" i="158"/>
  <c r="G10366" i="158"/>
  <c r="G10365" i="158"/>
  <c r="G10364" i="158"/>
  <c r="G10363" i="158"/>
  <c r="G10362" i="158"/>
  <c r="G10361" i="158"/>
  <c r="G10360" i="158"/>
  <c r="G10359" i="158"/>
  <c r="G10358" i="158"/>
  <c r="G10374" i="158" l="1"/>
  <c r="E10357" i="158"/>
  <c r="F10357" i="158"/>
  <c r="D10357" i="158"/>
  <c r="G10356" i="158"/>
  <c r="G10355" i="158"/>
  <c r="G10354" i="158"/>
  <c r="G10353" i="158"/>
  <c r="G10352" i="158"/>
  <c r="G10351" i="158"/>
  <c r="G10350" i="158"/>
  <c r="G10349" i="158"/>
  <c r="G10348" i="158"/>
  <c r="G10347" i="158"/>
  <c r="G10346" i="158"/>
  <c r="G10345" i="158"/>
  <c r="G10344" i="158"/>
  <c r="G10343" i="158"/>
  <c r="G10342" i="158"/>
  <c r="G10341" i="158"/>
  <c r="G10357" i="158" l="1"/>
  <c r="E10340" i="158"/>
  <c r="F10340" i="158"/>
  <c r="D10340" i="158"/>
  <c r="G10339" i="158"/>
  <c r="G10338" i="158"/>
  <c r="G10337" i="158"/>
  <c r="G10336" i="158"/>
  <c r="G10335" i="158"/>
  <c r="G10334" i="158"/>
  <c r="G10333" i="158"/>
  <c r="G10332" i="158"/>
  <c r="G10331" i="158"/>
  <c r="G10330" i="158"/>
  <c r="G10329" i="158"/>
  <c r="G10328" i="158"/>
  <c r="G10327" i="158"/>
  <c r="G10326" i="158"/>
  <c r="G10325" i="158"/>
  <c r="G10324" i="158"/>
  <c r="G10340" i="158" l="1"/>
  <c r="E10323" i="158"/>
  <c r="F10323" i="158"/>
  <c r="D10323" i="158"/>
  <c r="G10322" i="158"/>
  <c r="G10321" i="158"/>
  <c r="G10320" i="158"/>
  <c r="G10319" i="158"/>
  <c r="G10318" i="158"/>
  <c r="G10317" i="158"/>
  <c r="G10316" i="158"/>
  <c r="G10315" i="158"/>
  <c r="G10314" i="158"/>
  <c r="G10313" i="158"/>
  <c r="G10312" i="158"/>
  <c r="G10311" i="158"/>
  <c r="G10310" i="158"/>
  <c r="G10309" i="158"/>
  <c r="G10308" i="158"/>
  <c r="G10307" i="158"/>
  <c r="G10323" i="158" l="1"/>
  <c r="E10306" i="158" l="1"/>
  <c r="F10306" i="158"/>
  <c r="D10306" i="158"/>
  <c r="G10305" i="158"/>
  <c r="G10304" i="158"/>
  <c r="G10303" i="158"/>
  <c r="G10302" i="158"/>
  <c r="G10301" i="158"/>
  <c r="G10300" i="158"/>
  <c r="G10299" i="158"/>
  <c r="G10298" i="158"/>
  <c r="G10297" i="158"/>
  <c r="G10296" i="158"/>
  <c r="G10295" i="158"/>
  <c r="G10294" i="158"/>
  <c r="G10293" i="158"/>
  <c r="G10292" i="158"/>
  <c r="G10291" i="158"/>
  <c r="G10290" i="158"/>
  <c r="G10306" i="158" l="1"/>
  <c r="E10289" i="158"/>
  <c r="F10289" i="158"/>
  <c r="D10289" i="158"/>
  <c r="G10288" i="158"/>
  <c r="G10287" i="158"/>
  <c r="G10286" i="158"/>
  <c r="G10285" i="158"/>
  <c r="G10284" i="158"/>
  <c r="G10283" i="158"/>
  <c r="G10282" i="158"/>
  <c r="G10281" i="158"/>
  <c r="G10280" i="158"/>
  <c r="G10279" i="158"/>
  <c r="G10278" i="158"/>
  <c r="G10277" i="158"/>
  <c r="G10276" i="158"/>
  <c r="G10275" i="158"/>
  <c r="G10274" i="158"/>
  <c r="G10273" i="158"/>
  <c r="C9" i="78"/>
  <c r="I9" i="78"/>
  <c r="F11" i="78"/>
  <c r="G10289" i="158" l="1"/>
  <c r="E17" i="15"/>
  <c r="D12" i="15"/>
  <c r="D13" i="15"/>
  <c r="E13" i="15" s="1"/>
  <c r="D14" i="15"/>
  <c r="E14" i="15" s="1"/>
  <c r="D15" i="15"/>
  <c r="E15" i="15" s="1"/>
  <c r="D16" i="15"/>
  <c r="E16" i="15" s="1"/>
  <c r="I16" i="15"/>
  <c r="I17" i="15"/>
  <c r="I15" i="15"/>
  <c r="I14" i="15"/>
  <c r="I13" i="15"/>
  <c r="E10272" i="158" l="1"/>
  <c r="F10272" i="158"/>
  <c r="D10272" i="158"/>
  <c r="G10271" i="158"/>
  <c r="G10270" i="158"/>
  <c r="G10269" i="158"/>
  <c r="G10268" i="158"/>
  <c r="G10267" i="158"/>
  <c r="G10266" i="158"/>
  <c r="G10265" i="158"/>
  <c r="G10264" i="158"/>
  <c r="G10263" i="158"/>
  <c r="G10262" i="158"/>
  <c r="G10261" i="158"/>
  <c r="G10260" i="158"/>
  <c r="G10259" i="158"/>
  <c r="G10258" i="158"/>
  <c r="G10257" i="158"/>
  <c r="G10256" i="158"/>
  <c r="G10272" i="158" l="1"/>
  <c r="E10255" i="158"/>
  <c r="F10255" i="158"/>
  <c r="D10255" i="158"/>
  <c r="G10254" i="158"/>
  <c r="G10253" i="158"/>
  <c r="G10252" i="158"/>
  <c r="G10251" i="158"/>
  <c r="G10250" i="158"/>
  <c r="G10249" i="158"/>
  <c r="G10248" i="158"/>
  <c r="G10247" i="158"/>
  <c r="G10246" i="158"/>
  <c r="G10245" i="158"/>
  <c r="G10244" i="158"/>
  <c r="G10243" i="158"/>
  <c r="G10242" i="158"/>
  <c r="G10241" i="158"/>
  <c r="G10240" i="158"/>
  <c r="G10239" i="158"/>
  <c r="G10255" i="158" l="1"/>
  <c r="G10223" i="158"/>
  <c r="G10224" i="158"/>
  <c r="G10225" i="158"/>
  <c r="G10226" i="158"/>
  <c r="G10227" i="158"/>
  <c r="G10228" i="158"/>
  <c r="G10229" i="158"/>
  <c r="G10230" i="158"/>
  <c r="G10231" i="158"/>
  <c r="G10232" i="158"/>
  <c r="G10233" i="158"/>
  <c r="G10234" i="158"/>
  <c r="G10235" i="158"/>
  <c r="G10236" i="158"/>
  <c r="G10237" i="158"/>
  <c r="G10222" i="158"/>
  <c r="E10238" i="158"/>
  <c r="F10238" i="158"/>
  <c r="D10238" i="158"/>
  <c r="G10238" i="158" l="1"/>
  <c r="D10221" i="158" l="1"/>
  <c r="G10220" i="158"/>
  <c r="G10219" i="158"/>
  <c r="G10218" i="158"/>
  <c r="G10217" i="158"/>
  <c r="G10216" i="158"/>
  <c r="G10215" i="158"/>
  <c r="G10214" i="158"/>
  <c r="G10213" i="158"/>
  <c r="G10212" i="158"/>
  <c r="G10211" i="158"/>
  <c r="G10210" i="158"/>
  <c r="G10209" i="158"/>
  <c r="G10208" i="158"/>
  <c r="G10207" i="158"/>
  <c r="G10206" i="158"/>
  <c r="G10205" i="158"/>
  <c r="I12" i="15" l="1"/>
  <c r="E12" i="15"/>
  <c r="E10204" i="158" l="1"/>
  <c r="F10204" i="158"/>
  <c r="D10204" i="158"/>
  <c r="G10203" i="158"/>
  <c r="G10202" i="158"/>
  <c r="G10201" i="158"/>
  <c r="G10200" i="158"/>
  <c r="G10199" i="158"/>
  <c r="G10198" i="158"/>
  <c r="G10197" i="158"/>
  <c r="G10196" i="158"/>
  <c r="G10195" i="158"/>
  <c r="G10194" i="158"/>
  <c r="G10193" i="158"/>
  <c r="G10192" i="158"/>
  <c r="G10191" i="158"/>
  <c r="G10190" i="158"/>
  <c r="G10189" i="158"/>
  <c r="G10188" i="158"/>
  <c r="G10204" i="158" l="1"/>
  <c r="D5" i="15"/>
  <c r="E5" i="15" s="1"/>
  <c r="D7" i="15"/>
  <c r="E7" i="15" s="1"/>
  <c r="D6" i="15"/>
  <c r="E6" i="15" s="1"/>
  <c r="D8" i="15"/>
  <c r="E8" i="15" s="1"/>
  <c r="D9" i="15"/>
  <c r="E9" i="15" s="1"/>
  <c r="D10" i="15"/>
  <c r="E10" i="15" s="1"/>
  <c r="D11" i="15"/>
  <c r="E11" i="15" s="1"/>
  <c r="I6" i="15"/>
  <c r="I7" i="15"/>
  <c r="I5" i="15"/>
  <c r="I11" i="15"/>
  <c r="I10" i="15"/>
  <c r="I9" i="15"/>
  <c r="I8" i="15"/>
  <c r="F10163" i="158" l="1"/>
  <c r="E10187" i="158"/>
  <c r="F10187" i="158"/>
  <c r="D10187" i="158"/>
  <c r="G10186" i="158"/>
  <c r="G10185" i="158"/>
  <c r="G10184" i="158"/>
  <c r="G10183" i="158"/>
  <c r="G10182" i="158"/>
  <c r="G10181" i="158"/>
  <c r="G10180" i="158"/>
  <c r="G10179" i="158"/>
  <c r="G10178" i="158"/>
  <c r="G10177" i="158"/>
  <c r="G10176" i="158"/>
  <c r="G10175" i="158"/>
  <c r="G10174" i="158"/>
  <c r="G10173" i="158"/>
  <c r="G10172" i="158"/>
  <c r="G10171" i="158"/>
  <c r="G10187" i="158" l="1"/>
  <c r="E10170" i="158" l="1"/>
  <c r="F10170" i="158"/>
  <c r="D10170" i="158"/>
  <c r="G10169" i="158"/>
  <c r="G10168" i="158"/>
  <c r="G10167" i="158"/>
  <c r="G10166" i="158"/>
  <c r="G10165" i="158"/>
  <c r="G10164" i="158"/>
  <c r="G10163" i="158"/>
  <c r="G10162" i="158"/>
  <c r="G10161" i="158"/>
  <c r="G10160" i="158"/>
  <c r="G10159" i="158"/>
  <c r="G10158" i="158"/>
  <c r="G10157" i="158"/>
  <c r="G10156" i="158"/>
  <c r="G10155" i="158"/>
  <c r="G10154" i="158"/>
  <c r="G10170" i="158" l="1"/>
  <c r="E10153" i="158"/>
  <c r="F10153" i="158"/>
  <c r="H10153" i="158"/>
  <c r="D10153" i="158"/>
  <c r="G10152" i="158"/>
  <c r="G10151" i="158"/>
  <c r="G10150" i="158"/>
  <c r="G10149" i="158"/>
  <c r="G10148" i="158"/>
  <c r="G10147" i="158"/>
  <c r="G10146" i="158"/>
  <c r="G10145" i="158"/>
  <c r="G10144" i="158"/>
  <c r="G10143" i="158"/>
  <c r="G10142" i="158"/>
  <c r="G10141" i="158"/>
  <c r="G10140" i="158"/>
  <c r="G10139" i="158"/>
  <c r="G10138" i="158"/>
  <c r="G10137" i="158"/>
  <c r="G10153" i="158" l="1"/>
  <c r="E10136" i="158"/>
  <c r="F10136" i="158"/>
  <c r="D10136" i="158"/>
  <c r="G10135" i="158"/>
  <c r="G10134" i="158"/>
  <c r="G10133" i="158"/>
  <c r="G10132" i="158"/>
  <c r="G10131" i="158"/>
  <c r="G10130" i="158"/>
  <c r="G10129" i="158"/>
  <c r="G10128" i="158"/>
  <c r="G10127" i="158"/>
  <c r="G10126" i="158"/>
  <c r="G10125" i="158"/>
  <c r="G10124" i="158"/>
  <c r="G10123" i="158"/>
  <c r="G10122" i="158"/>
  <c r="G10121" i="158"/>
  <c r="G10120" i="158"/>
  <c r="G10136" i="158" l="1"/>
  <c r="E10119" i="158"/>
  <c r="F10119" i="158"/>
  <c r="D10119" i="158"/>
  <c r="G10118" i="158"/>
  <c r="G10117" i="158"/>
  <c r="G10116" i="158"/>
  <c r="G10115" i="158"/>
  <c r="G10114" i="158"/>
  <c r="G10113" i="158"/>
  <c r="G10112" i="158"/>
  <c r="G10111" i="158"/>
  <c r="G10110" i="158"/>
  <c r="G10109" i="158"/>
  <c r="G10108" i="158"/>
  <c r="G10107" i="158"/>
  <c r="G10106" i="158"/>
  <c r="G10105" i="158"/>
  <c r="G10104" i="158"/>
  <c r="G10103" i="158"/>
  <c r="G10119" i="158" l="1"/>
  <c r="E10102" i="158" l="1"/>
  <c r="F10102" i="158"/>
  <c r="D10102" i="158"/>
  <c r="G10101" i="158"/>
  <c r="G10100" i="158"/>
  <c r="G10099" i="158"/>
  <c r="G10098" i="158"/>
  <c r="G10097" i="158"/>
  <c r="G10096" i="158"/>
  <c r="G10095" i="158"/>
  <c r="G10094" i="158"/>
  <c r="G10093" i="158"/>
  <c r="G10092" i="158"/>
  <c r="G10091" i="158"/>
  <c r="G10090" i="158"/>
  <c r="G10089" i="158"/>
  <c r="G10088" i="158"/>
  <c r="G10087" i="158"/>
  <c r="G10086" i="158"/>
  <c r="G10102" i="158" l="1"/>
  <c r="E10085" i="158"/>
  <c r="F10085" i="158"/>
  <c r="D10085" i="158"/>
  <c r="G10084" i="158"/>
  <c r="G10083" i="158"/>
  <c r="G10082" i="158"/>
  <c r="G10081" i="158"/>
  <c r="G10080" i="158"/>
  <c r="G10079" i="158"/>
  <c r="G10078" i="158"/>
  <c r="G10077" i="158"/>
  <c r="G10076" i="158"/>
  <c r="G10075" i="158"/>
  <c r="G10074" i="158"/>
  <c r="G10073" i="158"/>
  <c r="G10072" i="158"/>
  <c r="G10071" i="158"/>
  <c r="G10070" i="158"/>
  <c r="G10069" i="158"/>
  <c r="G10085" i="158" l="1"/>
  <c r="E10068" i="158"/>
  <c r="F10068" i="158"/>
  <c r="D10068" i="158"/>
  <c r="G10067" i="158"/>
  <c r="G10066" i="158"/>
  <c r="G10065" i="158"/>
  <c r="G10064" i="158"/>
  <c r="G10063" i="158"/>
  <c r="G10062" i="158"/>
  <c r="G10061" i="158"/>
  <c r="G10060" i="158"/>
  <c r="G10059" i="158"/>
  <c r="G10058" i="158"/>
  <c r="G10057" i="158"/>
  <c r="G10056" i="158"/>
  <c r="G10055" i="158"/>
  <c r="G10054" i="158"/>
  <c r="G10053" i="158"/>
  <c r="G10052" i="158"/>
  <c r="G10068" i="158" l="1"/>
  <c r="E58" i="167"/>
  <c r="C58" i="167"/>
  <c r="E10051" i="158" l="1"/>
  <c r="F10051" i="158"/>
  <c r="D10051" i="158"/>
  <c r="G10050" i="158"/>
  <c r="G10049" i="158"/>
  <c r="G10048" i="158"/>
  <c r="G10047" i="158"/>
  <c r="G10046" i="158"/>
  <c r="G10045" i="158"/>
  <c r="G10044" i="158"/>
  <c r="G10043" i="158"/>
  <c r="G10042" i="158"/>
  <c r="G10041" i="158"/>
  <c r="G10040" i="158"/>
  <c r="G10039" i="158"/>
  <c r="G10038" i="158"/>
  <c r="G10037" i="158"/>
  <c r="G10036" i="158"/>
  <c r="G10035" i="158"/>
  <c r="G10051" i="158" l="1"/>
  <c r="E10034" i="158" l="1"/>
  <c r="F10034" i="158"/>
  <c r="D10034" i="158"/>
  <c r="G10019" i="158"/>
  <c r="G10020" i="158"/>
  <c r="G10021" i="158"/>
  <c r="G10022" i="158"/>
  <c r="G10023" i="158"/>
  <c r="G10024" i="158"/>
  <c r="G10025" i="158"/>
  <c r="G10026" i="158"/>
  <c r="G10027" i="158"/>
  <c r="G10028" i="158"/>
  <c r="G10029" i="158"/>
  <c r="G10030" i="158"/>
  <c r="G10031" i="158"/>
  <c r="G10032" i="158"/>
  <c r="G10033" i="158"/>
  <c r="G10018" i="158"/>
  <c r="E10017" i="158"/>
  <c r="F10017" i="158"/>
  <c r="D10017" i="158"/>
  <c r="G10016" i="158"/>
  <c r="G10015" i="158"/>
  <c r="G10014" i="158"/>
  <c r="G10013" i="158"/>
  <c r="G10012" i="158"/>
  <c r="G10011" i="158"/>
  <c r="G10010" i="158"/>
  <c r="G10009" i="158"/>
  <c r="G10008" i="158"/>
  <c r="G10007" i="158"/>
  <c r="G10006" i="158"/>
  <c r="G10005" i="158"/>
  <c r="G10004" i="158"/>
  <c r="G10003" i="158"/>
  <c r="G10002" i="158"/>
  <c r="G10001" i="158"/>
  <c r="G10017" i="158" l="1"/>
  <c r="G10034" i="158"/>
  <c r="E10000" i="158" l="1"/>
  <c r="F10000" i="158"/>
  <c r="D10000" i="158"/>
  <c r="G9999" i="158"/>
  <c r="G9998" i="158"/>
  <c r="G9997" i="158"/>
  <c r="G9996" i="158"/>
  <c r="G9995" i="158"/>
  <c r="G9994" i="158"/>
  <c r="G9993" i="158"/>
  <c r="G9992" i="158"/>
  <c r="G9991" i="158"/>
  <c r="G9990" i="158"/>
  <c r="G9989" i="158"/>
  <c r="G9988" i="158"/>
  <c r="G9987" i="158"/>
  <c r="G9986" i="158"/>
  <c r="G9985" i="158"/>
  <c r="G9984" i="158"/>
  <c r="G10000" i="158" l="1"/>
  <c r="F9966" i="158"/>
  <c r="E9983" i="158"/>
  <c r="F9983" i="158"/>
  <c r="D9983" i="158"/>
  <c r="G9982" i="158"/>
  <c r="G9981" i="158"/>
  <c r="G9980" i="158"/>
  <c r="G9979" i="158"/>
  <c r="G9978" i="158"/>
  <c r="G9977" i="158"/>
  <c r="G9976" i="158"/>
  <c r="G9975" i="158"/>
  <c r="G9974" i="158"/>
  <c r="G9973" i="158"/>
  <c r="G9972" i="158"/>
  <c r="G9971" i="158"/>
  <c r="G9970" i="158"/>
  <c r="G9969" i="158"/>
  <c r="G9968" i="158"/>
  <c r="G9967" i="158"/>
  <c r="G9983" i="158" l="1"/>
  <c r="D9966" i="158" l="1"/>
  <c r="E9966" i="158"/>
  <c r="G9965" i="158"/>
  <c r="G9964" i="158"/>
  <c r="G9963" i="158"/>
  <c r="G9962" i="158"/>
  <c r="G9961" i="158"/>
  <c r="G9960" i="158"/>
  <c r="G9959" i="158"/>
  <c r="G9958" i="158"/>
  <c r="G9957" i="158"/>
  <c r="G9956" i="158"/>
  <c r="G9955" i="158"/>
  <c r="G9954" i="158"/>
  <c r="G9953" i="158"/>
  <c r="G9952" i="158"/>
  <c r="G9951" i="158"/>
  <c r="G9950" i="158"/>
  <c r="G9966" i="158" l="1"/>
  <c r="E9949" i="158" l="1"/>
  <c r="F9949" i="158"/>
  <c r="D9949" i="158"/>
  <c r="G9948" i="158"/>
  <c r="G9947" i="158"/>
  <c r="G9946" i="158"/>
  <c r="G9945" i="158"/>
  <c r="G9944" i="158"/>
  <c r="G9943" i="158"/>
  <c r="G9942" i="158"/>
  <c r="G9941" i="158"/>
  <c r="G9940" i="158"/>
  <c r="G9939" i="158"/>
  <c r="G9938" i="158"/>
  <c r="G9937" i="158"/>
  <c r="G9936" i="158"/>
  <c r="G9935" i="158"/>
  <c r="G9934" i="158"/>
  <c r="G9933" i="158"/>
  <c r="G9949" i="158" l="1"/>
  <c r="F9898" i="158"/>
  <c r="E9932" i="158"/>
  <c r="F9932" i="158"/>
  <c r="D9932" i="158"/>
  <c r="G9931" i="158"/>
  <c r="G9930" i="158"/>
  <c r="G9929" i="158"/>
  <c r="G9928" i="158"/>
  <c r="G9927" i="158"/>
  <c r="G9926" i="158"/>
  <c r="G9925" i="158"/>
  <c r="G9924" i="158"/>
  <c r="G9923" i="158"/>
  <c r="G9922" i="158"/>
  <c r="G9921" i="158"/>
  <c r="G9920" i="158"/>
  <c r="G9919" i="158"/>
  <c r="G9918" i="158"/>
  <c r="G9917" i="158"/>
  <c r="G9916" i="158"/>
  <c r="G9932" i="158" l="1"/>
  <c r="E9915" i="158"/>
  <c r="F9915" i="158"/>
  <c r="D9915" i="158"/>
  <c r="G9914" i="158"/>
  <c r="G9913" i="158"/>
  <c r="G9912" i="158"/>
  <c r="G9911" i="158"/>
  <c r="G9910" i="158"/>
  <c r="G9909" i="158"/>
  <c r="G9908" i="158"/>
  <c r="G9907" i="158"/>
  <c r="G9906" i="158"/>
  <c r="G9905" i="158"/>
  <c r="G9904" i="158"/>
  <c r="G9903" i="158"/>
  <c r="G9902" i="158"/>
  <c r="G9901" i="158"/>
  <c r="G9900" i="158"/>
  <c r="G9899" i="158"/>
  <c r="G9883" i="158"/>
  <c r="G9884" i="158"/>
  <c r="G9885" i="158"/>
  <c r="G9886" i="158"/>
  <c r="G9887" i="158"/>
  <c r="G9888" i="158"/>
  <c r="G9889" i="158"/>
  <c r="G9890" i="158"/>
  <c r="G9891" i="158"/>
  <c r="G9892" i="158"/>
  <c r="G9893" i="158"/>
  <c r="G9894" i="158"/>
  <c r="G9895" i="158"/>
  <c r="G9896" i="158"/>
  <c r="G9897" i="158"/>
  <c r="G9915" i="158" l="1"/>
  <c r="D9898" i="158" l="1"/>
  <c r="E9898" i="158"/>
  <c r="G9882" i="158"/>
  <c r="G9898" i="158" l="1"/>
  <c r="E9881" i="158" l="1"/>
  <c r="F9881" i="158"/>
  <c r="D9881" i="158"/>
  <c r="G9880" i="158"/>
  <c r="G9879" i="158"/>
  <c r="G9878" i="158"/>
  <c r="G9877" i="158"/>
  <c r="G9876" i="158"/>
  <c r="G9875" i="158"/>
  <c r="G9874" i="158"/>
  <c r="G9873" i="158"/>
  <c r="G9872" i="158"/>
  <c r="G9871" i="158"/>
  <c r="G9870" i="158"/>
  <c r="G9869" i="158"/>
  <c r="G9868" i="158"/>
  <c r="G9867" i="158"/>
  <c r="G9866" i="158"/>
  <c r="G9881" i="158" l="1"/>
  <c r="E9865" i="158"/>
  <c r="F9865" i="158"/>
  <c r="D9865" i="158"/>
  <c r="G9864" i="158"/>
  <c r="G9863" i="158"/>
  <c r="G9862" i="158"/>
  <c r="G9861" i="158"/>
  <c r="G9860" i="158"/>
  <c r="G9859" i="158"/>
  <c r="G9858" i="158"/>
  <c r="G9857" i="158"/>
  <c r="G9856" i="158"/>
  <c r="G9855" i="158"/>
  <c r="G9854" i="158"/>
  <c r="G9853" i="158"/>
  <c r="G9852" i="158"/>
  <c r="G9851" i="158"/>
  <c r="G9850" i="158"/>
  <c r="G9865" i="158" l="1"/>
  <c r="E9849" i="158" l="1"/>
  <c r="F9849" i="158"/>
  <c r="D9849" i="158"/>
  <c r="G9848" i="158"/>
  <c r="G9847" i="158"/>
  <c r="G9846" i="158"/>
  <c r="G9845" i="158"/>
  <c r="G9844" i="158"/>
  <c r="G9843" i="158"/>
  <c r="G9842" i="158"/>
  <c r="G9841" i="158"/>
  <c r="G9840" i="158"/>
  <c r="G9839" i="158"/>
  <c r="G9838" i="158"/>
  <c r="G9837" i="158"/>
  <c r="G9836" i="158"/>
  <c r="G9835" i="158"/>
  <c r="G9834" i="158"/>
  <c r="G9849" i="158" l="1"/>
  <c r="E9833" i="158"/>
  <c r="F9833" i="158"/>
  <c r="D9833" i="158"/>
  <c r="G9832" i="158"/>
  <c r="G9831" i="158"/>
  <c r="G9830" i="158"/>
  <c r="G9829" i="158"/>
  <c r="G9828" i="158"/>
  <c r="G9827" i="158"/>
  <c r="G9826" i="158"/>
  <c r="G9825" i="158"/>
  <c r="G9824" i="158"/>
  <c r="G9823" i="158"/>
  <c r="G9822" i="158"/>
  <c r="G9821" i="158"/>
  <c r="G9820" i="158"/>
  <c r="G9819" i="158"/>
  <c r="G9818" i="158"/>
  <c r="G9833" i="158" l="1"/>
  <c r="E9817" i="158" l="1"/>
  <c r="F9817" i="158"/>
  <c r="D9817" i="158"/>
  <c r="G9816" i="158"/>
  <c r="G9815" i="158"/>
  <c r="G9814" i="158"/>
  <c r="G9813" i="158"/>
  <c r="G9812" i="158"/>
  <c r="G9811" i="158"/>
  <c r="G9810" i="158"/>
  <c r="G9809" i="158"/>
  <c r="G9808" i="158"/>
  <c r="G9807" i="158"/>
  <c r="G9806" i="158"/>
  <c r="G9805" i="158"/>
  <c r="G9804" i="158"/>
  <c r="G9803" i="158"/>
  <c r="G9802" i="158"/>
  <c r="G9817" i="158" l="1"/>
  <c r="F12" i="78"/>
  <c r="F9" i="78"/>
  <c r="K9779" i="158"/>
  <c r="E9801" i="158"/>
  <c r="F9801" i="158"/>
  <c r="D9801" i="158"/>
  <c r="G9800" i="158"/>
  <c r="G9799" i="158"/>
  <c r="G9798" i="158"/>
  <c r="G9797" i="158"/>
  <c r="G9796" i="158"/>
  <c r="G9795" i="158"/>
  <c r="G9794" i="158"/>
  <c r="G9793" i="158"/>
  <c r="G9792" i="158"/>
  <c r="G9791" i="158"/>
  <c r="G9790" i="158"/>
  <c r="G9789" i="158"/>
  <c r="G9788" i="158"/>
  <c r="G9787" i="158"/>
  <c r="G9786" i="158"/>
  <c r="F9785" i="158"/>
  <c r="E9785" i="158"/>
  <c r="D9785" i="158"/>
  <c r="G9784" i="158"/>
  <c r="G9783" i="158"/>
  <c r="G9782" i="158"/>
  <c r="G9781" i="158"/>
  <c r="G9780" i="158"/>
  <c r="G9779" i="158"/>
  <c r="G9778" i="158"/>
  <c r="G9777" i="158"/>
  <c r="G9776" i="158"/>
  <c r="G9775" i="158"/>
  <c r="G9774" i="158"/>
  <c r="G9773" i="158"/>
  <c r="G9772" i="158"/>
  <c r="G9771" i="158"/>
  <c r="G9770" i="158"/>
  <c r="F9769" i="158"/>
  <c r="E9769" i="158"/>
  <c r="D9769" i="158"/>
  <c r="G9768" i="158"/>
  <c r="G9767" i="158"/>
  <c r="G9766" i="158"/>
  <c r="G9765" i="158"/>
  <c r="G9764" i="158"/>
  <c r="G9763" i="158"/>
  <c r="G9762" i="158"/>
  <c r="G9761" i="158"/>
  <c r="G9760" i="158"/>
  <c r="G9759" i="158"/>
  <c r="G9758" i="158"/>
  <c r="G9757" i="158"/>
  <c r="G9756" i="158"/>
  <c r="G9755" i="158"/>
  <c r="G9754" i="158"/>
  <c r="F9753" i="158"/>
  <c r="E9753" i="158"/>
  <c r="D9753" i="158"/>
  <c r="G9752" i="158"/>
  <c r="G9751" i="158"/>
  <c r="G9750" i="158"/>
  <c r="G9749" i="158"/>
  <c r="G9748" i="158"/>
  <c r="G9747" i="158"/>
  <c r="G9746" i="158"/>
  <c r="G9745" i="158"/>
  <c r="G9744" i="158"/>
  <c r="G9743" i="158"/>
  <c r="G9742" i="158"/>
  <c r="G9741" i="158"/>
  <c r="G9740" i="158"/>
  <c r="G9739" i="158"/>
  <c r="G9738" i="158"/>
  <c r="F9737" i="158"/>
  <c r="E9737" i="158"/>
  <c r="D9737" i="158"/>
  <c r="G9736" i="158"/>
  <c r="G9735" i="158"/>
  <c r="G9734" i="158"/>
  <c r="G9733" i="158"/>
  <c r="G9732" i="158"/>
  <c r="G9731" i="158"/>
  <c r="G9730" i="158"/>
  <c r="G9729" i="158"/>
  <c r="G9728" i="158"/>
  <c r="G9727" i="158"/>
  <c r="G9726" i="158"/>
  <c r="G9725" i="158"/>
  <c r="G9724" i="158"/>
  <c r="G9723" i="158"/>
  <c r="G9722" i="158"/>
  <c r="G9737" i="158" s="1"/>
  <c r="F9721" i="158"/>
  <c r="E9721" i="158"/>
  <c r="D9721" i="158"/>
  <c r="G9720" i="158"/>
  <c r="G9719" i="158"/>
  <c r="G9718" i="158"/>
  <c r="G9717" i="158"/>
  <c r="G9716" i="158"/>
  <c r="G9715" i="158"/>
  <c r="G9714" i="158"/>
  <c r="G9713" i="158"/>
  <c r="G9712" i="158"/>
  <c r="G9711" i="158"/>
  <c r="G9710" i="158"/>
  <c r="G9709" i="158"/>
  <c r="G9708" i="158"/>
  <c r="G9707" i="158"/>
  <c r="G9706" i="158"/>
  <c r="F9705" i="158"/>
  <c r="E9705" i="158"/>
  <c r="D9705" i="158"/>
  <c r="G9704" i="158"/>
  <c r="G9703" i="158"/>
  <c r="G9702" i="158"/>
  <c r="G9701" i="158"/>
  <c r="G9700" i="158"/>
  <c r="G9699" i="158"/>
  <c r="G9698" i="158"/>
  <c r="G9697" i="158"/>
  <c r="G9696" i="158"/>
  <c r="G9695" i="158"/>
  <c r="G9694" i="158"/>
  <c r="G9693" i="158"/>
  <c r="G9692" i="158"/>
  <c r="G9691" i="158"/>
  <c r="G9690" i="158"/>
  <c r="F9689" i="158"/>
  <c r="E9689" i="158"/>
  <c r="D9689" i="158"/>
  <c r="G9688" i="158"/>
  <c r="G9687" i="158"/>
  <c r="G9686" i="158"/>
  <c r="G9685" i="158"/>
  <c r="G9684" i="158"/>
  <c r="G9683" i="158"/>
  <c r="G9682" i="158"/>
  <c r="G9681" i="158"/>
  <c r="G9680" i="158"/>
  <c r="G9679" i="158"/>
  <c r="G9678" i="158"/>
  <c r="G9677" i="158"/>
  <c r="G9676" i="158"/>
  <c r="G9675" i="158"/>
  <c r="G9674" i="158"/>
  <c r="F9673" i="158"/>
  <c r="E9673" i="158"/>
  <c r="D9673" i="158"/>
  <c r="G9672" i="158"/>
  <c r="G9671" i="158"/>
  <c r="G9670" i="158"/>
  <c r="G9669" i="158"/>
  <c r="G9668" i="158"/>
  <c r="G9667" i="158"/>
  <c r="G9666" i="158"/>
  <c r="G9665" i="158"/>
  <c r="G9664" i="158"/>
  <c r="G9663" i="158"/>
  <c r="G9662" i="158"/>
  <c r="G9661" i="158"/>
  <c r="G9660" i="158"/>
  <c r="G9659" i="158"/>
  <c r="G9658" i="158"/>
  <c r="F9657" i="158"/>
  <c r="E9657" i="158"/>
  <c r="D9657" i="158"/>
  <c r="G9656" i="158"/>
  <c r="G9655" i="158"/>
  <c r="G9654" i="158"/>
  <c r="G9653" i="158"/>
  <c r="G9652" i="158"/>
  <c r="G9651" i="158"/>
  <c r="G9650" i="158"/>
  <c r="G9649" i="158"/>
  <c r="G9648" i="158"/>
  <c r="G9647" i="158"/>
  <c r="G9646" i="158"/>
  <c r="G9645" i="158"/>
  <c r="G9644" i="158"/>
  <c r="G9643" i="158"/>
  <c r="G9642" i="158"/>
  <c r="F9641" i="158"/>
  <c r="E9641" i="158"/>
  <c r="D9641" i="158"/>
  <c r="G9640" i="158"/>
  <c r="G9639" i="158"/>
  <c r="G9638" i="158"/>
  <c r="G9637" i="158"/>
  <c r="G9636" i="158"/>
  <c r="G9635" i="158"/>
  <c r="G9634" i="158"/>
  <c r="G9633" i="158"/>
  <c r="G9632" i="158"/>
  <c r="G9631" i="158"/>
  <c r="G9630" i="158"/>
  <c r="G9629" i="158"/>
  <c r="G9628" i="158"/>
  <c r="G9627" i="158"/>
  <c r="G9626" i="158"/>
  <c r="G9641" i="158" s="1"/>
  <c r="F9625" i="158"/>
  <c r="E9625" i="158"/>
  <c r="D9625" i="158"/>
  <c r="G9624" i="158"/>
  <c r="G9623" i="158"/>
  <c r="G9622" i="158"/>
  <c r="G9621" i="158"/>
  <c r="G9620" i="158"/>
  <c r="G9619" i="158"/>
  <c r="G9618" i="158"/>
  <c r="G9617" i="158"/>
  <c r="G9616" i="158"/>
  <c r="G9615" i="158"/>
  <c r="G9614" i="158"/>
  <c r="G9613" i="158"/>
  <c r="G9612" i="158"/>
  <c r="G9611" i="158"/>
  <c r="G9610" i="158"/>
  <c r="G9625" i="158" s="1"/>
  <c r="F9609" i="158"/>
  <c r="E9609" i="158"/>
  <c r="D9609" i="158"/>
  <c r="G9608" i="158"/>
  <c r="G9607" i="158"/>
  <c r="G9606" i="158"/>
  <c r="G9605" i="158"/>
  <c r="G9604" i="158"/>
  <c r="G9603" i="158"/>
  <c r="G9602" i="158"/>
  <c r="G9601" i="158"/>
  <c r="G9600" i="158"/>
  <c r="G9599" i="158"/>
  <c r="G9598" i="158"/>
  <c r="G9597" i="158"/>
  <c r="G9596" i="158"/>
  <c r="G9595" i="158"/>
  <c r="G9594" i="158"/>
  <c r="G9609" i="158" s="1"/>
  <c r="F9593" i="158"/>
  <c r="E9593" i="158"/>
  <c r="D9593" i="158"/>
  <c r="G9592" i="158"/>
  <c r="G9591" i="158"/>
  <c r="G9590" i="158"/>
  <c r="G9589" i="158"/>
  <c r="G9588" i="158"/>
  <c r="G9587" i="158"/>
  <c r="G9586" i="158"/>
  <c r="G9585" i="158"/>
  <c r="G9584" i="158"/>
  <c r="G9583" i="158"/>
  <c r="G9582" i="158"/>
  <c r="G9581" i="158"/>
  <c r="G9580" i="158"/>
  <c r="G9579" i="158"/>
  <c r="G9578" i="158"/>
  <c r="G9593" i="158" s="1"/>
  <c r="F9577" i="158"/>
  <c r="E9577" i="158"/>
  <c r="D9577" i="158"/>
  <c r="G9576" i="158"/>
  <c r="G9575" i="158"/>
  <c r="G9574" i="158"/>
  <c r="G9573" i="158"/>
  <c r="G9572" i="158"/>
  <c r="G9571" i="158"/>
  <c r="G9570" i="158"/>
  <c r="G9569" i="158"/>
  <c r="G9568" i="158"/>
  <c r="G9567" i="158"/>
  <c r="G9566" i="158"/>
  <c r="G9565" i="158"/>
  <c r="G9564" i="158"/>
  <c r="G9563" i="158"/>
  <c r="G9562" i="158"/>
  <c r="G9577" i="158" s="1"/>
  <c r="F9561" i="158"/>
  <c r="E9561" i="158"/>
  <c r="D9561" i="158"/>
  <c r="G9560" i="158"/>
  <c r="G9559" i="158"/>
  <c r="G9558" i="158"/>
  <c r="G9557" i="158"/>
  <c r="G9556" i="158"/>
  <c r="G9555" i="158"/>
  <c r="G9554" i="158"/>
  <c r="G9553" i="158"/>
  <c r="G9552" i="158"/>
  <c r="G9551" i="158"/>
  <c r="G9550" i="158"/>
  <c r="G9549" i="158"/>
  <c r="G9548" i="158"/>
  <c r="G9547" i="158"/>
  <c r="G9546" i="158"/>
  <c r="G9561" i="158" s="1"/>
  <c r="F9545" i="158"/>
  <c r="E9545" i="158"/>
  <c r="D9545" i="158"/>
  <c r="G9544" i="158"/>
  <c r="G9543" i="158"/>
  <c r="G9542" i="158"/>
  <c r="G9541" i="158"/>
  <c r="G9540" i="158"/>
  <c r="G9539" i="158"/>
  <c r="G9538" i="158"/>
  <c r="G9537" i="158"/>
  <c r="G9536" i="158"/>
  <c r="G9535" i="158"/>
  <c r="G9534" i="158"/>
  <c r="G9533" i="158"/>
  <c r="G9532" i="158"/>
  <c r="G9531" i="158"/>
  <c r="G9530" i="158"/>
  <c r="G9545" i="158" s="1"/>
  <c r="F9529" i="158"/>
  <c r="E9529" i="158"/>
  <c r="D9529" i="158"/>
  <c r="G9528" i="158"/>
  <c r="G9527" i="158"/>
  <c r="G9526" i="158"/>
  <c r="G9525" i="158"/>
  <c r="G9524" i="158"/>
  <c r="G9523" i="158"/>
  <c r="G9522" i="158"/>
  <c r="G9521" i="158"/>
  <c r="G9520" i="158"/>
  <c r="G9519" i="158"/>
  <c r="G9518" i="158"/>
  <c r="G9517" i="158"/>
  <c r="G9516" i="158"/>
  <c r="G9515" i="158"/>
  <c r="G9514" i="158"/>
  <c r="G9529" i="158" s="1"/>
  <c r="F9513" i="158"/>
  <c r="E9513" i="158"/>
  <c r="D9513" i="158"/>
  <c r="G9512" i="158"/>
  <c r="G9511" i="158"/>
  <c r="G9510" i="158"/>
  <c r="G9509" i="158"/>
  <c r="G9508" i="158"/>
  <c r="G9507" i="158"/>
  <c r="G9506" i="158"/>
  <c r="G9505" i="158"/>
  <c r="G9504" i="158"/>
  <c r="G9503" i="158"/>
  <c r="G9502" i="158"/>
  <c r="G9501" i="158"/>
  <c r="G9500" i="158"/>
  <c r="G9499" i="158"/>
  <c r="G9498" i="158"/>
  <c r="G9513" i="158" s="1"/>
  <c r="F9497" i="158"/>
  <c r="E9497" i="158"/>
  <c r="D9497" i="158"/>
  <c r="G9496" i="158"/>
  <c r="G9495" i="158"/>
  <c r="G9494" i="158"/>
  <c r="G9493" i="158"/>
  <c r="G9492" i="158"/>
  <c r="G9491" i="158"/>
  <c r="G9490" i="158"/>
  <c r="G9489" i="158"/>
  <c r="G9488" i="158"/>
  <c r="G9487" i="158"/>
  <c r="G9486" i="158"/>
  <c r="G9485" i="158"/>
  <c r="G9484" i="158"/>
  <c r="G9483" i="158"/>
  <c r="G9482" i="158"/>
  <c r="G9497" i="158" s="1"/>
  <c r="F9481" i="158"/>
  <c r="E9481" i="158"/>
  <c r="D9481" i="158"/>
  <c r="G9480" i="158"/>
  <c r="G9479" i="158"/>
  <c r="G9478" i="158"/>
  <c r="G9477" i="158"/>
  <c r="G9476" i="158"/>
  <c r="G9475" i="158"/>
  <c r="G9474" i="158"/>
  <c r="G9473" i="158"/>
  <c r="G9472" i="158"/>
  <c r="G9471" i="158"/>
  <c r="G9470" i="158"/>
  <c r="G9469" i="158"/>
  <c r="G9468" i="158"/>
  <c r="G9467" i="158"/>
  <c r="G9466" i="158"/>
  <c r="G9481" i="158" s="1"/>
  <c r="F9465" i="158"/>
  <c r="E9465" i="158"/>
  <c r="D9465" i="158"/>
  <c r="G9464" i="158"/>
  <c r="G9463" i="158"/>
  <c r="G9462" i="158"/>
  <c r="G9461" i="158"/>
  <c r="G9460" i="158"/>
  <c r="G9459" i="158"/>
  <c r="G9458" i="158"/>
  <c r="G9457" i="158"/>
  <c r="G9456" i="158"/>
  <c r="G9455" i="158"/>
  <c r="G9454" i="158"/>
  <c r="G9453" i="158"/>
  <c r="G9452" i="158"/>
  <c r="G9451" i="158"/>
  <c r="G9450" i="158"/>
  <c r="G9465" i="158" s="1"/>
  <c r="F9449" i="158"/>
  <c r="E9449" i="158"/>
  <c r="D9449" i="158"/>
  <c r="G9448" i="158"/>
  <c r="G9447" i="158"/>
  <c r="G9446" i="158"/>
  <c r="G9445" i="158"/>
  <c r="G9444" i="158"/>
  <c r="G9443" i="158"/>
  <c r="G9442" i="158"/>
  <c r="G9441" i="158"/>
  <c r="G9440" i="158"/>
  <c r="G9439" i="158"/>
  <c r="G9438" i="158"/>
  <c r="G9437" i="158"/>
  <c r="G9436" i="158"/>
  <c r="G9435" i="158"/>
  <c r="G9434" i="158"/>
  <c r="G9449" i="158" s="1"/>
  <c r="F9433" i="158"/>
  <c r="E9433" i="158"/>
  <c r="D9433" i="158"/>
  <c r="G9432" i="158"/>
  <c r="G9431" i="158"/>
  <c r="G9430" i="158"/>
  <c r="G9429" i="158"/>
  <c r="G9428" i="158"/>
  <c r="G9427" i="158"/>
  <c r="G9426" i="158"/>
  <c r="G9425" i="158"/>
  <c r="G9424" i="158"/>
  <c r="G9423" i="158"/>
  <c r="G9422" i="158"/>
  <c r="G9421" i="158"/>
  <c r="G9420" i="158"/>
  <c r="G9419" i="158"/>
  <c r="G9418" i="158"/>
  <c r="F9417" i="158"/>
  <c r="E9417" i="158"/>
  <c r="D9417" i="158"/>
  <c r="G9416" i="158"/>
  <c r="G9415" i="158"/>
  <c r="G9414" i="158"/>
  <c r="G9413" i="158"/>
  <c r="G9412" i="158"/>
  <c r="G9411" i="158"/>
  <c r="G9410" i="158"/>
  <c r="G9409" i="158"/>
  <c r="G9408" i="158"/>
  <c r="G9407" i="158"/>
  <c r="G9406" i="158"/>
  <c r="G9405" i="158"/>
  <c r="G9404" i="158"/>
  <c r="G9403" i="158"/>
  <c r="G9402" i="158"/>
  <c r="G9417" i="158" s="1"/>
  <c r="F9401" i="158"/>
  <c r="E9401" i="158"/>
  <c r="D9401" i="158"/>
  <c r="G9400" i="158"/>
  <c r="G9399" i="158"/>
  <c r="G9398" i="158"/>
  <c r="G9397" i="158"/>
  <c r="G9396" i="158"/>
  <c r="G9395" i="158"/>
  <c r="G9394" i="158"/>
  <c r="G9393" i="158"/>
  <c r="G9392" i="158"/>
  <c r="G9391" i="158"/>
  <c r="G9390" i="158"/>
  <c r="G9389" i="158"/>
  <c r="G9388" i="158"/>
  <c r="G9387" i="158"/>
  <c r="G9386" i="158"/>
  <c r="F9385" i="158"/>
  <c r="E9385" i="158"/>
  <c r="D9385" i="158"/>
  <c r="G9384" i="158"/>
  <c r="G9383" i="158"/>
  <c r="G9382" i="158"/>
  <c r="G9381" i="158"/>
  <c r="G9380" i="158"/>
  <c r="G9379" i="158"/>
  <c r="G9378" i="158"/>
  <c r="G9377" i="158"/>
  <c r="G9376" i="158"/>
  <c r="G9375" i="158"/>
  <c r="G9374" i="158"/>
  <c r="G9373" i="158"/>
  <c r="G9372" i="158"/>
  <c r="G9371" i="158"/>
  <c r="G9370" i="158"/>
  <c r="F9369" i="158"/>
  <c r="E9369" i="158"/>
  <c r="D9369" i="158"/>
  <c r="G9368" i="158"/>
  <c r="G9367" i="158"/>
  <c r="G9366" i="158"/>
  <c r="G9365" i="158"/>
  <c r="G9364" i="158"/>
  <c r="G9363" i="158"/>
  <c r="G9362" i="158"/>
  <c r="G9361" i="158"/>
  <c r="G9360" i="158"/>
  <c r="G9359" i="158"/>
  <c r="G9358" i="158"/>
  <c r="G9357" i="158"/>
  <c r="G9356" i="158"/>
  <c r="G9355" i="158"/>
  <c r="G9354" i="158"/>
  <c r="F9353" i="158"/>
  <c r="E9353" i="158"/>
  <c r="D9353" i="158"/>
  <c r="G9352" i="158"/>
  <c r="G9351" i="158"/>
  <c r="G9350" i="158"/>
  <c r="G9349" i="158"/>
  <c r="G9348" i="158"/>
  <c r="G9347" i="158"/>
  <c r="G9346" i="158"/>
  <c r="G9345" i="158"/>
  <c r="G9344" i="158"/>
  <c r="G9343" i="158"/>
  <c r="G9342" i="158"/>
  <c r="G9341" i="158"/>
  <c r="G9340" i="158"/>
  <c r="G9339" i="158"/>
  <c r="G9338" i="158"/>
  <c r="F9337" i="158"/>
  <c r="E9337" i="158"/>
  <c r="D9337" i="158"/>
  <c r="G9336" i="158"/>
  <c r="G9335" i="158"/>
  <c r="G9334" i="158"/>
  <c r="G9333" i="158"/>
  <c r="G9332" i="158"/>
  <c r="G9331" i="158"/>
  <c r="G9330" i="158"/>
  <c r="G9329" i="158"/>
  <c r="G9328" i="158"/>
  <c r="G9327" i="158"/>
  <c r="G9326" i="158"/>
  <c r="G9325" i="158"/>
  <c r="G9324" i="158"/>
  <c r="G9323" i="158"/>
  <c r="G9322" i="158"/>
  <c r="F9321" i="158"/>
  <c r="E9321" i="158"/>
  <c r="D9321" i="158"/>
  <c r="G9320" i="158"/>
  <c r="G9319" i="158"/>
  <c r="G9318" i="158"/>
  <c r="G9317" i="158"/>
  <c r="G9316" i="158"/>
  <c r="G9315" i="158"/>
  <c r="G9314" i="158"/>
  <c r="G9313" i="158"/>
  <c r="G9312" i="158"/>
  <c r="G9311" i="158"/>
  <c r="G9310" i="158"/>
  <c r="G9309" i="158"/>
  <c r="G9308" i="158"/>
  <c r="G9307" i="158"/>
  <c r="G9306" i="158"/>
  <c r="F9305" i="158"/>
  <c r="E9305" i="158"/>
  <c r="D9305" i="158"/>
  <c r="G9304" i="158"/>
  <c r="G9303" i="158"/>
  <c r="G9302" i="158"/>
  <c r="G9301" i="158"/>
  <c r="G9300" i="158"/>
  <c r="G9299" i="158"/>
  <c r="G9298" i="158"/>
  <c r="G9297" i="158"/>
  <c r="G9296" i="158"/>
  <c r="G9295" i="158"/>
  <c r="G9294" i="158"/>
  <c r="G9293" i="158"/>
  <c r="G9292" i="158"/>
  <c r="G9291" i="158"/>
  <c r="G9290" i="158"/>
  <c r="F9289" i="158"/>
  <c r="E9289" i="158"/>
  <c r="D9289" i="158"/>
  <c r="G9288" i="158"/>
  <c r="G9287" i="158"/>
  <c r="G9286" i="158"/>
  <c r="G9285" i="158"/>
  <c r="G9284" i="158"/>
  <c r="G9283" i="158"/>
  <c r="G9282" i="158"/>
  <c r="G9281" i="158"/>
  <c r="G9280" i="158"/>
  <c r="G9279" i="158"/>
  <c r="G9278" i="158"/>
  <c r="G9277" i="158"/>
  <c r="G9276" i="158"/>
  <c r="G9275" i="158"/>
  <c r="G9274" i="158"/>
  <c r="F9273" i="158"/>
  <c r="E9273" i="158"/>
  <c r="D9273" i="158"/>
  <c r="G9272" i="158"/>
  <c r="G9271" i="158"/>
  <c r="G9270" i="158"/>
  <c r="G9269" i="158"/>
  <c r="G9268" i="158"/>
  <c r="G9267" i="158"/>
  <c r="G9266" i="158"/>
  <c r="G9265" i="158"/>
  <c r="G9264" i="158"/>
  <c r="G9263" i="158"/>
  <c r="G9262" i="158"/>
  <c r="G9261" i="158"/>
  <c r="G9260" i="158"/>
  <c r="G9259" i="158"/>
  <c r="G9258" i="158"/>
  <c r="F9257" i="158"/>
  <c r="E9257" i="158"/>
  <c r="D9257" i="158"/>
  <c r="G9256" i="158"/>
  <c r="G9255" i="158"/>
  <c r="G9254" i="158"/>
  <c r="G9253" i="158"/>
  <c r="G9252" i="158"/>
  <c r="G9251" i="158"/>
  <c r="G9250" i="158"/>
  <c r="G9249" i="158"/>
  <c r="G9248" i="158"/>
  <c r="G9247" i="158"/>
  <c r="G9246" i="158"/>
  <c r="G9245" i="158"/>
  <c r="G9244" i="158"/>
  <c r="G9243" i="158"/>
  <c r="G9242" i="158"/>
  <c r="F9241" i="158"/>
  <c r="E9241" i="158"/>
  <c r="D9241" i="158"/>
  <c r="G9240" i="158"/>
  <c r="G9239" i="158"/>
  <c r="G9238" i="158"/>
  <c r="G9237" i="158"/>
  <c r="G9236" i="158"/>
  <c r="G9235" i="158"/>
  <c r="G9234" i="158"/>
  <c r="G9233" i="158"/>
  <c r="G9232" i="158"/>
  <c r="G9231" i="158"/>
  <c r="G9230" i="158"/>
  <c r="G9229" i="158"/>
  <c r="G9228" i="158"/>
  <c r="G9227" i="158"/>
  <c r="G9226" i="158"/>
  <c r="F9225" i="158"/>
  <c r="E9225" i="158"/>
  <c r="D9225" i="158"/>
  <c r="G9224" i="158"/>
  <c r="G9223" i="158"/>
  <c r="G9222" i="158"/>
  <c r="G9221" i="158"/>
  <c r="G9220" i="158"/>
  <c r="G9219" i="158"/>
  <c r="G9218" i="158"/>
  <c r="G9217" i="158"/>
  <c r="G9216" i="158"/>
  <c r="G9215" i="158"/>
  <c r="G9214" i="158"/>
  <c r="G9213" i="158"/>
  <c r="G9212" i="158"/>
  <c r="G9211" i="158"/>
  <c r="G9210" i="158"/>
  <c r="F9209" i="158"/>
  <c r="E9209" i="158"/>
  <c r="D9209" i="158"/>
  <c r="G9208" i="158"/>
  <c r="G9207" i="158"/>
  <c r="G9206" i="158"/>
  <c r="G9205" i="158"/>
  <c r="G9204" i="158"/>
  <c r="G9203" i="158"/>
  <c r="G9202" i="158"/>
  <c r="G9201" i="158"/>
  <c r="G9200" i="158"/>
  <c r="G9199" i="158"/>
  <c r="G9198" i="158"/>
  <c r="G9197" i="158"/>
  <c r="G9196" i="158"/>
  <c r="G9195" i="158"/>
  <c r="G9194" i="158"/>
  <c r="F9193" i="158"/>
  <c r="E9193" i="158"/>
  <c r="D9193" i="158"/>
  <c r="G9192" i="158"/>
  <c r="G9191" i="158"/>
  <c r="G9190" i="158"/>
  <c r="G9189" i="158"/>
  <c r="G9188" i="158"/>
  <c r="G9187" i="158"/>
  <c r="G9186" i="158"/>
  <c r="G9185" i="158"/>
  <c r="G9184" i="158"/>
  <c r="G9183" i="158"/>
  <c r="G9182" i="158"/>
  <c r="G9181" i="158"/>
  <c r="G9180" i="158"/>
  <c r="G9179" i="158"/>
  <c r="G9178" i="158"/>
  <c r="F9177" i="158"/>
  <c r="E9177" i="158"/>
  <c r="D9177" i="158"/>
  <c r="G9176" i="158"/>
  <c r="G9175" i="158"/>
  <c r="G9174" i="158"/>
  <c r="G9173" i="158"/>
  <c r="G9172" i="158"/>
  <c r="G9171" i="158"/>
  <c r="G9170" i="158"/>
  <c r="G9169" i="158"/>
  <c r="G9168" i="158"/>
  <c r="G9167" i="158"/>
  <c r="G9166" i="158"/>
  <c r="G9165" i="158"/>
  <c r="G9164" i="158"/>
  <c r="G9163" i="158"/>
  <c r="G9162" i="158"/>
  <c r="F9161" i="158"/>
  <c r="E9161" i="158"/>
  <c r="D9161" i="158"/>
  <c r="G9160" i="158"/>
  <c r="G9159" i="158"/>
  <c r="G9158" i="158"/>
  <c r="G9157" i="158"/>
  <c r="G9156" i="158"/>
  <c r="G9155" i="158"/>
  <c r="G9154" i="158"/>
  <c r="G9153" i="158"/>
  <c r="G9152" i="158"/>
  <c r="G9151" i="158"/>
  <c r="G9150" i="158"/>
  <c r="G9149" i="158"/>
  <c r="G9148" i="158"/>
  <c r="G9147" i="158"/>
  <c r="G9146" i="158"/>
  <c r="F9145" i="158"/>
  <c r="E9145" i="158"/>
  <c r="D9145" i="158"/>
  <c r="G9144" i="158"/>
  <c r="G9143" i="158"/>
  <c r="G9142" i="158"/>
  <c r="G9141" i="158"/>
  <c r="G9140" i="158"/>
  <c r="G9139" i="158"/>
  <c r="G9138" i="158"/>
  <c r="G9137" i="158"/>
  <c r="G9136" i="158"/>
  <c r="G9135" i="158"/>
  <c r="G9134" i="158"/>
  <c r="G9133" i="158"/>
  <c r="G9132" i="158"/>
  <c r="G9131" i="158"/>
  <c r="G9130" i="158"/>
  <c r="E9129" i="158"/>
  <c r="D9129" i="158"/>
  <c r="G9128" i="158"/>
  <c r="G9127" i="158"/>
  <c r="G9126" i="158"/>
  <c r="G9125" i="158"/>
  <c r="G9124" i="158"/>
  <c r="F9123" i="158"/>
  <c r="F9129" i="158" s="1"/>
  <c r="G9122" i="158"/>
  <c r="G9121" i="158"/>
  <c r="G9120" i="158"/>
  <c r="G9119" i="158"/>
  <c r="G9118" i="158"/>
  <c r="G9117" i="158"/>
  <c r="G9116" i="158"/>
  <c r="G9115" i="158"/>
  <c r="G9114" i="158"/>
  <c r="F9113" i="158"/>
  <c r="E9113" i="158"/>
  <c r="D9113" i="158"/>
  <c r="G9112" i="158"/>
  <c r="G9111" i="158"/>
  <c r="G9110" i="158"/>
  <c r="G9109" i="158"/>
  <c r="G9108" i="158"/>
  <c r="G9107" i="158"/>
  <c r="G9106" i="158"/>
  <c r="G9105" i="158"/>
  <c r="G9104" i="158"/>
  <c r="G9103" i="158"/>
  <c r="G9102" i="158"/>
  <c r="G9101" i="158"/>
  <c r="G9100" i="158"/>
  <c r="G9099" i="158"/>
  <c r="G9098" i="158"/>
  <c r="F9097" i="158"/>
  <c r="E9097" i="158"/>
  <c r="D9097" i="158"/>
  <c r="G9096" i="158"/>
  <c r="G9095" i="158"/>
  <c r="G9094" i="158"/>
  <c r="G9093" i="158"/>
  <c r="G9092" i="158"/>
  <c r="G9091" i="158"/>
  <c r="G9090" i="158"/>
  <c r="G9089" i="158"/>
  <c r="G9088" i="158"/>
  <c r="G9087" i="158"/>
  <c r="G9086" i="158"/>
  <c r="G9085" i="158"/>
  <c r="G9084" i="158"/>
  <c r="G9083" i="158"/>
  <c r="G9082" i="158"/>
  <c r="F9081" i="158"/>
  <c r="E9081" i="158"/>
  <c r="D9081" i="158"/>
  <c r="G9080" i="158"/>
  <c r="G9079" i="158"/>
  <c r="G9078" i="158"/>
  <c r="G9077" i="158"/>
  <c r="G9076" i="158"/>
  <c r="G9075" i="158"/>
  <c r="G9074" i="158"/>
  <c r="G9073" i="158"/>
  <c r="G9072" i="158"/>
  <c r="G9071" i="158"/>
  <c r="G9070" i="158"/>
  <c r="G9069" i="158"/>
  <c r="G9068" i="158"/>
  <c r="G9067" i="158"/>
  <c r="G9066" i="158"/>
  <c r="E9065" i="158"/>
  <c r="D9065" i="158"/>
  <c r="G9064" i="158"/>
  <c r="G9063" i="158"/>
  <c r="G9062" i="158"/>
  <c r="G9061" i="158"/>
  <c r="G9060" i="158"/>
  <c r="G9059" i="158"/>
  <c r="G9058" i="158"/>
  <c r="G9057" i="158"/>
  <c r="G9056" i="158"/>
  <c r="G9055" i="158"/>
  <c r="G9054" i="158"/>
  <c r="G9053" i="158"/>
  <c r="G9052" i="158"/>
  <c r="G9051" i="158"/>
  <c r="G9050" i="158"/>
  <c r="F9049" i="158"/>
  <c r="E9049" i="158"/>
  <c r="D9049" i="158"/>
  <c r="G9048" i="158"/>
  <c r="G9047" i="158"/>
  <c r="G9046" i="158"/>
  <c r="G9045" i="158"/>
  <c r="G9044" i="158"/>
  <c r="G9043" i="158"/>
  <c r="G9042" i="158"/>
  <c r="G9041" i="158"/>
  <c r="G9040" i="158"/>
  <c r="G9039" i="158"/>
  <c r="G9038" i="158"/>
  <c r="G9037" i="158"/>
  <c r="G9036" i="158"/>
  <c r="G9035" i="158"/>
  <c r="G9034" i="158"/>
  <c r="G9032" i="158"/>
  <c r="G9031" i="158"/>
  <c r="G9030" i="158"/>
  <c r="G9029" i="158"/>
  <c r="G9028" i="158"/>
  <c r="F9027" i="158"/>
  <c r="G9027" i="158" s="1"/>
  <c r="G9026" i="158"/>
  <c r="G9025" i="158"/>
  <c r="G9024" i="158"/>
  <c r="G9023" i="158"/>
  <c r="G9022" i="158"/>
  <c r="G9021" i="158"/>
  <c r="G9020" i="158"/>
  <c r="G9019" i="158"/>
  <c r="G9018" i="158"/>
  <c r="F9017" i="158"/>
  <c r="E9017" i="158"/>
  <c r="D9017" i="158"/>
  <c r="G9016" i="158"/>
  <c r="G9015" i="158"/>
  <c r="G9014" i="158"/>
  <c r="G9013" i="158"/>
  <c r="G9012" i="158"/>
  <c r="G9011" i="158"/>
  <c r="G9010" i="158"/>
  <c r="G9009" i="158"/>
  <c r="G9008" i="158"/>
  <c r="G9007" i="158"/>
  <c r="G9006" i="158"/>
  <c r="G9005" i="158"/>
  <c r="G9004" i="158"/>
  <c r="G9003" i="158"/>
  <c r="G9002" i="158"/>
  <c r="F9001" i="158"/>
  <c r="E9001" i="158"/>
  <c r="D9001" i="158"/>
  <c r="G9000" i="158"/>
  <c r="G8999" i="158"/>
  <c r="G8998" i="158"/>
  <c r="G8997" i="158"/>
  <c r="G8996" i="158"/>
  <c r="G8995" i="158"/>
  <c r="G8994" i="158"/>
  <c r="G8993" i="158"/>
  <c r="G8992" i="158"/>
  <c r="G8991" i="158"/>
  <c r="G8990" i="158"/>
  <c r="G8989" i="158"/>
  <c r="G8988" i="158"/>
  <c r="G8987" i="158"/>
  <c r="G8986" i="158"/>
  <c r="G8984" i="158"/>
  <c r="G8983" i="158"/>
  <c r="G8982" i="158"/>
  <c r="G8981" i="158"/>
  <c r="G8980" i="158"/>
  <c r="G8979" i="158"/>
  <c r="G8978" i="158"/>
  <c r="G8977" i="158"/>
  <c r="G8976" i="158"/>
  <c r="G8975" i="158"/>
  <c r="G8974" i="158"/>
  <c r="G8973" i="158"/>
  <c r="G8972" i="158"/>
  <c r="G8971" i="158"/>
  <c r="G8970" i="158"/>
  <c r="F8969" i="158"/>
  <c r="E8969" i="158"/>
  <c r="D8969" i="158"/>
  <c r="G8968" i="158"/>
  <c r="G8967" i="158"/>
  <c r="G8966" i="158"/>
  <c r="G8965" i="158"/>
  <c r="G8964" i="158"/>
  <c r="G8963" i="158"/>
  <c r="G8962" i="158"/>
  <c r="G8961" i="158"/>
  <c r="G8960" i="158"/>
  <c r="G8959" i="158"/>
  <c r="G8958" i="158"/>
  <c r="G8957" i="158"/>
  <c r="G8956" i="158"/>
  <c r="G8955" i="158"/>
  <c r="G8954" i="158"/>
  <c r="F8953" i="158"/>
  <c r="E8953" i="158"/>
  <c r="D8953" i="158"/>
  <c r="G8952" i="158"/>
  <c r="G8951" i="158"/>
  <c r="G8950" i="158"/>
  <c r="G8949" i="158"/>
  <c r="G8948" i="158"/>
  <c r="G8947" i="158"/>
  <c r="G8946" i="158"/>
  <c r="G8945" i="158"/>
  <c r="G8944" i="158"/>
  <c r="G8943" i="158"/>
  <c r="G8942" i="158"/>
  <c r="G8941" i="158"/>
  <c r="G8940" i="158"/>
  <c r="G8939" i="158"/>
  <c r="G8938" i="158"/>
  <c r="F8937" i="158"/>
  <c r="E8937" i="158"/>
  <c r="D8937" i="158"/>
  <c r="G8936" i="158"/>
  <c r="G8935" i="158"/>
  <c r="G8934" i="158"/>
  <c r="G8933" i="158"/>
  <c r="G8932" i="158"/>
  <c r="G8931" i="158"/>
  <c r="G8930" i="158"/>
  <c r="G8929" i="158"/>
  <c r="G8928" i="158"/>
  <c r="G8927" i="158"/>
  <c r="G8926" i="158"/>
  <c r="G8925" i="158"/>
  <c r="G8924" i="158"/>
  <c r="G8923" i="158"/>
  <c r="G8922" i="158"/>
  <c r="F8921" i="158"/>
  <c r="E8921" i="158"/>
  <c r="D8921" i="158"/>
  <c r="G8920" i="158"/>
  <c r="G8919" i="158"/>
  <c r="G8918" i="158"/>
  <c r="G8917" i="158"/>
  <c r="G8916" i="158"/>
  <c r="G8915" i="158"/>
  <c r="G8914" i="158"/>
  <c r="G8913" i="158"/>
  <c r="G8912" i="158"/>
  <c r="G8911" i="158"/>
  <c r="G8910" i="158"/>
  <c r="G8909" i="158"/>
  <c r="G8908" i="158"/>
  <c r="G8907" i="158"/>
  <c r="G8906" i="158"/>
  <c r="F8905" i="158"/>
  <c r="E8905" i="158"/>
  <c r="D8905" i="158"/>
  <c r="G8904" i="158"/>
  <c r="G8903" i="158"/>
  <c r="G8902" i="158"/>
  <c r="G8901" i="158"/>
  <c r="G8900" i="158"/>
  <c r="G8899" i="158"/>
  <c r="G8898" i="158"/>
  <c r="G8897" i="158"/>
  <c r="G8896" i="158"/>
  <c r="G8895" i="158"/>
  <c r="G8894" i="158"/>
  <c r="G8893" i="158"/>
  <c r="G8892" i="158"/>
  <c r="G8891" i="158"/>
  <c r="G8890" i="158"/>
  <c r="F8889" i="158"/>
  <c r="E8889" i="158"/>
  <c r="D8889" i="158"/>
  <c r="G8888" i="158"/>
  <c r="G8887" i="158"/>
  <c r="G8886" i="158"/>
  <c r="G8885" i="158"/>
  <c r="G8884" i="158"/>
  <c r="G8883" i="158"/>
  <c r="G8882" i="158"/>
  <c r="G8881" i="158"/>
  <c r="G8880" i="158"/>
  <c r="G8879" i="158"/>
  <c r="G8878" i="158"/>
  <c r="G8877" i="158"/>
  <c r="G8876" i="158"/>
  <c r="G8875" i="158"/>
  <c r="G8874" i="158"/>
  <c r="F8873" i="158"/>
  <c r="E8873" i="158"/>
  <c r="D8873" i="158"/>
  <c r="G8872" i="158"/>
  <c r="G8871" i="158"/>
  <c r="G8870" i="158"/>
  <c r="G8869" i="158"/>
  <c r="G8868" i="158"/>
  <c r="G8867" i="158"/>
  <c r="G8866" i="158"/>
  <c r="G8865" i="158"/>
  <c r="G8864" i="158"/>
  <c r="G8863" i="158"/>
  <c r="G8862" i="158"/>
  <c r="G8861" i="158"/>
  <c r="G8860" i="158"/>
  <c r="G8859" i="158"/>
  <c r="G8858" i="158"/>
  <c r="F8857" i="158"/>
  <c r="E8857" i="158"/>
  <c r="D8857" i="158"/>
  <c r="G8856" i="158"/>
  <c r="G8855" i="158"/>
  <c r="G8854" i="158"/>
  <c r="G8853" i="158"/>
  <c r="G8852" i="158"/>
  <c r="G8851" i="158"/>
  <c r="G8850" i="158"/>
  <c r="G8849" i="158"/>
  <c r="G8848" i="158"/>
  <c r="G8847" i="158"/>
  <c r="G8846" i="158"/>
  <c r="G8845" i="158"/>
  <c r="G8844" i="158"/>
  <c r="G8843" i="158"/>
  <c r="G8842" i="158"/>
  <c r="F8841" i="158"/>
  <c r="E8841" i="158"/>
  <c r="D8841" i="158"/>
  <c r="G8840" i="158"/>
  <c r="G8839" i="158"/>
  <c r="G8838" i="158"/>
  <c r="G8837" i="158"/>
  <c r="G8836" i="158"/>
  <c r="G8835" i="158"/>
  <c r="G8834" i="158"/>
  <c r="G8833" i="158"/>
  <c r="G8832" i="158"/>
  <c r="G8831" i="158"/>
  <c r="G8830" i="158"/>
  <c r="G8829" i="158"/>
  <c r="G8828" i="158"/>
  <c r="G8827" i="158"/>
  <c r="G8826" i="158"/>
  <c r="F8825" i="158"/>
  <c r="E8825" i="158"/>
  <c r="D8825" i="158"/>
  <c r="G8824" i="158"/>
  <c r="G8823" i="158"/>
  <c r="G8822" i="158"/>
  <c r="G8821" i="158"/>
  <c r="G8820" i="158"/>
  <c r="G8819" i="158"/>
  <c r="G8818" i="158"/>
  <c r="G8817" i="158"/>
  <c r="G8816" i="158"/>
  <c r="G8815" i="158"/>
  <c r="G8814" i="158"/>
  <c r="G8813" i="158"/>
  <c r="G8812" i="158"/>
  <c r="G8811" i="158"/>
  <c r="G8810" i="158"/>
  <c r="F8809" i="158"/>
  <c r="E8809" i="158"/>
  <c r="D8809" i="158"/>
  <c r="G8808" i="158"/>
  <c r="G8807" i="158"/>
  <c r="G8806" i="158"/>
  <c r="G8805" i="158"/>
  <c r="G8804" i="158"/>
  <c r="G8803" i="158"/>
  <c r="G8802" i="158"/>
  <c r="G8801" i="158"/>
  <c r="G8800" i="158"/>
  <c r="G8799" i="158"/>
  <c r="G8798" i="158"/>
  <c r="G8797" i="158"/>
  <c r="G8796" i="158"/>
  <c r="G8795" i="158"/>
  <c r="G8794" i="158"/>
  <c r="F8793" i="158"/>
  <c r="E8793" i="158"/>
  <c r="D8793" i="158"/>
  <c r="G8792" i="158"/>
  <c r="G8791" i="158"/>
  <c r="G8790" i="158"/>
  <c r="G8789" i="158"/>
  <c r="G8788" i="158"/>
  <c r="G8787" i="158"/>
  <c r="G8786" i="158"/>
  <c r="G8785" i="158"/>
  <c r="G8784" i="158"/>
  <c r="G8783" i="158"/>
  <c r="G8782" i="158"/>
  <c r="G8781" i="158"/>
  <c r="G8780" i="158"/>
  <c r="G8779" i="158"/>
  <c r="G8778" i="158"/>
  <c r="F8761" i="158"/>
  <c r="E8761" i="158"/>
  <c r="D8761" i="158"/>
  <c r="G8760" i="158"/>
  <c r="G8759" i="158"/>
  <c r="G8758" i="158"/>
  <c r="G8757" i="158"/>
  <c r="G8756" i="158"/>
  <c r="G8755" i="158"/>
  <c r="G8754" i="158"/>
  <c r="G8753" i="158"/>
  <c r="G8752" i="158"/>
  <c r="G8751" i="158"/>
  <c r="G8750" i="158"/>
  <c r="G8749" i="158"/>
  <c r="G8748" i="158"/>
  <c r="G8747" i="158"/>
  <c r="G8746" i="158"/>
  <c r="F8745" i="158"/>
  <c r="E8745" i="158"/>
  <c r="D8745" i="158"/>
  <c r="G8744" i="158"/>
  <c r="G8743" i="158"/>
  <c r="G8742" i="158"/>
  <c r="G8741" i="158"/>
  <c r="G8740" i="158"/>
  <c r="G8739" i="158"/>
  <c r="G8738" i="158"/>
  <c r="G8737" i="158"/>
  <c r="G8736" i="158"/>
  <c r="G8735" i="158"/>
  <c r="G8734" i="158"/>
  <c r="G8733" i="158"/>
  <c r="G8732" i="158"/>
  <c r="G8731" i="158"/>
  <c r="G8730" i="158"/>
  <c r="F8729" i="158"/>
  <c r="E8729" i="158"/>
  <c r="D8729" i="158"/>
  <c r="G8728" i="158"/>
  <c r="G8727" i="158"/>
  <c r="G8726" i="158"/>
  <c r="G8725" i="158"/>
  <c r="G8724" i="158"/>
  <c r="G8723" i="158"/>
  <c r="G8722" i="158"/>
  <c r="G8721" i="158"/>
  <c r="G8720" i="158"/>
  <c r="G8719" i="158"/>
  <c r="G8718" i="158"/>
  <c r="G8717" i="158"/>
  <c r="G8716" i="158"/>
  <c r="G8715" i="158"/>
  <c r="G8714" i="158"/>
  <c r="F8713" i="158"/>
  <c r="E8713" i="158"/>
  <c r="D8713" i="158"/>
  <c r="G8712" i="158"/>
  <c r="G8711" i="158"/>
  <c r="G8710" i="158"/>
  <c r="G8709" i="158"/>
  <c r="G8708" i="158"/>
  <c r="G8707" i="158"/>
  <c r="G8706" i="158"/>
  <c r="G8705" i="158"/>
  <c r="G8704" i="158"/>
  <c r="G8703" i="158"/>
  <c r="G8702" i="158"/>
  <c r="G8701" i="158"/>
  <c r="G8700" i="158"/>
  <c r="G8699" i="158"/>
  <c r="G8698" i="158"/>
  <c r="F8697" i="158"/>
  <c r="E8697" i="158"/>
  <c r="D8697" i="158"/>
  <c r="G8696" i="158"/>
  <c r="G8695" i="158"/>
  <c r="G8694" i="158"/>
  <c r="G8693" i="158"/>
  <c r="G8692" i="158"/>
  <c r="G8691" i="158"/>
  <c r="G8690" i="158"/>
  <c r="G8689" i="158"/>
  <c r="G8688" i="158"/>
  <c r="G8687" i="158"/>
  <c r="G8686" i="158"/>
  <c r="G8685" i="158"/>
  <c r="G8684" i="158"/>
  <c r="G8683" i="158"/>
  <c r="G8682" i="158"/>
  <c r="F8681" i="158"/>
  <c r="E8681" i="158"/>
  <c r="D8681" i="158"/>
  <c r="G8680" i="158"/>
  <c r="G8679" i="158"/>
  <c r="G8678" i="158"/>
  <c r="G8677" i="158"/>
  <c r="G8676" i="158"/>
  <c r="G8675" i="158"/>
  <c r="G8674" i="158"/>
  <c r="G8673" i="158"/>
  <c r="G8672" i="158"/>
  <c r="G8671" i="158"/>
  <c r="G8670" i="158"/>
  <c r="G8669" i="158"/>
  <c r="G8668" i="158"/>
  <c r="G8667" i="158"/>
  <c r="G8666" i="158"/>
  <c r="F8665" i="158"/>
  <c r="E8665" i="158"/>
  <c r="D8665" i="158"/>
  <c r="G8664" i="158"/>
  <c r="G8663" i="158"/>
  <c r="G8662" i="158"/>
  <c r="G8661" i="158"/>
  <c r="G8660" i="158"/>
  <c r="G8659" i="158"/>
  <c r="G8658" i="158"/>
  <c r="G8657" i="158"/>
  <c r="G8656" i="158"/>
  <c r="G8655" i="158"/>
  <c r="G8654" i="158"/>
  <c r="G8653" i="158"/>
  <c r="G8652" i="158"/>
  <c r="G8651" i="158"/>
  <c r="G8650" i="158"/>
  <c r="F8649" i="158"/>
  <c r="E8649" i="158"/>
  <c r="D8649" i="158"/>
  <c r="G8648" i="158"/>
  <c r="G8647" i="158"/>
  <c r="G8646" i="158"/>
  <c r="G8645" i="158"/>
  <c r="G8644" i="158"/>
  <c r="G8643" i="158"/>
  <c r="G8642" i="158"/>
  <c r="G8641" i="158"/>
  <c r="G8640" i="158"/>
  <c r="G8639" i="158"/>
  <c r="G8638" i="158"/>
  <c r="G8637" i="158"/>
  <c r="G8636" i="158"/>
  <c r="G8635" i="158"/>
  <c r="G8634" i="158"/>
  <c r="F8633" i="158"/>
  <c r="E8633" i="158"/>
  <c r="D8633" i="158"/>
  <c r="G8632" i="158"/>
  <c r="G8631" i="158"/>
  <c r="G8630" i="158"/>
  <c r="G8629" i="158"/>
  <c r="G8628" i="158"/>
  <c r="G8627" i="158"/>
  <c r="G8626" i="158"/>
  <c r="G8625" i="158"/>
  <c r="G8624" i="158"/>
  <c r="G8623" i="158"/>
  <c r="G8622" i="158"/>
  <c r="G8621" i="158"/>
  <c r="G8620" i="158"/>
  <c r="G8619" i="158"/>
  <c r="G8618" i="158"/>
  <c r="F8617" i="158"/>
  <c r="E8617" i="158"/>
  <c r="D8617" i="158"/>
  <c r="G8616" i="158"/>
  <c r="G8615" i="158"/>
  <c r="G8614" i="158"/>
  <c r="G8613" i="158"/>
  <c r="G8612" i="158"/>
  <c r="G8611" i="158"/>
  <c r="G8610" i="158"/>
  <c r="G8609" i="158"/>
  <c r="G8608" i="158"/>
  <c r="G8607" i="158"/>
  <c r="G8606" i="158"/>
  <c r="G8605" i="158"/>
  <c r="G8604" i="158"/>
  <c r="G8603" i="158"/>
  <c r="G8602" i="158"/>
  <c r="F8601" i="158"/>
  <c r="E8601" i="158"/>
  <c r="D8601" i="158"/>
  <c r="G8600" i="158"/>
  <c r="G8599" i="158"/>
  <c r="G8598" i="158"/>
  <c r="G8597" i="158"/>
  <c r="G8596" i="158"/>
  <c r="G8595" i="158"/>
  <c r="G8594" i="158"/>
  <c r="G8593" i="158"/>
  <c r="G8592" i="158"/>
  <c r="G8591" i="158"/>
  <c r="G8590" i="158"/>
  <c r="G8589" i="158"/>
  <c r="G8588" i="158"/>
  <c r="G8587" i="158"/>
  <c r="G8586" i="158"/>
  <c r="F8585" i="158"/>
  <c r="E8585" i="158"/>
  <c r="D8585" i="158"/>
  <c r="G8584" i="158"/>
  <c r="G8583" i="158"/>
  <c r="G8582" i="158"/>
  <c r="G8581" i="158"/>
  <c r="G8580" i="158"/>
  <c r="G8579" i="158"/>
  <c r="G8578" i="158"/>
  <c r="G8577" i="158"/>
  <c r="G8576" i="158"/>
  <c r="G8575" i="158"/>
  <c r="G8574" i="158"/>
  <c r="G8573" i="158"/>
  <c r="G8572" i="158"/>
  <c r="G8571" i="158"/>
  <c r="G8570" i="158"/>
  <c r="F8569" i="158"/>
  <c r="E8569" i="158"/>
  <c r="D8569" i="158"/>
  <c r="G8568" i="158"/>
  <c r="G8567" i="158"/>
  <c r="G8566" i="158"/>
  <c r="G8565" i="158"/>
  <c r="G8564" i="158"/>
  <c r="G8563" i="158"/>
  <c r="G8562" i="158"/>
  <c r="G8561" i="158"/>
  <c r="G8560" i="158"/>
  <c r="G8559" i="158"/>
  <c r="G8558" i="158"/>
  <c r="G8557" i="158"/>
  <c r="G8556" i="158"/>
  <c r="G8555" i="158"/>
  <c r="G8554" i="158"/>
  <c r="F8553" i="158"/>
  <c r="E8553" i="158"/>
  <c r="D8553" i="158"/>
  <c r="G8552" i="158"/>
  <c r="G8551" i="158"/>
  <c r="G8550" i="158"/>
  <c r="G8549" i="158"/>
  <c r="G8548" i="158"/>
  <c r="G8547" i="158"/>
  <c r="G8546" i="158"/>
  <c r="G8545" i="158"/>
  <c r="G8544" i="158"/>
  <c r="G8543" i="158"/>
  <c r="G8542" i="158"/>
  <c r="G8541" i="158"/>
  <c r="G8540" i="158"/>
  <c r="G8539" i="158"/>
  <c r="G8538" i="158"/>
  <c r="F8537" i="158"/>
  <c r="E8537" i="158"/>
  <c r="D8537" i="158"/>
  <c r="G8536" i="158"/>
  <c r="G8535" i="158"/>
  <c r="G8534" i="158"/>
  <c r="G8533" i="158"/>
  <c r="G8532" i="158"/>
  <c r="G8531" i="158"/>
  <c r="G8530" i="158"/>
  <c r="G8529" i="158"/>
  <c r="G8528" i="158"/>
  <c r="G8527" i="158"/>
  <c r="G8526" i="158"/>
  <c r="G8525" i="158"/>
  <c r="G8524" i="158"/>
  <c r="G8523" i="158"/>
  <c r="G8522" i="158"/>
  <c r="F8521" i="158"/>
  <c r="E8521" i="158"/>
  <c r="D8521" i="158"/>
  <c r="G8520" i="158"/>
  <c r="G8519" i="158"/>
  <c r="G8518" i="158"/>
  <c r="G8517" i="158"/>
  <c r="G8516" i="158"/>
  <c r="G8515" i="158"/>
  <c r="G8514" i="158"/>
  <c r="G8513" i="158"/>
  <c r="G8512" i="158"/>
  <c r="G8511" i="158"/>
  <c r="G8510" i="158"/>
  <c r="G8509" i="158"/>
  <c r="G8508" i="158"/>
  <c r="G8507" i="158"/>
  <c r="G8506" i="158"/>
  <c r="F8505" i="158"/>
  <c r="E8505" i="158"/>
  <c r="D8505" i="158"/>
  <c r="G8504" i="158"/>
  <c r="G8503" i="158"/>
  <c r="G8502" i="158"/>
  <c r="G8501" i="158"/>
  <c r="G8500" i="158"/>
  <c r="G8499" i="158"/>
  <c r="G8498" i="158"/>
  <c r="G8497" i="158"/>
  <c r="G8496" i="158"/>
  <c r="G8495" i="158"/>
  <c r="G8494" i="158"/>
  <c r="G8493" i="158"/>
  <c r="G8492" i="158"/>
  <c r="G8491" i="158"/>
  <c r="G8490" i="158"/>
  <c r="F8489" i="158"/>
  <c r="E8489" i="158"/>
  <c r="D8489" i="158"/>
  <c r="G8488" i="158"/>
  <c r="G8487" i="158"/>
  <c r="G8486" i="158"/>
  <c r="G8485" i="158"/>
  <c r="G8484" i="158"/>
  <c r="G8483" i="158"/>
  <c r="G8482" i="158"/>
  <c r="G8481" i="158"/>
  <c r="G8480" i="158"/>
  <c r="G8479" i="158"/>
  <c r="G8478" i="158"/>
  <c r="G8477" i="158"/>
  <c r="G8476" i="158"/>
  <c r="G8475" i="158"/>
  <c r="G8474" i="158"/>
  <c r="F8473" i="158"/>
  <c r="E8473" i="158"/>
  <c r="D8473" i="158"/>
  <c r="G8472" i="158"/>
  <c r="G8471" i="158"/>
  <c r="G8470" i="158"/>
  <c r="G8469" i="158"/>
  <c r="G8468" i="158"/>
  <c r="G8467" i="158"/>
  <c r="G8466" i="158"/>
  <c r="G8465" i="158"/>
  <c r="G8464" i="158"/>
  <c r="G8463" i="158"/>
  <c r="G8462" i="158"/>
  <c r="G8461" i="158"/>
  <c r="G8460" i="158"/>
  <c r="G8459" i="158"/>
  <c r="G8458" i="158"/>
  <c r="E8457" i="158"/>
  <c r="D8457" i="158"/>
  <c r="G8456" i="158"/>
  <c r="G8455" i="158"/>
  <c r="G8454" i="158"/>
  <c r="G8453" i="158"/>
  <c r="G8452" i="158"/>
  <c r="F8451" i="158"/>
  <c r="G8451" i="158" s="1"/>
  <c r="G8450" i="158"/>
  <c r="G8449" i="158"/>
  <c r="G8448" i="158"/>
  <c r="G8447" i="158"/>
  <c r="G8446" i="158"/>
  <c r="G8445" i="158"/>
  <c r="G8444" i="158"/>
  <c r="F8443" i="158"/>
  <c r="F8457" i="158" s="1"/>
  <c r="G8442" i="158"/>
  <c r="E8441" i="158"/>
  <c r="D8441" i="158"/>
  <c r="G8440" i="158"/>
  <c r="G8439" i="158"/>
  <c r="G8438" i="158"/>
  <c r="G8437" i="158"/>
  <c r="G8436" i="158"/>
  <c r="F8435" i="158"/>
  <c r="F8441" i="158" s="1"/>
  <c r="G8434" i="158"/>
  <c r="G8433" i="158"/>
  <c r="G8432" i="158"/>
  <c r="G8431" i="158"/>
  <c r="G8430" i="158"/>
  <c r="G8429" i="158"/>
  <c r="G8428" i="158"/>
  <c r="G8427" i="158"/>
  <c r="G8426" i="158"/>
  <c r="F8425" i="158"/>
  <c r="E8425" i="158"/>
  <c r="D8425" i="158"/>
  <c r="G8424" i="158"/>
  <c r="G8423" i="158"/>
  <c r="G8422" i="158"/>
  <c r="G8421" i="158"/>
  <c r="G8420" i="158"/>
  <c r="G8419" i="158"/>
  <c r="G8418" i="158"/>
  <c r="G8417" i="158"/>
  <c r="G8416" i="158"/>
  <c r="G8415" i="158"/>
  <c r="G8414" i="158"/>
  <c r="G8413" i="158"/>
  <c r="G8412" i="158"/>
  <c r="G8411" i="158"/>
  <c r="G8410" i="158"/>
  <c r="H8409" i="158"/>
  <c r="F8409" i="158"/>
  <c r="E8409" i="158"/>
  <c r="D8409" i="158"/>
  <c r="G8408" i="158"/>
  <c r="G8407" i="158"/>
  <c r="G8406" i="158"/>
  <c r="G8405" i="158"/>
  <c r="G8404" i="158"/>
  <c r="G8403" i="158"/>
  <c r="G8402" i="158"/>
  <c r="G8401" i="158"/>
  <c r="G8400" i="158"/>
  <c r="G8399" i="158"/>
  <c r="G8398" i="158"/>
  <c r="G8397" i="158"/>
  <c r="G8396" i="158"/>
  <c r="G8395" i="158"/>
  <c r="G8394" i="158"/>
  <c r="F8393" i="158"/>
  <c r="E8393" i="158"/>
  <c r="D8393" i="158"/>
  <c r="G8392" i="158"/>
  <c r="G8391" i="158"/>
  <c r="G8390" i="158"/>
  <c r="G8389" i="158"/>
  <c r="G8388" i="158"/>
  <c r="G8387" i="158"/>
  <c r="G8386" i="158"/>
  <c r="G8385" i="158"/>
  <c r="G8384" i="158"/>
  <c r="G8383" i="158"/>
  <c r="G8382" i="158"/>
  <c r="G8381" i="158"/>
  <c r="G8380" i="158"/>
  <c r="G8379" i="158"/>
  <c r="G8378" i="158"/>
  <c r="F8377" i="158"/>
  <c r="E8377" i="158"/>
  <c r="D8377" i="158"/>
  <c r="G8376" i="158"/>
  <c r="G8375" i="158"/>
  <c r="G8374" i="158"/>
  <c r="G8373" i="158"/>
  <c r="G8372" i="158"/>
  <c r="G8371" i="158"/>
  <c r="G8370" i="158"/>
  <c r="G8369" i="158"/>
  <c r="G8368" i="158"/>
  <c r="G8367" i="158"/>
  <c r="G8366" i="158"/>
  <c r="G8365" i="158"/>
  <c r="G8364" i="158"/>
  <c r="G8363" i="158"/>
  <c r="G8362" i="158"/>
  <c r="F8361" i="158"/>
  <c r="E8361" i="158"/>
  <c r="D8361" i="158"/>
  <c r="G8360" i="158"/>
  <c r="G8359" i="158"/>
  <c r="G8358" i="158"/>
  <c r="G8357" i="158"/>
  <c r="G8356" i="158"/>
  <c r="G8355" i="158"/>
  <c r="G8354" i="158"/>
  <c r="G8353" i="158"/>
  <c r="G8352" i="158"/>
  <c r="G8351" i="158"/>
  <c r="G8350" i="158"/>
  <c r="G8349" i="158"/>
  <c r="G8348" i="158"/>
  <c r="G8347" i="158"/>
  <c r="G8346" i="158"/>
  <c r="F8345" i="158"/>
  <c r="E8345" i="158"/>
  <c r="D8345" i="158"/>
  <c r="G8344" i="158"/>
  <c r="G8343" i="158"/>
  <c r="G8342" i="158"/>
  <c r="G8341" i="158"/>
  <c r="G8340" i="158"/>
  <c r="G8339" i="158"/>
  <c r="G8338" i="158"/>
  <c r="G8337" i="158"/>
  <c r="G8336" i="158"/>
  <c r="G8335" i="158"/>
  <c r="G8334" i="158"/>
  <c r="G8333" i="158"/>
  <c r="G8332" i="158"/>
  <c r="G8331" i="158"/>
  <c r="G8330" i="158"/>
  <c r="F8329" i="158"/>
  <c r="E8329" i="158"/>
  <c r="D8329" i="158"/>
  <c r="G8328" i="158"/>
  <c r="G8327" i="158"/>
  <c r="G8326" i="158"/>
  <c r="G8325" i="158"/>
  <c r="G8324" i="158"/>
  <c r="G8323" i="158"/>
  <c r="G8322" i="158"/>
  <c r="G8321" i="158"/>
  <c r="G8320" i="158"/>
  <c r="G8319" i="158"/>
  <c r="G8318" i="158"/>
  <c r="G8317" i="158"/>
  <c r="G8316" i="158"/>
  <c r="G8315" i="158"/>
  <c r="G8314" i="158"/>
  <c r="F8313" i="158"/>
  <c r="E8313" i="158"/>
  <c r="D8313" i="158"/>
  <c r="G8312" i="158"/>
  <c r="G8311" i="158"/>
  <c r="G8310" i="158"/>
  <c r="G8309" i="158"/>
  <c r="G8308" i="158"/>
  <c r="G8307" i="158"/>
  <c r="G8306" i="158"/>
  <c r="G8305" i="158"/>
  <c r="G8304" i="158"/>
  <c r="G8303" i="158"/>
  <c r="G8302" i="158"/>
  <c r="G8301" i="158"/>
  <c r="G8300" i="158"/>
  <c r="G8299" i="158"/>
  <c r="G8298" i="158"/>
  <c r="F8297" i="158"/>
  <c r="E8297" i="158"/>
  <c r="D8297" i="158"/>
  <c r="G8296" i="158"/>
  <c r="G8295" i="158"/>
  <c r="G8294" i="158"/>
  <c r="G8293" i="158"/>
  <c r="G8292" i="158"/>
  <c r="G8291" i="158"/>
  <c r="G8290" i="158"/>
  <c r="G8289" i="158"/>
  <c r="G8288" i="158"/>
  <c r="G8287" i="158"/>
  <c r="G8286" i="158"/>
  <c r="G8285" i="158"/>
  <c r="G8284" i="158"/>
  <c r="G8283" i="158"/>
  <c r="G8282" i="158"/>
  <c r="F8281" i="158"/>
  <c r="E8281" i="158"/>
  <c r="D8281" i="158"/>
  <c r="G8280" i="158"/>
  <c r="G8279" i="158"/>
  <c r="G8278" i="158"/>
  <c r="G8277" i="158"/>
  <c r="G8276" i="158"/>
  <c r="G8275" i="158"/>
  <c r="G8274" i="158"/>
  <c r="G8273" i="158"/>
  <c r="G8272" i="158"/>
  <c r="G8271" i="158"/>
  <c r="G8270" i="158"/>
  <c r="G8269" i="158"/>
  <c r="G8268" i="158"/>
  <c r="G8267" i="158"/>
  <c r="G8266" i="158"/>
  <c r="F8265" i="158"/>
  <c r="E8265" i="158"/>
  <c r="D8265" i="158"/>
  <c r="G8264" i="158"/>
  <c r="G8263" i="158"/>
  <c r="G8262" i="158"/>
  <c r="G8261" i="158"/>
  <c r="G8260" i="158"/>
  <c r="G8259" i="158"/>
  <c r="G8258" i="158"/>
  <c r="G8257" i="158"/>
  <c r="G8256" i="158"/>
  <c r="G8255" i="158"/>
  <c r="G8254" i="158"/>
  <c r="G8253" i="158"/>
  <c r="G8252" i="158"/>
  <c r="G8251" i="158"/>
  <c r="G8250" i="158"/>
  <c r="F8249" i="158"/>
  <c r="E8249" i="158"/>
  <c r="D8249" i="158"/>
  <c r="G8248" i="158"/>
  <c r="G8247" i="158"/>
  <c r="G8246" i="158"/>
  <c r="G8245" i="158"/>
  <c r="G8244" i="158"/>
  <c r="G8243" i="158"/>
  <c r="G8242" i="158"/>
  <c r="G8241" i="158"/>
  <c r="G8240" i="158"/>
  <c r="G8239" i="158"/>
  <c r="G8238" i="158"/>
  <c r="G8237" i="158"/>
  <c r="G8236" i="158"/>
  <c r="G8235" i="158"/>
  <c r="G8234" i="158"/>
  <c r="F8233" i="158"/>
  <c r="E8233" i="158"/>
  <c r="D8233" i="158"/>
  <c r="G8232" i="158"/>
  <c r="G8231" i="158"/>
  <c r="G8230" i="158"/>
  <c r="G8229" i="158"/>
  <c r="G8228" i="158"/>
  <c r="G8227" i="158"/>
  <c r="G8226" i="158"/>
  <c r="G8225" i="158"/>
  <c r="G8224" i="158"/>
  <c r="G8223" i="158"/>
  <c r="G8222" i="158"/>
  <c r="G8221" i="158"/>
  <c r="G8220" i="158"/>
  <c r="G8219" i="158"/>
  <c r="G8218" i="158"/>
  <c r="F8217" i="158"/>
  <c r="E8217" i="158"/>
  <c r="D8217" i="158"/>
  <c r="G8216" i="158"/>
  <c r="G8215" i="158"/>
  <c r="G8214" i="158"/>
  <c r="G8213" i="158"/>
  <c r="G8212" i="158"/>
  <c r="G8211" i="158"/>
  <c r="G8210" i="158"/>
  <c r="G8209" i="158"/>
  <c r="G8208" i="158"/>
  <c r="G8207" i="158"/>
  <c r="G8206" i="158"/>
  <c r="G8205" i="158"/>
  <c r="G8204" i="158"/>
  <c r="G8203" i="158"/>
  <c r="G8202" i="158"/>
  <c r="F8201" i="158"/>
  <c r="E8201" i="158"/>
  <c r="D8201" i="158"/>
  <c r="G8200" i="158"/>
  <c r="G8199" i="158"/>
  <c r="G8198" i="158"/>
  <c r="G8197" i="158"/>
  <c r="G8196" i="158"/>
  <c r="G8195" i="158"/>
  <c r="G8194" i="158"/>
  <c r="G8193" i="158"/>
  <c r="G8192" i="158"/>
  <c r="G8191" i="158"/>
  <c r="G8190" i="158"/>
  <c r="G8189" i="158"/>
  <c r="G8188" i="158"/>
  <c r="G8187" i="158"/>
  <c r="G8186" i="158"/>
  <c r="F8185" i="158"/>
  <c r="E8185" i="158"/>
  <c r="D8185" i="158"/>
  <c r="G8184" i="158"/>
  <c r="G8183" i="158"/>
  <c r="G8182" i="158"/>
  <c r="G8181" i="158"/>
  <c r="G8180" i="158"/>
  <c r="G8179" i="158"/>
  <c r="G8178" i="158"/>
  <c r="G8177" i="158"/>
  <c r="G8176" i="158"/>
  <c r="G8175" i="158"/>
  <c r="G8174" i="158"/>
  <c r="G8173" i="158"/>
  <c r="G8172" i="158"/>
  <c r="G8171" i="158"/>
  <c r="G8170" i="158"/>
  <c r="F8169" i="158"/>
  <c r="E8169" i="158"/>
  <c r="D8169" i="158"/>
  <c r="G8168" i="158"/>
  <c r="G8167" i="158"/>
  <c r="G8166" i="158"/>
  <c r="G8165" i="158"/>
  <c r="G8164" i="158"/>
  <c r="G8163" i="158"/>
  <c r="G8162" i="158"/>
  <c r="G8161" i="158"/>
  <c r="G8160" i="158"/>
  <c r="G8159" i="158"/>
  <c r="G8158" i="158"/>
  <c r="G8157" i="158"/>
  <c r="G8156" i="158"/>
  <c r="G8155" i="158"/>
  <c r="G8154" i="158"/>
  <c r="F8153" i="158"/>
  <c r="E8153" i="158"/>
  <c r="D8153" i="158"/>
  <c r="G8152" i="158"/>
  <c r="G8151" i="158"/>
  <c r="G8150" i="158"/>
  <c r="G8149" i="158"/>
  <c r="G8148" i="158"/>
  <c r="G8147" i="158"/>
  <c r="G8146" i="158"/>
  <c r="G8145" i="158"/>
  <c r="G8144" i="158"/>
  <c r="G8143" i="158"/>
  <c r="G8142" i="158"/>
  <c r="G8141" i="158"/>
  <c r="G8140" i="158"/>
  <c r="G8139" i="158"/>
  <c r="G8138" i="158"/>
  <c r="F8137" i="158"/>
  <c r="E8137" i="158"/>
  <c r="D8137" i="158"/>
  <c r="G8136" i="158"/>
  <c r="G8135" i="158"/>
  <c r="G8134" i="158"/>
  <c r="G8133" i="158"/>
  <c r="G8132" i="158"/>
  <c r="G8131" i="158"/>
  <c r="G8130" i="158"/>
  <c r="G8129" i="158"/>
  <c r="G8128" i="158"/>
  <c r="G8127" i="158"/>
  <c r="G8126" i="158"/>
  <c r="G8125" i="158"/>
  <c r="G8124" i="158"/>
  <c r="G8123" i="158"/>
  <c r="G8122" i="158"/>
  <c r="F8121" i="158"/>
  <c r="E8121" i="158"/>
  <c r="D8121" i="158"/>
  <c r="G8120" i="158"/>
  <c r="G8119" i="158"/>
  <c r="G8118" i="158"/>
  <c r="G8117" i="158"/>
  <c r="G8116" i="158"/>
  <c r="G8115" i="158"/>
  <c r="G8114" i="158"/>
  <c r="G8113" i="158"/>
  <c r="G8112" i="158"/>
  <c r="G8111" i="158"/>
  <c r="G8110" i="158"/>
  <c r="G8109" i="158"/>
  <c r="G8108" i="158"/>
  <c r="G8107" i="158"/>
  <c r="G8106" i="158"/>
  <c r="F8105" i="158"/>
  <c r="E8105" i="158"/>
  <c r="D8105" i="158"/>
  <c r="G8104" i="158"/>
  <c r="G8103" i="158"/>
  <c r="G8102" i="158"/>
  <c r="G8101" i="158"/>
  <c r="G8100" i="158"/>
  <c r="G8099" i="158"/>
  <c r="G8098" i="158"/>
  <c r="G8097" i="158"/>
  <c r="G8096" i="158"/>
  <c r="G8095" i="158"/>
  <c r="G8094" i="158"/>
  <c r="G8093" i="158"/>
  <c r="G8092" i="158"/>
  <c r="G8091" i="158"/>
  <c r="G8090" i="158"/>
  <c r="F8089" i="158"/>
  <c r="E8089" i="158"/>
  <c r="D8089" i="158"/>
  <c r="G8088" i="158"/>
  <c r="G8087" i="158"/>
  <c r="G8086" i="158"/>
  <c r="G8085" i="158"/>
  <c r="G8084" i="158"/>
  <c r="G8083" i="158"/>
  <c r="G8082" i="158"/>
  <c r="G8081" i="158"/>
  <c r="G8080" i="158"/>
  <c r="G8079" i="158"/>
  <c r="G8078" i="158"/>
  <c r="G8077" i="158"/>
  <c r="G8076" i="158"/>
  <c r="G8075" i="158"/>
  <c r="G8074" i="158"/>
  <c r="F8073" i="158"/>
  <c r="E8073" i="158"/>
  <c r="D8073" i="158"/>
  <c r="G8072" i="158"/>
  <c r="G8071" i="158"/>
  <c r="G8070" i="158"/>
  <c r="G8069" i="158"/>
  <c r="G8068" i="158"/>
  <c r="G8067" i="158"/>
  <c r="G8066" i="158"/>
  <c r="G8065" i="158"/>
  <c r="G8064" i="158"/>
  <c r="G8063" i="158"/>
  <c r="G8062" i="158"/>
  <c r="G8061" i="158"/>
  <c r="G8060" i="158"/>
  <c r="G8059" i="158"/>
  <c r="G8058" i="158"/>
  <c r="F8057" i="158"/>
  <c r="E8057" i="158"/>
  <c r="D8057" i="158"/>
  <c r="G8056" i="158"/>
  <c r="G8055" i="158"/>
  <c r="G8054" i="158"/>
  <c r="G8053" i="158"/>
  <c r="G8052" i="158"/>
  <c r="G8051" i="158"/>
  <c r="G8050" i="158"/>
  <c r="G8049" i="158"/>
  <c r="G8048" i="158"/>
  <c r="G8047" i="158"/>
  <c r="G8046" i="158"/>
  <c r="G8045" i="158"/>
  <c r="G8044" i="158"/>
  <c r="G8043" i="158"/>
  <c r="G8042" i="158"/>
  <c r="F8041" i="158"/>
  <c r="E8041" i="158"/>
  <c r="D8041" i="158"/>
  <c r="G8040" i="158"/>
  <c r="G8039" i="158"/>
  <c r="G8038" i="158"/>
  <c r="G8037" i="158"/>
  <c r="G8036" i="158"/>
  <c r="G8035" i="158"/>
  <c r="G8034" i="158"/>
  <c r="G8033" i="158"/>
  <c r="G8032" i="158"/>
  <c r="G8031" i="158"/>
  <c r="G8030" i="158"/>
  <c r="G8029" i="158"/>
  <c r="G8028" i="158"/>
  <c r="G8027" i="158"/>
  <c r="G8026" i="158"/>
  <c r="F8025" i="158"/>
  <c r="E8025" i="158"/>
  <c r="D8025" i="158"/>
  <c r="G8024" i="158"/>
  <c r="G8023" i="158"/>
  <c r="G8022" i="158"/>
  <c r="G8021" i="158"/>
  <c r="G8020" i="158"/>
  <c r="G8019" i="158"/>
  <c r="G8018" i="158"/>
  <c r="G8017" i="158"/>
  <c r="G8016" i="158"/>
  <c r="G8015" i="158"/>
  <c r="G8014" i="158"/>
  <c r="G8013" i="158"/>
  <c r="G8012" i="158"/>
  <c r="G8011" i="158"/>
  <c r="G8010" i="158"/>
  <c r="F8009" i="158"/>
  <c r="E8009" i="158"/>
  <c r="D8009" i="158"/>
  <c r="G8008" i="158"/>
  <c r="G8007" i="158"/>
  <c r="G8006" i="158"/>
  <c r="G8005" i="158"/>
  <c r="G8004" i="158"/>
  <c r="G8003" i="158"/>
  <c r="G8002" i="158"/>
  <c r="G8001" i="158"/>
  <c r="G8000" i="158"/>
  <c r="G7999" i="158"/>
  <c r="G7998" i="158"/>
  <c r="G7997" i="158"/>
  <c r="G7996" i="158"/>
  <c r="G7995" i="158"/>
  <c r="G7994" i="158"/>
  <c r="F7993" i="158"/>
  <c r="E7993" i="158"/>
  <c r="D7993" i="158"/>
  <c r="G7992" i="158"/>
  <c r="G7991" i="158"/>
  <c r="G7990" i="158"/>
  <c r="G7989" i="158"/>
  <c r="G7988" i="158"/>
  <c r="G7987" i="158"/>
  <c r="G7986" i="158"/>
  <c r="G7985" i="158"/>
  <c r="G7984" i="158"/>
  <c r="G7983" i="158"/>
  <c r="G7982" i="158"/>
  <c r="G7981" i="158"/>
  <c r="G7980" i="158"/>
  <c r="G7979" i="158"/>
  <c r="G7978" i="158"/>
  <c r="F7977" i="158"/>
  <c r="E7977" i="158"/>
  <c r="D7977" i="158"/>
  <c r="G7976" i="158"/>
  <c r="G7975" i="158"/>
  <c r="G7974" i="158"/>
  <c r="G7973" i="158"/>
  <c r="G7972" i="158"/>
  <c r="G7971" i="158"/>
  <c r="G7970" i="158"/>
  <c r="G7969" i="158"/>
  <c r="G7968" i="158"/>
  <c r="G7967" i="158"/>
  <c r="G7966" i="158"/>
  <c r="G7965" i="158"/>
  <c r="G7964" i="158"/>
  <c r="G7963" i="158"/>
  <c r="G7962" i="158"/>
  <c r="F7961" i="158"/>
  <c r="E7961" i="158"/>
  <c r="D7961" i="158"/>
  <c r="G7960" i="158"/>
  <c r="G7959" i="158"/>
  <c r="G7958" i="158"/>
  <c r="G7957" i="158"/>
  <c r="G7956" i="158"/>
  <c r="G7955" i="158"/>
  <c r="G7954" i="158"/>
  <c r="G7953" i="158"/>
  <c r="G7952" i="158"/>
  <c r="G7951" i="158"/>
  <c r="G7950" i="158"/>
  <c r="G7949" i="158"/>
  <c r="G7948" i="158"/>
  <c r="G7947" i="158"/>
  <c r="G7946" i="158"/>
  <c r="F7945" i="158"/>
  <c r="E7945" i="158"/>
  <c r="D7945" i="158"/>
  <c r="G7944" i="158"/>
  <c r="G7943" i="158"/>
  <c r="G7942" i="158"/>
  <c r="G7941" i="158"/>
  <c r="G7940" i="158"/>
  <c r="G7939" i="158"/>
  <c r="G7938" i="158"/>
  <c r="G7937" i="158"/>
  <c r="G7936" i="158"/>
  <c r="G7935" i="158"/>
  <c r="G7934" i="158"/>
  <c r="G7933" i="158"/>
  <c r="G7932" i="158"/>
  <c r="G7931" i="158"/>
  <c r="G7930" i="158"/>
  <c r="F7929" i="158"/>
  <c r="E7929" i="158"/>
  <c r="D7929" i="158"/>
  <c r="G7928" i="158"/>
  <c r="G7927" i="158"/>
  <c r="G7926" i="158"/>
  <c r="G7925" i="158"/>
  <c r="G7924" i="158"/>
  <c r="G7923" i="158"/>
  <c r="G7922" i="158"/>
  <c r="G7921" i="158"/>
  <c r="G7920" i="158"/>
  <c r="G7919" i="158"/>
  <c r="G7918" i="158"/>
  <c r="G7917" i="158"/>
  <c r="G7916" i="158"/>
  <c r="G7915" i="158"/>
  <c r="G7914" i="158"/>
  <c r="F7913" i="158"/>
  <c r="E7913" i="158"/>
  <c r="D7913" i="158"/>
  <c r="G7912" i="158"/>
  <c r="G7911" i="158"/>
  <c r="G7910" i="158"/>
  <c r="G7909" i="158"/>
  <c r="G7908" i="158"/>
  <c r="G7907" i="158"/>
  <c r="G7906" i="158"/>
  <c r="G7905" i="158"/>
  <c r="G7904" i="158"/>
  <c r="G7903" i="158"/>
  <c r="G7902" i="158"/>
  <c r="G7901" i="158"/>
  <c r="G7900" i="158"/>
  <c r="G7899" i="158"/>
  <c r="G7898" i="158"/>
  <c r="F7897" i="158"/>
  <c r="E7897" i="158"/>
  <c r="D7897" i="158"/>
  <c r="G7896" i="158"/>
  <c r="G7895" i="158"/>
  <c r="G7894" i="158"/>
  <c r="G7893" i="158"/>
  <c r="G7892" i="158"/>
  <c r="G7891" i="158"/>
  <c r="G7890" i="158"/>
  <c r="G7889" i="158"/>
  <c r="G7888" i="158"/>
  <c r="G7887" i="158"/>
  <c r="G7886" i="158"/>
  <c r="G7885" i="158"/>
  <c r="G7884" i="158"/>
  <c r="G7883" i="158"/>
  <c r="G7882" i="158"/>
  <c r="F7865" i="158"/>
  <c r="E7865" i="158"/>
  <c r="D7865" i="158"/>
  <c r="G7864" i="158"/>
  <c r="G7863" i="158"/>
  <c r="G7862" i="158"/>
  <c r="G7861" i="158"/>
  <c r="G7860" i="158"/>
  <c r="G7859" i="158"/>
  <c r="G7858" i="158"/>
  <c r="G7857" i="158"/>
  <c r="G7856" i="158"/>
  <c r="G7855" i="158"/>
  <c r="G7854" i="158"/>
  <c r="G7853" i="158"/>
  <c r="G7852" i="158"/>
  <c r="G7851" i="158"/>
  <c r="G7850" i="158"/>
  <c r="F7849" i="158"/>
  <c r="E7849" i="158"/>
  <c r="D7849" i="158"/>
  <c r="G7848" i="158"/>
  <c r="G7847" i="158"/>
  <c r="G7846" i="158"/>
  <c r="G7845" i="158"/>
  <c r="G7844" i="158"/>
  <c r="G7843" i="158"/>
  <c r="G7842" i="158"/>
  <c r="G7841" i="158"/>
  <c r="G7840" i="158"/>
  <c r="G7839" i="158"/>
  <c r="G7838" i="158"/>
  <c r="G7837" i="158"/>
  <c r="G7836" i="158"/>
  <c r="G7835" i="158"/>
  <c r="G7834" i="158"/>
  <c r="F7833" i="158"/>
  <c r="E7833" i="158"/>
  <c r="D7833" i="158"/>
  <c r="G7832" i="158"/>
  <c r="G7831" i="158"/>
  <c r="G7830" i="158"/>
  <c r="G7829" i="158"/>
  <c r="G7828" i="158"/>
  <c r="G7827" i="158"/>
  <c r="G7826" i="158"/>
  <c r="G7825" i="158"/>
  <c r="G7824" i="158"/>
  <c r="G7823" i="158"/>
  <c r="G7822" i="158"/>
  <c r="G7821" i="158"/>
  <c r="G7820" i="158"/>
  <c r="G7819" i="158"/>
  <c r="G7818" i="158"/>
  <c r="F7817" i="158"/>
  <c r="E7817" i="158"/>
  <c r="D7817" i="158"/>
  <c r="G7816" i="158"/>
  <c r="G7815" i="158"/>
  <c r="G7814" i="158"/>
  <c r="G7813" i="158"/>
  <c r="G7812" i="158"/>
  <c r="G7811" i="158"/>
  <c r="G7810" i="158"/>
  <c r="G7809" i="158"/>
  <c r="G7808" i="158"/>
  <c r="G7807" i="158"/>
  <c r="G7806" i="158"/>
  <c r="G7805" i="158"/>
  <c r="G7804" i="158"/>
  <c r="G7803" i="158"/>
  <c r="G7802" i="158"/>
  <c r="F7801" i="158"/>
  <c r="E7801" i="158"/>
  <c r="D7801" i="158"/>
  <c r="G7800" i="158"/>
  <c r="G7799" i="158"/>
  <c r="G7798" i="158"/>
  <c r="G7797" i="158"/>
  <c r="G7796" i="158"/>
  <c r="G7795" i="158"/>
  <c r="G7794" i="158"/>
  <c r="G7793" i="158"/>
  <c r="G7792" i="158"/>
  <c r="G7791" i="158"/>
  <c r="G7790" i="158"/>
  <c r="G7789" i="158"/>
  <c r="G7788" i="158"/>
  <c r="G7787" i="158"/>
  <c r="G7786" i="158"/>
  <c r="F7785" i="158"/>
  <c r="E7785" i="158"/>
  <c r="D7785" i="158"/>
  <c r="G7784" i="158"/>
  <c r="G7783" i="158"/>
  <c r="G7782" i="158"/>
  <c r="G7781" i="158"/>
  <c r="G7780" i="158"/>
  <c r="G7779" i="158"/>
  <c r="G7778" i="158"/>
  <c r="G7777" i="158"/>
  <c r="G7776" i="158"/>
  <c r="G7775" i="158"/>
  <c r="G7774" i="158"/>
  <c r="G7773" i="158"/>
  <c r="G7772" i="158"/>
  <c r="G7771" i="158"/>
  <c r="G7770" i="158"/>
  <c r="F7769" i="158"/>
  <c r="E7769" i="158"/>
  <c r="D7769" i="158"/>
  <c r="G7768" i="158"/>
  <c r="G7767" i="158"/>
  <c r="G7766" i="158"/>
  <c r="G7765" i="158"/>
  <c r="G7764" i="158"/>
  <c r="G7763" i="158"/>
  <c r="G7762" i="158"/>
  <c r="G7761" i="158"/>
  <c r="G7760" i="158"/>
  <c r="G7759" i="158"/>
  <c r="G7758" i="158"/>
  <c r="G7757" i="158"/>
  <c r="G7756" i="158"/>
  <c r="G7755" i="158"/>
  <c r="G7754" i="158"/>
  <c r="F7753" i="158"/>
  <c r="E7753" i="158"/>
  <c r="D7753" i="158"/>
  <c r="G7752" i="158"/>
  <c r="G7751" i="158"/>
  <c r="G7750" i="158"/>
  <c r="G7749" i="158"/>
  <c r="G7748" i="158"/>
  <c r="G7747" i="158"/>
  <c r="G7746" i="158"/>
  <c r="G7745" i="158"/>
  <c r="G7744" i="158"/>
  <c r="G7743" i="158"/>
  <c r="G7742" i="158"/>
  <c r="G7741" i="158"/>
  <c r="G7740" i="158"/>
  <c r="G7739" i="158"/>
  <c r="G7738" i="158"/>
  <c r="F7737" i="158"/>
  <c r="E7737" i="158"/>
  <c r="D7737" i="158"/>
  <c r="G7736" i="158"/>
  <c r="G7735" i="158"/>
  <c r="G7734" i="158"/>
  <c r="G7733" i="158"/>
  <c r="G7732" i="158"/>
  <c r="G7731" i="158"/>
  <c r="G7730" i="158"/>
  <c r="G7729" i="158"/>
  <c r="G7728" i="158"/>
  <c r="G7727" i="158"/>
  <c r="G7726" i="158"/>
  <c r="G7725" i="158"/>
  <c r="G7724" i="158"/>
  <c r="G7723" i="158"/>
  <c r="G7722" i="158"/>
  <c r="F7721" i="158"/>
  <c r="E7721" i="158"/>
  <c r="D7721" i="158"/>
  <c r="G7720" i="158"/>
  <c r="G7719" i="158"/>
  <c r="G7718" i="158"/>
  <c r="G7717" i="158"/>
  <c r="G7716" i="158"/>
  <c r="G7715" i="158"/>
  <c r="G7714" i="158"/>
  <c r="G7713" i="158"/>
  <c r="G7712" i="158"/>
  <c r="G7711" i="158"/>
  <c r="G7710" i="158"/>
  <c r="G7709" i="158"/>
  <c r="G7708" i="158"/>
  <c r="G7707" i="158"/>
  <c r="G7706" i="158"/>
  <c r="F7705" i="158"/>
  <c r="E7705" i="158"/>
  <c r="D7705" i="158"/>
  <c r="G7704" i="158"/>
  <c r="G7703" i="158"/>
  <c r="G7702" i="158"/>
  <c r="G7701" i="158"/>
  <c r="G7700" i="158"/>
  <c r="G7699" i="158"/>
  <c r="G7698" i="158"/>
  <c r="G7697" i="158"/>
  <c r="G7696" i="158"/>
  <c r="G7695" i="158"/>
  <c r="G7694" i="158"/>
  <c r="G7693" i="158"/>
  <c r="G7692" i="158"/>
  <c r="G7691" i="158"/>
  <c r="G7690" i="158"/>
  <c r="F7689" i="158"/>
  <c r="E7689" i="158"/>
  <c r="D7689" i="158"/>
  <c r="G7688" i="158"/>
  <c r="G7687" i="158"/>
  <c r="G7686" i="158"/>
  <c r="G7685" i="158"/>
  <c r="G7684" i="158"/>
  <c r="G7683" i="158"/>
  <c r="G7682" i="158"/>
  <c r="G7681" i="158"/>
  <c r="G7680" i="158"/>
  <c r="G7679" i="158"/>
  <c r="G7678" i="158"/>
  <c r="G7677" i="158"/>
  <c r="G7676" i="158"/>
  <c r="G7675" i="158"/>
  <c r="G7674" i="158"/>
  <c r="D7673" i="158"/>
  <c r="G7672" i="158"/>
  <c r="G7671" i="158"/>
  <c r="G7670" i="158"/>
  <c r="G7669" i="158"/>
  <c r="G7668" i="158"/>
  <c r="G7667" i="158"/>
  <c r="G7666" i="158"/>
  <c r="G7665" i="158"/>
  <c r="G7664" i="158"/>
  <c r="G7663" i="158"/>
  <c r="G7662" i="158"/>
  <c r="G7661" i="158"/>
  <c r="G7660" i="158"/>
  <c r="G7659" i="158"/>
  <c r="G7658" i="158"/>
  <c r="F7657" i="158"/>
  <c r="E7657" i="158"/>
  <c r="D7657" i="158"/>
  <c r="G7656" i="158"/>
  <c r="G7655" i="158"/>
  <c r="G7654" i="158"/>
  <c r="G7653" i="158"/>
  <c r="G7652" i="158"/>
  <c r="G7651" i="158"/>
  <c r="G7650" i="158"/>
  <c r="G7649" i="158"/>
  <c r="G7648" i="158"/>
  <c r="G7647" i="158"/>
  <c r="G7646" i="158"/>
  <c r="G7645" i="158"/>
  <c r="G7644" i="158"/>
  <c r="G7643" i="158"/>
  <c r="G7642" i="158"/>
  <c r="F7641" i="158"/>
  <c r="E7641" i="158"/>
  <c r="D7641" i="158"/>
  <c r="G7640" i="158"/>
  <c r="G7639" i="158"/>
  <c r="G7638" i="158"/>
  <c r="G7637" i="158"/>
  <c r="G7636" i="158"/>
  <c r="G7635" i="158"/>
  <c r="G7634" i="158"/>
  <c r="G7633" i="158"/>
  <c r="G7632" i="158"/>
  <c r="G7631" i="158"/>
  <c r="G7630" i="158"/>
  <c r="G7629" i="158"/>
  <c r="G7628" i="158"/>
  <c r="G7627" i="158"/>
  <c r="G7626" i="158"/>
  <c r="F7625" i="158"/>
  <c r="E7625" i="158"/>
  <c r="D7625" i="158"/>
  <c r="G7624" i="158"/>
  <c r="G7623" i="158"/>
  <c r="G7622" i="158"/>
  <c r="G7621" i="158"/>
  <c r="G7620" i="158"/>
  <c r="G7619" i="158"/>
  <c r="G7618" i="158"/>
  <c r="G7617" i="158"/>
  <c r="G7616" i="158"/>
  <c r="G7615" i="158"/>
  <c r="G7614" i="158"/>
  <c r="G7613" i="158"/>
  <c r="G7612" i="158"/>
  <c r="G7611" i="158"/>
  <c r="G7610" i="158"/>
  <c r="F7609" i="158"/>
  <c r="E7609" i="158"/>
  <c r="D7609" i="158"/>
  <c r="G7608" i="158"/>
  <c r="G7607" i="158"/>
  <c r="G7606" i="158"/>
  <c r="G7605" i="158"/>
  <c r="G7604" i="158"/>
  <c r="G7603" i="158"/>
  <c r="G7602" i="158"/>
  <c r="G7601" i="158"/>
  <c r="G7600" i="158"/>
  <c r="G7599" i="158"/>
  <c r="G7598" i="158"/>
  <c r="G7597" i="158"/>
  <c r="G7596" i="158"/>
  <c r="G7595" i="158"/>
  <c r="G7594" i="158"/>
  <c r="F7593" i="158"/>
  <c r="E7593" i="158"/>
  <c r="D7593" i="158"/>
  <c r="G7592" i="158"/>
  <c r="G7591" i="158"/>
  <c r="G7590" i="158"/>
  <c r="G7589" i="158"/>
  <c r="G7588" i="158"/>
  <c r="G7587" i="158"/>
  <c r="G7586" i="158"/>
  <c r="G7585" i="158"/>
  <c r="G7584" i="158"/>
  <c r="G7583" i="158"/>
  <c r="G7582" i="158"/>
  <c r="G7581" i="158"/>
  <c r="G7580" i="158"/>
  <c r="G7579" i="158"/>
  <c r="G7578" i="158"/>
  <c r="F7577" i="158"/>
  <c r="E7577" i="158"/>
  <c r="D7577" i="158"/>
  <c r="G7576" i="158"/>
  <c r="G7575" i="158"/>
  <c r="G7574" i="158"/>
  <c r="G7573" i="158"/>
  <c r="G7572" i="158"/>
  <c r="G7571" i="158"/>
  <c r="G7570" i="158"/>
  <c r="G7569" i="158"/>
  <c r="G7568" i="158"/>
  <c r="G7567" i="158"/>
  <c r="G7566" i="158"/>
  <c r="G7565" i="158"/>
  <c r="G7564" i="158"/>
  <c r="G7563" i="158"/>
  <c r="G7562" i="158"/>
  <c r="F7561" i="158"/>
  <c r="E7561" i="158"/>
  <c r="D7561" i="158"/>
  <c r="G7560" i="158"/>
  <c r="G7559" i="158"/>
  <c r="G7558" i="158"/>
  <c r="G7557" i="158"/>
  <c r="G7556" i="158"/>
  <c r="G7555" i="158"/>
  <c r="G7554" i="158"/>
  <c r="G7553" i="158"/>
  <c r="G7552" i="158"/>
  <c r="G7551" i="158"/>
  <c r="G7550" i="158"/>
  <c r="G7549" i="158"/>
  <c r="G7548" i="158"/>
  <c r="G7547" i="158"/>
  <c r="G7546" i="158"/>
  <c r="F7545" i="158"/>
  <c r="E7545" i="158"/>
  <c r="D7545" i="158"/>
  <c r="G7544" i="158"/>
  <c r="G7543" i="158"/>
  <c r="G7542" i="158"/>
  <c r="G7541" i="158"/>
  <c r="G7540" i="158"/>
  <c r="G7539" i="158"/>
  <c r="G7538" i="158"/>
  <c r="G7537" i="158"/>
  <c r="G7536" i="158"/>
  <c r="G7535" i="158"/>
  <c r="G7534" i="158"/>
  <c r="G7533" i="158"/>
  <c r="G7532" i="158"/>
  <c r="G7531" i="158"/>
  <c r="G7530" i="158"/>
  <c r="F7529" i="158"/>
  <c r="E7529" i="158"/>
  <c r="D7529" i="158"/>
  <c r="G7528" i="158"/>
  <c r="G7527" i="158"/>
  <c r="G7526" i="158"/>
  <c r="G7525" i="158"/>
  <c r="G7524" i="158"/>
  <c r="G7523" i="158"/>
  <c r="G7522" i="158"/>
  <c r="G7521" i="158"/>
  <c r="G7520" i="158"/>
  <c r="G7519" i="158"/>
  <c r="G7518" i="158"/>
  <c r="G7517" i="158"/>
  <c r="G7516" i="158"/>
  <c r="G7515" i="158"/>
  <c r="G7514" i="158"/>
  <c r="F7513" i="158"/>
  <c r="E7513" i="158"/>
  <c r="D7513" i="158"/>
  <c r="G7512" i="158"/>
  <c r="G7511" i="158"/>
  <c r="G7510" i="158"/>
  <c r="G7509" i="158"/>
  <c r="G7508" i="158"/>
  <c r="G7507" i="158"/>
  <c r="G7506" i="158"/>
  <c r="G7505" i="158"/>
  <c r="G7504" i="158"/>
  <c r="G7503" i="158"/>
  <c r="G7502" i="158"/>
  <c r="G7501" i="158"/>
  <c r="G7500" i="158"/>
  <c r="G7499" i="158"/>
  <c r="G7498" i="158"/>
  <c r="F7497" i="158"/>
  <c r="E7497" i="158"/>
  <c r="D7497" i="158"/>
  <c r="G7496" i="158"/>
  <c r="G7495" i="158"/>
  <c r="G7494" i="158"/>
  <c r="G7493" i="158"/>
  <c r="G7492" i="158"/>
  <c r="G7491" i="158"/>
  <c r="G7490" i="158"/>
  <c r="G7489" i="158"/>
  <c r="G7488" i="158"/>
  <c r="G7487" i="158"/>
  <c r="G7486" i="158"/>
  <c r="G7485" i="158"/>
  <c r="G7484" i="158"/>
  <c r="G7483" i="158"/>
  <c r="G7482" i="158"/>
  <c r="F7481" i="158"/>
  <c r="E7481" i="158"/>
  <c r="D7481" i="158"/>
  <c r="G7480" i="158"/>
  <c r="G7479" i="158"/>
  <c r="G7478" i="158"/>
  <c r="G7477" i="158"/>
  <c r="G7476" i="158"/>
  <c r="G7475" i="158"/>
  <c r="G7474" i="158"/>
  <c r="G7473" i="158"/>
  <c r="G7472" i="158"/>
  <c r="G7471" i="158"/>
  <c r="G7470" i="158"/>
  <c r="G7469" i="158"/>
  <c r="G7468" i="158"/>
  <c r="G7467" i="158"/>
  <c r="G7466" i="158"/>
  <c r="F7465" i="158"/>
  <c r="E7465" i="158"/>
  <c r="D7465" i="158"/>
  <c r="G7464" i="158"/>
  <c r="G7463" i="158"/>
  <c r="G7462" i="158"/>
  <c r="G7461" i="158"/>
  <c r="G7460" i="158"/>
  <c r="G7459" i="158"/>
  <c r="G7458" i="158"/>
  <c r="G7457" i="158"/>
  <c r="G7456" i="158"/>
  <c r="G7455" i="158"/>
  <c r="G7454" i="158"/>
  <c r="G7453" i="158"/>
  <c r="G7452" i="158"/>
  <c r="G7451" i="158"/>
  <c r="G7450" i="158"/>
  <c r="F7449" i="158"/>
  <c r="E7449" i="158"/>
  <c r="D7449" i="158"/>
  <c r="G7448" i="158"/>
  <c r="G7447" i="158"/>
  <c r="G7446" i="158"/>
  <c r="G7445" i="158"/>
  <c r="G7444" i="158"/>
  <c r="G7443" i="158"/>
  <c r="G7442" i="158"/>
  <c r="G7441" i="158"/>
  <c r="G7440" i="158"/>
  <c r="G7439" i="158"/>
  <c r="G7438" i="158"/>
  <c r="G7437" i="158"/>
  <c r="G7436" i="158"/>
  <c r="G7435" i="158"/>
  <c r="G7434" i="158"/>
  <c r="F7433" i="158"/>
  <c r="E7433" i="158"/>
  <c r="D7433" i="158"/>
  <c r="G7432" i="158"/>
  <c r="G7431" i="158"/>
  <c r="G7430" i="158"/>
  <c r="G7429" i="158"/>
  <c r="G7428" i="158"/>
  <c r="G7427" i="158"/>
  <c r="G7426" i="158"/>
  <c r="G7425" i="158"/>
  <c r="G7424" i="158"/>
  <c r="G7423" i="158"/>
  <c r="G7422" i="158"/>
  <c r="G7421" i="158"/>
  <c r="G7420" i="158"/>
  <c r="G7419" i="158"/>
  <c r="G7418" i="158"/>
  <c r="F7417" i="158"/>
  <c r="E7417" i="158"/>
  <c r="D7417" i="158"/>
  <c r="G7416" i="158"/>
  <c r="G7415" i="158"/>
  <c r="G7414" i="158"/>
  <c r="G7413" i="158"/>
  <c r="G7412" i="158"/>
  <c r="G7411" i="158"/>
  <c r="G7410" i="158"/>
  <c r="G7409" i="158"/>
  <c r="G7408" i="158"/>
  <c r="G7407" i="158"/>
  <c r="G7406" i="158"/>
  <c r="G7405" i="158"/>
  <c r="G7404" i="158"/>
  <c r="G7403" i="158"/>
  <c r="G7402" i="158"/>
  <c r="F7401" i="158"/>
  <c r="E7401" i="158"/>
  <c r="D7401" i="158"/>
  <c r="G7400" i="158"/>
  <c r="G7399" i="158"/>
  <c r="G7398" i="158"/>
  <c r="G7397" i="158"/>
  <c r="G7396" i="158"/>
  <c r="G7395" i="158"/>
  <c r="G7394" i="158"/>
  <c r="G7393" i="158"/>
  <c r="G7392" i="158"/>
  <c r="G7391" i="158"/>
  <c r="G7390" i="158"/>
  <c r="G7389" i="158"/>
  <c r="G7388" i="158"/>
  <c r="G7387" i="158"/>
  <c r="G7386" i="158"/>
  <c r="F7385" i="158"/>
  <c r="E7385" i="158"/>
  <c r="D7385" i="158"/>
  <c r="G7384" i="158"/>
  <c r="G7383" i="158"/>
  <c r="G7382" i="158"/>
  <c r="G7381" i="158"/>
  <c r="G7380" i="158"/>
  <c r="G7379" i="158"/>
  <c r="G7378" i="158"/>
  <c r="G7377" i="158"/>
  <c r="G7376" i="158"/>
  <c r="G7375" i="158"/>
  <c r="G7374" i="158"/>
  <c r="G7373" i="158"/>
  <c r="G7372" i="158"/>
  <c r="G7371" i="158"/>
  <c r="G7370" i="158"/>
  <c r="F7369" i="158"/>
  <c r="E7369" i="158"/>
  <c r="D7369" i="158"/>
  <c r="G7368" i="158"/>
  <c r="G7367" i="158"/>
  <c r="G7366" i="158"/>
  <c r="G7365" i="158"/>
  <c r="G7364" i="158"/>
  <c r="G7363" i="158"/>
  <c r="G7362" i="158"/>
  <c r="G7361" i="158"/>
  <c r="G7360" i="158"/>
  <c r="G7359" i="158"/>
  <c r="G7358" i="158"/>
  <c r="G7357" i="158"/>
  <c r="G7356" i="158"/>
  <c r="G7355" i="158"/>
  <c r="G7354" i="158"/>
  <c r="F7353" i="158"/>
  <c r="E7353" i="158"/>
  <c r="D7353" i="158"/>
  <c r="G7352" i="158"/>
  <c r="G7351" i="158"/>
  <c r="G7350" i="158"/>
  <c r="G7349" i="158"/>
  <c r="G7348" i="158"/>
  <c r="G7347" i="158"/>
  <c r="G7346" i="158"/>
  <c r="G7345" i="158"/>
  <c r="G7344" i="158"/>
  <c r="G7343" i="158"/>
  <c r="G7342" i="158"/>
  <c r="G7341" i="158"/>
  <c r="G7340" i="158"/>
  <c r="G7339" i="158"/>
  <c r="G7338" i="158"/>
  <c r="E7337" i="158"/>
  <c r="D7337" i="158"/>
  <c r="G7336" i="158"/>
  <c r="G7335" i="158"/>
  <c r="G7334" i="158"/>
  <c r="G7333" i="158"/>
  <c r="G7332" i="158"/>
  <c r="F7331" i="158"/>
  <c r="G7331" i="158" s="1"/>
  <c r="G7330" i="158"/>
  <c r="G7329" i="158"/>
  <c r="G7328" i="158"/>
  <c r="G7327" i="158"/>
  <c r="G7326" i="158"/>
  <c r="G7325" i="158"/>
  <c r="G7324" i="158"/>
  <c r="G7323" i="158"/>
  <c r="F7323" i="158"/>
  <c r="G7322" i="158"/>
  <c r="F7321" i="158"/>
  <c r="E7321" i="158"/>
  <c r="D7321" i="158"/>
  <c r="G7320" i="158"/>
  <c r="G7319" i="158"/>
  <c r="G7318" i="158"/>
  <c r="G7317" i="158"/>
  <c r="G7316" i="158"/>
  <c r="G7315" i="158"/>
  <c r="G7314" i="158"/>
  <c r="G7313" i="158"/>
  <c r="G7312" i="158"/>
  <c r="G7311" i="158"/>
  <c r="G7310" i="158"/>
  <c r="G7309" i="158"/>
  <c r="G7308" i="158"/>
  <c r="G7307" i="158"/>
  <c r="G7306" i="158"/>
  <c r="F7305" i="158"/>
  <c r="E7305" i="158"/>
  <c r="D7305" i="158"/>
  <c r="G7304" i="158"/>
  <c r="G7303" i="158"/>
  <c r="G7302" i="158"/>
  <c r="G7301" i="158"/>
  <c r="G7300" i="158"/>
  <c r="G7299" i="158"/>
  <c r="G7298" i="158"/>
  <c r="G7297" i="158"/>
  <c r="G7296" i="158"/>
  <c r="G7295" i="158"/>
  <c r="G7294" i="158"/>
  <c r="G7293" i="158"/>
  <c r="G7292" i="158"/>
  <c r="G7291" i="158"/>
  <c r="G7290" i="158"/>
  <c r="F7289" i="158"/>
  <c r="E7289" i="158"/>
  <c r="D7289" i="158"/>
  <c r="G7288" i="158"/>
  <c r="G7287" i="158"/>
  <c r="G7286" i="158"/>
  <c r="G7285" i="158"/>
  <c r="G7284" i="158"/>
  <c r="G7283" i="158"/>
  <c r="G7282" i="158"/>
  <c r="G7281" i="158"/>
  <c r="G7280" i="158"/>
  <c r="G7279" i="158"/>
  <c r="G7278" i="158"/>
  <c r="G7277" i="158"/>
  <c r="G7276" i="158"/>
  <c r="G7275" i="158"/>
  <c r="G7274" i="158"/>
  <c r="F7273" i="158"/>
  <c r="E7273" i="158"/>
  <c r="D7273" i="158"/>
  <c r="G7272" i="158"/>
  <c r="G7271" i="158"/>
  <c r="G7270" i="158"/>
  <c r="G7269" i="158"/>
  <c r="G7268" i="158"/>
  <c r="G7267" i="158"/>
  <c r="G7266" i="158"/>
  <c r="G7265" i="158"/>
  <c r="G7264" i="158"/>
  <c r="G7263" i="158"/>
  <c r="G7262" i="158"/>
  <c r="G7261" i="158"/>
  <c r="G7260" i="158"/>
  <c r="G7259" i="158"/>
  <c r="G7258" i="158"/>
  <c r="F7257" i="158"/>
  <c r="E7257" i="158"/>
  <c r="D7257" i="158"/>
  <c r="G7256" i="158"/>
  <c r="G7255" i="158"/>
  <c r="G7254" i="158"/>
  <c r="G7253" i="158"/>
  <c r="G7252" i="158"/>
  <c r="G7251" i="158"/>
  <c r="G7250" i="158"/>
  <c r="G7249" i="158"/>
  <c r="G7248" i="158"/>
  <c r="G7247" i="158"/>
  <c r="G7246" i="158"/>
  <c r="G7245" i="158"/>
  <c r="G7244" i="158"/>
  <c r="G7243" i="158"/>
  <c r="G7242" i="158"/>
  <c r="E7241" i="158"/>
  <c r="D7241" i="158"/>
  <c r="G7240" i="158"/>
  <c r="G7239" i="158"/>
  <c r="G7238" i="158"/>
  <c r="G7237" i="158"/>
  <c r="G7236" i="158"/>
  <c r="F7235" i="158"/>
  <c r="G7235" i="158" s="1"/>
  <c r="G7234" i="158"/>
  <c r="G7233" i="158"/>
  <c r="G7232" i="158"/>
  <c r="G7231" i="158"/>
  <c r="G7230" i="158"/>
  <c r="G7229" i="158"/>
  <c r="G7228" i="158"/>
  <c r="G7227" i="158"/>
  <c r="F7227" i="158"/>
  <c r="G7226" i="158"/>
  <c r="F7225" i="158"/>
  <c r="E7225" i="158"/>
  <c r="D7225" i="158"/>
  <c r="G7224" i="158"/>
  <c r="G7223" i="158"/>
  <c r="G7222" i="158"/>
  <c r="G7221" i="158"/>
  <c r="G7220" i="158"/>
  <c r="G7219" i="158"/>
  <c r="G7218" i="158"/>
  <c r="G7217" i="158"/>
  <c r="G7216" i="158"/>
  <c r="G7215" i="158"/>
  <c r="G7214" i="158"/>
  <c r="G7213" i="158"/>
  <c r="G7212" i="158"/>
  <c r="G7211" i="158"/>
  <c r="G7210" i="158"/>
  <c r="F7209" i="158"/>
  <c r="E7209" i="158"/>
  <c r="D7209" i="158"/>
  <c r="G7208" i="158"/>
  <c r="G7207" i="158"/>
  <c r="G7206" i="158"/>
  <c r="G7205" i="158"/>
  <c r="G7204" i="158"/>
  <c r="G7203" i="158"/>
  <c r="G7202" i="158"/>
  <c r="G7201" i="158"/>
  <c r="G7200" i="158"/>
  <c r="G7199" i="158"/>
  <c r="G7198" i="158"/>
  <c r="G7197" i="158"/>
  <c r="G7196" i="158"/>
  <c r="G7195" i="158"/>
  <c r="G7194" i="158"/>
  <c r="F7193" i="158"/>
  <c r="E7193" i="158"/>
  <c r="D7193" i="158"/>
  <c r="G7192" i="158"/>
  <c r="G7191" i="158"/>
  <c r="G7190" i="158"/>
  <c r="G7189" i="158"/>
  <c r="G7188" i="158"/>
  <c r="G7187" i="158"/>
  <c r="G7186" i="158"/>
  <c r="G7185" i="158"/>
  <c r="G7184" i="158"/>
  <c r="G7183" i="158"/>
  <c r="G7182" i="158"/>
  <c r="G7181" i="158"/>
  <c r="G7180" i="158"/>
  <c r="G7179" i="158"/>
  <c r="G7178" i="158"/>
  <c r="F7177" i="158"/>
  <c r="E7177" i="158"/>
  <c r="D7177" i="158"/>
  <c r="G7176" i="158"/>
  <c r="G7175" i="158"/>
  <c r="G7174" i="158"/>
  <c r="G7173" i="158"/>
  <c r="G7172" i="158"/>
  <c r="G7171" i="158"/>
  <c r="G7170" i="158"/>
  <c r="G7169" i="158"/>
  <c r="G7168" i="158"/>
  <c r="G7167" i="158"/>
  <c r="G7166" i="158"/>
  <c r="G7165" i="158"/>
  <c r="G7164" i="158"/>
  <c r="G7163" i="158"/>
  <c r="G7162" i="158"/>
  <c r="F7161" i="158"/>
  <c r="E7161" i="158"/>
  <c r="D7161" i="158"/>
  <c r="G7160" i="158"/>
  <c r="G7159" i="158"/>
  <c r="G7158" i="158"/>
  <c r="G7157" i="158"/>
  <c r="G7156" i="158"/>
  <c r="G7155" i="158"/>
  <c r="G7154" i="158"/>
  <c r="G7153" i="158"/>
  <c r="G7152" i="158"/>
  <c r="G7151" i="158"/>
  <c r="G7150" i="158"/>
  <c r="G7149" i="158"/>
  <c r="G7148" i="158"/>
  <c r="G7147" i="158"/>
  <c r="G7146" i="158"/>
  <c r="E7145" i="158"/>
  <c r="D7145" i="158"/>
  <c r="G7144" i="158"/>
  <c r="G7143" i="158"/>
  <c r="G7142" i="158"/>
  <c r="G7141" i="158"/>
  <c r="G7140" i="158"/>
  <c r="F7139" i="158"/>
  <c r="G7139" i="158" s="1"/>
  <c r="G7138" i="158"/>
  <c r="G7137" i="158"/>
  <c r="G7136" i="158"/>
  <c r="G7135" i="158"/>
  <c r="G7134" i="158"/>
  <c r="G7133" i="158"/>
  <c r="G7132" i="158"/>
  <c r="G7131" i="158"/>
  <c r="F7131" i="158"/>
  <c r="G7130" i="158"/>
  <c r="F7129" i="158"/>
  <c r="E7129" i="158"/>
  <c r="D7129" i="158"/>
  <c r="G7128" i="158"/>
  <c r="G7127" i="158"/>
  <c r="G7126" i="158"/>
  <c r="G7125" i="158"/>
  <c r="G7124" i="158"/>
  <c r="G7123" i="158"/>
  <c r="G7122" i="158"/>
  <c r="G7121" i="158"/>
  <c r="G7120" i="158"/>
  <c r="G7119" i="158"/>
  <c r="G7118" i="158"/>
  <c r="G7117" i="158"/>
  <c r="G7116" i="158"/>
  <c r="G7115" i="158"/>
  <c r="G7114" i="158"/>
  <c r="F7113" i="158"/>
  <c r="E7113" i="158"/>
  <c r="D7113" i="158"/>
  <c r="G7112" i="158"/>
  <c r="G7111" i="158"/>
  <c r="G7110" i="158"/>
  <c r="G7109" i="158"/>
  <c r="G7108" i="158"/>
  <c r="G7107" i="158"/>
  <c r="G7106" i="158"/>
  <c r="G7105" i="158"/>
  <c r="G7104" i="158"/>
  <c r="G7103" i="158"/>
  <c r="G7102" i="158"/>
  <c r="G7101" i="158"/>
  <c r="G7100" i="158"/>
  <c r="G7099" i="158"/>
  <c r="G7098" i="158"/>
  <c r="F7097" i="158"/>
  <c r="E7097" i="158"/>
  <c r="D7097" i="158"/>
  <c r="G7096" i="158"/>
  <c r="G7095" i="158"/>
  <c r="G7094" i="158"/>
  <c r="G7093" i="158"/>
  <c r="G7092" i="158"/>
  <c r="G7091" i="158"/>
  <c r="G7090" i="158"/>
  <c r="G7089" i="158"/>
  <c r="G7088" i="158"/>
  <c r="G7087" i="158"/>
  <c r="G7086" i="158"/>
  <c r="G7085" i="158"/>
  <c r="G7084" i="158"/>
  <c r="G7083" i="158"/>
  <c r="G7082" i="158"/>
  <c r="F7081" i="158"/>
  <c r="E7081" i="158"/>
  <c r="D7081" i="158"/>
  <c r="G7080" i="158"/>
  <c r="G7079" i="158"/>
  <c r="G7078" i="158"/>
  <c r="G7077" i="158"/>
  <c r="G7076" i="158"/>
  <c r="G7075" i="158"/>
  <c r="G7074" i="158"/>
  <c r="G7073" i="158"/>
  <c r="G7072" i="158"/>
  <c r="G7071" i="158"/>
  <c r="G7070" i="158"/>
  <c r="G7069" i="158"/>
  <c r="G7068" i="158"/>
  <c r="G7067" i="158"/>
  <c r="G7066" i="158"/>
  <c r="F7065" i="158"/>
  <c r="E7065" i="158"/>
  <c r="D7065" i="158"/>
  <c r="G7064" i="158"/>
  <c r="G7063" i="158"/>
  <c r="G7062" i="158"/>
  <c r="G7061" i="158"/>
  <c r="G7060" i="158"/>
  <c r="G7059" i="158"/>
  <c r="G7058" i="158"/>
  <c r="G7057" i="158"/>
  <c r="G7056" i="158"/>
  <c r="G7055" i="158"/>
  <c r="G7054" i="158"/>
  <c r="G7053" i="158"/>
  <c r="G7052" i="158"/>
  <c r="G7051" i="158"/>
  <c r="G7050" i="158"/>
  <c r="F7049" i="158"/>
  <c r="E7049" i="158"/>
  <c r="D7049" i="158"/>
  <c r="G7048" i="158"/>
  <c r="G7047" i="158"/>
  <c r="G7046" i="158"/>
  <c r="G7045" i="158"/>
  <c r="G7044" i="158"/>
  <c r="G7043" i="158"/>
  <c r="G7042" i="158"/>
  <c r="G7041" i="158"/>
  <c r="G7040" i="158"/>
  <c r="G7039" i="158"/>
  <c r="G7038" i="158"/>
  <c r="G7037" i="158"/>
  <c r="G7036" i="158"/>
  <c r="G7035" i="158"/>
  <c r="G7034" i="158"/>
  <c r="F7033" i="158"/>
  <c r="E7033" i="158"/>
  <c r="D7033" i="158"/>
  <c r="G7032" i="158"/>
  <c r="G7031" i="158"/>
  <c r="G7030" i="158"/>
  <c r="G7029" i="158"/>
  <c r="G7028" i="158"/>
  <c r="G7027" i="158"/>
  <c r="G7026" i="158"/>
  <c r="G7025" i="158"/>
  <c r="G7024" i="158"/>
  <c r="G7023" i="158"/>
  <c r="G7022" i="158"/>
  <c r="G7021" i="158"/>
  <c r="G7020" i="158"/>
  <c r="G7019" i="158"/>
  <c r="G7018" i="158"/>
  <c r="F7017" i="158"/>
  <c r="E7017" i="158"/>
  <c r="D7017" i="158"/>
  <c r="G7016" i="158"/>
  <c r="G7015" i="158"/>
  <c r="G7014" i="158"/>
  <c r="G7013" i="158"/>
  <c r="G7012" i="158"/>
  <c r="G7011" i="158"/>
  <c r="G7010" i="158"/>
  <c r="G7009" i="158"/>
  <c r="G7008" i="158"/>
  <c r="G7007" i="158"/>
  <c r="G7006" i="158"/>
  <c r="G7005" i="158"/>
  <c r="G7004" i="158"/>
  <c r="G7003" i="158"/>
  <c r="G7002" i="158"/>
  <c r="F7001" i="158"/>
  <c r="E7001" i="158"/>
  <c r="D7001" i="158"/>
  <c r="G7000" i="158"/>
  <c r="G6999" i="158"/>
  <c r="G6998" i="158"/>
  <c r="G6997" i="158"/>
  <c r="G6996" i="158"/>
  <c r="G6995" i="158"/>
  <c r="G6994" i="158"/>
  <c r="G6993" i="158"/>
  <c r="G6992" i="158"/>
  <c r="G6991" i="158"/>
  <c r="G6990" i="158"/>
  <c r="G6989" i="158"/>
  <c r="G6988" i="158"/>
  <c r="G6987" i="158"/>
  <c r="G6986" i="158"/>
  <c r="F6985" i="158"/>
  <c r="E6985" i="158"/>
  <c r="D6985" i="158"/>
  <c r="G6984" i="158"/>
  <c r="G6983" i="158"/>
  <c r="G6982" i="158"/>
  <c r="G6981" i="158"/>
  <c r="G6980" i="158"/>
  <c r="G6979" i="158"/>
  <c r="G6978" i="158"/>
  <c r="G6977" i="158"/>
  <c r="G6976" i="158"/>
  <c r="G6975" i="158"/>
  <c r="G6974" i="158"/>
  <c r="G6973" i="158"/>
  <c r="G6972" i="158"/>
  <c r="G6971" i="158"/>
  <c r="G6970" i="158"/>
  <c r="F6969" i="158"/>
  <c r="E6969" i="158"/>
  <c r="D6969" i="158"/>
  <c r="G6968" i="158"/>
  <c r="G6967" i="158"/>
  <c r="G6966" i="158"/>
  <c r="G6965" i="158"/>
  <c r="G6964" i="158"/>
  <c r="G6963" i="158"/>
  <c r="G6962" i="158"/>
  <c r="G6961" i="158"/>
  <c r="G6960" i="158"/>
  <c r="G6959" i="158"/>
  <c r="G6958" i="158"/>
  <c r="G6957" i="158"/>
  <c r="G6956" i="158"/>
  <c r="G6955" i="158"/>
  <c r="G6954" i="158"/>
  <c r="F6937" i="158"/>
  <c r="E6937" i="158"/>
  <c r="D6937" i="158"/>
  <c r="G6936" i="158"/>
  <c r="G6935" i="158"/>
  <c r="G6934" i="158"/>
  <c r="G6933" i="158"/>
  <c r="G6932" i="158"/>
  <c r="G6931" i="158"/>
  <c r="G6930" i="158"/>
  <c r="G6929" i="158"/>
  <c r="G6928" i="158"/>
  <c r="G6927" i="158"/>
  <c r="G6926" i="158"/>
  <c r="G6925" i="158"/>
  <c r="G6924" i="158"/>
  <c r="G6923" i="158"/>
  <c r="G6922" i="158"/>
  <c r="F6921" i="158"/>
  <c r="E6921" i="158"/>
  <c r="D6921" i="158"/>
  <c r="G6920" i="158"/>
  <c r="G6919" i="158"/>
  <c r="G6918" i="158"/>
  <c r="G6917" i="158"/>
  <c r="G6916" i="158"/>
  <c r="G6915" i="158"/>
  <c r="G6914" i="158"/>
  <c r="G6913" i="158"/>
  <c r="G6912" i="158"/>
  <c r="G6911" i="158"/>
  <c r="G6910" i="158"/>
  <c r="G6909" i="158"/>
  <c r="G6908" i="158"/>
  <c r="G6907" i="158"/>
  <c r="G6906" i="158"/>
  <c r="F6905" i="158"/>
  <c r="E6905" i="158"/>
  <c r="D6905" i="158"/>
  <c r="G6904" i="158"/>
  <c r="G6903" i="158"/>
  <c r="G6902" i="158"/>
  <c r="G6901" i="158"/>
  <c r="G6900" i="158"/>
  <c r="G6899" i="158"/>
  <c r="G6898" i="158"/>
  <c r="G6897" i="158"/>
  <c r="G6896" i="158"/>
  <c r="G6895" i="158"/>
  <c r="G6894" i="158"/>
  <c r="G6893" i="158"/>
  <c r="G6892" i="158"/>
  <c r="G6891" i="158"/>
  <c r="G6890" i="158"/>
  <c r="F6889" i="158"/>
  <c r="E6889" i="158"/>
  <c r="D6889" i="158"/>
  <c r="G6888" i="158"/>
  <c r="G6887" i="158"/>
  <c r="G6886" i="158"/>
  <c r="G6885" i="158"/>
  <c r="G6884" i="158"/>
  <c r="G6883" i="158"/>
  <c r="G6882" i="158"/>
  <c r="G6881" i="158"/>
  <c r="G6880" i="158"/>
  <c r="G6879" i="158"/>
  <c r="G6878" i="158"/>
  <c r="G6877" i="158"/>
  <c r="G6876" i="158"/>
  <c r="G6875" i="158"/>
  <c r="G6874" i="158"/>
  <c r="F6873" i="158"/>
  <c r="E6873" i="158"/>
  <c r="D6873" i="158"/>
  <c r="G6872" i="158"/>
  <c r="G6871" i="158"/>
  <c r="G6870" i="158"/>
  <c r="G6869" i="158"/>
  <c r="G6868" i="158"/>
  <c r="G6867" i="158"/>
  <c r="G6866" i="158"/>
  <c r="G6865" i="158"/>
  <c r="G6864" i="158"/>
  <c r="G6863" i="158"/>
  <c r="G6862" i="158"/>
  <c r="G6861" i="158"/>
  <c r="G6860" i="158"/>
  <c r="G6859" i="158"/>
  <c r="G6858" i="158"/>
  <c r="F6857" i="158"/>
  <c r="E6857" i="158"/>
  <c r="D6857" i="158"/>
  <c r="G6856" i="158"/>
  <c r="G6855" i="158"/>
  <c r="G6854" i="158"/>
  <c r="G6853" i="158"/>
  <c r="G6852" i="158"/>
  <c r="G6851" i="158"/>
  <c r="G6850" i="158"/>
  <c r="G6849" i="158"/>
  <c r="G6848" i="158"/>
  <c r="G6847" i="158"/>
  <c r="G6846" i="158"/>
  <c r="G6845" i="158"/>
  <c r="G6844" i="158"/>
  <c r="G6843" i="158"/>
  <c r="G6842" i="158"/>
  <c r="F6841" i="158"/>
  <c r="E6841" i="158"/>
  <c r="D6841" i="158"/>
  <c r="G6840" i="158"/>
  <c r="G6839" i="158"/>
  <c r="G6838" i="158"/>
  <c r="G6837" i="158"/>
  <c r="G6836" i="158"/>
  <c r="G6835" i="158"/>
  <c r="G6834" i="158"/>
  <c r="G6833" i="158"/>
  <c r="G6832" i="158"/>
  <c r="G6831" i="158"/>
  <c r="G6830" i="158"/>
  <c r="G6829" i="158"/>
  <c r="G6828" i="158"/>
  <c r="G6827" i="158"/>
  <c r="G6826" i="158"/>
  <c r="F6825" i="158"/>
  <c r="E6825" i="158"/>
  <c r="D6825" i="158"/>
  <c r="G6824" i="158"/>
  <c r="G6823" i="158"/>
  <c r="G6822" i="158"/>
  <c r="G6821" i="158"/>
  <c r="G6820" i="158"/>
  <c r="G6819" i="158"/>
  <c r="G6818" i="158"/>
  <c r="G6817" i="158"/>
  <c r="G6816" i="158"/>
  <c r="G6815" i="158"/>
  <c r="G6814" i="158"/>
  <c r="G6813" i="158"/>
  <c r="G6812" i="158"/>
  <c r="G6811" i="158"/>
  <c r="G6810" i="158"/>
  <c r="F6809" i="158"/>
  <c r="E6809" i="158"/>
  <c r="D6809" i="158"/>
  <c r="G6808" i="158"/>
  <c r="G6807" i="158"/>
  <c r="G6806" i="158"/>
  <c r="G6805" i="158"/>
  <c r="G6804" i="158"/>
  <c r="G6803" i="158"/>
  <c r="G6802" i="158"/>
  <c r="G6801" i="158"/>
  <c r="G6800" i="158"/>
  <c r="G6799" i="158"/>
  <c r="G6798" i="158"/>
  <c r="G6797" i="158"/>
  <c r="G6796" i="158"/>
  <c r="G6795" i="158"/>
  <c r="G6794" i="158"/>
  <c r="F6793" i="158"/>
  <c r="E6793" i="158"/>
  <c r="D6793" i="158"/>
  <c r="G6792" i="158"/>
  <c r="G6791" i="158"/>
  <c r="G6790" i="158"/>
  <c r="G6789" i="158"/>
  <c r="G6788" i="158"/>
  <c r="G6787" i="158"/>
  <c r="G6786" i="158"/>
  <c r="G6785" i="158"/>
  <c r="G6784" i="158"/>
  <c r="G6783" i="158"/>
  <c r="G6782" i="158"/>
  <c r="G6781" i="158"/>
  <c r="G6780" i="158"/>
  <c r="G6779" i="158"/>
  <c r="G6778" i="158"/>
  <c r="F6777" i="158"/>
  <c r="E6777" i="158"/>
  <c r="D6777" i="158"/>
  <c r="G6776" i="158"/>
  <c r="G6775" i="158"/>
  <c r="G6774" i="158"/>
  <c r="G6773" i="158"/>
  <c r="G6772" i="158"/>
  <c r="G6771" i="158"/>
  <c r="G6770" i="158"/>
  <c r="G6769" i="158"/>
  <c r="G6768" i="158"/>
  <c r="G6767" i="158"/>
  <c r="G6766" i="158"/>
  <c r="G6765" i="158"/>
  <c r="G6764" i="158"/>
  <c r="G6763" i="158"/>
  <c r="G6762" i="158"/>
  <c r="F6761" i="158"/>
  <c r="E6761" i="158"/>
  <c r="D6761" i="158"/>
  <c r="G6760" i="158"/>
  <c r="G6759" i="158"/>
  <c r="G6758" i="158"/>
  <c r="G6757" i="158"/>
  <c r="G6756" i="158"/>
  <c r="G6755" i="158"/>
  <c r="G6754" i="158"/>
  <c r="G6753" i="158"/>
  <c r="G6752" i="158"/>
  <c r="G6751" i="158"/>
  <c r="G6750" i="158"/>
  <c r="G6749" i="158"/>
  <c r="G6748" i="158"/>
  <c r="G6747" i="158"/>
  <c r="G6746" i="158"/>
  <c r="F6745" i="158"/>
  <c r="E6745" i="158"/>
  <c r="D6745" i="158"/>
  <c r="G6744" i="158"/>
  <c r="G6743" i="158"/>
  <c r="G6742" i="158"/>
  <c r="G6741" i="158"/>
  <c r="G6740" i="158"/>
  <c r="G6739" i="158"/>
  <c r="G6738" i="158"/>
  <c r="G6737" i="158"/>
  <c r="G6736" i="158"/>
  <c r="G6735" i="158"/>
  <c r="G6734" i="158"/>
  <c r="G6733" i="158"/>
  <c r="G6732" i="158"/>
  <c r="G6731" i="158"/>
  <c r="G6730" i="158"/>
  <c r="F6729" i="158"/>
  <c r="E6729" i="158"/>
  <c r="D6729" i="158"/>
  <c r="G6728" i="158"/>
  <c r="G6727" i="158"/>
  <c r="G6726" i="158"/>
  <c r="G6725" i="158"/>
  <c r="G6724" i="158"/>
  <c r="G6723" i="158"/>
  <c r="G6722" i="158"/>
  <c r="G6721" i="158"/>
  <c r="G6720" i="158"/>
  <c r="G6719" i="158"/>
  <c r="G6718" i="158"/>
  <c r="G6717" i="158"/>
  <c r="G6716" i="158"/>
  <c r="G6715" i="158"/>
  <c r="G6714" i="158"/>
  <c r="F6713" i="158"/>
  <c r="E6713" i="158"/>
  <c r="D6713" i="158"/>
  <c r="G6712" i="158"/>
  <c r="G6711" i="158"/>
  <c r="G6710" i="158"/>
  <c r="G6709" i="158"/>
  <c r="G6708" i="158"/>
  <c r="G6707" i="158"/>
  <c r="G6706" i="158"/>
  <c r="G6705" i="158"/>
  <c r="G6704" i="158"/>
  <c r="G6703" i="158"/>
  <c r="G6702" i="158"/>
  <c r="G6701" i="158"/>
  <c r="G6700" i="158"/>
  <c r="G6699" i="158"/>
  <c r="G6698" i="158"/>
  <c r="F6697" i="158"/>
  <c r="E6697" i="158"/>
  <c r="D6697" i="158"/>
  <c r="G6696" i="158"/>
  <c r="G6695" i="158"/>
  <c r="G6694" i="158"/>
  <c r="G6693" i="158"/>
  <c r="G6692" i="158"/>
  <c r="G6691" i="158"/>
  <c r="G6690" i="158"/>
  <c r="G6689" i="158"/>
  <c r="G6688" i="158"/>
  <c r="G6687" i="158"/>
  <c r="G6686" i="158"/>
  <c r="G6685" i="158"/>
  <c r="G6684" i="158"/>
  <c r="G6683" i="158"/>
  <c r="G6682" i="158"/>
  <c r="G6697" i="158" s="1"/>
  <c r="F6681" i="158"/>
  <c r="E6681" i="158"/>
  <c r="D6681" i="158"/>
  <c r="G6680" i="158"/>
  <c r="G6679" i="158"/>
  <c r="G6678" i="158"/>
  <c r="G6677" i="158"/>
  <c r="G6676" i="158"/>
  <c r="G6675" i="158"/>
  <c r="G6674" i="158"/>
  <c r="G6673" i="158"/>
  <c r="G6672" i="158"/>
  <c r="G6671" i="158"/>
  <c r="G6670" i="158"/>
  <c r="G6669" i="158"/>
  <c r="G6668" i="158"/>
  <c r="G6667" i="158"/>
  <c r="G6666" i="158"/>
  <c r="F6665" i="158"/>
  <c r="E6665" i="158"/>
  <c r="D6665" i="158"/>
  <c r="G6664" i="158"/>
  <c r="G6663" i="158"/>
  <c r="G6662" i="158"/>
  <c r="G6661" i="158"/>
  <c r="G6660" i="158"/>
  <c r="G6659" i="158"/>
  <c r="G6658" i="158"/>
  <c r="G6657" i="158"/>
  <c r="G6656" i="158"/>
  <c r="G6655" i="158"/>
  <c r="G6654" i="158"/>
  <c r="G6653" i="158"/>
  <c r="G6652" i="158"/>
  <c r="G6651" i="158"/>
  <c r="G6650" i="158"/>
  <c r="G6665" i="158" s="1"/>
  <c r="F6649" i="158"/>
  <c r="E6649" i="158"/>
  <c r="D6649" i="158"/>
  <c r="G6648" i="158"/>
  <c r="G6647" i="158"/>
  <c r="G6646" i="158"/>
  <c r="G6645" i="158"/>
  <c r="G6644" i="158"/>
  <c r="G6643" i="158"/>
  <c r="G6642" i="158"/>
  <c r="G6641" i="158"/>
  <c r="G6640" i="158"/>
  <c r="G6639" i="158"/>
  <c r="G6638" i="158"/>
  <c r="G6637" i="158"/>
  <c r="G6636" i="158"/>
  <c r="G6635" i="158"/>
  <c r="G6634" i="158"/>
  <c r="F6633" i="158"/>
  <c r="E6633" i="158"/>
  <c r="D6633" i="158"/>
  <c r="G6632" i="158"/>
  <c r="G6631" i="158"/>
  <c r="G6630" i="158"/>
  <c r="G6629" i="158"/>
  <c r="G6628" i="158"/>
  <c r="G6627" i="158"/>
  <c r="G6626" i="158"/>
  <c r="G6625" i="158"/>
  <c r="G6624" i="158"/>
  <c r="G6623" i="158"/>
  <c r="G6622" i="158"/>
  <c r="G6621" i="158"/>
  <c r="G6620" i="158"/>
  <c r="G6619" i="158"/>
  <c r="G6618" i="158"/>
  <c r="G6633" i="158" s="1"/>
  <c r="F6617" i="158"/>
  <c r="E6617" i="158"/>
  <c r="D6617" i="158"/>
  <c r="G6616" i="158"/>
  <c r="G6615" i="158"/>
  <c r="G6614" i="158"/>
  <c r="G6613" i="158"/>
  <c r="G6612" i="158"/>
  <c r="G6611" i="158"/>
  <c r="G6610" i="158"/>
  <c r="G6609" i="158"/>
  <c r="G6608" i="158"/>
  <c r="G6607" i="158"/>
  <c r="G6606" i="158"/>
  <c r="G6605" i="158"/>
  <c r="G6604" i="158"/>
  <c r="G6603" i="158"/>
  <c r="G6602" i="158"/>
  <c r="F6601" i="158"/>
  <c r="E6601" i="158"/>
  <c r="D6601" i="158"/>
  <c r="G6600" i="158"/>
  <c r="G6599" i="158"/>
  <c r="G6598" i="158"/>
  <c r="G6597" i="158"/>
  <c r="G6596" i="158"/>
  <c r="G6595" i="158"/>
  <c r="G6594" i="158"/>
  <c r="G6593" i="158"/>
  <c r="G6592" i="158"/>
  <c r="G6591" i="158"/>
  <c r="G6590" i="158"/>
  <c r="G6589" i="158"/>
  <c r="G6588" i="158"/>
  <c r="G6587" i="158"/>
  <c r="G6586" i="158"/>
  <c r="G6601" i="158" s="1"/>
  <c r="E6585" i="158"/>
  <c r="D6585" i="158"/>
  <c r="G6584" i="158"/>
  <c r="G6583" i="158"/>
  <c r="G6582" i="158"/>
  <c r="G6581" i="158"/>
  <c r="G6580" i="158"/>
  <c r="F6579" i="158"/>
  <c r="F6585" i="158" s="1"/>
  <c r="G6578" i="158"/>
  <c r="G6577" i="158"/>
  <c r="G6576" i="158"/>
  <c r="G6575" i="158"/>
  <c r="G6574" i="158"/>
  <c r="G6573" i="158"/>
  <c r="G6572" i="158"/>
  <c r="G6571" i="158"/>
  <c r="G6570" i="158"/>
  <c r="F6569" i="158"/>
  <c r="E6569" i="158"/>
  <c r="D6569" i="158"/>
  <c r="G6568" i="158"/>
  <c r="G6567" i="158"/>
  <c r="G6566" i="158"/>
  <c r="G6565" i="158"/>
  <c r="G6564" i="158"/>
  <c r="G6563" i="158"/>
  <c r="G6562" i="158"/>
  <c r="G6561" i="158"/>
  <c r="G6560" i="158"/>
  <c r="G6559" i="158"/>
  <c r="G6558" i="158"/>
  <c r="G6557" i="158"/>
  <c r="G6556" i="158"/>
  <c r="G6555" i="158"/>
  <c r="G6554" i="158"/>
  <c r="F6553" i="158"/>
  <c r="E6553" i="158"/>
  <c r="D6553" i="158"/>
  <c r="G6552" i="158"/>
  <c r="G6551" i="158"/>
  <c r="G6550" i="158"/>
  <c r="G6549" i="158"/>
  <c r="G6548" i="158"/>
  <c r="G6547" i="158"/>
  <c r="G6546" i="158"/>
  <c r="G6545" i="158"/>
  <c r="G6544" i="158"/>
  <c r="G6543" i="158"/>
  <c r="G6542" i="158"/>
  <c r="G6541" i="158"/>
  <c r="G6540" i="158"/>
  <c r="G6539" i="158"/>
  <c r="G6538" i="158"/>
  <c r="F6537" i="158"/>
  <c r="E6537" i="158"/>
  <c r="D6537" i="158"/>
  <c r="G6536" i="158"/>
  <c r="G6535" i="158"/>
  <c r="G6534" i="158"/>
  <c r="G6533" i="158"/>
  <c r="G6532" i="158"/>
  <c r="G6531" i="158"/>
  <c r="G6530" i="158"/>
  <c r="G6529" i="158"/>
  <c r="G6528" i="158"/>
  <c r="G6527" i="158"/>
  <c r="G6526" i="158"/>
  <c r="G6525" i="158"/>
  <c r="G6524" i="158"/>
  <c r="G6523" i="158"/>
  <c r="G6522" i="158"/>
  <c r="F6521" i="158"/>
  <c r="E6521" i="158"/>
  <c r="D6521" i="158"/>
  <c r="G6520" i="158"/>
  <c r="G6519" i="158"/>
  <c r="G6518" i="158"/>
  <c r="G6517" i="158"/>
  <c r="G6516" i="158"/>
  <c r="G6515" i="158"/>
  <c r="G6514" i="158"/>
  <c r="G6513" i="158"/>
  <c r="G6512" i="158"/>
  <c r="G6511" i="158"/>
  <c r="G6510" i="158"/>
  <c r="G6509" i="158"/>
  <c r="G6508" i="158"/>
  <c r="G6507" i="158"/>
  <c r="G6506" i="158"/>
  <c r="F6505" i="158"/>
  <c r="E6505" i="158"/>
  <c r="D6505" i="158"/>
  <c r="G6504" i="158"/>
  <c r="G6503" i="158"/>
  <c r="G6502" i="158"/>
  <c r="G6501" i="158"/>
  <c r="G6500" i="158"/>
  <c r="G6499" i="158"/>
  <c r="G6498" i="158"/>
  <c r="G6497" i="158"/>
  <c r="G6496" i="158"/>
  <c r="G6495" i="158"/>
  <c r="G6494" i="158"/>
  <c r="G6493" i="158"/>
  <c r="G6492" i="158"/>
  <c r="G6491" i="158"/>
  <c r="G6490" i="158"/>
  <c r="F6489" i="158"/>
  <c r="E6489" i="158"/>
  <c r="D6489" i="158"/>
  <c r="G6488" i="158"/>
  <c r="G6487" i="158"/>
  <c r="G6486" i="158"/>
  <c r="G6485" i="158"/>
  <c r="G6484" i="158"/>
  <c r="G6483" i="158"/>
  <c r="G6482" i="158"/>
  <c r="G6481" i="158"/>
  <c r="G6480" i="158"/>
  <c r="G6479" i="158"/>
  <c r="G6478" i="158"/>
  <c r="G6477" i="158"/>
  <c r="G6476" i="158"/>
  <c r="G6475" i="158"/>
  <c r="G6474" i="158"/>
  <c r="F6473" i="158"/>
  <c r="E6473" i="158"/>
  <c r="D6473" i="158"/>
  <c r="G6472" i="158"/>
  <c r="G6471" i="158"/>
  <c r="G6470" i="158"/>
  <c r="G6469" i="158"/>
  <c r="G6468" i="158"/>
  <c r="G6467" i="158"/>
  <c r="G6466" i="158"/>
  <c r="G6465" i="158"/>
  <c r="G6464" i="158"/>
  <c r="G6463" i="158"/>
  <c r="G6462" i="158"/>
  <c r="G6461" i="158"/>
  <c r="G6460" i="158"/>
  <c r="G6459" i="158"/>
  <c r="G6458" i="158"/>
  <c r="F6457" i="158"/>
  <c r="E6457" i="158"/>
  <c r="D6457" i="158"/>
  <c r="G6456" i="158"/>
  <c r="G6455" i="158"/>
  <c r="G6454" i="158"/>
  <c r="G6453" i="158"/>
  <c r="G6452" i="158"/>
  <c r="G6451" i="158"/>
  <c r="G6450" i="158"/>
  <c r="G6449" i="158"/>
  <c r="G6448" i="158"/>
  <c r="G6447" i="158"/>
  <c r="G6446" i="158"/>
  <c r="G6445" i="158"/>
  <c r="G6444" i="158"/>
  <c r="G6443" i="158"/>
  <c r="G6442" i="158"/>
  <c r="I6441" i="158"/>
  <c r="H6441" i="158"/>
  <c r="F6441" i="158"/>
  <c r="E6441" i="158"/>
  <c r="D6441" i="158"/>
  <c r="G6440" i="158"/>
  <c r="G6439" i="158"/>
  <c r="G6438" i="158"/>
  <c r="G6437" i="158"/>
  <c r="G6436" i="158"/>
  <c r="G6435" i="158"/>
  <c r="G6434" i="158"/>
  <c r="G6433" i="158"/>
  <c r="G6432" i="158"/>
  <c r="G6431" i="158"/>
  <c r="G6430" i="158"/>
  <c r="G6429" i="158"/>
  <c r="G6428" i="158"/>
  <c r="G6427" i="158"/>
  <c r="G6426" i="158"/>
  <c r="F6425" i="158"/>
  <c r="E6425" i="158"/>
  <c r="D6425" i="158"/>
  <c r="G6424" i="158"/>
  <c r="G6423" i="158"/>
  <c r="G6422" i="158"/>
  <c r="G6421" i="158"/>
  <c r="G6420" i="158"/>
  <c r="G6419" i="158"/>
  <c r="G6418" i="158"/>
  <c r="G6417" i="158"/>
  <c r="G6416" i="158"/>
  <c r="G6415" i="158"/>
  <c r="G6414" i="158"/>
  <c r="G6413" i="158"/>
  <c r="G6412" i="158"/>
  <c r="G6411" i="158"/>
  <c r="G6410" i="158"/>
  <c r="F6409" i="158"/>
  <c r="E6409" i="158"/>
  <c r="D6409" i="158"/>
  <c r="G6408" i="158"/>
  <c r="G6407" i="158"/>
  <c r="G6406" i="158"/>
  <c r="G6405" i="158"/>
  <c r="G6404" i="158"/>
  <c r="G6403" i="158"/>
  <c r="G6402" i="158"/>
  <c r="G6401" i="158"/>
  <c r="G6400" i="158"/>
  <c r="G6399" i="158"/>
  <c r="G6398" i="158"/>
  <c r="G6397" i="158"/>
  <c r="G6396" i="158"/>
  <c r="G6395" i="158"/>
  <c r="G6394" i="158"/>
  <c r="F6393" i="158"/>
  <c r="E6393" i="158"/>
  <c r="D6393" i="158"/>
  <c r="G6392" i="158"/>
  <c r="G6391" i="158"/>
  <c r="G6390" i="158"/>
  <c r="G6389" i="158"/>
  <c r="G6388" i="158"/>
  <c r="G6387" i="158"/>
  <c r="G6386" i="158"/>
  <c r="G6385" i="158"/>
  <c r="G6384" i="158"/>
  <c r="G6383" i="158"/>
  <c r="G6382" i="158"/>
  <c r="G6381" i="158"/>
  <c r="G6380" i="158"/>
  <c r="G6379" i="158"/>
  <c r="G6378" i="158"/>
  <c r="F6377" i="158"/>
  <c r="E6377" i="158"/>
  <c r="D6377" i="158"/>
  <c r="G6376" i="158"/>
  <c r="G6375" i="158"/>
  <c r="G6374" i="158"/>
  <c r="G6373" i="158"/>
  <c r="G6372" i="158"/>
  <c r="G6371" i="158"/>
  <c r="G6370" i="158"/>
  <c r="G6369" i="158"/>
  <c r="G6368" i="158"/>
  <c r="G6367" i="158"/>
  <c r="G6366" i="158"/>
  <c r="G6365" i="158"/>
  <c r="G6364" i="158"/>
  <c r="G6363" i="158"/>
  <c r="G6362" i="158"/>
  <c r="F6361" i="158"/>
  <c r="E6361" i="158"/>
  <c r="D6361" i="158"/>
  <c r="G6360" i="158"/>
  <c r="G6359" i="158"/>
  <c r="G6358" i="158"/>
  <c r="G6357" i="158"/>
  <c r="G6356" i="158"/>
  <c r="G6355" i="158"/>
  <c r="G6354" i="158"/>
  <c r="G6353" i="158"/>
  <c r="G6352" i="158"/>
  <c r="G6351" i="158"/>
  <c r="G6350" i="158"/>
  <c r="G6349" i="158"/>
  <c r="G6348" i="158"/>
  <c r="G6347" i="158"/>
  <c r="G6346" i="158"/>
  <c r="F6345" i="158"/>
  <c r="E6345" i="158"/>
  <c r="D6345" i="158"/>
  <c r="G6344" i="158"/>
  <c r="G6343" i="158"/>
  <c r="G6342" i="158"/>
  <c r="G6341" i="158"/>
  <c r="G6340" i="158"/>
  <c r="G6339" i="158"/>
  <c r="G6338" i="158"/>
  <c r="G6337" i="158"/>
  <c r="G6336" i="158"/>
  <c r="G6335" i="158"/>
  <c r="G6334" i="158"/>
  <c r="G6333" i="158"/>
  <c r="G6332" i="158"/>
  <c r="G6331" i="158"/>
  <c r="G6330" i="158"/>
  <c r="F6329" i="158"/>
  <c r="E6329" i="158"/>
  <c r="D6329" i="158"/>
  <c r="G6328" i="158"/>
  <c r="G6327" i="158"/>
  <c r="G6326" i="158"/>
  <c r="G6325" i="158"/>
  <c r="G6324" i="158"/>
  <c r="G6323" i="158"/>
  <c r="G6322" i="158"/>
  <c r="G6321" i="158"/>
  <c r="G6320" i="158"/>
  <c r="G6319" i="158"/>
  <c r="G6318" i="158"/>
  <c r="G6317" i="158"/>
  <c r="G6316" i="158"/>
  <c r="G6315" i="158"/>
  <c r="G6314" i="158"/>
  <c r="F6313" i="158"/>
  <c r="E6313" i="158"/>
  <c r="D6313" i="158"/>
  <c r="G6312" i="158"/>
  <c r="G6311" i="158"/>
  <c r="G6310" i="158"/>
  <c r="G6309" i="158"/>
  <c r="G6308" i="158"/>
  <c r="G6307" i="158"/>
  <c r="G6306" i="158"/>
  <c r="G6305" i="158"/>
  <c r="G6304" i="158"/>
  <c r="G6303" i="158"/>
  <c r="G6302" i="158"/>
  <c r="G6301" i="158"/>
  <c r="G6300" i="158"/>
  <c r="G6299" i="158"/>
  <c r="G6298" i="158"/>
  <c r="F6297" i="158"/>
  <c r="E6297" i="158"/>
  <c r="D6297" i="158"/>
  <c r="G6296" i="158"/>
  <c r="G6295" i="158"/>
  <c r="G6294" i="158"/>
  <c r="G6293" i="158"/>
  <c r="G6292" i="158"/>
  <c r="G6291" i="158"/>
  <c r="G6290" i="158"/>
  <c r="G6289" i="158"/>
  <c r="G6288" i="158"/>
  <c r="G6287" i="158"/>
  <c r="G6286" i="158"/>
  <c r="G6285" i="158"/>
  <c r="G6284" i="158"/>
  <c r="G6283" i="158"/>
  <c r="G6282" i="158"/>
  <c r="F6281" i="158"/>
  <c r="E6281" i="158"/>
  <c r="D6281" i="158"/>
  <c r="G6280" i="158"/>
  <c r="G6279" i="158"/>
  <c r="G6278" i="158"/>
  <c r="G6277" i="158"/>
  <c r="G6276" i="158"/>
  <c r="G6275" i="158"/>
  <c r="G6274" i="158"/>
  <c r="G6273" i="158"/>
  <c r="G6272" i="158"/>
  <c r="G6271" i="158"/>
  <c r="G6270" i="158"/>
  <c r="G6269" i="158"/>
  <c r="G6268" i="158"/>
  <c r="G6267" i="158"/>
  <c r="G6266" i="158"/>
  <c r="F6265" i="158"/>
  <c r="E6265" i="158"/>
  <c r="D6265" i="158"/>
  <c r="G6264" i="158"/>
  <c r="G6263" i="158"/>
  <c r="G6262" i="158"/>
  <c r="G6261" i="158"/>
  <c r="G6260" i="158"/>
  <c r="G6259" i="158"/>
  <c r="G6258" i="158"/>
  <c r="G6257" i="158"/>
  <c r="G6256" i="158"/>
  <c r="G6255" i="158"/>
  <c r="G6254" i="158"/>
  <c r="G6253" i="158"/>
  <c r="G6252" i="158"/>
  <c r="G6251" i="158"/>
  <c r="G6250" i="158"/>
  <c r="F6249" i="158"/>
  <c r="E6249" i="158"/>
  <c r="D6249" i="158"/>
  <c r="G6248" i="158"/>
  <c r="G6247" i="158"/>
  <c r="G6246" i="158"/>
  <c r="G6245" i="158"/>
  <c r="G6244" i="158"/>
  <c r="G6243" i="158"/>
  <c r="G6242" i="158"/>
  <c r="G6241" i="158"/>
  <c r="G6240" i="158"/>
  <c r="G6239" i="158"/>
  <c r="G6238" i="158"/>
  <c r="G6237" i="158"/>
  <c r="G6236" i="158"/>
  <c r="G6235" i="158"/>
  <c r="G6234" i="158"/>
  <c r="F6233" i="158"/>
  <c r="E6233" i="158"/>
  <c r="D6233" i="158"/>
  <c r="G6232" i="158"/>
  <c r="G6231" i="158"/>
  <c r="G6230" i="158"/>
  <c r="G6229" i="158"/>
  <c r="G6228" i="158"/>
  <c r="G6227" i="158"/>
  <c r="G6226" i="158"/>
  <c r="G6225" i="158"/>
  <c r="G6224" i="158"/>
  <c r="G6223" i="158"/>
  <c r="G6222" i="158"/>
  <c r="G6221" i="158"/>
  <c r="G6220" i="158"/>
  <c r="G6219" i="158"/>
  <c r="G6218" i="158"/>
  <c r="F6217" i="158"/>
  <c r="E6217" i="158"/>
  <c r="D6217" i="158"/>
  <c r="G6216" i="158"/>
  <c r="G6215" i="158"/>
  <c r="G6214" i="158"/>
  <c r="G6213" i="158"/>
  <c r="G6212" i="158"/>
  <c r="G6211" i="158"/>
  <c r="G6210" i="158"/>
  <c r="G6209" i="158"/>
  <c r="G6208" i="158"/>
  <c r="G6207" i="158"/>
  <c r="G6206" i="158"/>
  <c r="G6205" i="158"/>
  <c r="G6204" i="158"/>
  <c r="G6203" i="158"/>
  <c r="G6202" i="158"/>
  <c r="E6201" i="158"/>
  <c r="D6201" i="158"/>
  <c r="G6200" i="158"/>
  <c r="G6199" i="158"/>
  <c r="G6198" i="158"/>
  <c r="G6197" i="158"/>
  <c r="G6196" i="158"/>
  <c r="F6195" i="158"/>
  <c r="F6201" i="158" s="1"/>
  <c r="G6194" i="158"/>
  <c r="G6193" i="158"/>
  <c r="G6192" i="158"/>
  <c r="G6191" i="158"/>
  <c r="G6190" i="158"/>
  <c r="G6189" i="158"/>
  <c r="G6188" i="158"/>
  <c r="G6187" i="158"/>
  <c r="G6186" i="158"/>
  <c r="F6185" i="158"/>
  <c r="E6185" i="158"/>
  <c r="D6185" i="158"/>
  <c r="G6184" i="158"/>
  <c r="G6183" i="158"/>
  <c r="G6182" i="158"/>
  <c r="G6181" i="158"/>
  <c r="G6180" i="158"/>
  <c r="G6179" i="158"/>
  <c r="G6178" i="158"/>
  <c r="G6177" i="158"/>
  <c r="G6176" i="158"/>
  <c r="G6175" i="158"/>
  <c r="G6174" i="158"/>
  <c r="G6173" i="158"/>
  <c r="G6172" i="158"/>
  <c r="G6171" i="158"/>
  <c r="G6170" i="158"/>
  <c r="F6169" i="158"/>
  <c r="E6169" i="158"/>
  <c r="D6169" i="158"/>
  <c r="G6168" i="158"/>
  <c r="G6167" i="158"/>
  <c r="G6166" i="158"/>
  <c r="G6165" i="158"/>
  <c r="G6164" i="158"/>
  <c r="G6163" i="158"/>
  <c r="G6162" i="158"/>
  <c r="G6161" i="158"/>
  <c r="G6160" i="158"/>
  <c r="G6159" i="158"/>
  <c r="G6158" i="158"/>
  <c r="G6157" i="158"/>
  <c r="G6156" i="158"/>
  <c r="G6155" i="158"/>
  <c r="G6154" i="158"/>
  <c r="F6153" i="158"/>
  <c r="E6153" i="158"/>
  <c r="D6153" i="158"/>
  <c r="G6152" i="158"/>
  <c r="G6151" i="158"/>
  <c r="G6150" i="158"/>
  <c r="G6149" i="158"/>
  <c r="G6148" i="158"/>
  <c r="G6147" i="158"/>
  <c r="G6146" i="158"/>
  <c r="G6145" i="158"/>
  <c r="G6144" i="158"/>
  <c r="G6143" i="158"/>
  <c r="G6142" i="158"/>
  <c r="G6141" i="158"/>
  <c r="G6140" i="158"/>
  <c r="G6139" i="158"/>
  <c r="G6138" i="158"/>
  <c r="F6137" i="158"/>
  <c r="E6137" i="158"/>
  <c r="D6137" i="158"/>
  <c r="G6136" i="158"/>
  <c r="G6135" i="158"/>
  <c r="G6134" i="158"/>
  <c r="G6133" i="158"/>
  <c r="G6132" i="158"/>
  <c r="G6131" i="158"/>
  <c r="G6130" i="158"/>
  <c r="G6129" i="158"/>
  <c r="G6128" i="158"/>
  <c r="G6127" i="158"/>
  <c r="G6126" i="158"/>
  <c r="G6125" i="158"/>
  <c r="G6124" i="158"/>
  <c r="G6123" i="158"/>
  <c r="G6122" i="158"/>
  <c r="F6121" i="158"/>
  <c r="E6121" i="158"/>
  <c r="D6121" i="158"/>
  <c r="G6120" i="158"/>
  <c r="G6119" i="158"/>
  <c r="G6118" i="158"/>
  <c r="G6117" i="158"/>
  <c r="G6116" i="158"/>
  <c r="G6115" i="158"/>
  <c r="G6114" i="158"/>
  <c r="G6113" i="158"/>
  <c r="G6112" i="158"/>
  <c r="G6111" i="158"/>
  <c r="G6110" i="158"/>
  <c r="G6109" i="158"/>
  <c r="G6108" i="158"/>
  <c r="G6107" i="158"/>
  <c r="G6106" i="158"/>
  <c r="F6105" i="158"/>
  <c r="E6105" i="158"/>
  <c r="D6105" i="158"/>
  <c r="G6104" i="158"/>
  <c r="G6103" i="158"/>
  <c r="G6102" i="158"/>
  <c r="G6101" i="158"/>
  <c r="G6100" i="158"/>
  <c r="G6099" i="158"/>
  <c r="G6098" i="158"/>
  <c r="G6097" i="158"/>
  <c r="G6096" i="158"/>
  <c r="G6095" i="158"/>
  <c r="G6094" i="158"/>
  <c r="G6093" i="158"/>
  <c r="G6092" i="158"/>
  <c r="G6091" i="158"/>
  <c r="G6090" i="158"/>
  <c r="F6089" i="158"/>
  <c r="E6089" i="158"/>
  <c r="D6089" i="158"/>
  <c r="G6088" i="158"/>
  <c r="G6087" i="158"/>
  <c r="G6086" i="158"/>
  <c r="G6085" i="158"/>
  <c r="G6084" i="158"/>
  <c r="G6083" i="158"/>
  <c r="G6082" i="158"/>
  <c r="G6081" i="158"/>
  <c r="G6080" i="158"/>
  <c r="G6079" i="158"/>
  <c r="G6078" i="158"/>
  <c r="G6077" i="158"/>
  <c r="G6076" i="158"/>
  <c r="G6075" i="158"/>
  <c r="G6074" i="158"/>
  <c r="F6073" i="158"/>
  <c r="E6073" i="158"/>
  <c r="D6073" i="158"/>
  <c r="G6072" i="158"/>
  <c r="G6071" i="158"/>
  <c r="G6070" i="158"/>
  <c r="G6069" i="158"/>
  <c r="G6068" i="158"/>
  <c r="G6067" i="158"/>
  <c r="G6066" i="158"/>
  <c r="G6065" i="158"/>
  <c r="G6064" i="158"/>
  <c r="G6063" i="158"/>
  <c r="G6062" i="158"/>
  <c r="G6061" i="158"/>
  <c r="G6060" i="158"/>
  <c r="G6059" i="158"/>
  <c r="G6058" i="158"/>
  <c r="F6057" i="158"/>
  <c r="E6057" i="158"/>
  <c r="D6057" i="158"/>
  <c r="G6056" i="158"/>
  <c r="G6055" i="158"/>
  <c r="G6054" i="158"/>
  <c r="G6053" i="158"/>
  <c r="G6052" i="158"/>
  <c r="G6051" i="158"/>
  <c r="G6050" i="158"/>
  <c r="G6049" i="158"/>
  <c r="G6048" i="158"/>
  <c r="G6047" i="158"/>
  <c r="G6046" i="158"/>
  <c r="G6045" i="158"/>
  <c r="G6044" i="158"/>
  <c r="G6043" i="158"/>
  <c r="G6042" i="158"/>
  <c r="F6041" i="158"/>
  <c r="E6041" i="158"/>
  <c r="D6041" i="158"/>
  <c r="G6040" i="158"/>
  <c r="G6039" i="158"/>
  <c r="G6038" i="158"/>
  <c r="G6037" i="158"/>
  <c r="G6036" i="158"/>
  <c r="G6035" i="158"/>
  <c r="G6034" i="158"/>
  <c r="G6033" i="158"/>
  <c r="G6032" i="158"/>
  <c r="G6031" i="158"/>
  <c r="G6030" i="158"/>
  <c r="G6029" i="158"/>
  <c r="G6028" i="158"/>
  <c r="G6027" i="158"/>
  <c r="G6026" i="158"/>
  <c r="F6025" i="158"/>
  <c r="E6025" i="158"/>
  <c r="D6025" i="158"/>
  <c r="G6024" i="158"/>
  <c r="G6023" i="158"/>
  <c r="G6022" i="158"/>
  <c r="G6021" i="158"/>
  <c r="G6020" i="158"/>
  <c r="G6019" i="158"/>
  <c r="G6018" i="158"/>
  <c r="G6017" i="158"/>
  <c r="G6016" i="158"/>
  <c r="G6015" i="158"/>
  <c r="G6014" i="158"/>
  <c r="G6013" i="158"/>
  <c r="G6012" i="158"/>
  <c r="G6011" i="158"/>
  <c r="G6010" i="158"/>
  <c r="F6009" i="158"/>
  <c r="E6009" i="158"/>
  <c r="D6009" i="158"/>
  <c r="G6008" i="158"/>
  <c r="G6007" i="158"/>
  <c r="G6006" i="158"/>
  <c r="G6005" i="158"/>
  <c r="G6004" i="158"/>
  <c r="G6003" i="158"/>
  <c r="G6002" i="158"/>
  <c r="G6001" i="158"/>
  <c r="G6000" i="158"/>
  <c r="G5999" i="158"/>
  <c r="G5998" i="158"/>
  <c r="G5997" i="158"/>
  <c r="G5996" i="158"/>
  <c r="G5995" i="158"/>
  <c r="G5994" i="158"/>
  <c r="F5993" i="158"/>
  <c r="E5993" i="158"/>
  <c r="D5993" i="158"/>
  <c r="G5992" i="158"/>
  <c r="G5991" i="158"/>
  <c r="G5990" i="158"/>
  <c r="G5989" i="158"/>
  <c r="G5988" i="158"/>
  <c r="G5987" i="158"/>
  <c r="G5986" i="158"/>
  <c r="G5985" i="158"/>
  <c r="G5984" i="158"/>
  <c r="G5983" i="158"/>
  <c r="G5982" i="158"/>
  <c r="G5981" i="158"/>
  <c r="G5980" i="158"/>
  <c r="G5979" i="158"/>
  <c r="G5978" i="158"/>
  <c r="F5977" i="158"/>
  <c r="E5977" i="158"/>
  <c r="D5977" i="158"/>
  <c r="G5976" i="158"/>
  <c r="G5975" i="158"/>
  <c r="G5974" i="158"/>
  <c r="G5973" i="158"/>
  <c r="G5972" i="158"/>
  <c r="G5971" i="158"/>
  <c r="G5970" i="158"/>
  <c r="G5969" i="158"/>
  <c r="G5968" i="158"/>
  <c r="G5967" i="158"/>
  <c r="G5966" i="158"/>
  <c r="G5965" i="158"/>
  <c r="G5964" i="158"/>
  <c r="G5963" i="158"/>
  <c r="G5962" i="158"/>
  <c r="F5961" i="158"/>
  <c r="E5961" i="158"/>
  <c r="D5961" i="158"/>
  <c r="G5960" i="158"/>
  <c r="G5959" i="158"/>
  <c r="G5958" i="158"/>
  <c r="G5957" i="158"/>
  <c r="G5956" i="158"/>
  <c r="G5955" i="158"/>
  <c r="G5954" i="158"/>
  <c r="G5953" i="158"/>
  <c r="G5952" i="158"/>
  <c r="G5951" i="158"/>
  <c r="G5950" i="158"/>
  <c r="G5949" i="158"/>
  <c r="G5948" i="158"/>
  <c r="G5947" i="158"/>
  <c r="G5946" i="158"/>
  <c r="F5945" i="158"/>
  <c r="E5945" i="158"/>
  <c r="D5945" i="158"/>
  <c r="G5944" i="158"/>
  <c r="G5943" i="158"/>
  <c r="G5942" i="158"/>
  <c r="G5941" i="158"/>
  <c r="G5940" i="158"/>
  <c r="G5939" i="158"/>
  <c r="G5938" i="158"/>
  <c r="G5937" i="158"/>
  <c r="G5936" i="158"/>
  <c r="G5935" i="158"/>
  <c r="G5934" i="158"/>
  <c r="G5933" i="158"/>
  <c r="G5932" i="158"/>
  <c r="G5931" i="158"/>
  <c r="G5930" i="158"/>
  <c r="F5929" i="158"/>
  <c r="E5929" i="158"/>
  <c r="D5929" i="158"/>
  <c r="G5928" i="158"/>
  <c r="G5927" i="158"/>
  <c r="G5926" i="158"/>
  <c r="G5925" i="158"/>
  <c r="G5924" i="158"/>
  <c r="G5923" i="158"/>
  <c r="G5922" i="158"/>
  <c r="G5921" i="158"/>
  <c r="G5920" i="158"/>
  <c r="G5919" i="158"/>
  <c r="G5918" i="158"/>
  <c r="G5917" i="158"/>
  <c r="G5916" i="158"/>
  <c r="G5915" i="158"/>
  <c r="G5914" i="158"/>
  <c r="E5913" i="158"/>
  <c r="D5913" i="158"/>
  <c r="G5912" i="158"/>
  <c r="G5911" i="158"/>
  <c r="G5910" i="158"/>
  <c r="G5909" i="158"/>
  <c r="G5908" i="158"/>
  <c r="F5907" i="158"/>
  <c r="F5913" i="158" s="1"/>
  <c r="G5906" i="158"/>
  <c r="G5905" i="158"/>
  <c r="G5904" i="158"/>
  <c r="G5903" i="158"/>
  <c r="G5902" i="158"/>
  <c r="G5901" i="158"/>
  <c r="G5900" i="158"/>
  <c r="G5899" i="158"/>
  <c r="G5898" i="158"/>
  <c r="F5897" i="158"/>
  <c r="E5897" i="158"/>
  <c r="D5897" i="158"/>
  <c r="G5896" i="158"/>
  <c r="G5895" i="158"/>
  <c r="G5894" i="158"/>
  <c r="G5893" i="158"/>
  <c r="G5892" i="158"/>
  <c r="G5891" i="158"/>
  <c r="G5890" i="158"/>
  <c r="G5889" i="158"/>
  <c r="G5888" i="158"/>
  <c r="G5887" i="158"/>
  <c r="G5886" i="158"/>
  <c r="G5885" i="158"/>
  <c r="G5884" i="158"/>
  <c r="G5883" i="158"/>
  <c r="G5882" i="158"/>
  <c r="F5881" i="158"/>
  <c r="E5881" i="158"/>
  <c r="D5881" i="158"/>
  <c r="G5880" i="158"/>
  <c r="G5879" i="158"/>
  <c r="G5878" i="158"/>
  <c r="G5877" i="158"/>
  <c r="G5876" i="158"/>
  <c r="G5875" i="158"/>
  <c r="G5874" i="158"/>
  <c r="G5873" i="158"/>
  <c r="G5872" i="158"/>
  <c r="G5871" i="158"/>
  <c r="G5870" i="158"/>
  <c r="G5869" i="158"/>
  <c r="G5868" i="158"/>
  <c r="G5867" i="158"/>
  <c r="G5866" i="158"/>
  <c r="F5865" i="158"/>
  <c r="E5865" i="158"/>
  <c r="D5865" i="158"/>
  <c r="G5864" i="158"/>
  <c r="G5863" i="158"/>
  <c r="G5862" i="158"/>
  <c r="G5861" i="158"/>
  <c r="G5860" i="158"/>
  <c r="G5859" i="158"/>
  <c r="G5858" i="158"/>
  <c r="G5857" i="158"/>
  <c r="G5856" i="158"/>
  <c r="G5855" i="158"/>
  <c r="G5854" i="158"/>
  <c r="G5853" i="158"/>
  <c r="G5852" i="158"/>
  <c r="G5851" i="158"/>
  <c r="G5850" i="158"/>
  <c r="F5849" i="158"/>
  <c r="E5849" i="158"/>
  <c r="D5849" i="158"/>
  <c r="G5848" i="158"/>
  <c r="G5847" i="158"/>
  <c r="G5846" i="158"/>
  <c r="G5845" i="158"/>
  <c r="G5844" i="158"/>
  <c r="G5843" i="158"/>
  <c r="G5842" i="158"/>
  <c r="G5841" i="158"/>
  <c r="G5840" i="158"/>
  <c r="G5839" i="158"/>
  <c r="G5838" i="158"/>
  <c r="G5837" i="158"/>
  <c r="G5836" i="158"/>
  <c r="G5835" i="158"/>
  <c r="G5834" i="158"/>
  <c r="F5833" i="158"/>
  <c r="E5833" i="158"/>
  <c r="D5833" i="158"/>
  <c r="G5832" i="158"/>
  <c r="G5831" i="158"/>
  <c r="G5830" i="158"/>
  <c r="G5829" i="158"/>
  <c r="G5828" i="158"/>
  <c r="G5827" i="158"/>
  <c r="G5826" i="158"/>
  <c r="G5825" i="158"/>
  <c r="G5824" i="158"/>
  <c r="G5823" i="158"/>
  <c r="G5822" i="158"/>
  <c r="G5821" i="158"/>
  <c r="G5820" i="158"/>
  <c r="G5819" i="158"/>
  <c r="G5818" i="158"/>
  <c r="F5817" i="158"/>
  <c r="E5817" i="158"/>
  <c r="D5817" i="158"/>
  <c r="G5816" i="158"/>
  <c r="G5815" i="158"/>
  <c r="G5814" i="158"/>
  <c r="G5813" i="158"/>
  <c r="G5812" i="158"/>
  <c r="G5811" i="158"/>
  <c r="G5810" i="158"/>
  <c r="G5809" i="158"/>
  <c r="G5808" i="158"/>
  <c r="G5807" i="158"/>
  <c r="G5806" i="158"/>
  <c r="G5805" i="158"/>
  <c r="G5804" i="158"/>
  <c r="G5803" i="158"/>
  <c r="G5802" i="158"/>
  <c r="F5801" i="158"/>
  <c r="E5801" i="158"/>
  <c r="D5801" i="158"/>
  <c r="G5800" i="158"/>
  <c r="G5799" i="158"/>
  <c r="G5798" i="158"/>
  <c r="G5797" i="158"/>
  <c r="G5796" i="158"/>
  <c r="G5795" i="158"/>
  <c r="G5794" i="158"/>
  <c r="G5793" i="158"/>
  <c r="G5792" i="158"/>
  <c r="G5791" i="158"/>
  <c r="G5790" i="158"/>
  <c r="G5789" i="158"/>
  <c r="G5788" i="158"/>
  <c r="G5787" i="158"/>
  <c r="G5786" i="158"/>
  <c r="F5785" i="158"/>
  <c r="E5785" i="158"/>
  <c r="D5785" i="158"/>
  <c r="G5784" i="158"/>
  <c r="G5783" i="158"/>
  <c r="G5782" i="158"/>
  <c r="G5781" i="158"/>
  <c r="G5780" i="158"/>
  <c r="G5779" i="158"/>
  <c r="G5778" i="158"/>
  <c r="G5777" i="158"/>
  <c r="G5776" i="158"/>
  <c r="G5775" i="158"/>
  <c r="G5774" i="158"/>
  <c r="G5773" i="158"/>
  <c r="G5772" i="158"/>
  <c r="G5771" i="158"/>
  <c r="G5770" i="158"/>
  <c r="F5769" i="158"/>
  <c r="E5769" i="158"/>
  <c r="D5769" i="158"/>
  <c r="G5768" i="158"/>
  <c r="G5767" i="158"/>
  <c r="G5766" i="158"/>
  <c r="G5765" i="158"/>
  <c r="G5764" i="158"/>
  <c r="G5763" i="158"/>
  <c r="G5762" i="158"/>
  <c r="G5761" i="158"/>
  <c r="G5760" i="158"/>
  <c r="G5759" i="158"/>
  <c r="G5758" i="158"/>
  <c r="G5757" i="158"/>
  <c r="G5756" i="158"/>
  <c r="G5755" i="158"/>
  <c r="G5754" i="158"/>
  <c r="F5753" i="158"/>
  <c r="E5753" i="158"/>
  <c r="D5753" i="158"/>
  <c r="G5752" i="158"/>
  <c r="G5751" i="158"/>
  <c r="G5750" i="158"/>
  <c r="G5749" i="158"/>
  <c r="G5748" i="158"/>
  <c r="G5747" i="158"/>
  <c r="G5746" i="158"/>
  <c r="G5745" i="158"/>
  <c r="G5744" i="158"/>
  <c r="G5743" i="158"/>
  <c r="G5742" i="158"/>
  <c r="G5741" i="158"/>
  <c r="G5740" i="158"/>
  <c r="G5739" i="158"/>
  <c r="G5738" i="158"/>
  <c r="F5737" i="158"/>
  <c r="E5737" i="158"/>
  <c r="D5737" i="158"/>
  <c r="G5736" i="158"/>
  <c r="G5735" i="158"/>
  <c r="G5734" i="158"/>
  <c r="G5733" i="158"/>
  <c r="G5732" i="158"/>
  <c r="G5731" i="158"/>
  <c r="G5730" i="158"/>
  <c r="G5729" i="158"/>
  <c r="G5728" i="158"/>
  <c r="G5727" i="158"/>
  <c r="G5726" i="158"/>
  <c r="G5725" i="158"/>
  <c r="G5724" i="158"/>
  <c r="G5723" i="158"/>
  <c r="G5722" i="158"/>
  <c r="E5721" i="158"/>
  <c r="D5721" i="158"/>
  <c r="G5720" i="158"/>
  <c r="G5719" i="158"/>
  <c r="G5718" i="158"/>
  <c r="G5717" i="158"/>
  <c r="G5716" i="158"/>
  <c r="F5715" i="158"/>
  <c r="F5721" i="158" s="1"/>
  <c r="G5714" i="158"/>
  <c r="G5713" i="158"/>
  <c r="G5712" i="158"/>
  <c r="G5711" i="158"/>
  <c r="G5710" i="158"/>
  <c r="G5709" i="158"/>
  <c r="G5708" i="158"/>
  <c r="G5707" i="158"/>
  <c r="G5706" i="158"/>
  <c r="E5705" i="158"/>
  <c r="D5705" i="158"/>
  <c r="F5704" i="158"/>
  <c r="F5705" i="158" s="1"/>
  <c r="G5703" i="158"/>
  <c r="G5702" i="158"/>
  <c r="G5701" i="158"/>
  <c r="G5700" i="158"/>
  <c r="G5699" i="158"/>
  <c r="G5698" i="158"/>
  <c r="G5697" i="158"/>
  <c r="G5696" i="158"/>
  <c r="G5695" i="158"/>
  <c r="G5694" i="158"/>
  <c r="G5693" i="158"/>
  <c r="G5692" i="158"/>
  <c r="G5691" i="158"/>
  <c r="G5690" i="158"/>
  <c r="F5689" i="158"/>
  <c r="E5689" i="158"/>
  <c r="D5689" i="158"/>
  <c r="G5688" i="158"/>
  <c r="G5687" i="158"/>
  <c r="G5686" i="158"/>
  <c r="G5685" i="158"/>
  <c r="G5684" i="158"/>
  <c r="G5683" i="158"/>
  <c r="G5682" i="158"/>
  <c r="G5681" i="158"/>
  <c r="G5680" i="158"/>
  <c r="G5679" i="158"/>
  <c r="G5678" i="158"/>
  <c r="G5677" i="158"/>
  <c r="G5676" i="158"/>
  <c r="G5675" i="158"/>
  <c r="G5674" i="158"/>
  <c r="F5673" i="158"/>
  <c r="E5673" i="158"/>
  <c r="D5673" i="158"/>
  <c r="G5672" i="158"/>
  <c r="G5671" i="158"/>
  <c r="G5670" i="158"/>
  <c r="G5669" i="158"/>
  <c r="G5668" i="158"/>
  <c r="G5667" i="158"/>
  <c r="G5666" i="158"/>
  <c r="G5665" i="158"/>
  <c r="G5664" i="158"/>
  <c r="G5663" i="158"/>
  <c r="G5662" i="158"/>
  <c r="G5661" i="158"/>
  <c r="G5660" i="158"/>
  <c r="G5659" i="158"/>
  <c r="G5658" i="158"/>
  <c r="F5657" i="158"/>
  <c r="E5657" i="158"/>
  <c r="D5657" i="158"/>
  <c r="G5656" i="158"/>
  <c r="G5655" i="158"/>
  <c r="G5654" i="158"/>
  <c r="G5653" i="158"/>
  <c r="G5652" i="158"/>
  <c r="G5651" i="158"/>
  <c r="G5650" i="158"/>
  <c r="G5649" i="158"/>
  <c r="G5648" i="158"/>
  <c r="G5647" i="158"/>
  <c r="G5646" i="158"/>
  <c r="G5645" i="158"/>
  <c r="G5644" i="158"/>
  <c r="G5643" i="158"/>
  <c r="G5642" i="158"/>
  <c r="F5641" i="158"/>
  <c r="E5641" i="158"/>
  <c r="D5641" i="158"/>
  <c r="G5640" i="158"/>
  <c r="G5639" i="158"/>
  <c r="G5638" i="158"/>
  <c r="G5637" i="158"/>
  <c r="G5636" i="158"/>
  <c r="G5635" i="158"/>
  <c r="G5634" i="158"/>
  <c r="G5633" i="158"/>
  <c r="G5632" i="158"/>
  <c r="G5631" i="158"/>
  <c r="G5630" i="158"/>
  <c r="G5629" i="158"/>
  <c r="G5628" i="158"/>
  <c r="G5627" i="158"/>
  <c r="G5626" i="158"/>
  <c r="E5625" i="158"/>
  <c r="D5625" i="158"/>
  <c r="G5624" i="158"/>
  <c r="G5623" i="158"/>
  <c r="G5622" i="158"/>
  <c r="G5621" i="158"/>
  <c r="G5620" i="158"/>
  <c r="F5619" i="158"/>
  <c r="G5619" i="158" s="1"/>
  <c r="G5618" i="158"/>
  <c r="G5617" i="158"/>
  <c r="G5616" i="158"/>
  <c r="G5615" i="158"/>
  <c r="G5614" i="158"/>
  <c r="G5613" i="158"/>
  <c r="G5612" i="158"/>
  <c r="F5611" i="158"/>
  <c r="F5625" i="158" s="1"/>
  <c r="G5610" i="158"/>
  <c r="F5609" i="158"/>
  <c r="E5609" i="158"/>
  <c r="D5609" i="158"/>
  <c r="G5608" i="158"/>
  <c r="G5607" i="158"/>
  <c r="G5606" i="158"/>
  <c r="G5605" i="158"/>
  <c r="G5604" i="158"/>
  <c r="G5603" i="158"/>
  <c r="G5602" i="158"/>
  <c r="G5601" i="158"/>
  <c r="G5600" i="158"/>
  <c r="G5599" i="158"/>
  <c r="G5598" i="158"/>
  <c r="G5597" i="158"/>
  <c r="G5596" i="158"/>
  <c r="G5595" i="158"/>
  <c r="G5594" i="158"/>
  <c r="F5593" i="158"/>
  <c r="E5593" i="158"/>
  <c r="D5593" i="158"/>
  <c r="G5592" i="158"/>
  <c r="G5591" i="158"/>
  <c r="G5590" i="158"/>
  <c r="G5589" i="158"/>
  <c r="G5588" i="158"/>
  <c r="G5587" i="158"/>
  <c r="G5586" i="158"/>
  <c r="G5585" i="158"/>
  <c r="G5584" i="158"/>
  <c r="G5583" i="158"/>
  <c r="G5582" i="158"/>
  <c r="G5581" i="158"/>
  <c r="G5580" i="158"/>
  <c r="G5579" i="158"/>
  <c r="G5578" i="158"/>
  <c r="F5577" i="158"/>
  <c r="E5577" i="158"/>
  <c r="D5577" i="158"/>
  <c r="G5576" i="158"/>
  <c r="G5575" i="158"/>
  <c r="G5574" i="158"/>
  <c r="G5573" i="158"/>
  <c r="G5572" i="158"/>
  <c r="G5571" i="158"/>
  <c r="G5570" i="158"/>
  <c r="G5569" i="158"/>
  <c r="G5568" i="158"/>
  <c r="G5567" i="158"/>
  <c r="G5566" i="158"/>
  <c r="G5565" i="158"/>
  <c r="G5564" i="158"/>
  <c r="G5563" i="158"/>
  <c r="G5562" i="158"/>
  <c r="F5561" i="158"/>
  <c r="E5561" i="158"/>
  <c r="D5561" i="158"/>
  <c r="G5560" i="158"/>
  <c r="G5559" i="158"/>
  <c r="G5558" i="158"/>
  <c r="G5557" i="158"/>
  <c r="G5556" i="158"/>
  <c r="G5555" i="158"/>
  <c r="G5554" i="158"/>
  <c r="G5553" i="158"/>
  <c r="G5552" i="158"/>
  <c r="G5551" i="158"/>
  <c r="G5550" i="158"/>
  <c r="G5549" i="158"/>
  <c r="G5548" i="158"/>
  <c r="G5547" i="158"/>
  <c r="G5546" i="158"/>
  <c r="F5545" i="158"/>
  <c r="E5545" i="158"/>
  <c r="D5545" i="158"/>
  <c r="G5544" i="158"/>
  <c r="G5543" i="158"/>
  <c r="G5542" i="158"/>
  <c r="G5541" i="158"/>
  <c r="G5540" i="158"/>
  <c r="G5539" i="158"/>
  <c r="G5538" i="158"/>
  <c r="G5537" i="158"/>
  <c r="G5536" i="158"/>
  <c r="G5535" i="158"/>
  <c r="G5534" i="158"/>
  <c r="G5533" i="158"/>
  <c r="G5532" i="158"/>
  <c r="G5531" i="158"/>
  <c r="G5530" i="158"/>
  <c r="E5529" i="158"/>
  <c r="D5529" i="158"/>
  <c r="G5528" i="158"/>
  <c r="G5527" i="158"/>
  <c r="G5526" i="158"/>
  <c r="G5525" i="158"/>
  <c r="G5524" i="158"/>
  <c r="F5523" i="158"/>
  <c r="G5523" i="158" s="1"/>
  <c r="G5522" i="158"/>
  <c r="G5521" i="158"/>
  <c r="G5520" i="158"/>
  <c r="G5519" i="158"/>
  <c r="G5518" i="158"/>
  <c r="G5517" i="158"/>
  <c r="G5516" i="158"/>
  <c r="F5515" i="158"/>
  <c r="F5529" i="158" s="1"/>
  <c r="G5514" i="158"/>
  <c r="F5513" i="158"/>
  <c r="E5513" i="158"/>
  <c r="D5513" i="158"/>
  <c r="G5512" i="158"/>
  <c r="G5511" i="158"/>
  <c r="G5510" i="158"/>
  <c r="G5509" i="158"/>
  <c r="G5508" i="158"/>
  <c r="G5507" i="158"/>
  <c r="G5506" i="158"/>
  <c r="G5505" i="158"/>
  <c r="G5504" i="158"/>
  <c r="G5503" i="158"/>
  <c r="G5502" i="158"/>
  <c r="G5501" i="158"/>
  <c r="G5500" i="158"/>
  <c r="G5499" i="158"/>
  <c r="G5498" i="158"/>
  <c r="F5497" i="158"/>
  <c r="E5497" i="158"/>
  <c r="D5497" i="158"/>
  <c r="G5496" i="158"/>
  <c r="G5495" i="158"/>
  <c r="G5494" i="158"/>
  <c r="G5493" i="158"/>
  <c r="G5492" i="158"/>
  <c r="G5491" i="158"/>
  <c r="G5490" i="158"/>
  <c r="G5489" i="158"/>
  <c r="G5488" i="158"/>
  <c r="G5487" i="158"/>
  <c r="G5486" i="158"/>
  <c r="G5485" i="158"/>
  <c r="G5484" i="158"/>
  <c r="G5483" i="158"/>
  <c r="G5482" i="158"/>
  <c r="F5481" i="158"/>
  <c r="E5481" i="158"/>
  <c r="D5481" i="158"/>
  <c r="G5480" i="158"/>
  <c r="G5479" i="158"/>
  <c r="G5478" i="158"/>
  <c r="G5477" i="158"/>
  <c r="G5476" i="158"/>
  <c r="G5475" i="158"/>
  <c r="G5474" i="158"/>
  <c r="G5473" i="158"/>
  <c r="G5472" i="158"/>
  <c r="G5471" i="158"/>
  <c r="G5470" i="158"/>
  <c r="G5469" i="158"/>
  <c r="G5468" i="158"/>
  <c r="G5467" i="158"/>
  <c r="G5466" i="158"/>
  <c r="F5465" i="158"/>
  <c r="E5465" i="158"/>
  <c r="D5465" i="158"/>
  <c r="G5464" i="158"/>
  <c r="G5463" i="158"/>
  <c r="G5462" i="158"/>
  <c r="G5461" i="158"/>
  <c r="G5460" i="158"/>
  <c r="G5459" i="158"/>
  <c r="G5458" i="158"/>
  <c r="G5457" i="158"/>
  <c r="G5456" i="158"/>
  <c r="G5455" i="158"/>
  <c r="G5454" i="158"/>
  <c r="G5453" i="158"/>
  <c r="G5452" i="158"/>
  <c r="G5451" i="158"/>
  <c r="G5450" i="158"/>
  <c r="F5449" i="158"/>
  <c r="E5449" i="158"/>
  <c r="D5449" i="158"/>
  <c r="G5448" i="158"/>
  <c r="G5447" i="158"/>
  <c r="G5446" i="158"/>
  <c r="G5445" i="158"/>
  <c r="G5444" i="158"/>
  <c r="G5443" i="158"/>
  <c r="G5442" i="158"/>
  <c r="G5441" i="158"/>
  <c r="G5440" i="158"/>
  <c r="G5439" i="158"/>
  <c r="G5438" i="158"/>
  <c r="G5437" i="158"/>
  <c r="G5436" i="158"/>
  <c r="G5435" i="158"/>
  <c r="G5434" i="158"/>
  <c r="E5433" i="158"/>
  <c r="D5433" i="158"/>
  <c r="G5432" i="158"/>
  <c r="G5431" i="158"/>
  <c r="G5430" i="158"/>
  <c r="G5429" i="158"/>
  <c r="G5428" i="158"/>
  <c r="F5427" i="158"/>
  <c r="G5427" i="158" s="1"/>
  <c r="G5426" i="158"/>
  <c r="G5425" i="158"/>
  <c r="G5424" i="158"/>
  <c r="G5423" i="158"/>
  <c r="G5422" i="158"/>
  <c r="G5421" i="158"/>
  <c r="G5420" i="158"/>
  <c r="F5419" i="158"/>
  <c r="F5433" i="158" s="1"/>
  <c r="G5418" i="158"/>
  <c r="F5417" i="158"/>
  <c r="E5417" i="158"/>
  <c r="D5417" i="158"/>
  <c r="G5416" i="158"/>
  <c r="G5415" i="158"/>
  <c r="G5414" i="158"/>
  <c r="G5413" i="158"/>
  <c r="G5412" i="158"/>
  <c r="G5411" i="158"/>
  <c r="G5410" i="158"/>
  <c r="G5409" i="158"/>
  <c r="G5408" i="158"/>
  <c r="G5407" i="158"/>
  <c r="G5406" i="158"/>
  <c r="G5405" i="158"/>
  <c r="G5404" i="158"/>
  <c r="G5403" i="158"/>
  <c r="G5402" i="158"/>
  <c r="F5401" i="158"/>
  <c r="E5401" i="158"/>
  <c r="D5401" i="158"/>
  <c r="G5400" i="158"/>
  <c r="G5399" i="158"/>
  <c r="G5398" i="158"/>
  <c r="G5397" i="158"/>
  <c r="G5396" i="158"/>
  <c r="G5395" i="158"/>
  <c r="G5394" i="158"/>
  <c r="G5393" i="158"/>
  <c r="G5392" i="158"/>
  <c r="G5391" i="158"/>
  <c r="G5390" i="158"/>
  <c r="G5389" i="158"/>
  <c r="G5388" i="158"/>
  <c r="G5387" i="158"/>
  <c r="G5386" i="158"/>
  <c r="F5385" i="158"/>
  <c r="E5385" i="158"/>
  <c r="D5385" i="158"/>
  <c r="G5384" i="158"/>
  <c r="G5383" i="158"/>
  <c r="G5382" i="158"/>
  <c r="G5381" i="158"/>
  <c r="G5380" i="158"/>
  <c r="G5379" i="158"/>
  <c r="G5378" i="158"/>
  <c r="G5377" i="158"/>
  <c r="G5376" i="158"/>
  <c r="G5375" i="158"/>
  <c r="G5374" i="158"/>
  <c r="G5373" i="158"/>
  <c r="G5372" i="158"/>
  <c r="G5371" i="158"/>
  <c r="G5370" i="158"/>
  <c r="F5369" i="158"/>
  <c r="E5369" i="158"/>
  <c r="D5369" i="158"/>
  <c r="G5368" i="158"/>
  <c r="G5367" i="158"/>
  <c r="G5366" i="158"/>
  <c r="G5365" i="158"/>
  <c r="G5364" i="158"/>
  <c r="G5363" i="158"/>
  <c r="G5362" i="158"/>
  <c r="G5361" i="158"/>
  <c r="G5360" i="158"/>
  <c r="G5359" i="158"/>
  <c r="G5358" i="158"/>
  <c r="G5357" i="158"/>
  <c r="G5356" i="158"/>
  <c r="G5355" i="158"/>
  <c r="G5354" i="158"/>
  <c r="F5353" i="158"/>
  <c r="E5353" i="158"/>
  <c r="D5353" i="158"/>
  <c r="G5352" i="158"/>
  <c r="G5351" i="158"/>
  <c r="G5350" i="158"/>
  <c r="G5349" i="158"/>
  <c r="G5348" i="158"/>
  <c r="G5347" i="158"/>
  <c r="G5346" i="158"/>
  <c r="G5345" i="158"/>
  <c r="G5344" i="158"/>
  <c r="G5343" i="158"/>
  <c r="G5342" i="158"/>
  <c r="G5341" i="158"/>
  <c r="G5340" i="158"/>
  <c r="G5339" i="158"/>
  <c r="G5338" i="158"/>
  <c r="E5337" i="158"/>
  <c r="D5337" i="158"/>
  <c r="G5336" i="158"/>
  <c r="G5335" i="158"/>
  <c r="G5334" i="158"/>
  <c r="G5333" i="158"/>
  <c r="G5332" i="158"/>
  <c r="F5331" i="158"/>
  <c r="F5337" i="158" s="1"/>
  <c r="G5330" i="158"/>
  <c r="G5329" i="158"/>
  <c r="G5328" i="158"/>
  <c r="G5327" i="158"/>
  <c r="G5326" i="158"/>
  <c r="G5325" i="158"/>
  <c r="G5324" i="158"/>
  <c r="G5323" i="158"/>
  <c r="G5322" i="158"/>
  <c r="F5321" i="158"/>
  <c r="E5321" i="158"/>
  <c r="D5321" i="158"/>
  <c r="G5320" i="158"/>
  <c r="G5319" i="158"/>
  <c r="G5318" i="158"/>
  <c r="G5317" i="158"/>
  <c r="G5316" i="158"/>
  <c r="G5315" i="158"/>
  <c r="G5314" i="158"/>
  <c r="G5313" i="158"/>
  <c r="G5312" i="158"/>
  <c r="G5311" i="158"/>
  <c r="G5310" i="158"/>
  <c r="G5309" i="158"/>
  <c r="G5308" i="158"/>
  <c r="G5307" i="158"/>
  <c r="G5306" i="158"/>
  <c r="F5305" i="158"/>
  <c r="E5305" i="158"/>
  <c r="D5305" i="158"/>
  <c r="G5304" i="158"/>
  <c r="G5303" i="158"/>
  <c r="G5302" i="158"/>
  <c r="G5301" i="158"/>
  <c r="G5300" i="158"/>
  <c r="G5299" i="158"/>
  <c r="G5298" i="158"/>
  <c r="G5297" i="158"/>
  <c r="G5296" i="158"/>
  <c r="G5295" i="158"/>
  <c r="G5294" i="158"/>
  <c r="G5293" i="158"/>
  <c r="G5292" i="158"/>
  <c r="G5291" i="158"/>
  <c r="G5290" i="158"/>
  <c r="F5289" i="158"/>
  <c r="E5289" i="158"/>
  <c r="D5289" i="158"/>
  <c r="G5288" i="158"/>
  <c r="G5287" i="158"/>
  <c r="G5286" i="158"/>
  <c r="G5285" i="158"/>
  <c r="G5284" i="158"/>
  <c r="G5283" i="158"/>
  <c r="G5282" i="158"/>
  <c r="G5281" i="158"/>
  <c r="G5280" i="158"/>
  <c r="G5279" i="158"/>
  <c r="G5278" i="158"/>
  <c r="G5277" i="158"/>
  <c r="G5276" i="158"/>
  <c r="G5275" i="158"/>
  <c r="G5274" i="158"/>
  <c r="F5273" i="158"/>
  <c r="E5273" i="158"/>
  <c r="D5273" i="158"/>
  <c r="G5272" i="158"/>
  <c r="G5271" i="158"/>
  <c r="G5270" i="158"/>
  <c r="G5269" i="158"/>
  <c r="G5268" i="158"/>
  <c r="G5267" i="158"/>
  <c r="G5266" i="158"/>
  <c r="G5265" i="158"/>
  <c r="G5264" i="158"/>
  <c r="G5263" i="158"/>
  <c r="G5262" i="158"/>
  <c r="G5261" i="158"/>
  <c r="G5260" i="158"/>
  <c r="G5259" i="158"/>
  <c r="G5258" i="158"/>
  <c r="F5257" i="158"/>
  <c r="E5257" i="158"/>
  <c r="D5257" i="158"/>
  <c r="G5256" i="158"/>
  <c r="G5255" i="158"/>
  <c r="G5254" i="158"/>
  <c r="G5253" i="158"/>
  <c r="G5252" i="158"/>
  <c r="G5251" i="158"/>
  <c r="G5250" i="158"/>
  <c r="G5249" i="158"/>
  <c r="G5248" i="158"/>
  <c r="G5247" i="158"/>
  <c r="G5246" i="158"/>
  <c r="G5245" i="158"/>
  <c r="G5244" i="158"/>
  <c r="G5243" i="158"/>
  <c r="G5242" i="158"/>
  <c r="F5241" i="158"/>
  <c r="E5241" i="158"/>
  <c r="D5241" i="158"/>
  <c r="G5240" i="158"/>
  <c r="G5239" i="158"/>
  <c r="G5238" i="158"/>
  <c r="G5237" i="158"/>
  <c r="G5236" i="158"/>
  <c r="G5235" i="158"/>
  <c r="G5234" i="158"/>
  <c r="G5233" i="158"/>
  <c r="G5232" i="158"/>
  <c r="G5231" i="158"/>
  <c r="G5230" i="158"/>
  <c r="G5229" i="158"/>
  <c r="G5228" i="158"/>
  <c r="G5227" i="158"/>
  <c r="G5226" i="158"/>
  <c r="F5225" i="158"/>
  <c r="E5225" i="158"/>
  <c r="D5225" i="158"/>
  <c r="G5224" i="158"/>
  <c r="G5223" i="158"/>
  <c r="G5222" i="158"/>
  <c r="G5221" i="158"/>
  <c r="G5220" i="158"/>
  <c r="G5219" i="158"/>
  <c r="G5218" i="158"/>
  <c r="G5217" i="158"/>
  <c r="G5216" i="158"/>
  <c r="G5215" i="158"/>
  <c r="G5214" i="158"/>
  <c r="G5213" i="158"/>
  <c r="G5212" i="158"/>
  <c r="G5211" i="158"/>
  <c r="G5210" i="158"/>
  <c r="F5209" i="158"/>
  <c r="E5209" i="158"/>
  <c r="D5209" i="158"/>
  <c r="G5208" i="158"/>
  <c r="G5207" i="158"/>
  <c r="G5206" i="158"/>
  <c r="G5205" i="158"/>
  <c r="G5204" i="158"/>
  <c r="G5203" i="158"/>
  <c r="G5202" i="158"/>
  <c r="G5201" i="158"/>
  <c r="G5200" i="158"/>
  <c r="G5199" i="158"/>
  <c r="G5198" i="158"/>
  <c r="G5197" i="158"/>
  <c r="G5196" i="158"/>
  <c r="G5195" i="158"/>
  <c r="G5194" i="158"/>
  <c r="F5193" i="158"/>
  <c r="E5193" i="158"/>
  <c r="D5193" i="158"/>
  <c r="G5192" i="158"/>
  <c r="G5191" i="158"/>
  <c r="G5190" i="158"/>
  <c r="G5189" i="158"/>
  <c r="G5188" i="158"/>
  <c r="G5187" i="158"/>
  <c r="G5186" i="158"/>
  <c r="G5185" i="158"/>
  <c r="G5184" i="158"/>
  <c r="G5183" i="158"/>
  <c r="G5182" i="158"/>
  <c r="G5181" i="158"/>
  <c r="G5180" i="158"/>
  <c r="G5179" i="158"/>
  <c r="G5178" i="158"/>
  <c r="E5177" i="158"/>
  <c r="D5177" i="158"/>
  <c r="G5176" i="158"/>
  <c r="G5175" i="158"/>
  <c r="G5174" i="158"/>
  <c r="G5173" i="158"/>
  <c r="G5172" i="158"/>
  <c r="F5171" i="158"/>
  <c r="F5177" i="158" s="1"/>
  <c r="G5170" i="158"/>
  <c r="G5169" i="158"/>
  <c r="G5168" i="158"/>
  <c r="G5167" i="158"/>
  <c r="G5166" i="158"/>
  <c r="G5165" i="158"/>
  <c r="G5164" i="158"/>
  <c r="G5163" i="158"/>
  <c r="G5162" i="158"/>
  <c r="E5161" i="158"/>
  <c r="D5161" i="158"/>
  <c r="G5160" i="158"/>
  <c r="G5159" i="158"/>
  <c r="G5158" i="158"/>
  <c r="G5157" i="158"/>
  <c r="G5156" i="158"/>
  <c r="F5155" i="158"/>
  <c r="G5155" i="158" s="1"/>
  <c r="G5154" i="158"/>
  <c r="G5153" i="158"/>
  <c r="G5152" i="158"/>
  <c r="G5151" i="158"/>
  <c r="G5150" i="158"/>
  <c r="G5149" i="158"/>
  <c r="G5148" i="158"/>
  <c r="F5147" i="158"/>
  <c r="F5161" i="158" s="1"/>
  <c r="G5146" i="158"/>
  <c r="F5145" i="158"/>
  <c r="E5145" i="158"/>
  <c r="D5145" i="158"/>
  <c r="G5144" i="158"/>
  <c r="G5143" i="158"/>
  <c r="G5142" i="158"/>
  <c r="G5141" i="158"/>
  <c r="G5140" i="158"/>
  <c r="G5139" i="158"/>
  <c r="G5138" i="158"/>
  <c r="G5137" i="158"/>
  <c r="G5136" i="158"/>
  <c r="G5135" i="158"/>
  <c r="G5134" i="158"/>
  <c r="G5133" i="158"/>
  <c r="G5132" i="158"/>
  <c r="G5131" i="158"/>
  <c r="G5130" i="158"/>
  <c r="F5129" i="158"/>
  <c r="E5129" i="158"/>
  <c r="D5129" i="158"/>
  <c r="G5128" i="158"/>
  <c r="G5127" i="158"/>
  <c r="G5126" i="158"/>
  <c r="G5125" i="158"/>
  <c r="G5124" i="158"/>
  <c r="G5123" i="158"/>
  <c r="G5122" i="158"/>
  <c r="G5121" i="158"/>
  <c r="G5120" i="158"/>
  <c r="G5119" i="158"/>
  <c r="G5118" i="158"/>
  <c r="G5117" i="158"/>
  <c r="G5116" i="158"/>
  <c r="G5115" i="158"/>
  <c r="G5114" i="158"/>
  <c r="F5113" i="158"/>
  <c r="E5113" i="158"/>
  <c r="D5113" i="158"/>
  <c r="G5112" i="158"/>
  <c r="G5111" i="158"/>
  <c r="G5110" i="158"/>
  <c r="G5109" i="158"/>
  <c r="G5108" i="158"/>
  <c r="G5107" i="158"/>
  <c r="G5106" i="158"/>
  <c r="G5105" i="158"/>
  <c r="G5104" i="158"/>
  <c r="G5103" i="158"/>
  <c r="G5102" i="158"/>
  <c r="G5101" i="158"/>
  <c r="G5100" i="158"/>
  <c r="G5099" i="158"/>
  <c r="G5098" i="158"/>
  <c r="F5097" i="158"/>
  <c r="E5097" i="158"/>
  <c r="D5097" i="158"/>
  <c r="G5096" i="158"/>
  <c r="G5095" i="158"/>
  <c r="G5094" i="158"/>
  <c r="G5093" i="158"/>
  <c r="G5092" i="158"/>
  <c r="G5091" i="158"/>
  <c r="G5090" i="158"/>
  <c r="G5089" i="158"/>
  <c r="G5088" i="158"/>
  <c r="G5087" i="158"/>
  <c r="G5086" i="158"/>
  <c r="G5085" i="158"/>
  <c r="G5084" i="158"/>
  <c r="G5083" i="158"/>
  <c r="G5082" i="158"/>
  <c r="F5081" i="158"/>
  <c r="E5081" i="158"/>
  <c r="D5081" i="158"/>
  <c r="G5080" i="158"/>
  <c r="G5079" i="158"/>
  <c r="G5078" i="158"/>
  <c r="G5077" i="158"/>
  <c r="G5076" i="158"/>
  <c r="G5075" i="158"/>
  <c r="G5074" i="158"/>
  <c r="G5073" i="158"/>
  <c r="G5072" i="158"/>
  <c r="G5071" i="158"/>
  <c r="G5070" i="158"/>
  <c r="G5069" i="158"/>
  <c r="G5068" i="158"/>
  <c r="G5067" i="158"/>
  <c r="G5066" i="158"/>
  <c r="E5065" i="158"/>
  <c r="D5065" i="158"/>
  <c r="G5064" i="158"/>
  <c r="G5063" i="158"/>
  <c r="G5062" i="158"/>
  <c r="G5061" i="158"/>
  <c r="G5060" i="158"/>
  <c r="F5059" i="158"/>
  <c r="G5059" i="158" s="1"/>
  <c r="G5058" i="158"/>
  <c r="G5057" i="158"/>
  <c r="G5056" i="158"/>
  <c r="G5055" i="158"/>
  <c r="G5054" i="158"/>
  <c r="G5053" i="158"/>
  <c r="G5052" i="158"/>
  <c r="F5051" i="158"/>
  <c r="F5065" i="158" s="1"/>
  <c r="G5050" i="158"/>
  <c r="F5049" i="158"/>
  <c r="E5049" i="158"/>
  <c r="D5049" i="158"/>
  <c r="G5048" i="158"/>
  <c r="G5047" i="158"/>
  <c r="G5046" i="158"/>
  <c r="G5045" i="158"/>
  <c r="G5044" i="158"/>
  <c r="G5043" i="158"/>
  <c r="G5042" i="158"/>
  <c r="G5041" i="158"/>
  <c r="G5040" i="158"/>
  <c r="G5039" i="158"/>
  <c r="G5038" i="158"/>
  <c r="G5037" i="158"/>
  <c r="G5036" i="158"/>
  <c r="G5035" i="158"/>
  <c r="G5034" i="158"/>
  <c r="F5033" i="158"/>
  <c r="E5033" i="158"/>
  <c r="D5033" i="158"/>
  <c r="G5032" i="158"/>
  <c r="G5031" i="158"/>
  <c r="G5030" i="158"/>
  <c r="G5029" i="158"/>
  <c r="G5028" i="158"/>
  <c r="G5027" i="158"/>
  <c r="G5026" i="158"/>
  <c r="G5025" i="158"/>
  <c r="G5024" i="158"/>
  <c r="G5023" i="158"/>
  <c r="G5022" i="158"/>
  <c r="G5021" i="158"/>
  <c r="G5020" i="158"/>
  <c r="G5019" i="158"/>
  <c r="G5018" i="158"/>
  <c r="F5017" i="158"/>
  <c r="E5017" i="158"/>
  <c r="D5017" i="158"/>
  <c r="G5016" i="158"/>
  <c r="G5015" i="158"/>
  <c r="G5014" i="158"/>
  <c r="G5013" i="158"/>
  <c r="G5012" i="158"/>
  <c r="G5011" i="158"/>
  <c r="G5010" i="158"/>
  <c r="G5009" i="158"/>
  <c r="G5008" i="158"/>
  <c r="G5007" i="158"/>
  <c r="G5006" i="158"/>
  <c r="G5005" i="158"/>
  <c r="G5004" i="158"/>
  <c r="G5003" i="158"/>
  <c r="G5002" i="158"/>
  <c r="F5001" i="158"/>
  <c r="E5001" i="158"/>
  <c r="D5001" i="158"/>
  <c r="G5000" i="158"/>
  <c r="G4999" i="158"/>
  <c r="G4998" i="158"/>
  <c r="G4997" i="158"/>
  <c r="G4996" i="158"/>
  <c r="G4995" i="158"/>
  <c r="G4994" i="158"/>
  <c r="G4993" i="158"/>
  <c r="G4992" i="158"/>
  <c r="G4991" i="158"/>
  <c r="G4990" i="158"/>
  <c r="G4989" i="158"/>
  <c r="G4988" i="158"/>
  <c r="G4987" i="158"/>
  <c r="G4986" i="158"/>
  <c r="G5001" i="158" s="1"/>
  <c r="F4985" i="158"/>
  <c r="E4985" i="158"/>
  <c r="D4985" i="158"/>
  <c r="G4984" i="158"/>
  <c r="G4983" i="158"/>
  <c r="G4982" i="158"/>
  <c r="G4981" i="158"/>
  <c r="G4980" i="158"/>
  <c r="G4979" i="158"/>
  <c r="G4978" i="158"/>
  <c r="G4977" i="158"/>
  <c r="G4976" i="158"/>
  <c r="G4975" i="158"/>
  <c r="G4974" i="158"/>
  <c r="G4973" i="158"/>
  <c r="G4972" i="158"/>
  <c r="G4971" i="158"/>
  <c r="G4970" i="158"/>
  <c r="F4969" i="158"/>
  <c r="E4969" i="158"/>
  <c r="D4969" i="158"/>
  <c r="G4968" i="158"/>
  <c r="G4967" i="158"/>
  <c r="G4966" i="158"/>
  <c r="G4965" i="158"/>
  <c r="G4964" i="158"/>
  <c r="G4963" i="158"/>
  <c r="G4962" i="158"/>
  <c r="G4961" i="158"/>
  <c r="G4960" i="158"/>
  <c r="G4959" i="158"/>
  <c r="G4958" i="158"/>
  <c r="G4957" i="158"/>
  <c r="G4956" i="158"/>
  <c r="G4955" i="158"/>
  <c r="G4954" i="158"/>
  <c r="G4969" i="158" s="1"/>
  <c r="F4953" i="158"/>
  <c r="E4953" i="158"/>
  <c r="D4953" i="158"/>
  <c r="G4952" i="158"/>
  <c r="G4951" i="158"/>
  <c r="G4950" i="158"/>
  <c r="G4949" i="158"/>
  <c r="G4948" i="158"/>
  <c r="G4947" i="158"/>
  <c r="G4946" i="158"/>
  <c r="G4945" i="158"/>
  <c r="G4944" i="158"/>
  <c r="G4943" i="158"/>
  <c r="G4942" i="158"/>
  <c r="G4941" i="158"/>
  <c r="G4940" i="158"/>
  <c r="G4939" i="158"/>
  <c r="G4938" i="158"/>
  <c r="F4937" i="158"/>
  <c r="E4937" i="158"/>
  <c r="D4937" i="158"/>
  <c r="G4936" i="158"/>
  <c r="G4935" i="158"/>
  <c r="G4934" i="158"/>
  <c r="G4933" i="158"/>
  <c r="G4932" i="158"/>
  <c r="G4931" i="158"/>
  <c r="G4930" i="158"/>
  <c r="G4929" i="158"/>
  <c r="G4928" i="158"/>
  <c r="G4927" i="158"/>
  <c r="G4926" i="158"/>
  <c r="G4925" i="158"/>
  <c r="G4924" i="158"/>
  <c r="G4923" i="158"/>
  <c r="G4922" i="158"/>
  <c r="G4937" i="158" s="1"/>
  <c r="F4921" i="158"/>
  <c r="E4921" i="158"/>
  <c r="D4921" i="158"/>
  <c r="G4920" i="158"/>
  <c r="G4919" i="158"/>
  <c r="G4918" i="158"/>
  <c r="G4917" i="158"/>
  <c r="G4916" i="158"/>
  <c r="G4915" i="158"/>
  <c r="G4914" i="158"/>
  <c r="G4913" i="158"/>
  <c r="G4912" i="158"/>
  <c r="G4911" i="158"/>
  <c r="G4910" i="158"/>
  <c r="G4909" i="158"/>
  <c r="G4908" i="158"/>
  <c r="G4907" i="158"/>
  <c r="G4906" i="158"/>
  <c r="F4905" i="158"/>
  <c r="E4905" i="158"/>
  <c r="D4905" i="158"/>
  <c r="G4904" i="158"/>
  <c r="G4903" i="158"/>
  <c r="G4902" i="158"/>
  <c r="G4901" i="158"/>
  <c r="G4900" i="158"/>
  <c r="G4899" i="158"/>
  <c r="G4898" i="158"/>
  <c r="G4897" i="158"/>
  <c r="G4896" i="158"/>
  <c r="G4895" i="158"/>
  <c r="G4894" i="158"/>
  <c r="G4893" i="158"/>
  <c r="G4892" i="158"/>
  <c r="G4891" i="158"/>
  <c r="G4890" i="158"/>
  <c r="F4889" i="158"/>
  <c r="E4889" i="158"/>
  <c r="D4889" i="158"/>
  <c r="G4888" i="158"/>
  <c r="G4887" i="158"/>
  <c r="G4886" i="158"/>
  <c r="G4885" i="158"/>
  <c r="G4884" i="158"/>
  <c r="G4883" i="158"/>
  <c r="G4882" i="158"/>
  <c r="G4881" i="158"/>
  <c r="G4880" i="158"/>
  <c r="G4879" i="158"/>
  <c r="G4878" i="158"/>
  <c r="G4877" i="158"/>
  <c r="G4876" i="158"/>
  <c r="G4875" i="158"/>
  <c r="G4874" i="158"/>
  <c r="F4873" i="158"/>
  <c r="E4873" i="158"/>
  <c r="D4873" i="158"/>
  <c r="G4872" i="158"/>
  <c r="G4871" i="158"/>
  <c r="G4870" i="158"/>
  <c r="G4869" i="158"/>
  <c r="G4868" i="158"/>
  <c r="G4867" i="158"/>
  <c r="G4866" i="158"/>
  <c r="G4865" i="158"/>
  <c r="G4864" i="158"/>
  <c r="G4863" i="158"/>
  <c r="G4862" i="158"/>
  <c r="G4861" i="158"/>
  <c r="G4860" i="158"/>
  <c r="G4859" i="158"/>
  <c r="G4858" i="158"/>
  <c r="F4857" i="158"/>
  <c r="E4857" i="158"/>
  <c r="D4857" i="158"/>
  <c r="G4856" i="158"/>
  <c r="G4855" i="158"/>
  <c r="G4854" i="158"/>
  <c r="G4853" i="158"/>
  <c r="G4852" i="158"/>
  <c r="G4851" i="158"/>
  <c r="G4850" i="158"/>
  <c r="G4849" i="158"/>
  <c r="G4848" i="158"/>
  <c r="G4847" i="158"/>
  <c r="G4846" i="158"/>
  <c r="G4845" i="158"/>
  <c r="G4844" i="158"/>
  <c r="G4843" i="158"/>
  <c r="G4842" i="158"/>
  <c r="F4841" i="158"/>
  <c r="E4841" i="158"/>
  <c r="D4841" i="158"/>
  <c r="G4840" i="158"/>
  <c r="G4839" i="158"/>
  <c r="G4838" i="158"/>
  <c r="G4837" i="158"/>
  <c r="G4836" i="158"/>
  <c r="G4835" i="158"/>
  <c r="G4834" i="158"/>
  <c r="G4833" i="158"/>
  <c r="G4832" i="158"/>
  <c r="G4831" i="158"/>
  <c r="G4830" i="158"/>
  <c r="G4829" i="158"/>
  <c r="G4828" i="158"/>
  <c r="G4827" i="158"/>
  <c r="G4826" i="158"/>
  <c r="F4825" i="158"/>
  <c r="E4825" i="158"/>
  <c r="D4825" i="158"/>
  <c r="G4824" i="158"/>
  <c r="G4823" i="158"/>
  <c r="G4822" i="158"/>
  <c r="G4821" i="158"/>
  <c r="G4820" i="158"/>
  <c r="G4819" i="158"/>
  <c r="G4818" i="158"/>
  <c r="G4817" i="158"/>
  <c r="G4816" i="158"/>
  <c r="G4815" i="158"/>
  <c r="G4814" i="158"/>
  <c r="G4813" i="158"/>
  <c r="G4812" i="158"/>
  <c r="G4811" i="158"/>
  <c r="G4810" i="158"/>
  <c r="F4809" i="158"/>
  <c r="E4809" i="158"/>
  <c r="D4809" i="158"/>
  <c r="G4808" i="158"/>
  <c r="G4807" i="158"/>
  <c r="G4806" i="158"/>
  <c r="G4805" i="158"/>
  <c r="G4804" i="158"/>
  <c r="G4803" i="158"/>
  <c r="G4802" i="158"/>
  <c r="G4801" i="158"/>
  <c r="G4800" i="158"/>
  <c r="G4799" i="158"/>
  <c r="G4798" i="158"/>
  <c r="G4797" i="158"/>
  <c r="G4796" i="158"/>
  <c r="G4795" i="158"/>
  <c r="G4794" i="158"/>
  <c r="F4793" i="158"/>
  <c r="E4793" i="158"/>
  <c r="D4793" i="158"/>
  <c r="G4792" i="158"/>
  <c r="G4791" i="158"/>
  <c r="G4790" i="158"/>
  <c r="G4789" i="158"/>
  <c r="G4788" i="158"/>
  <c r="G4787" i="158"/>
  <c r="G4786" i="158"/>
  <c r="G4785" i="158"/>
  <c r="G4784" i="158"/>
  <c r="G4783" i="158"/>
  <c r="G4782" i="158"/>
  <c r="G4781" i="158"/>
  <c r="G4780" i="158"/>
  <c r="G4779" i="158"/>
  <c r="G4778" i="158"/>
  <c r="F4777" i="158"/>
  <c r="E4777" i="158"/>
  <c r="D4777" i="158"/>
  <c r="G4776" i="158"/>
  <c r="G4775" i="158"/>
  <c r="G4774" i="158"/>
  <c r="G4773" i="158"/>
  <c r="G4772" i="158"/>
  <c r="G4771" i="158"/>
  <c r="G4770" i="158"/>
  <c r="G4769" i="158"/>
  <c r="G4768" i="158"/>
  <c r="G4767" i="158"/>
  <c r="G4766" i="158"/>
  <c r="G4765" i="158"/>
  <c r="G4764" i="158"/>
  <c r="G4763" i="158"/>
  <c r="G4762" i="158"/>
  <c r="F4761" i="158"/>
  <c r="E4761" i="158"/>
  <c r="D4761" i="158"/>
  <c r="G4760" i="158"/>
  <c r="G4759" i="158"/>
  <c r="G4758" i="158"/>
  <c r="G4757" i="158"/>
  <c r="G4756" i="158"/>
  <c r="G4755" i="158"/>
  <c r="G4754" i="158"/>
  <c r="G4753" i="158"/>
  <c r="G4752" i="158"/>
  <c r="G4751" i="158"/>
  <c r="G4750" i="158"/>
  <c r="G4749" i="158"/>
  <c r="G4748" i="158"/>
  <c r="G4747" i="158"/>
  <c r="G4746" i="158"/>
  <c r="F4745" i="158"/>
  <c r="E4745" i="158"/>
  <c r="D4745" i="158"/>
  <c r="G4744" i="158"/>
  <c r="G4743" i="158"/>
  <c r="G4742" i="158"/>
  <c r="G4741" i="158"/>
  <c r="G4740" i="158"/>
  <c r="G4739" i="158"/>
  <c r="G4738" i="158"/>
  <c r="G4737" i="158"/>
  <c r="G4736" i="158"/>
  <c r="G4735" i="158"/>
  <c r="G4734" i="158"/>
  <c r="G4733" i="158"/>
  <c r="G4732" i="158"/>
  <c r="G4731" i="158"/>
  <c r="G4730" i="158"/>
  <c r="F4729" i="158"/>
  <c r="E4729" i="158"/>
  <c r="D4729" i="158"/>
  <c r="G4728" i="158"/>
  <c r="G4727" i="158"/>
  <c r="G4726" i="158"/>
  <c r="G4725" i="158"/>
  <c r="G4724" i="158"/>
  <c r="G4723" i="158"/>
  <c r="G4722" i="158"/>
  <c r="G4721" i="158"/>
  <c r="G4720" i="158"/>
  <c r="G4719" i="158"/>
  <c r="G4718" i="158"/>
  <c r="G4717" i="158"/>
  <c r="G4716" i="158"/>
  <c r="G4715" i="158"/>
  <c r="G4714" i="158"/>
  <c r="F4713" i="158"/>
  <c r="E4713" i="158"/>
  <c r="D4713" i="158"/>
  <c r="G4712" i="158"/>
  <c r="G4711" i="158"/>
  <c r="G4710" i="158"/>
  <c r="G4709" i="158"/>
  <c r="G4708" i="158"/>
  <c r="G4707" i="158"/>
  <c r="G4706" i="158"/>
  <c r="G4705" i="158"/>
  <c r="G4704" i="158"/>
  <c r="G4703" i="158"/>
  <c r="G4702" i="158"/>
  <c r="G4701" i="158"/>
  <c r="G4700" i="158"/>
  <c r="G4699" i="158"/>
  <c r="G4698" i="158"/>
  <c r="G4713" i="158" s="1"/>
  <c r="E4697" i="158"/>
  <c r="D4697" i="158"/>
  <c r="G4696" i="158"/>
  <c r="G4695" i="158"/>
  <c r="G4694" i="158"/>
  <c r="G4693" i="158"/>
  <c r="G4692" i="158"/>
  <c r="F4691" i="158"/>
  <c r="F4697" i="158" s="1"/>
  <c r="G4690" i="158"/>
  <c r="G4689" i="158"/>
  <c r="G4688" i="158"/>
  <c r="G4687" i="158"/>
  <c r="G4686" i="158"/>
  <c r="G4685" i="158"/>
  <c r="G4684" i="158"/>
  <c r="G4683" i="158"/>
  <c r="G4682" i="158"/>
  <c r="F4681" i="158"/>
  <c r="E4681" i="158"/>
  <c r="D4681" i="158"/>
  <c r="G4680" i="158"/>
  <c r="G4679" i="158"/>
  <c r="G4678" i="158"/>
  <c r="G4677" i="158"/>
  <c r="G4676" i="158"/>
  <c r="G4675" i="158"/>
  <c r="G4674" i="158"/>
  <c r="G4673" i="158"/>
  <c r="G4672" i="158"/>
  <c r="G4671" i="158"/>
  <c r="G4670" i="158"/>
  <c r="G4669" i="158"/>
  <c r="G4668" i="158"/>
  <c r="G4667" i="158"/>
  <c r="G4666" i="158"/>
  <c r="F4665" i="158"/>
  <c r="E4665" i="158"/>
  <c r="D4665" i="158"/>
  <c r="G4664" i="158"/>
  <c r="G4663" i="158"/>
  <c r="G4662" i="158"/>
  <c r="G4661" i="158"/>
  <c r="G4660" i="158"/>
  <c r="G4659" i="158"/>
  <c r="G4658" i="158"/>
  <c r="G4657" i="158"/>
  <c r="G4656" i="158"/>
  <c r="G4655" i="158"/>
  <c r="G4654" i="158"/>
  <c r="G4653" i="158"/>
  <c r="G4652" i="158"/>
  <c r="G4651" i="158"/>
  <c r="G4650" i="158"/>
  <c r="F4649" i="158"/>
  <c r="E4649" i="158"/>
  <c r="D4649" i="158"/>
  <c r="G4648" i="158"/>
  <c r="G4647" i="158"/>
  <c r="G4646" i="158"/>
  <c r="G4645" i="158"/>
  <c r="G4644" i="158"/>
  <c r="G4643" i="158"/>
  <c r="G4642" i="158"/>
  <c r="G4641" i="158"/>
  <c r="G4640" i="158"/>
  <c r="G4639" i="158"/>
  <c r="G4638" i="158"/>
  <c r="G4637" i="158"/>
  <c r="G4636" i="158"/>
  <c r="G4635" i="158"/>
  <c r="G4634" i="158"/>
  <c r="F4633" i="158"/>
  <c r="E4633" i="158"/>
  <c r="D4633" i="158"/>
  <c r="G4632" i="158"/>
  <c r="G4631" i="158"/>
  <c r="G4630" i="158"/>
  <c r="G4629" i="158"/>
  <c r="G4628" i="158"/>
  <c r="G4627" i="158"/>
  <c r="G4626" i="158"/>
  <c r="G4625" i="158"/>
  <c r="G4624" i="158"/>
  <c r="G4623" i="158"/>
  <c r="G4622" i="158"/>
  <c r="G4621" i="158"/>
  <c r="G4620" i="158"/>
  <c r="G4619" i="158"/>
  <c r="G4618" i="158"/>
  <c r="F4617" i="158"/>
  <c r="E4617" i="158"/>
  <c r="D4617" i="158"/>
  <c r="G4616" i="158"/>
  <c r="G4615" i="158"/>
  <c r="G4614" i="158"/>
  <c r="G4613" i="158"/>
  <c r="G4612" i="158"/>
  <c r="G4611" i="158"/>
  <c r="G4610" i="158"/>
  <c r="G4609" i="158"/>
  <c r="G4608" i="158"/>
  <c r="G4607" i="158"/>
  <c r="G4606" i="158"/>
  <c r="G4605" i="158"/>
  <c r="G4604" i="158"/>
  <c r="G4603" i="158"/>
  <c r="G4602" i="158"/>
  <c r="F4601" i="158"/>
  <c r="E4601" i="158"/>
  <c r="D4601" i="158"/>
  <c r="G4600" i="158"/>
  <c r="G4599" i="158"/>
  <c r="G4598" i="158"/>
  <c r="G4597" i="158"/>
  <c r="G4596" i="158"/>
  <c r="G4595" i="158"/>
  <c r="G4594" i="158"/>
  <c r="G4593" i="158"/>
  <c r="G4592" i="158"/>
  <c r="G4591" i="158"/>
  <c r="G4590" i="158"/>
  <c r="G4589" i="158"/>
  <c r="G4588" i="158"/>
  <c r="G4587" i="158"/>
  <c r="G4586" i="158"/>
  <c r="G4584" i="158"/>
  <c r="G4583" i="158"/>
  <c r="G4582" i="158"/>
  <c r="G4581" i="158"/>
  <c r="G4580" i="158"/>
  <c r="G4579" i="158"/>
  <c r="G4578" i="158"/>
  <c r="G4577" i="158"/>
  <c r="G4576" i="158"/>
  <c r="G4575" i="158"/>
  <c r="G4574" i="158"/>
  <c r="G4573" i="158"/>
  <c r="G4572" i="158"/>
  <c r="G4571" i="158"/>
  <c r="G4570" i="158"/>
  <c r="F4569" i="158"/>
  <c r="E4569" i="158"/>
  <c r="D4569" i="158"/>
  <c r="G4568" i="158"/>
  <c r="G4567" i="158"/>
  <c r="G4566" i="158"/>
  <c r="G4565" i="158"/>
  <c r="G4564" i="158"/>
  <c r="G4563" i="158"/>
  <c r="G4562" i="158"/>
  <c r="G4561" i="158"/>
  <c r="G4560" i="158"/>
  <c r="G4559" i="158"/>
  <c r="G4558" i="158"/>
  <c r="G4557" i="158"/>
  <c r="G4556" i="158"/>
  <c r="G4555" i="158"/>
  <c r="G4554" i="158"/>
  <c r="F4553" i="158"/>
  <c r="E4553" i="158"/>
  <c r="D4553" i="158"/>
  <c r="G4552" i="158"/>
  <c r="G4551" i="158"/>
  <c r="G4550" i="158"/>
  <c r="G4549" i="158"/>
  <c r="G4548" i="158"/>
  <c r="G4547" i="158"/>
  <c r="G4546" i="158"/>
  <c r="G4545" i="158"/>
  <c r="G4544" i="158"/>
  <c r="G4543" i="158"/>
  <c r="G4542" i="158"/>
  <c r="G4541" i="158"/>
  <c r="G4540" i="158"/>
  <c r="G4539" i="158"/>
  <c r="G4538" i="158"/>
  <c r="F4537" i="158"/>
  <c r="E4537" i="158"/>
  <c r="D4537" i="158"/>
  <c r="G4536" i="158"/>
  <c r="G4535" i="158"/>
  <c r="G4534" i="158"/>
  <c r="G4533" i="158"/>
  <c r="G4532" i="158"/>
  <c r="G4531" i="158"/>
  <c r="G4530" i="158"/>
  <c r="G4529" i="158"/>
  <c r="G4528" i="158"/>
  <c r="G4527" i="158"/>
  <c r="G4526" i="158"/>
  <c r="G4525" i="158"/>
  <c r="G4524" i="158"/>
  <c r="G4523" i="158"/>
  <c r="G4522" i="158"/>
  <c r="F4521" i="158"/>
  <c r="E4521" i="158"/>
  <c r="D4521" i="158"/>
  <c r="G4520" i="158"/>
  <c r="G4519" i="158"/>
  <c r="G4518" i="158"/>
  <c r="G4517" i="158"/>
  <c r="G4516" i="158"/>
  <c r="G4515" i="158"/>
  <c r="G4514" i="158"/>
  <c r="G4513" i="158"/>
  <c r="G4512" i="158"/>
  <c r="G4511" i="158"/>
  <c r="G4510" i="158"/>
  <c r="G4509" i="158"/>
  <c r="G4508" i="158"/>
  <c r="G4507" i="158"/>
  <c r="G4506" i="158"/>
  <c r="F4505" i="158"/>
  <c r="E4505" i="158"/>
  <c r="D4505" i="158"/>
  <c r="G4504" i="158"/>
  <c r="G4503" i="158"/>
  <c r="G4502" i="158"/>
  <c r="G4501" i="158"/>
  <c r="G4500" i="158"/>
  <c r="G4499" i="158"/>
  <c r="G4498" i="158"/>
  <c r="G4497" i="158"/>
  <c r="G4496" i="158"/>
  <c r="G4495" i="158"/>
  <c r="G4494" i="158"/>
  <c r="G4493" i="158"/>
  <c r="G4492" i="158"/>
  <c r="G4491" i="158"/>
  <c r="G4490" i="158"/>
  <c r="F4489" i="158"/>
  <c r="E4489" i="158"/>
  <c r="D4489" i="158"/>
  <c r="G4488" i="158"/>
  <c r="G4487" i="158"/>
  <c r="G4486" i="158"/>
  <c r="G4485" i="158"/>
  <c r="G4484" i="158"/>
  <c r="G4483" i="158"/>
  <c r="G4482" i="158"/>
  <c r="G4481" i="158"/>
  <c r="G4480" i="158"/>
  <c r="G4479" i="158"/>
  <c r="G4478" i="158"/>
  <c r="G4477" i="158"/>
  <c r="G4476" i="158"/>
  <c r="G4475" i="158"/>
  <c r="G4474" i="158"/>
  <c r="F4473" i="158"/>
  <c r="E4473" i="158"/>
  <c r="D4473" i="158"/>
  <c r="G4472" i="158"/>
  <c r="G4471" i="158"/>
  <c r="G4470" i="158"/>
  <c r="G4469" i="158"/>
  <c r="G4468" i="158"/>
  <c r="G4467" i="158"/>
  <c r="G4466" i="158"/>
  <c r="G4465" i="158"/>
  <c r="G4464" i="158"/>
  <c r="G4463" i="158"/>
  <c r="G4462" i="158"/>
  <c r="G4461" i="158"/>
  <c r="G4460" i="158"/>
  <c r="G4459" i="158"/>
  <c r="G4458" i="158"/>
  <c r="F4457" i="158"/>
  <c r="E4457" i="158"/>
  <c r="D4457" i="158"/>
  <c r="G4456" i="158"/>
  <c r="G4455" i="158"/>
  <c r="G4454" i="158"/>
  <c r="G4453" i="158"/>
  <c r="G4452" i="158"/>
  <c r="G4451" i="158"/>
  <c r="G4450" i="158"/>
  <c r="G4449" i="158"/>
  <c r="G4448" i="158"/>
  <c r="G4447" i="158"/>
  <c r="G4446" i="158"/>
  <c r="G4445" i="158"/>
  <c r="G4444" i="158"/>
  <c r="G4443" i="158"/>
  <c r="G4442" i="158"/>
  <c r="H4441" i="158"/>
  <c r="F4441" i="158"/>
  <c r="E4441" i="158"/>
  <c r="D4441" i="158"/>
  <c r="G4440" i="158"/>
  <c r="G4439" i="158"/>
  <c r="G4438" i="158"/>
  <c r="G4437" i="158"/>
  <c r="G4436" i="158"/>
  <c r="G4435" i="158"/>
  <c r="G4434" i="158"/>
  <c r="G4433" i="158"/>
  <c r="G4432" i="158"/>
  <c r="G4431" i="158"/>
  <c r="G4430" i="158"/>
  <c r="G4429" i="158"/>
  <c r="G4428" i="158"/>
  <c r="G4427" i="158"/>
  <c r="G4426" i="158"/>
  <c r="F4425" i="158"/>
  <c r="E4425" i="158"/>
  <c r="D4425" i="158"/>
  <c r="G4424" i="158"/>
  <c r="G4423" i="158"/>
  <c r="G4422" i="158"/>
  <c r="G4421" i="158"/>
  <c r="G4420" i="158"/>
  <c r="G4419" i="158"/>
  <c r="G4418" i="158"/>
  <c r="G4417" i="158"/>
  <c r="G4416" i="158"/>
  <c r="G4415" i="158"/>
  <c r="G4414" i="158"/>
  <c r="G4413" i="158"/>
  <c r="G4412" i="158"/>
  <c r="G4411" i="158"/>
  <c r="G4410" i="158"/>
  <c r="E4409" i="158"/>
  <c r="D4409" i="158"/>
  <c r="G4408" i="158"/>
  <c r="G4407" i="158"/>
  <c r="G4406" i="158"/>
  <c r="G4405" i="158"/>
  <c r="G4404" i="158"/>
  <c r="F4403" i="158"/>
  <c r="F4409" i="158" s="1"/>
  <c r="G4402" i="158"/>
  <c r="G4401" i="158"/>
  <c r="G4400" i="158"/>
  <c r="G4399" i="158"/>
  <c r="G4398" i="158"/>
  <c r="G4397" i="158"/>
  <c r="G4396" i="158"/>
  <c r="G4395" i="158"/>
  <c r="G4394" i="158"/>
  <c r="F4393" i="158"/>
  <c r="E4393" i="158"/>
  <c r="D4393" i="158"/>
  <c r="G4392" i="158"/>
  <c r="G4391" i="158"/>
  <c r="G4390" i="158"/>
  <c r="G4389" i="158"/>
  <c r="G4388" i="158"/>
  <c r="G4387" i="158"/>
  <c r="G4386" i="158"/>
  <c r="G4385" i="158"/>
  <c r="G4384" i="158"/>
  <c r="G4383" i="158"/>
  <c r="G4382" i="158"/>
  <c r="G4381" i="158"/>
  <c r="G4380" i="158"/>
  <c r="G4379" i="158"/>
  <c r="G4378" i="158"/>
  <c r="F4377" i="158"/>
  <c r="E4377" i="158"/>
  <c r="D4377" i="158"/>
  <c r="G4376" i="158"/>
  <c r="G4375" i="158"/>
  <c r="G4374" i="158"/>
  <c r="G4373" i="158"/>
  <c r="G4372" i="158"/>
  <c r="G4371" i="158"/>
  <c r="G4370" i="158"/>
  <c r="G4369" i="158"/>
  <c r="G4368" i="158"/>
  <c r="G4367" i="158"/>
  <c r="G4366" i="158"/>
  <c r="G4365" i="158"/>
  <c r="G4364" i="158"/>
  <c r="G4363" i="158"/>
  <c r="G4362" i="158"/>
  <c r="F4361" i="158"/>
  <c r="E4361" i="158"/>
  <c r="D4361" i="158"/>
  <c r="G4360" i="158"/>
  <c r="G4359" i="158"/>
  <c r="G4358" i="158"/>
  <c r="G4357" i="158"/>
  <c r="G4356" i="158"/>
  <c r="G4355" i="158"/>
  <c r="G4354" i="158"/>
  <c r="G4353" i="158"/>
  <c r="G4352" i="158"/>
  <c r="G4351" i="158"/>
  <c r="G4350" i="158"/>
  <c r="G4349" i="158"/>
  <c r="G4348" i="158"/>
  <c r="G4347" i="158"/>
  <c r="G4346" i="158"/>
  <c r="F4345" i="158"/>
  <c r="E4345" i="158"/>
  <c r="D4345" i="158"/>
  <c r="G4344" i="158"/>
  <c r="G4343" i="158"/>
  <c r="G4342" i="158"/>
  <c r="G4341" i="158"/>
  <c r="G4340" i="158"/>
  <c r="G4339" i="158"/>
  <c r="G4338" i="158"/>
  <c r="G4337" i="158"/>
  <c r="G4336" i="158"/>
  <c r="G4335" i="158"/>
  <c r="G4334" i="158"/>
  <c r="G4333" i="158"/>
  <c r="G4332" i="158"/>
  <c r="G4331" i="158"/>
  <c r="G4330" i="158"/>
  <c r="F4329" i="158"/>
  <c r="E4329" i="158"/>
  <c r="D4329" i="158"/>
  <c r="G4328" i="158"/>
  <c r="G4327" i="158"/>
  <c r="G4326" i="158"/>
  <c r="G4325" i="158"/>
  <c r="G4324" i="158"/>
  <c r="G4323" i="158"/>
  <c r="G4322" i="158"/>
  <c r="G4321" i="158"/>
  <c r="G4320" i="158"/>
  <c r="G4319" i="158"/>
  <c r="G4318" i="158"/>
  <c r="G4317" i="158"/>
  <c r="G4316" i="158"/>
  <c r="G4315" i="158"/>
  <c r="G4314" i="158"/>
  <c r="E4313" i="158"/>
  <c r="D4313" i="158"/>
  <c r="G4312" i="158"/>
  <c r="G4311" i="158"/>
  <c r="G4310" i="158"/>
  <c r="G4309" i="158"/>
  <c r="G4308" i="158"/>
  <c r="F4307" i="158"/>
  <c r="G4306" i="158"/>
  <c r="G4305" i="158"/>
  <c r="G4304" i="158"/>
  <c r="G4303" i="158"/>
  <c r="G4302" i="158"/>
  <c r="G4301" i="158"/>
  <c r="G4300" i="158"/>
  <c r="G4299" i="158"/>
  <c r="G4298" i="158"/>
  <c r="F4297" i="158"/>
  <c r="E4297" i="158"/>
  <c r="D4297" i="158"/>
  <c r="G4296" i="158"/>
  <c r="G4295" i="158"/>
  <c r="G4294" i="158"/>
  <c r="G4293" i="158"/>
  <c r="G4292" i="158"/>
  <c r="G4291" i="158"/>
  <c r="G4290" i="158"/>
  <c r="G4289" i="158"/>
  <c r="G4288" i="158"/>
  <c r="G4287" i="158"/>
  <c r="G4286" i="158"/>
  <c r="G4285" i="158"/>
  <c r="G4284" i="158"/>
  <c r="G4283" i="158"/>
  <c r="G4282" i="158"/>
  <c r="F4281" i="158"/>
  <c r="E4281" i="158"/>
  <c r="D4281" i="158"/>
  <c r="G4280" i="158"/>
  <c r="G4279" i="158"/>
  <c r="G4278" i="158"/>
  <c r="G4277" i="158"/>
  <c r="G4276" i="158"/>
  <c r="G4275" i="158"/>
  <c r="G4274" i="158"/>
  <c r="G4273" i="158"/>
  <c r="G4272" i="158"/>
  <c r="G4271" i="158"/>
  <c r="G4270" i="158"/>
  <c r="G4269" i="158"/>
  <c r="G4268" i="158"/>
  <c r="G4267" i="158"/>
  <c r="G4266" i="158"/>
  <c r="F4265" i="158"/>
  <c r="E4265" i="158"/>
  <c r="D4265" i="158"/>
  <c r="G4264" i="158"/>
  <c r="G4263" i="158"/>
  <c r="G4262" i="158"/>
  <c r="G4261" i="158"/>
  <c r="G4260" i="158"/>
  <c r="G4259" i="158"/>
  <c r="G4258" i="158"/>
  <c r="G4257" i="158"/>
  <c r="G4256" i="158"/>
  <c r="G4255" i="158"/>
  <c r="G4254" i="158"/>
  <c r="G4253" i="158"/>
  <c r="G4252" i="158"/>
  <c r="G4251" i="158"/>
  <c r="G4250" i="158"/>
  <c r="F4249" i="158"/>
  <c r="E4249" i="158"/>
  <c r="D4249" i="158"/>
  <c r="G4248" i="158"/>
  <c r="G4247" i="158"/>
  <c r="G4246" i="158"/>
  <c r="G4245" i="158"/>
  <c r="G4244" i="158"/>
  <c r="G4243" i="158"/>
  <c r="G4242" i="158"/>
  <c r="G4241" i="158"/>
  <c r="G4240" i="158"/>
  <c r="G4239" i="158"/>
  <c r="G4238" i="158"/>
  <c r="G4237" i="158"/>
  <c r="G4236" i="158"/>
  <c r="G4235" i="158"/>
  <c r="G4234" i="158"/>
  <c r="F4233" i="158"/>
  <c r="E4233" i="158"/>
  <c r="D4233" i="158"/>
  <c r="G4232" i="158"/>
  <c r="G4231" i="158"/>
  <c r="G4230" i="158"/>
  <c r="G4229" i="158"/>
  <c r="G4228" i="158"/>
  <c r="G4227" i="158"/>
  <c r="G4226" i="158"/>
  <c r="G4225" i="158"/>
  <c r="G4224" i="158"/>
  <c r="G4223" i="158"/>
  <c r="G4222" i="158"/>
  <c r="G4221" i="158"/>
  <c r="G4220" i="158"/>
  <c r="G4219" i="158"/>
  <c r="G4218" i="158"/>
  <c r="E4217" i="158"/>
  <c r="D4217" i="158"/>
  <c r="G4216" i="158"/>
  <c r="G4215" i="158"/>
  <c r="G4214" i="158"/>
  <c r="G4213" i="158"/>
  <c r="G4212" i="158"/>
  <c r="F4211" i="158"/>
  <c r="F4217" i="158" s="1"/>
  <c r="G4210" i="158"/>
  <c r="G4209" i="158"/>
  <c r="G4208" i="158"/>
  <c r="G4207" i="158"/>
  <c r="G4206" i="158"/>
  <c r="G4205" i="158"/>
  <c r="G4204" i="158"/>
  <c r="G4203" i="158"/>
  <c r="G4202" i="158"/>
  <c r="F4201" i="158"/>
  <c r="E4201" i="158"/>
  <c r="D4201" i="158"/>
  <c r="G4200" i="158"/>
  <c r="G4199" i="158"/>
  <c r="G4198" i="158"/>
  <c r="G4197" i="158"/>
  <c r="G4196" i="158"/>
  <c r="G4195" i="158"/>
  <c r="G4194" i="158"/>
  <c r="G4193" i="158"/>
  <c r="G4192" i="158"/>
  <c r="G4191" i="158"/>
  <c r="G4190" i="158"/>
  <c r="G4189" i="158"/>
  <c r="G4188" i="158"/>
  <c r="G4187" i="158"/>
  <c r="G4186" i="158"/>
  <c r="F4185" i="158"/>
  <c r="E4185" i="158"/>
  <c r="D4185" i="158"/>
  <c r="G4184" i="158"/>
  <c r="G4183" i="158"/>
  <c r="G4182" i="158"/>
  <c r="G4181" i="158"/>
  <c r="G4180" i="158"/>
  <c r="G4179" i="158"/>
  <c r="G4178" i="158"/>
  <c r="G4177" i="158"/>
  <c r="G4176" i="158"/>
  <c r="G4175" i="158"/>
  <c r="G4174" i="158"/>
  <c r="G4173" i="158"/>
  <c r="G4172" i="158"/>
  <c r="G4171" i="158"/>
  <c r="G4170" i="158"/>
  <c r="F4169" i="158"/>
  <c r="E4169" i="158"/>
  <c r="D4169" i="158"/>
  <c r="G4168" i="158"/>
  <c r="G4167" i="158"/>
  <c r="G4166" i="158"/>
  <c r="G4165" i="158"/>
  <c r="G4164" i="158"/>
  <c r="G4163" i="158"/>
  <c r="G4162" i="158"/>
  <c r="G4161" i="158"/>
  <c r="G4160" i="158"/>
  <c r="G4159" i="158"/>
  <c r="G4158" i="158"/>
  <c r="G4157" i="158"/>
  <c r="G4156" i="158"/>
  <c r="G4155" i="158"/>
  <c r="G4154" i="158"/>
  <c r="F4153" i="158"/>
  <c r="E4153" i="158"/>
  <c r="D4153" i="158"/>
  <c r="G4152" i="158"/>
  <c r="G4151" i="158"/>
  <c r="G4150" i="158"/>
  <c r="G4149" i="158"/>
  <c r="G4148" i="158"/>
  <c r="G4147" i="158"/>
  <c r="G4146" i="158"/>
  <c r="G4145" i="158"/>
  <c r="G4144" i="158"/>
  <c r="G4143" i="158"/>
  <c r="G4142" i="158"/>
  <c r="G4141" i="158"/>
  <c r="G4140" i="158"/>
  <c r="G4139" i="158"/>
  <c r="G4138" i="158"/>
  <c r="G4136" i="158"/>
  <c r="G4135" i="158"/>
  <c r="G4134" i="158"/>
  <c r="G4133" i="158"/>
  <c r="G4132" i="158"/>
  <c r="F4131" i="158"/>
  <c r="G4131" i="158" s="1"/>
  <c r="G4130" i="158"/>
  <c r="G4129" i="158"/>
  <c r="G4128" i="158"/>
  <c r="G4127" i="158"/>
  <c r="G4126" i="158"/>
  <c r="G4125" i="158"/>
  <c r="G4124" i="158"/>
  <c r="G4123" i="158"/>
  <c r="G4122" i="158"/>
  <c r="F4121" i="158"/>
  <c r="E4121" i="158"/>
  <c r="D4121" i="158"/>
  <c r="G4120" i="158"/>
  <c r="G4119" i="158"/>
  <c r="G4118" i="158"/>
  <c r="G4117" i="158"/>
  <c r="G4116" i="158"/>
  <c r="G4115" i="158"/>
  <c r="G4114" i="158"/>
  <c r="G4113" i="158"/>
  <c r="G4112" i="158"/>
  <c r="G4111" i="158"/>
  <c r="G4110" i="158"/>
  <c r="G4109" i="158"/>
  <c r="G4108" i="158"/>
  <c r="G4107" i="158"/>
  <c r="G4106" i="158"/>
  <c r="F4105" i="158"/>
  <c r="E4105" i="158"/>
  <c r="D4105" i="158"/>
  <c r="G4104" i="158"/>
  <c r="G4103" i="158"/>
  <c r="G4102" i="158"/>
  <c r="G4101" i="158"/>
  <c r="G4100" i="158"/>
  <c r="G4099" i="158"/>
  <c r="G4098" i="158"/>
  <c r="G4097" i="158"/>
  <c r="G4096" i="158"/>
  <c r="G4095" i="158"/>
  <c r="G4094" i="158"/>
  <c r="G4093" i="158"/>
  <c r="G4092" i="158"/>
  <c r="G4091" i="158"/>
  <c r="G4090" i="158"/>
  <c r="F4089" i="158"/>
  <c r="E4089" i="158"/>
  <c r="D4089" i="158"/>
  <c r="G4088" i="158"/>
  <c r="G4087" i="158"/>
  <c r="G4086" i="158"/>
  <c r="G4085" i="158"/>
  <c r="G4084" i="158"/>
  <c r="G4083" i="158"/>
  <c r="G4082" i="158"/>
  <c r="G4081" i="158"/>
  <c r="G4080" i="158"/>
  <c r="G4079" i="158"/>
  <c r="G4078" i="158"/>
  <c r="G4077" i="158"/>
  <c r="G4076" i="158"/>
  <c r="G4075" i="158"/>
  <c r="G4074" i="158"/>
  <c r="F4073" i="158"/>
  <c r="E4073" i="158"/>
  <c r="D4073" i="158"/>
  <c r="G4072" i="158"/>
  <c r="G4071" i="158"/>
  <c r="G4070" i="158"/>
  <c r="G4069" i="158"/>
  <c r="G4068" i="158"/>
  <c r="G4067" i="158"/>
  <c r="G4066" i="158"/>
  <c r="G4065" i="158"/>
  <c r="G4064" i="158"/>
  <c r="G4063" i="158"/>
  <c r="G4062" i="158"/>
  <c r="G4061" i="158"/>
  <c r="G4060" i="158"/>
  <c r="G4059" i="158"/>
  <c r="G4058" i="158"/>
  <c r="F4057" i="158"/>
  <c r="E4057" i="158"/>
  <c r="D4057" i="158"/>
  <c r="G4056" i="158"/>
  <c r="G4055" i="158"/>
  <c r="G4054" i="158"/>
  <c r="G4053" i="158"/>
  <c r="G4052" i="158"/>
  <c r="G4051" i="158"/>
  <c r="G4050" i="158"/>
  <c r="G4049" i="158"/>
  <c r="G4048" i="158"/>
  <c r="G4047" i="158"/>
  <c r="G4046" i="158"/>
  <c r="G4045" i="158"/>
  <c r="G4044" i="158"/>
  <c r="G4043" i="158"/>
  <c r="G4042" i="158"/>
  <c r="E4041" i="158"/>
  <c r="D4041" i="158"/>
  <c r="G4040" i="158"/>
  <c r="G4039" i="158"/>
  <c r="G4038" i="158"/>
  <c r="G4037" i="158"/>
  <c r="G4036" i="158"/>
  <c r="F4035" i="158"/>
  <c r="F4041" i="158" s="1"/>
  <c r="G4034" i="158"/>
  <c r="G4033" i="158"/>
  <c r="G4032" i="158"/>
  <c r="G4031" i="158"/>
  <c r="G4030" i="158"/>
  <c r="G4029" i="158"/>
  <c r="G4028" i="158"/>
  <c r="G4027" i="158"/>
  <c r="G4026" i="158"/>
  <c r="F4025" i="158"/>
  <c r="E4025" i="158"/>
  <c r="D4025" i="158"/>
  <c r="G4024" i="158"/>
  <c r="G4023" i="158"/>
  <c r="G4022" i="158"/>
  <c r="G4021" i="158"/>
  <c r="G4020" i="158"/>
  <c r="G4019" i="158"/>
  <c r="G4018" i="158"/>
  <c r="G4017" i="158"/>
  <c r="G4016" i="158"/>
  <c r="G4015" i="158"/>
  <c r="G4014" i="158"/>
  <c r="G4013" i="158"/>
  <c r="G4012" i="158"/>
  <c r="G4011" i="158"/>
  <c r="G4010" i="158"/>
  <c r="F4009" i="158"/>
  <c r="E4009" i="158"/>
  <c r="D4009" i="158"/>
  <c r="G4008" i="158"/>
  <c r="G4007" i="158"/>
  <c r="G4006" i="158"/>
  <c r="G4005" i="158"/>
  <c r="G4004" i="158"/>
  <c r="G4003" i="158"/>
  <c r="G4002" i="158"/>
  <c r="G4001" i="158"/>
  <c r="G4000" i="158"/>
  <c r="G3999" i="158"/>
  <c r="G3998" i="158"/>
  <c r="G3997" i="158"/>
  <c r="G3996" i="158"/>
  <c r="G3995" i="158"/>
  <c r="G3994" i="158"/>
  <c r="J3993" i="158"/>
  <c r="I3993" i="158"/>
  <c r="H3993" i="158"/>
  <c r="F3993" i="158"/>
  <c r="E3993" i="158"/>
  <c r="D3993" i="158"/>
  <c r="G3992" i="158"/>
  <c r="G3991" i="158"/>
  <c r="G3990" i="158"/>
  <c r="G3989" i="158"/>
  <c r="G3988" i="158"/>
  <c r="G3987" i="158"/>
  <c r="G3986" i="158"/>
  <c r="G3985" i="158"/>
  <c r="G3984" i="158"/>
  <c r="G3983" i="158"/>
  <c r="G3982" i="158"/>
  <c r="G3981" i="158"/>
  <c r="G3980" i="158"/>
  <c r="G3979" i="158"/>
  <c r="G3978" i="158"/>
  <c r="F3977" i="158"/>
  <c r="E3977" i="158"/>
  <c r="D3977" i="158"/>
  <c r="G3976" i="158"/>
  <c r="G3975" i="158"/>
  <c r="G3974" i="158"/>
  <c r="G3973" i="158"/>
  <c r="G3972" i="158"/>
  <c r="G3971" i="158"/>
  <c r="G3970" i="158"/>
  <c r="G3969" i="158"/>
  <c r="G3968" i="158"/>
  <c r="G3967" i="158"/>
  <c r="G3966" i="158"/>
  <c r="G3965" i="158"/>
  <c r="G3964" i="158"/>
  <c r="G3963" i="158"/>
  <c r="G3962" i="158"/>
  <c r="F3961" i="158"/>
  <c r="E3961" i="158"/>
  <c r="D3961" i="158"/>
  <c r="G3960" i="158"/>
  <c r="G3959" i="158"/>
  <c r="G3958" i="158"/>
  <c r="G3957" i="158"/>
  <c r="G3956" i="158"/>
  <c r="G3955" i="158"/>
  <c r="G3954" i="158"/>
  <c r="G3953" i="158"/>
  <c r="G3952" i="158"/>
  <c r="G3951" i="158"/>
  <c r="G3950" i="158"/>
  <c r="G3949" i="158"/>
  <c r="G3948" i="158"/>
  <c r="G3947" i="158"/>
  <c r="G3946" i="158"/>
  <c r="F3945" i="158"/>
  <c r="E3945" i="158"/>
  <c r="D3945" i="158"/>
  <c r="G3944" i="158"/>
  <c r="G3943" i="158"/>
  <c r="G3942" i="158"/>
  <c r="G3941" i="158"/>
  <c r="G3940" i="158"/>
  <c r="G3939" i="158"/>
  <c r="G3938" i="158"/>
  <c r="G3937" i="158"/>
  <c r="G3936" i="158"/>
  <c r="G3935" i="158"/>
  <c r="G3934" i="158"/>
  <c r="G3933" i="158"/>
  <c r="G3932" i="158"/>
  <c r="G3931" i="158"/>
  <c r="G3930" i="158"/>
  <c r="F3929" i="158"/>
  <c r="E3929" i="158"/>
  <c r="D3929" i="158"/>
  <c r="G3928" i="158"/>
  <c r="G3927" i="158"/>
  <c r="G3926" i="158"/>
  <c r="G3925" i="158"/>
  <c r="G3924" i="158"/>
  <c r="G3923" i="158"/>
  <c r="G3922" i="158"/>
  <c r="G3921" i="158"/>
  <c r="G3920" i="158"/>
  <c r="G3919" i="158"/>
  <c r="G3918" i="158"/>
  <c r="G3917" i="158"/>
  <c r="G3916" i="158"/>
  <c r="G3915" i="158"/>
  <c r="G3914" i="158"/>
  <c r="E3913" i="158"/>
  <c r="D3913" i="158"/>
  <c r="G3912" i="158"/>
  <c r="G3911" i="158"/>
  <c r="G3910" i="158"/>
  <c r="G3909" i="158"/>
  <c r="G3908" i="158"/>
  <c r="F3907" i="158"/>
  <c r="G3907" i="158" s="1"/>
  <c r="G3906" i="158"/>
  <c r="G3905" i="158"/>
  <c r="G3904" i="158"/>
  <c r="G3903" i="158"/>
  <c r="G3902" i="158"/>
  <c r="G3901" i="158"/>
  <c r="G3900" i="158"/>
  <c r="F3899" i="158"/>
  <c r="F3913" i="158" s="1"/>
  <c r="G3898" i="158"/>
  <c r="E3897" i="158"/>
  <c r="D3897" i="158"/>
  <c r="G3896" i="158"/>
  <c r="G3895" i="158"/>
  <c r="G3894" i="158"/>
  <c r="G3893" i="158"/>
  <c r="G3892" i="158"/>
  <c r="F3891" i="158"/>
  <c r="F3897" i="158" s="1"/>
  <c r="G3890" i="158"/>
  <c r="G3889" i="158"/>
  <c r="G3888" i="158"/>
  <c r="G3887" i="158"/>
  <c r="G3886" i="158"/>
  <c r="G3885" i="158"/>
  <c r="G3884" i="158"/>
  <c r="G3883" i="158"/>
  <c r="G3882" i="158"/>
  <c r="F3881" i="158"/>
  <c r="E3881" i="158"/>
  <c r="D3881" i="158"/>
  <c r="G3880" i="158"/>
  <c r="G3879" i="158"/>
  <c r="G3878" i="158"/>
  <c r="G3877" i="158"/>
  <c r="G3876" i="158"/>
  <c r="G3875" i="158"/>
  <c r="G3874" i="158"/>
  <c r="G3873" i="158"/>
  <c r="G3872" i="158"/>
  <c r="G3871" i="158"/>
  <c r="G3870" i="158"/>
  <c r="G3869" i="158"/>
  <c r="G3868" i="158"/>
  <c r="G3867" i="158"/>
  <c r="G3866" i="158"/>
  <c r="F3865" i="158"/>
  <c r="E3865" i="158"/>
  <c r="D3865" i="158"/>
  <c r="G3864" i="158"/>
  <c r="G3863" i="158"/>
  <c r="G3862" i="158"/>
  <c r="G3861" i="158"/>
  <c r="G3860" i="158"/>
  <c r="G3859" i="158"/>
  <c r="G3858" i="158"/>
  <c r="G3857" i="158"/>
  <c r="G3856" i="158"/>
  <c r="G3855" i="158"/>
  <c r="G3854" i="158"/>
  <c r="G3853" i="158"/>
  <c r="G3852" i="158"/>
  <c r="G3851" i="158"/>
  <c r="G3850" i="158"/>
  <c r="F3849" i="158"/>
  <c r="E3849" i="158"/>
  <c r="D3849" i="158"/>
  <c r="G3848" i="158"/>
  <c r="G3847" i="158"/>
  <c r="G3846" i="158"/>
  <c r="G3845" i="158"/>
  <c r="G3844" i="158"/>
  <c r="G3843" i="158"/>
  <c r="G3842" i="158"/>
  <c r="G3841" i="158"/>
  <c r="G3840" i="158"/>
  <c r="G3839" i="158"/>
  <c r="G3838" i="158"/>
  <c r="G3837" i="158"/>
  <c r="G3836" i="158"/>
  <c r="G3835" i="158"/>
  <c r="G3834" i="158"/>
  <c r="F3833" i="158"/>
  <c r="E3833" i="158"/>
  <c r="D3833" i="158"/>
  <c r="G3832" i="158"/>
  <c r="G3831" i="158"/>
  <c r="G3830" i="158"/>
  <c r="G3829" i="158"/>
  <c r="G3828" i="158"/>
  <c r="G3827" i="158"/>
  <c r="G3826" i="158"/>
  <c r="G3825" i="158"/>
  <c r="G3824" i="158"/>
  <c r="G3823" i="158"/>
  <c r="G3822" i="158"/>
  <c r="G3821" i="158"/>
  <c r="G3820" i="158"/>
  <c r="G3819" i="158"/>
  <c r="G3818" i="158"/>
  <c r="G3801" i="158"/>
  <c r="F3801" i="158"/>
  <c r="E3801" i="158"/>
  <c r="D3801" i="158"/>
  <c r="G3785" i="158"/>
  <c r="F3785" i="158"/>
  <c r="E3785" i="158"/>
  <c r="D3785" i="158"/>
  <c r="G3769" i="158"/>
  <c r="F3769" i="158"/>
  <c r="E3769" i="158"/>
  <c r="D3769" i="158"/>
  <c r="F3753" i="158"/>
  <c r="E3753" i="158"/>
  <c r="D3753" i="158"/>
  <c r="G3752" i="158"/>
  <c r="G3751" i="158"/>
  <c r="G3750" i="158"/>
  <c r="G3749" i="158"/>
  <c r="G3748" i="158"/>
  <c r="G3747" i="158"/>
  <c r="G3746" i="158"/>
  <c r="G3745" i="158"/>
  <c r="G3744" i="158"/>
  <c r="G3743" i="158"/>
  <c r="G3742" i="158"/>
  <c r="G3741" i="158"/>
  <c r="G3740" i="158"/>
  <c r="G3739" i="158"/>
  <c r="G3738" i="158"/>
  <c r="F3689" i="158"/>
  <c r="E3689" i="158"/>
  <c r="D3689" i="158"/>
  <c r="G3688" i="158"/>
  <c r="G3687" i="158"/>
  <c r="G3686" i="158"/>
  <c r="G3685" i="158"/>
  <c r="G3684" i="158"/>
  <c r="G3683" i="158"/>
  <c r="G3682" i="158"/>
  <c r="G3681" i="158"/>
  <c r="G3680" i="158"/>
  <c r="G3679" i="158"/>
  <c r="G3678" i="158"/>
  <c r="G3677" i="158"/>
  <c r="G3676" i="158"/>
  <c r="G3675" i="158"/>
  <c r="G3674" i="158"/>
  <c r="F3673" i="158"/>
  <c r="E3673" i="158"/>
  <c r="D3673" i="158"/>
  <c r="G3672" i="158"/>
  <c r="G3671" i="158"/>
  <c r="G3670" i="158"/>
  <c r="G3669" i="158"/>
  <c r="G3668" i="158"/>
  <c r="G3667" i="158"/>
  <c r="G3666" i="158"/>
  <c r="G3665" i="158"/>
  <c r="G3664" i="158"/>
  <c r="G3663" i="158"/>
  <c r="G3662" i="158"/>
  <c r="G3661" i="158"/>
  <c r="G3660" i="158"/>
  <c r="G3659" i="158"/>
  <c r="G3658" i="158"/>
  <c r="F3657" i="158"/>
  <c r="E3657" i="158"/>
  <c r="D3657" i="158"/>
  <c r="G3656" i="158"/>
  <c r="G3655" i="158"/>
  <c r="G3654" i="158"/>
  <c r="G3653" i="158"/>
  <c r="G3652" i="158"/>
  <c r="G3651" i="158"/>
  <c r="G3650" i="158"/>
  <c r="G3649" i="158"/>
  <c r="G3648" i="158"/>
  <c r="G3647" i="158"/>
  <c r="G3646" i="158"/>
  <c r="G3645" i="158"/>
  <c r="G3644" i="158"/>
  <c r="G3643" i="158"/>
  <c r="G3642" i="158"/>
  <c r="F3641" i="158"/>
  <c r="E3641" i="158"/>
  <c r="D3641" i="158"/>
  <c r="G3640" i="158"/>
  <c r="G3639" i="158"/>
  <c r="G3638" i="158"/>
  <c r="G3637" i="158"/>
  <c r="G3636" i="158"/>
  <c r="G3635" i="158"/>
  <c r="G3634" i="158"/>
  <c r="G3633" i="158"/>
  <c r="G3632" i="158"/>
  <c r="G3631" i="158"/>
  <c r="G3630" i="158"/>
  <c r="G3629" i="158"/>
  <c r="G3628" i="158"/>
  <c r="G3627" i="158"/>
  <c r="G3626" i="158"/>
  <c r="F3625" i="158"/>
  <c r="E3625" i="158"/>
  <c r="D3625" i="158"/>
  <c r="G3624" i="158"/>
  <c r="G3623" i="158"/>
  <c r="G3622" i="158"/>
  <c r="G3621" i="158"/>
  <c r="G3620" i="158"/>
  <c r="G3619" i="158"/>
  <c r="G3618" i="158"/>
  <c r="G3617" i="158"/>
  <c r="G3616" i="158"/>
  <c r="G3615" i="158"/>
  <c r="G3614" i="158"/>
  <c r="G3613" i="158"/>
  <c r="G3612" i="158"/>
  <c r="G3611" i="158"/>
  <c r="G3610" i="158"/>
  <c r="F3609" i="158"/>
  <c r="E3609" i="158"/>
  <c r="D3609" i="158"/>
  <c r="G3608" i="158"/>
  <c r="G3607" i="158"/>
  <c r="G3606" i="158"/>
  <c r="G3605" i="158"/>
  <c r="G3604" i="158"/>
  <c r="G3603" i="158"/>
  <c r="G3602" i="158"/>
  <c r="G3601" i="158"/>
  <c r="G3600" i="158"/>
  <c r="G3599" i="158"/>
  <c r="G3598" i="158"/>
  <c r="G3597" i="158"/>
  <c r="G3596" i="158"/>
  <c r="G3595" i="158"/>
  <c r="G3594" i="158"/>
  <c r="F3593" i="158"/>
  <c r="E3593" i="158"/>
  <c r="D3593" i="158"/>
  <c r="G3592" i="158"/>
  <c r="G3591" i="158"/>
  <c r="G3590" i="158"/>
  <c r="G3589" i="158"/>
  <c r="G3588" i="158"/>
  <c r="G3587" i="158"/>
  <c r="G3586" i="158"/>
  <c r="G3585" i="158"/>
  <c r="G3584" i="158"/>
  <c r="G3583" i="158"/>
  <c r="G3582" i="158"/>
  <c r="G3581" i="158"/>
  <c r="G3580" i="158"/>
  <c r="G3579" i="158"/>
  <c r="G3578" i="158"/>
  <c r="F3577" i="158"/>
  <c r="E3577" i="158"/>
  <c r="D3577" i="158"/>
  <c r="G3576" i="158"/>
  <c r="G3575" i="158"/>
  <c r="G3574" i="158"/>
  <c r="G3573" i="158"/>
  <c r="G3572" i="158"/>
  <c r="G3571" i="158"/>
  <c r="G3570" i="158"/>
  <c r="G3569" i="158"/>
  <c r="G3568" i="158"/>
  <c r="G3567" i="158"/>
  <c r="G3566" i="158"/>
  <c r="G3565" i="158"/>
  <c r="G3564" i="158"/>
  <c r="G3563" i="158"/>
  <c r="G3562" i="158"/>
  <c r="F3561" i="158"/>
  <c r="E3561" i="158"/>
  <c r="D3561" i="158"/>
  <c r="G3560" i="158"/>
  <c r="G3559" i="158"/>
  <c r="G3558" i="158"/>
  <c r="G3557" i="158"/>
  <c r="G3556" i="158"/>
  <c r="G3555" i="158"/>
  <c r="G3554" i="158"/>
  <c r="G3553" i="158"/>
  <c r="G3552" i="158"/>
  <c r="G3551" i="158"/>
  <c r="G3550" i="158"/>
  <c r="G3549" i="158"/>
  <c r="G3548" i="158"/>
  <c r="G3547" i="158"/>
  <c r="G3546" i="158"/>
  <c r="G3544" i="158"/>
  <c r="G3543" i="158"/>
  <c r="G3542" i="158"/>
  <c r="G3541" i="158"/>
  <c r="G3540" i="158"/>
  <c r="G3539" i="158"/>
  <c r="G3538" i="158"/>
  <c r="G3537" i="158"/>
  <c r="G3536" i="158"/>
  <c r="G3535" i="158"/>
  <c r="G3534" i="158"/>
  <c r="G3533" i="158"/>
  <c r="G3532" i="158"/>
  <c r="G3531" i="158"/>
  <c r="G3530" i="158"/>
  <c r="G3528" i="158"/>
  <c r="G3527" i="158"/>
  <c r="G3526" i="158"/>
  <c r="G3525" i="158"/>
  <c r="G3524" i="158"/>
  <c r="G3523" i="158"/>
  <c r="G3522" i="158"/>
  <c r="G3521" i="158"/>
  <c r="G3520" i="158"/>
  <c r="G3519" i="158"/>
  <c r="G3518" i="158"/>
  <c r="G3517" i="158"/>
  <c r="G3516" i="158"/>
  <c r="G3515" i="158"/>
  <c r="G3514" i="158"/>
  <c r="F3513" i="158"/>
  <c r="E3513" i="158"/>
  <c r="D3513" i="158"/>
  <c r="G3512" i="158"/>
  <c r="G3511" i="158"/>
  <c r="G3510" i="158"/>
  <c r="G3509" i="158"/>
  <c r="G3508" i="158"/>
  <c r="G3507" i="158"/>
  <c r="G3506" i="158"/>
  <c r="G3505" i="158"/>
  <c r="G3504" i="158"/>
  <c r="G3503" i="158"/>
  <c r="G3502" i="158"/>
  <c r="G3501" i="158"/>
  <c r="G3500" i="158"/>
  <c r="G3499" i="158"/>
  <c r="G3498" i="158"/>
  <c r="F3497" i="158"/>
  <c r="E3497" i="158"/>
  <c r="D3497" i="158"/>
  <c r="G3496" i="158"/>
  <c r="G3495" i="158"/>
  <c r="G3494" i="158"/>
  <c r="G3493" i="158"/>
  <c r="G3492" i="158"/>
  <c r="G3491" i="158"/>
  <c r="G3490" i="158"/>
  <c r="G3489" i="158"/>
  <c r="G3488" i="158"/>
  <c r="G3487" i="158"/>
  <c r="G3486" i="158"/>
  <c r="G3485" i="158"/>
  <c r="G3484" i="158"/>
  <c r="G3483" i="158"/>
  <c r="G3482" i="158"/>
  <c r="F3481" i="158"/>
  <c r="E3481" i="158"/>
  <c r="D3481" i="158"/>
  <c r="G3480" i="158"/>
  <c r="G3479" i="158"/>
  <c r="G3478" i="158"/>
  <c r="G3477" i="158"/>
  <c r="G3476" i="158"/>
  <c r="G3475" i="158"/>
  <c r="G3474" i="158"/>
  <c r="G3473" i="158"/>
  <c r="G3472" i="158"/>
  <c r="G3471" i="158"/>
  <c r="G3470" i="158"/>
  <c r="G3469" i="158"/>
  <c r="G3468" i="158"/>
  <c r="G3467" i="158"/>
  <c r="G3466" i="158"/>
  <c r="F3465" i="158"/>
  <c r="E3465" i="158"/>
  <c r="D3465" i="158"/>
  <c r="G3464" i="158"/>
  <c r="G3463" i="158"/>
  <c r="G3462" i="158"/>
  <c r="G3461" i="158"/>
  <c r="G3460" i="158"/>
  <c r="G3459" i="158"/>
  <c r="G3458" i="158"/>
  <c r="G3457" i="158"/>
  <c r="G3456" i="158"/>
  <c r="G3455" i="158"/>
  <c r="G3454" i="158"/>
  <c r="G3453" i="158"/>
  <c r="G3452" i="158"/>
  <c r="G3451" i="158"/>
  <c r="G3450" i="158"/>
  <c r="F3449" i="158"/>
  <c r="E3449" i="158"/>
  <c r="D3449" i="158"/>
  <c r="G3448" i="158"/>
  <c r="G3447" i="158"/>
  <c r="G3446" i="158"/>
  <c r="G3445" i="158"/>
  <c r="G3444" i="158"/>
  <c r="G3443" i="158"/>
  <c r="G3442" i="158"/>
  <c r="G3441" i="158"/>
  <c r="G3440" i="158"/>
  <c r="G3439" i="158"/>
  <c r="G3438" i="158"/>
  <c r="G3437" i="158"/>
  <c r="G3436" i="158"/>
  <c r="G3435" i="158"/>
  <c r="G3434" i="158"/>
  <c r="F3433" i="158"/>
  <c r="E3433" i="158"/>
  <c r="D3433" i="158"/>
  <c r="G3432" i="158"/>
  <c r="G3431" i="158"/>
  <c r="G3430" i="158"/>
  <c r="G3429" i="158"/>
  <c r="G3428" i="158"/>
  <c r="G3427" i="158"/>
  <c r="G3426" i="158"/>
  <c r="G3425" i="158"/>
  <c r="G3424" i="158"/>
  <c r="G3423" i="158"/>
  <c r="G3422" i="158"/>
  <c r="G3421" i="158"/>
  <c r="G3420" i="158"/>
  <c r="G3419" i="158"/>
  <c r="G3418" i="158"/>
  <c r="J3417" i="158"/>
  <c r="I3417" i="158"/>
  <c r="H3417" i="158"/>
  <c r="F3417" i="158"/>
  <c r="E3417" i="158"/>
  <c r="D3417" i="158"/>
  <c r="G3416" i="158"/>
  <c r="G3415" i="158"/>
  <c r="G3414" i="158"/>
  <c r="G3413" i="158"/>
  <c r="G3412" i="158"/>
  <c r="G3411" i="158"/>
  <c r="G3410" i="158"/>
  <c r="G3409" i="158"/>
  <c r="G3408" i="158"/>
  <c r="G3407" i="158"/>
  <c r="G3406" i="158"/>
  <c r="G3405" i="158"/>
  <c r="G3404" i="158"/>
  <c r="G3403" i="158"/>
  <c r="G3402" i="158"/>
  <c r="F3401" i="158"/>
  <c r="E3401" i="158"/>
  <c r="D3401" i="158"/>
  <c r="G3400" i="158"/>
  <c r="G3399" i="158"/>
  <c r="G3398" i="158"/>
  <c r="G3397" i="158"/>
  <c r="G3396" i="158"/>
  <c r="G3395" i="158"/>
  <c r="G3394" i="158"/>
  <c r="G3393" i="158"/>
  <c r="G3392" i="158"/>
  <c r="G3391" i="158"/>
  <c r="G3390" i="158"/>
  <c r="G3389" i="158"/>
  <c r="G3388" i="158"/>
  <c r="G3387" i="158"/>
  <c r="G3386" i="158"/>
  <c r="F3385" i="158"/>
  <c r="E3385" i="158"/>
  <c r="D3385" i="158"/>
  <c r="G3384" i="158"/>
  <c r="G3383" i="158"/>
  <c r="G3382" i="158"/>
  <c r="G3381" i="158"/>
  <c r="G3380" i="158"/>
  <c r="G3379" i="158"/>
  <c r="G3378" i="158"/>
  <c r="G3377" i="158"/>
  <c r="G3376" i="158"/>
  <c r="G3375" i="158"/>
  <c r="G3374" i="158"/>
  <c r="G3373" i="158"/>
  <c r="G3372" i="158"/>
  <c r="G3371" i="158"/>
  <c r="G3370" i="158"/>
  <c r="F3369" i="158"/>
  <c r="E3369" i="158"/>
  <c r="D3369" i="158"/>
  <c r="G3368" i="158"/>
  <c r="G3367" i="158"/>
  <c r="G3366" i="158"/>
  <c r="G3365" i="158"/>
  <c r="G3364" i="158"/>
  <c r="G3363" i="158"/>
  <c r="G3362" i="158"/>
  <c r="G3361" i="158"/>
  <c r="G3360" i="158"/>
  <c r="G3359" i="158"/>
  <c r="G3358" i="158"/>
  <c r="G3357" i="158"/>
  <c r="G3356" i="158"/>
  <c r="G3355" i="158"/>
  <c r="G3354" i="158"/>
  <c r="F3353" i="158"/>
  <c r="E3353" i="158"/>
  <c r="D3353" i="158"/>
  <c r="G3352" i="158"/>
  <c r="G3351" i="158"/>
  <c r="G3350" i="158"/>
  <c r="G3349" i="158"/>
  <c r="G3348" i="158"/>
  <c r="G3347" i="158"/>
  <c r="G3346" i="158"/>
  <c r="G3345" i="158"/>
  <c r="G3344" i="158"/>
  <c r="G3343" i="158"/>
  <c r="G3342" i="158"/>
  <c r="G3341" i="158"/>
  <c r="G3340" i="158"/>
  <c r="G3339" i="158"/>
  <c r="G3338" i="158"/>
  <c r="F3337" i="158"/>
  <c r="E3337" i="158"/>
  <c r="D3337" i="158"/>
  <c r="G3336" i="158"/>
  <c r="G3335" i="158"/>
  <c r="G3334" i="158"/>
  <c r="G3333" i="158"/>
  <c r="G3332" i="158"/>
  <c r="G3331" i="158"/>
  <c r="G3330" i="158"/>
  <c r="G3329" i="158"/>
  <c r="G3328" i="158"/>
  <c r="G3327" i="158"/>
  <c r="G3326" i="158"/>
  <c r="G3325" i="158"/>
  <c r="G3324" i="158"/>
  <c r="G3323" i="158"/>
  <c r="G3322" i="158"/>
  <c r="F3321" i="158"/>
  <c r="E3321" i="158"/>
  <c r="D3321" i="158"/>
  <c r="G3320" i="158"/>
  <c r="G3319" i="158"/>
  <c r="G3318" i="158"/>
  <c r="G3317" i="158"/>
  <c r="G3316" i="158"/>
  <c r="G3315" i="158"/>
  <c r="G3314" i="158"/>
  <c r="G3313" i="158"/>
  <c r="G3312" i="158"/>
  <c r="G3311" i="158"/>
  <c r="G3310" i="158"/>
  <c r="G3309" i="158"/>
  <c r="G3308" i="158"/>
  <c r="G3307" i="158"/>
  <c r="G3306" i="158"/>
  <c r="F3305" i="158"/>
  <c r="E3305" i="158"/>
  <c r="D3305" i="158"/>
  <c r="G3304" i="158"/>
  <c r="G3303" i="158"/>
  <c r="G3302" i="158"/>
  <c r="G3301" i="158"/>
  <c r="G3300" i="158"/>
  <c r="G3299" i="158"/>
  <c r="G3298" i="158"/>
  <c r="G3297" i="158"/>
  <c r="G3296" i="158"/>
  <c r="G3295" i="158"/>
  <c r="G3294" i="158"/>
  <c r="G3293" i="158"/>
  <c r="G3292" i="158"/>
  <c r="G3291" i="158"/>
  <c r="G3290" i="158"/>
  <c r="F3289" i="158"/>
  <c r="E3289" i="158"/>
  <c r="D3289" i="158"/>
  <c r="G3288" i="158"/>
  <c r="G3287" i="158"/>
  <c r="G3286" i="158"/>
  <c r="G3285" i="158"/>
  <c r="G3284" i="158"/>
  <c r="G3283" i="158"/>
  <c r="G3282" i="158"/>
  <c r="G3281" i="158"/>
  <c r="G3280" i="158"/>
  <c r="G3279" i="158"/>
  <c r="G3278" i="158"/>
  <c r="G3277" i="158"/>
  <c r="G3276" i="158"/>
  <c r="G3275" i="158"/>
  <c r="G3274" i="158"/>
  <c r="F3273" i="158"/>
  <c r="E3273" i="158"/>
  <c r="D3273" i="158"/>
  <c r="G3272" i="158"/>
  <c r="G3271" i="158"/>
  <c r="G3270" i="158"/>
  <c r="G3269" i="158"/>
  <c r="G3268" i="158"/>
  <c r="G3267" i="158"/>
  <c r="G3266" i="158"/>
  <c r="G3265" i="158"/>
  <c r="G3264" i="158"/>
  <c r="G3263" i="158"/>
  <c r="G3262" i="158"/>
  <c r="G3261" i="158"/>
  <c r="G3260" i="158"/>
  <c r="G3259" i="158"/>
  <c r="G3258" i="158"/>
  <c r="F3257" i="158"/>
  <c r="E3257" i="158"/>
  <c r="D3257" i="158"/>
  <c r="G3256" i="158"/>
  <c r="G3255" i="158"/>
  <c r="G3254" i="158"/>
  <c r="G3253" i="158"/>
  <c r="G3252" i="158"/>
  <c r="G3251" i="158"/>
  <c r="G3250" i="158"/>
  <c r="G3249" i="158"/>
  <c r="G3248" i="158"/>
  <c r="G3247" i="158"/>
  <c r="G3246" i="158"/>
  <c r="G3245" i="158"/>
  <c r="G3244" i="158"/>
  <c r="G3243" i="158"/>
  <c r="G3242" i="158"/>
  <c r="F3241" i="158"/>
  <c r="E3241" i="158"/>
  <c r="D3241" i="158"/>
  <c r="G3240" i="158"/>
  <c r="G3239" i="158"/>
  <c r="G3238" i="158"/>
  <c r="G3237" i="158"/>
  <c r="G3236" i="158"/>
  <c r="G3235" i="158"/>
  <c r="G3234" i="158"/>
  <c r="G3233" i="158"/>
  <c r="G3232" i="158"/>
  <c r="G3231" i="158"/>
  <c r="G3230" i="158"/>
  <c r="G3229" i="158"/>
  <c r="G3228" i="158"/>
  <c r="G3227" i="158"/>
  <c r="G3226" i="158"/>
  <c r="F3225" i="158"/>
  <c r="E3225" i="158"/>
  <c r="D3225" i="158"/>
  <c r="G3224" i="158"/>
  <c r="G3223" i="158"/>
  <c r="G3222" i="158"/>
  <c r="G3221" i="158"/>
  <c r="G3220" i="158"/>
  <c r="G3219" i="158"/>
  <c r="G3218" i="158"/>
  <c r="G3217" i="158"/>
  <c r="G3216" i="158"/>
  <c r="G3215" i="158"/>
  <c r="G3214" i="158"/>
  <c r="G3213" i="158"/>
  <c r="G3212" i="158"/>
  <c r="G3211" i="158"/>
  <c r="G3210" i="158"/>
  <c r="F3209" i="158"/>
  <c r="E3209" i="158"/>
  <c r="D3209" i="158"/>
  <c r="G3208" i="158"/>
  <c r="G3207" i="158"/>
  <c r="G3206" i="158"/>
  <c r="G3205" i="158"/>
  <c r="G3204" i="158"/>
  <c r="G3203" i="158"/>
  <c r="G3202" i="158"/>
  <c r="G3201" i="158"/>
  <c r="G3200" i="158"/>
  <c r="G3199" i="158"/>
  <c r="G3198" i="158"/>
  <c r="G3197" i="158"/>
  <c r="G3196" i="158"/>
  <c r="G3195" i="158"/>
  <c r="G3194" i="158"/>
  <c r="F3193" i="158"/>
  <c r="E3193" i="158"/>
  <c r="D3193" i="158"/>
  <c r="G3192" i="158"/>
  <c r="G3191" i="158"/>
  <c r="G3190" i="158"/>
  <c r="G3189" i="158"/>
  <c r="G3188" i="158"/>
  <c r="G3187" i="158"/>
  <c r="G3186" i="158"/>
  <c r="G3185" i="158"/>
  <c r="G3184" i="158"/>
  <c r="G3183" i="158"/>
  <c r="G3182" i="158"/>
  <c r="G3181" i="158"/>
  <c r="G3180" i="158"/>
  <c r="G3179" i="158"/>
  <c r="G3178" i="158"/>
  <c r="F3177" i="158"/>
  <c r="E3177" i="158"/>
  <c r="D3177" i="158"/>
  <c r="G3176" i="158"/>
  <c r="G3175" i="158"/>
  <c r="G3174" i="158"/>
  <c r="G3173" i="158"/>
  <c r="G3172" i="158"/>
  <c r="G3171" i="158"/>
  <c r="G3170" i="158"/>
  <c r="G3169" i="158"/>
  <c r="G3168" i="158"/>
  <c r="G3167" i="158"/>
  <c r="G3166" i="158"/>
  <c r="G3165" i="158"/>
  <c r="G3164" i="158"/>
  <c r="G3163" i="158"/>
  <c r="G3162" i="158"/>
  <c r="F3161" i="158"/>
  <c r="E3161" i="158"/>
  <c r="D3161" i="158"/>
  <c r="G3160" i="158"/>
  <c r="G3159" i="158"/>
  <c r="G3158" i="158"/>
  <c r="G3157" i="158"/>
  <c r="G3156" i="158"/>
  <c r="G3155" i="158"/>
  <c r="G3154" i="158"/>
  <c r="G3153" i="158"/>
  <c r="G3152" i="158"/>
  <c r="G3151" i="158"/>
  <c r="G3150" i="158"/>
  <c r="G3149" i="158"/>
  <c r="G3148" i="158"/>
  <c r="G3147" i="158"/>
  <c r="G3146" i="158"/>
  <c r="F3145" i="158"/>
  <c r="E3145" i="158"/>
  <c r="G3144" i="158"/>
  <c r="G3143" i="158"/>
  <c r="G3142" i="158"/>
  <c r="G3141" i="158"/>
  <c r="G3140" i="158"/>
  <c r="G3139" i="158"/>
  <c r="G3138" i="158"/>
  <c r="G3137" i="158"/>
  <c r="G3136" i="158"/>
  <c r="G3135" i="158"/>
  <c r="G3134" i="158"/>
  <c r="G3133" i="158"/>
  <c r="G3132" i="158"/>
  <c r="G3131" i="158"/>
  <c r="G3130" i="158"/>
  <c r="F3129" i="158"/>
  <c r="E3129" i="158"/>
  <c r="D3129" i="158"/>
  <c r="G3128" i="158"/>
  <c r="G3127" i="158"/>
  <c r="G3126" i="158"/>
  <c r="G3125" i="158"/>
  <c r="G3124" i="158"/>
  <c r="G3123" i="158"/>
  <c r="G3122" i="158"/>
  <c r="G3121" i="158"/>
  <c r="G3120" i="158"/>
  <c r="G3119" i="158"/>
  <c r="G3118" i="158"/>
  <c r="G3117" i="158"/>
  <c r="G3116" i="158"/>
  <c r="G3115" i="158"/>
  <c r="G3114" i="158"/>
  <c r="F3113" i="158"/>
  <c r="E3113" i="158"/>
  <c r="D3113" i="158"/>
  <c r="G3112" i="158"/>
  <c r="G3111" i="158"/>
  <c r="G3110" i="158"/>
  <c r="G3109" i="158"/>
  <c r="G3108" i="158"/>
  <c r="G3107" i="158"/>
  <c r="G3106" i="158"/>
  <c r="G3105" i="158"/>
  <c r="G3104" i="158"/>
  <c r="G3103" i="158"/>
  <c r="G3102" i="158"/>
  <c r="G3101" i="158"/>
  <c r="G3100" i="158"/>
  <c r="G3099" i="158"/>
  <c r="G3098" i="158"/>
  <c r="F3097" i="158"/>
  <c r="E3097" i="158"/>
  <c r="D3097" i="158"/>
  <c r="G3096" i="158"/>
  <c r="G3095" i="158"/>
  <c r="G3094" i="158"/>
  <c r="G3093" i="158"/>
  <c r="G3092" i="158"/>
  <c r="G3091" i="158"/>
  <c r="G3090" i="158"/>
  <c r="G3089" i="158"/>
  <c r="G3088" i="158"/>
  <c r="G3087" i="158"/>
  <c r="G3086" i="158"/>
  <c r="G3085" i="158"/>
  <c r="G3084" i="158"/>
  <c r="G3083" i="158"/>
  <c r="G3082" i="158"/>
  <c r="F3081" i="158"/>
  <c r="E3081" i="158"/>
  <c r="D3081" i="158"/>
  <c r="G3080" i="158"/>
  <c r="G3079" i="158"/>
  <c r="G3078" i="158"/>
  <c r="G3077" i="158"/>
  <c r="G3076" i="158"/>
  <c r="G3075" i="158"/>
  <c r="G3074" i="158"/>
  <c r="G3073" i="158"/>
  <c r="G3072" i="158"/>
  <c r="G3071" i="158"/>
  <c r="G3070" i="158"/>
  <c r="G3069" i="158"/>
  <c r="G3068" i="158"/>
  <c r="G3067" i="158"/>
  <c r="G3066" i="158"/>
  <c r="F3065" i="158"/>
  <c r="E3065" i="158"/>
  <c r="D3065" i="158"/>
  <c r="G3064" i="158"/>
  <c r="G3063" i="158"/>
  <c r="G3062" i="158"/>
  <c r="G3061" i="158"/>
  <c r="G3060" i="158"/>
  <c r="G3059" i="158"/>
  <c r="G3058" i="158"/>
  <c r="G3057" i="158"/>
  <c r="G3056" i="158"/>
  <c r="G3055" i="158"/>
  <c r="G3054" i="158"/>
  <c r="G3053" i="158"/>
  <c r="G3052" i="158"/>
  <c r="G3051" i="158"/>
  <c r="G3050" i="158"/>
  <c r="F3049" i="158"/>
  <c r="E3049" i="158"/>
  <c r="D3049" i="158"/>
  <c r="G3048" i="158"/>
  <c r="G3047" i="158"/>
  <c r="G3046" i="158"/>
  <c r="G3045" i="158"/>
  <c r="G3044" i="158"/>
  <c r="G3043" i="158"/>
  <c r="G3042" i="158"/>
  <c r="G3041" i="158"/>
  <c r="G3040" i="158"/>
  <c r="G3039" i="158"/>
  <c r="G3038" i="158"/>
  <c r="G3037" i="158"/>
  <c r="G3036" i="158"/>
  <c r="G3035" i="158"/>
  <c r="G3034" i="158"/>
  <c r="F3033" i="158"/>
  <c r="E3033" i="158"/>
  <c r="D3033" i="158"/>
  <c r="G3032" i="158"/>
  <c r="G3031" i="158"/>
  <c r="G3030" i="158"/>
  <c r="G3029" i="158"/>
  <c r="G3028" i="158"/>
  <c r="G3027" i="158"/>
  <c r="G3026" i="158"/>
  <c r="G3025" i="158"/>
  <c r="G3024" i="158"/>
  <c r="G3023" i="158"/>
  <c r="G3022" i="158"/>
  <c r="G3021" i="158"/>
  <c r="G3020" i="158"/>
  <c r="G3019" i="158"/>
  <c r="G3018" i="158"/>
  <c r="F3017" i="158"/>
  <c r="E3017" i="158"/>
  <c r="D3017" i="158"/>
  <c r="G3016" i="158"/>
  <c r="G3015" i="158"/>
  <c r="G3014" i="158"/>
  <c r="G3013" i="158"/>
  <c r="G3012" i="158"/>
  <c r="G3011" i="158"/>
  <c r="G3010" i="158"/>
  <c r="G3009" i="158"/>
  <c r="G3008" i="158"/>
  <c r="G3007" i="158"/>
  <c r="G3006" i="158"/>
  <c r="G3005" i="158"/>
  <c r="G3004" i="158"/>
  <c r="G3003" i="158"/>
  <c r="G3002" i="158"/>
  <c r="F3001" i="158"/>
  <c r="E3001" i="158"/>
  <c r="D3001" i="158"/>
  <c r="G3000" i="158"/>
  <c r="G2999" i="158"/>
  <c r="G2998" i="158"/>
  <c r="G2997" i="158"/>
  <c r="G2996" i="158"/>
  <c r="G2995" i="158"/>
  <c r="G2994" i="158"/>
  <c r="G2993" i="158"/>
  <c r="G2992" i="158"/>
  <c r="G2991" i="158"/>
  <c r="G2990" i="158"/>
  <c r="G2989" i="158"/>
  <c r="G2988" i="158"/>
  <c r="G2987" i="158"/>
  <c r="G2986" i="158"/>
  <c r="F2985" i="158"/>
  <c r="E2985" i="158"/>
  <c r="D2985" i="158"/>
  <c r="G2984" i="158"/>
  <c r="G2983" i="158"/>
  <c r="G2982" i="158"/>
  <c r="G2981" i="158"/>
  <c r="G2980" i="158"/>
  <c r="G2979" i="158"/>
  <c r="G2978" i="158"/>
  <c r="G2977" i="158"/>
  <c r="G2976" i="158"/>
  <c r="G2975" i="158"/>
  <c r="G2974" i="158"/>
  <c r="G2973" i="158"/>
  <c r="G2972" i="158"/>
  <c r="G2971" i="158"/>
  <c r="G2970" i="158"/>
  <c r="F2969" i="158"/>
  <c r="E2969" i="158"/>
  <c r="D2969" i="158"/>
  <c r="G2968" i="158"/>
  <c r="G2967" i="158"/>
  <c r="G2966" i="158"/>
  <c r="G2965" i="158"/>
  <c r="G2964" i="158"/>
  <c r="G2963" i="158"/>
  <c r="G2962" i="158"/>
  <c r="G2961" i="158"/>
  <c r="G2960" i="158"/>
  <c r="G2959" i="158"/>
  <c r="G2958" i="158"/>
  <c r="G2957" i="158"/>
  <c r="G2956" i="158"/>
  <c r="G2955" i="158"/>
  <c r="G2954" i="158"/>
  <c r="F2952" i="158"/>
  <c r="E2952" i="158"/>
  <c r="D2952" i="158"/>
  <c r="G2951" i="158"/>
  <c r="G2950" i="158"/>
  <c r="G2949" i="158"/>
  <c r="G2948" i="158"/>
  <c r="G2947" i="158"/>
  <c r="G2946" i="158"/>
  <c r="G2945" i="158"/>
  <c r="G2944" i="158"/>
  <c r="G2943" i="158"/>
  <c r="G2942" i="158"/>
  <c r="G2941" i="158"/>
  <c r="G2940" i="158"/>
  <c r="G2939" i="158"/>
  <c r="G2938" i="158"/>
  <c r="G2937" i="158"/>
  <c r="F2936" i="158"/>
  <c r="E2936" i="158"/>
  <c r="D2936" i="158"/>
  <c r="G2935" i="158"/>
  <c r="G2934" i="158"/>
  <c r="G2933" i="158"/>
  <c r="G2932" i="158"/>
  <c r="G2931" i="158"/>
  <c r="G2930" i="158"/>
  <c r="G2929" i="158"/>
  <c r="G2928" i="158"/>
  <c r="G2927" i="158"/>
  <c r="G2926" i="158"/>
  <c r="G2925" i="158"/>
  <c r="G2924" i="158"/>
  <c r="G2923" i="158"/>
  <c r="G2922" i="158"/>
  <c r="G2921" i="158"/>
  <c r="F2920" i="158"/>
  <c r="E2920" i="158"/>
  <c r="D2920" i="158"/>
  <c r="G2919" i="158"/>
  <c r="G2918" i="158"/>
  <c r="G2917" i="158"/>
  <c r="G2916" i="158"/>
  <c r="G2915" i="158"/>
  <c r="G2914" i="158"/>
  <c r="G2913" i="158"/>
  <c r="G2912" i="158"/>
  <c r="G2911" i="158"/>
  <c r="G2910" i="158"/>
  <c r="G2909" i="158"/>
  <c r="G2908" i="158"/>
  <c r="G2907" i="158"/>
  <c r="G2906" i="158"/>
  <c r="G2905" i="158"/>
  <c r="F2904" i="158"/>
  <c r="E2904" i="158"/>
  <c r="D2904" i="158"/>
  <c r="G2903" i="158"/>
  <c r="G2902" i="158"/>
  <c r="G2901" i="158"/>
  <c r="G2900" i="158"/>
  <c r="G2899" i="158"/>
  <c r="G2898" i="158"/>
  <c r="G2897" i="158"/>
  <c r="G2896" i="158"/>
  <c r="G2895" i="158"/>
  <c r="G2894" i="158"/>
  <c r="G2893" i="158"/>
  <c r="G2892" i="158"/>
  <c r="G2891" i="158"/>
  <c r="G2890" i="158"/>
  <c r="G2889" i="158"/>
  <c r="F2888" i="158"/>
  <c r="E2888" i="158"/>
  <c r="D2888" i="158"/>
  <c r="G2887" i="158"/>
  <c r="G2886" i="158"/>
  <c r="G2885" i="158"/>
  <c r="G2884" i="158"/>
  <c r="G2883" i="158"/>
  <c r="G2882" i="158"/>
  <c r="G2881" i="158"/>
  <c r="G2880" i="158"/>
  <c r="G2879" i="158"/>
  <c r="G2878" i="158"/>
  <c r="G2877" i="158"/>
  <c r="G2876" i="158"/>
  <c r="G2875" i="158"/>
  <c r="G2874" i="158"/>
  <c r="G2873" i="158"/>
  <c r="F2872" i="158"/>
  <c r="E2872" i="158"/>
  <c r="D2872" i="158"/>
  <c r="G2871" i="158"/>
  <c r="G2870" i="158"/>
  <c r="G2869" i="158"/>
  <c r="G2868" i="158"/>
  <c r="G2867" i="158"/>
  <c r="G2866" i="158"/>
  <c r="G2865" i="158"/>
  <c r="G2864" i="158"/>
  <c r="G2863" i="158"/>
  <c r="G2862" i="158"/>
  <c r="G2861" i="158"/>
  <c r="G2860" i="158"/>
  <c r="G2859" i="158"/>
  <c r="G2858" i="158"/>
  <c r="G2857" i="158"/>
  <c r="F2856" i="158"/>
  <c r="E2856" i="158"/>
  <c r="D2856" i="158"/>
  <c r="G2855" i="158"/>
  <c r="G2854" i="158"/>
  <c r="G2853" i="158"/>
  <c r="G2852" i="158"/>
  <c r="G2851" i="158"/>
  <c r="G2850" i="158"/>
  <c r="G2849" i="158"/>
  <c r="G2848" i="158"/>
  <c r="G2847" i="158"/>
  <c r="G2846" i="158"/>
  <c r="G2845" i="158"/>
  <c r="G2844" i="158"/>
  <c r="G2843" i="158"/>
  <c r="G2842" i="158"/>
  <c r="G2841" i="158"/>
  <c r="F2840" i="158"/>
  <c r="E2840" i="158"/>
  <c r="D2840" i="158"/>
  <c r="G2839" i="158"/>
  <c r="G2838" i="158"/>
  <c r="G2837" i="158"/>
  <c r="G2836" i="158"/>
  <c r="G2835" i="158"/>
  <c r="G2834" i="158"/>
  <c r="G2833" i="158"/>
  <c r="G2832" i="158"/>
  <c r="G2831" i="158"/>
  <c r="G2830" i="158"/>
  <c r="G2829" i="158"/>
  <c r="G2828" i="158"/>
  <c r="G2827" i="158"/>
  <c r="G2826" i="158"/>
  <c r="G2825" i="158"/>
  <c r="F2824" i="158"/>
  <c r="E2824" i="158"/>
  <c r="D2824" i="158"/>
  <c r="G2823" i="158"/>
  <c r="G2822" i="158"/>
  <c r="G2821" i="158"/>
  <c r="G2820" i="158"/>
  <c r="G2819" i="158"/>
  <c r="G2818" i="158"/>
  <c r="G2817" i="158"/>
  <c r="G2816" i="158"/>
  <c r="G2815" i="158"/>
  <c r="G2814" i="158"/>
  <c r="G2813" i="158"/>
  <c r="G2812" i="158"/>
  <c r="G2811" i="158"/>
  <c r="G2810" i="158"/>
  <c r="G2809" i="158"/>
  <c r="F2808" i="158"/>
  <c r="E2808" i="158"/>
  <c r="D2808" i="158"/>
  <c r="G2807" i="158"/>
  <c r="G2806" i="158"/>
  <c r="G2805" i="158"/>
  <c r="G2804" i="158"/>
  <c r="G2803" i="158"/>
  <c r="G2802" i="158"/>
  <c r="G2801" i="158"/>
  <c r="G2800" i="158"/>
  <c r="G2799" i="158"/>
  <c r="G2798" i="158"/>
  <c r="G2797" i="158"/>
  <c r="G2796" i="158"/>
  <c r="G2795" i="158"/>
  <c r="G2794" i="158"/>
  <c r="G2793" i="158"/>
  <c r="F2792" i="158"/>
  <c r="E2792" i="158"/>
  <c r="D2792" i="158"/>
  <c r="G2791" i="158"/>
  <c r="G2790" i="158"/>
  <c r="G2789" i="158"/>
  <c r="G2788" i="158"/>
  <c r="G2787" i="158"/>
  <c r="G2786" i="158"/>
  <c r="G2785" i="158"/>
  <c r="G2784" i="158"/>
  <c r="G2783" i="158"/>
  <c r="G2782" i="158"/>
  <c r="G2781" i="158"/>
  <c r="G2780" i="158"/>
  <c r="G2779" i="158"/>
  <c r="G2778" i="158"/>
  <c r="G2777" i="158"/>
  <c r="F2776" i="158"/>
  <c r="E2776" i="158"/>
  <c r="D2776" i="158"/>
  <c r="G2775" i="158"/>
  <c r="G2774" i="158"/>
  <c r="G2773" i="158"/>
  <c r="G2772" i="158"/>
  <c r="G2771" i="158"/>
  <c r="G2770" i="158"/>
  <c r="G2769" i="158"/>
  <c r="G2768" i="158"/>
  <c r="G2767" i="158"/>
  <c r="G2766" i="158"/>
  <c r="G2765" i="158"/>
  <c r="G2764" i="158"/>
  <c r="G2763" i="158"/>
  <c r="G2762" i="158"/>
  <c r="G2761" i="158"/>
  <c r="E2760" i="158"/>
  <c r="D2760" i="158"/>
  <c r="G2759" i="158"/>
  <c r="G2758" i="158"/>
  <c r="G2757" i="158"/>
  <c r="G2756" i="158"/>
  <c r="G2755" i="158"/>
  <c r="F2754" i="158"/>
  <c r="F2760" i="158" s="1"/>
  <c r="G2753" i="158"/>
  <c r="G2752" i="158"/>
  <c r="G2751" i="158"/>
  <c r="G2750" i="158"/>
  <c r="G2749" i="158"/>
  <c r="G2748" i="158"/>
  <c r="G2747" i="158"/>
  <c r="G2746" i="158"/>
  <c r="G2745" i="158"/>
  <c r="F2744" i="158"/>
  <c r="E2744" i="158"/>
  <c r="D2744" i="158"/>
  <c r="G2743" i="158"/>
  <c r="G2742" i="158"/>
  <c r="G2741" i="158"/>
  <c r="G2740" i="158"/>
  <c r="G2739" i="158"/>
  <c r="G2738" i="158"/>
  <c r="G2737" i="158"/>
  <c r="G2736" i="158"/>
  <c r="G2735" i="158"/>
  <c r="G2734" i="158"/>
  <c r="G2733" i="158"/>
  <c r="G2732" i="158"/>
  <c r="G2731" i="158"/>
  <c r="G2730" i="158"/>
  <c r="G2729" i="158"/>
  <c r="F2728" i="158"/>
  <c r="E2728" i="158"/>
  <c r="D2728" i="158"/>
  <c r="G2727" i="158"/>
  <c r="G2726" i="158"/>
  <c r="G2725" i="158"/>
  <c r="G2724" i="158"/>
  <c r="G2723" i="158"/>
  <c r="G2722" i="158"/>
  <c r="G2721" i="158"/>
  <c r="G2720" i="158"/>
  <c r="G2719" i="158"/>
  <c r="G2718" i="158"/>
  <c r="G2717" i="158"/>
  <c r="G2716" i="158"/>
  <c r="G2715" i="158"/>
  <c r="G2714" i="158"/>
  <c r="G2713" i="158"/>
  <c r="F2712" i="158"/>
  <c r="E2712" i="158"/>
  <c r="D2712" i="158"/>
  <c r="G2711" i="158"/>
  <c r="G2710" i="158"/>
  <c r="G2709" i="158"/>
  <c r="G2708" i="158"/>
  <c r="G2707" i="158"/>
  <c r="G2706" i="158"/>
  <c r="G2705" i="158"/>
  <c r="K2704" i="158"/>
  <c r="G2704" i="158"/>
  <c r="G2703" i="158"/>
  <c r="G2702" i="158"/>
  <c r="G2701" i="158"/>
  <c r="G2700" i="158"/>
  <c r="G2699" i="158"/>
  <c r="G2698" i="158"/>
  <c r="G2697" i="158"/>
  <c r="F2696" i="158"/>
  <c r="E2696" i="158"/>
  <c r="D2696" i="158"/>
  <c r="G2695" i="158"/>
  <c r="G2694" i="158"/>
  <c r="G2693" i="158"/>
  <c r="G2692" i="158"/>
  <c r="G2691" i="158"/>
  <c r="G2690" i="158"/>
  <c r="G2689" i="158"/>
  <c r="G2688" i="158"/>
  <c r="G2687" i="158"/>
  <c r="G2686" i="158"/>
  <c r="G2685" i="158"/>
  <c r="G2684" i="158"/>
  <c r="G2683" i="158"/>
  <c r="G2682" i="158"/>
  <c r="G2681" i="158"/>
  <c r="F2680" i="158"/>
  <c r="E2680" i="158"/>
  <c r="D2680" i="158"/>
  <c r="G2679" i="158"/>
  <c r="G2678" i="158"/>
  <c r="G2677" i="158"/>
  <c r="G2676" i="158"/>
  <c r="G2675" i="158"/>
  <c r="G2674" i="158"/>
  <c r="G2673" i="158"/>
  <c r="G2672" i="158"/>
  <c r="G2671" i="158"/>
  <c r="G2670" i="158"/>
  <c r="G2669" i="158"/>
  <c r="G2668" i="158"/>
  <c r="G2667" i="158"/>
  <c r="G2666" i="158"/>
  <c r="G2665" i="158"/>
  <c r="E2664" i="158"/>
  <c r="D2664" i="158"/>
  <c r="G2663" i="158"/>
  <c r="G2662" i="158"/>
  <c r="G2661" i="158"/>
  <c r="G2660" i="158"/>
  <c r="G2659" i="158"/>
  <c r="F2658" i="158"/>
  <c r="F2664" i="158" s="1"/>
  <c r="G2657" i="158"/>
  <c r="G2656" i="158"/>
  <c r="G2655" i="158"/>
  <c r="G2654" i="158"/>
  <c r="G2653" i="158"/>
  <c r="G2652" i="158"/>
  <c r="G2651" i="158"/>
  <c r="G2650" i="158"/>
  <c r="G2649" i="158"/>
  <c r="F2648" i="158"/>
  <c r="E2648" i="158"/>
  <c r="D2648" i="158"/>
  <c r="G2647" i="158"/>
  <c r="G2646" i="158"/>
  <c r="G2645" i="158"/>
  <c r="G2644" i="158"/>
  <c r="G2643" i="158"/>
  <c r="G2642" i="158"/>
  <c r="G2641" i="158"/>
  <c r="G2640" i="158"/>
  <c r="G2639" i="158"/>
  <c r="G2638" i="158"/>
  <c r="G2637" i="158"/>
  <c r="G2636" i="158"/>
  <c r="G2635" i="158"/>
  <c r="G2634" i="158"/>
  <c r="G2633" i="158"/>
  <c r="F2632" i="158"/>
  <c r="E2632" i="158"/>
  <c r="D2632" i="158"/>
  <c r="G2631" i="158"/>
  <c r="G2630" i="158"/>
  <c r="G2629" i="158"/>
  <c r="G2628" i="158"/>
  <c r="G2627" i="158"/>
  <c r="G2626" i="158"/>
  <c r="G2625" i="158"/>
  <c r="G2624" i="158"/>
  <c r="G2623" i="158"/>
  <c r="G2622" i="158"/>
  <c r="G2621" i="158"/>
  <c r="G2620" i="158"/>
  <c r="G2619" i="158"/>
  <c r="G2618" i="158"/>
  <c r="G2617" i="158"/>
  <c r="F2616" i="158"/>
  <c r="E2616" i="158"/>
  <c r="D2616" i="158"/>
  <c r="G2615" i="158"/>
  <c r="G2614" i="158"/>
  <c r="G2613" i="158"/>
  <c r="G2612" i="158"/>
  <c r="G2611" i="158"/>
  <c r="G2610" i="158"/>
  <c r="G2609" i="158"/>
  <c r="G2608" i="158"/>
  <c r="G2607" i="158"/>
  <c r="G2606" i="158"/>
  <c r="G2605" i="158"/>
  <c r="G2604" i="158"/>
  <c r="G2603" i="158"/>
  <c r="G2602" i="158"/>
  <c r="G2601" i="158"/>
  <c r="F2600" i="158"/>
  <c r="E2600" i="158"/>
  <c r="D2600" i="158"/>
  <c r="G2599" i="158"/>
  <c r="G2598" i="158"/>
  <c r="G2597" i="158"/>
  <c r="G2596" i="158"/>
  <c r="G2595" i="158"/>
  <c r="G2594" i="158"/>
  <c r="G2593" i="158"/>
  <c r="G2592" i="158"/>
  <c r="G2591" i="158"/>
  <c r="G2590" i="158"/>
  <c r="G2589" i="158"/>
  <c r="G2588" i="158"/>
  <c r="G2587" i="158"/>
  <c r="G2586" i="158"/>
  <c r="G2585" i="158"/>
  <c r="F2584" i="158"/>
  <c r="E2584" i="158"/>
  <c r="D2584" i="158"/>
  <c r="G2583" i="158"/>
  <c r="G2582" i="158"/>
  <c r="G2581" i="158"/>
  <c r="G2580" i="158"/>
  <c r="G2579" i="158"/>
  <c r="G2578" i="158"/>
  <c r="G2577" i="158"/>
  <c r="G2576" i="158"/>
  <c r="G2575" i="158"/>
  <c r="G2574" i="158"/>
  <c r="G2573" i="158"/>
  <c r="G2572" i="158"/>
  <c r="G2571" i="158"/>
  <c r="G2570" i="158"/>
  <c r="G2569" i="158"/>
  <c r="G2311" i="158"/>
  <c r="F2311" i="158"/>
  <c r="E2311" i="158"/>
  <c r="D2311" i="158"/>
  <c r="G2275" i="158"/>
  <c r="G2274" i="158"/>
  <c r="G2273" i="158"/>
  <c r="G2272" i="158"/>
  <c r="G2271" i="158"/>
  <c r="G2270" i="158"/>
  <c r="G2269" i="158"/>
  <c r="G2268" i="158"/>
  <c r="G2267" i="158"/>
  <c r="G2266" i="158"/>
  <c r="G2265" i="158"/>
  <c r="G2264" i="158"/>
  <c r="G2263" i="158"/>
  <c r="G2262" i="158"/>
  <c r="G2261" i="158"/>
  <c r="G2260" i="158"/>
  <c r="G2259" i="158"/>
  <c r="G2258" i="158"/>
  <c r="G2257" i="158"/>
  <c r="G2256" i="158"/>
  <c r="G2255" i="158"/>
  <c r="G2254" i="158"/>
  <c r="G2253" i="158"/>
  <c r="G2252" i="158"/>
  <c r="G2251" i="158"/>
  <c r="G2250" i="158"/>
  <c r="G2249" i="158"/>
  <c r="G2248" i="158"/>
  <c r="G2247" i="158"/>
  <c r="G2246" i="158"/>
  <c r="G2245" i="158"/>
  <c r="G2244" i="158"/>
  <c r="G2243" i="158"/>
  <c r="G2242" i="158"/>
  <c r="G2241" i="158"/>
  <c r="G2240" i="158"/>
  <c r="G2239" i="158"/>
  <c r="G2238" i="158"/>
  <c r="G2237" i="158"/>
  <c r="G2236" i="158"/>
  <c r="G2235" i="158"/>
  <c r="G2234" i="158"/>
  <c r="G2233" i="158"/>
  <c r="G2232" i="158"/>
  <c r="G2231" i="158"/>
  <c r="G2230" i="158"/>
  <c r="G2229" i="158"/>
  <c r="G2228" i="158"/>
  <c r="G2227" i="158"/>
  <c r="G2226" i="158"/>
  <c r="G2225" i="158"/>
  <c r="G2224" i="158"/>
  <c r="G2223" i="158"/>
  <c r="G2222" i="158"/>
  <c r="G2221" i="158"/>
  <c r="G2220" i="158"/>
  <c r="G2219" i="158"/>
  <c r="G2218" i="158"/>
  <c r="G2217" i="158"/>
  <c r="G2216" i="158"/>
  <c r="G2215" i="158"/>
  <c r="G2214" i="158"/>
  <c r="G2213" i="158"/>
  <c r="G2212" i="158"/>
  <c r="G2211" i="158"/>
  <c r="G2210" i="158"/>
  <c r="G2209" i="158"/>
  <c r="G2208" i="158"/>
  <c r="G2207" i="158"/>
  <c r="G2206" i="158"/>
  <c r="G2205" i="158"/>
  <c r="G2204" i="158"/>
  <c r="G2203" i="158"/>
  <c r="G2202" i="158"/>
  <c r="G2201" i="158"/>
  <c r="G2200" i="158"/>
  <c r="G2199" i="158"/>
  <c r="G2198" i="158"/>
  <c r="G2197" i="158"/>
  <c r="G2196" i="158"/>
  <c r="G2195" i="158"/>
  <c r="G2194" i="158"/>
  <c r="G2193" i="158"/>
  <c r="G2192" i="158"/>
  <c r="G2191" i="158"/>
  <c r="G2190" i="158"/>
  <c r="G2189" i="158"/>
  <c r="G2188" i="158"/>
  <c r="G2187" i="158"/>
  <c r="G2186" i="158"/>
  <c r="G2185" i="158"/>
  <c r="G2184" i="158"/>
  <c r="G2183" i="158"/>
  <c r="G2182" i="158"/>
  <c r="G2181" i="158"/>
  <c r="G2180" i="158"/>
  <c r="G2179" i="158"/>
  <c r="G2178" i="158"/>
  <c r="G2177" i="158"/>
  <c r="G2176" i="158"/>
  <c r="G2175" i="158"/>
  <c r="G2174" i="158"/>
  <c r="G2173" i="158"/>
  <c r="G2172" i="158"/>
  <c r="G2171" i="158"/>
  <c r="G2170" i="158"/>
  <c r="G2169" i="158"/>
  <c r="G2168" i="158"/>
  <c r="G2167" i="158"/>
  <c r="G2166" i="158"/>
  <c r="G2165" i="158"/>
  <c r="G2164" i="158"/>
  <c r="G2163" i="158"/>
  <c r="G2162" i="158"/>
  <c r="G2161" i="158"/>
  <c r="G2160" i="158"/>
  <c r="G2159" i="158"/>
  <c r="G2158" i="158"/>
  <c r="G2157" i="158"/>
  <c r="G2156" i="158"/>
  <c r="G2155" i="158"/>
  <c r="G2154" i="158"/>
  <c r="G2153" i="158"/>
  <c r="G2152" i="158"/>
  <c r="G2151" i="158"/>
  <c r="G2150" i="158"/>
  <c r="G2149" i="158"/>
  <c r="G2148" i="158"/>
  <c r="G2147" i="158"/>
  <c r="G2146" i="158"/>
  <c r="G2145" i="158"/>
  <c r="G2144" i="158"/>
  <c r="G2143" i="158"/>
  <c r="G2142" i="158"/>
  <c r="G2141" i="158"/>
  <c r="G2140" i="158"/>
  <c r="G2139" i="158"/>
  <c r="G2138" i="158"/>
  <c r="G2137" i="158"/>
  <c r="G2136" i="158"/>
  <c r="G2135" i="158"/>
  <c r="G2134" i="158"/>
  <c r="G2133" i="158"/>
  <c r="G2132" i="158"/>
  <c r="G2131" i="158"/>
  <c r="G2130" i="158"/>
  <c r="G2129" i="158"/>
  <c r="G2128" i="158"/>
  <c r="G2127" i="158"/>
  <c r="G2126" i="158"/>
  <c r="G2125" i="158"/>
  <c r="G2124" i="158"/>
  <c r="G2123" i="158"/>
  <c r="G2122" i="158"/>
  <c r="G2121" i="158"/>
  <c r="G2120" i="158"/>
  <c r="G2119" i="158"/>
  <c r="G2118" i="158"/>
  <c r="G2117" i="158"/>
  <c r="G2116" i="158"/>
  <c r="G2115" i="158"/>
  <c r="G2114" i="158"/>
  <c r="G2113" i="158"/>
  <c r="G2112" i="158"/>
  <c r="G2111" i="158"/>
  <c r="G2110" i="158"/>
  <c r="G2109" i="158"/>
  <c r="G2108" i="158"/>
  <c r="G2107" i="158"/>
  <c r="G2106" i="158"/>
  <c r="G2105" i="158"/>
  <c r="G2104" i="158"/>
  <c r="G2103" i="158"/>
  <c r="G2102" i="158"/>
  <c r="G2101" i="158"/>
  <c r="G2100" i="158"/>
  <c r="G2099" i="158"/>
  <c r="G2098" i="158"/>
  <c r="G2097" i="158"/>
  <c r="G2096" i="158"/>
  <c r="G2095" i="158"/>
  <c r="G2094" i="158"/>
  <c r="G2093" i="158"/>
  <c r="G2092" i="158"/>
  <c r="G2091" i="158"/>
  <c r="G2090" i="158"/>
  <c r="G2089" i="158"/>
  <c r="G2088" i="158"/>
  <c r="G2087" i="158"/>
  <c r="G2086" i="158"/>
  <c r="G2085" i="158"/>
  <c r="G2084" i="158"/>
  <c r="G2083" i="158"/>
  <c r="G2082" i="158"/>
  <c r="G2081" i="158"/>
  <c r="G2080" i="158"/>
  <c r="G2079" i="158"/>
  <c r="G2078" i="158"/>
  <c r="G2077" i="158"/>
  <c r="G2076" i="158"/>
  <c r="G2075" i="158"/>
  <c r="G2074" i="158"/>
  <c r="G2073" i="158"/>
  <c r="G2072" i="158"/>
  <c r="G2071" i="158"/>
  <c r="G2070" i="158"/>
  <c r="G2069" i="158"/>
  <c r="G2068" i="158"/>
  <c r="G2067" i="158"/>
  <c r="G2066" i="158"/>
  <c r="G2065" i="158"/>
  <c r="G2064" i="158"/>
  <c r="G2063" i="158"/>
  <c r="G2062" i="158"/>
  <c r="G2061" i="158"/>
  <c r="G2060" i="158"/>
  <c r="G2059" i="158"/>
  <c r="G2058" i="158"/>
  <c r="G2057" i="158"/>
  <c r="G2056" i="158"/>
  <c r="G2055" i="158"/>
  <c r="G2054" i="158"/>
  <c r="G2053" i="158"/>
  <c r="G2052" i="158"/>
  <c r="G2051" i="158"/>
  <c r="G2050" i="158"/>
  <c r="F2049" i="158"/>
  <c r="G2049" i="158" s="1"/>
  <c r="G2048" i="158"/>
  <c r="G2047" i="158"/>
  <c r="G2046" i="158"/>
  <c r="G2045" i="158"/>
  <c r="G2044" i="158"/>
  <c r="G2043" i="158"/>
  <c r="G2042" i="158"/>
  <c r="G2041" i="158"/>
  <c r="G2040" i="158"/>
  <c r="G2039" i="158"/>
  <c r="G2038" i="158"/>
  <c r="G2037" i="158"/>
  <c r="G2036" i="158"/>
  <c r="G2035" i="158"/>
  <c r="G2034" i="158"/>
  <c r="G2033" i="158"/>
  <c r="G2032" i="158"/>
  <c r="G2031" i="158"/>
  <c r="G2030" i="158"/>
  <c r="G2029" i="158"/>
  <c r="G2028" i="158"/>
  <c r="G2027" i="158"/>
  <c r="G2026" i="158"/>
  <c r="G2025" i="158"/>
  <c r="G2024" i="158"/>
  <c r="G2023" i="158"/>
  <c r="G2022" i="158"/>
  <c r="G2021" i="158"/>
  <c r="G2020" i="158"/>
  <c r="G2019" i="158"/>
  <c r="G2018" i="158"/>
  <c r="F2017" i="158"/>
  <c r="G2017" i="158" s="1"/>
  <c r="G2016" i="158"/>
  <c r="G2015" i="158"/>
  <c r="G2014" i="158"/>
  <c r="G2013" i="158"/>
  <c r="G2012" i="158"/>
  <c r="G2011" i="158"/>
  <c r="G2010" i="158"/>
  <c r="G2009" i="158"/>
  <c r="G2008" i="158"/>
  <c r="G2007" i="158"/>
  <c r="G2006" i="158"/>
  <c r="G2005" i="158"/>
  <c r="G2004" i="158"/>
  <c r="G2003" i="158"/>
  <c r="G2002" i="158"/>
  <c r="G2001" i="158"/>
  <c r="G2000" i="158"/>
  <c r="G1999" i="158"/>
  <c r="G1998" i="158"/>
  <c r="G1997" i="158"/>
  <c r="G1996" i="158"/>
  <c r="G1995" i="158"/>
  <c r="G1994" i="158"/>
  <c r="G1993" i="158"/>
  <c r="G1992" i="158"/>
  <c r="G1991" i="158"/>
  <c r="G1990" i="158"/>
  <c r="G1989" i="158"/>
  <c r="G1988" i="158"/>
  <c r="G1987" i="158"/>
  <c r="G1986" i="158"/>
  <c r="G1985" i="158"/>
  <c r="G1984" i="158"/>
  <c r="G1983" i="158"/>
  <c r="G1982" i="158"/>
  <c r="G1981" i="158"/>
  <c r="G1980" i="158"/>
  <c r="G1979" i="158"/>
  <c r="G1978" i="158"/>
  <c r="G1977" i="158"/>
  <c r="G1976" i="158"/>
  <c r="G1974" i="158"/>
  <c r="G1973" i="158"/>
  <c r="G1972" i="158"/>
  <c r="G1971" i="158"/>
  <c r="G1970" i="158"/>
  <c r="G1969" i="158"/>
  <c r="G1968" i="158"/>
  <c r="G1967" i="158"/>
  <c r="G1966" i="158"/>
  <c r="G1965" i="158"/>
  <c r="G1964" i="158"/>
  <c r="G1963" i="158"/>
  <c r="G1962" i="158"/>
  <c r="G1961" i="158"/>
  <c r="G1960" i="158"/>
  <c r="G1958" i="158"/>
  <c r="G1957" i="158"/>
  <c r="G1956" i="158"/>
  <c r="G1955" i="158"/>
  <c r="G1954" i="158"/>
  <c r="G1953" i="158"/>
  <c r="G1952" i="158"/>
  <c r="G1951" i="158"/>
  <c r="G1950" i="158"/>
  <c r="G1949" i="158"/>
  <c r="G1948" i="158"/>
  <c r="G1947" i="158"/>
  <c r="G1946" i="158"/>
  <c r="G1945" i="158"/>
  <c r="G1944" i="158"/>
  <c r="G1942" i="158"/>
  <c r="G1941" i="158"/>
  <c r="G1940" i="158"/>
  <c r="G1939" i="158"/>
  <c r="G1938" i="158"/>
  <c r="G1937" i="158"/>
  <c r="G1936" i="158"/>
  <c r="G1935" i="158"/>
  <c r="G1934" i="158"/>
  <c r="G1933" i="158"/>
  <c r="G1932" i="158"/>
  <c r="G1931" i="158"/>
  <c r="G1930" i="158"/>
  <c r="G1929" i="158"/>
  <c r="G1928" i="158"/>
  <c r="G1926" i="158"/>
  <c r="G1925" i="158"/>
  <c r="G1924" i="158"/>
  <c r="G1923" i="158"/>
  <c r="G1922" i="158"/>
  <c r="F1921" i="158"/>
  <c r="G1921" i="158" s="1"/>
  <c r="G1920" i="158"/>
  <c r="G1919" i="158"/>
  <c r="G1918" i="158"/>
  <c r="G1917" i="158"/>
  <c r="G1916" i="158"/>
  <c r="G1915" i="158"/>
  <c r="G1914" i="158"/>
  <c r="G1913" i="158"/>
  <c r="G1912" i="158"/>
  <c r="G1811" i="158"/>
  <c r="G1810" i="158"/>
  <c r="G1809" i="158"/>
  <c r="G1808" i="158"/>
  <c r="G1807" i="158"/>
  <c r="G1806" i="158"/>
  <c r="G1805" i="158"/>
  <c r="G1804" i="158"/>
  <c r="G1803" i="158"/>
  <c r="G1802" i="158"/>
  <c r="G1801" i="158"/>
  <c r="G1800" i="158"/>
  <c r="G1799" i="158"/>
  <c r="G1798" i="158"/>
  <c r="G1797" i="158"/>
  <c r="G1796" i="158"/>
  <c r="G1795" i="158"/>
  <c r="G1794" i="158"/>
  <c r="G1793" i="158"/>
  <c r="G1792" i="158"/>
  <c r="G1791" i="158"/>
  <c r="G1790" i="158"/>
  <c r="G1789" i="158"/>
  <c r="G1788" i="158"/>
  <c r="G1787" i="158"/>
  <c r="G1786" i="158"/>
  <c r="G1785" i="158"/>
  <c r="G1784" i="158"/>
  <c r="G1783" i="158"/>
  <c r="G1782" i="158"/>
  <c r="G1781" i="158"/>
  <c r="G1780" i="158"/>
  <c r="G1779" i="158"/>
  <c r="G1778" i="158"/>
  <c r="G1777" i="158"/>
  <c r="G1776" i="158"/>
  <c r="G1775" i="158"/>
  <c r="G1774" i="158"/>
  <c r="G1773" i="158"/>
  <c r="G1772" i="158"/>
  <c r="G1771" i="158"/>
  <c r="G1770" i="158"/>
  <c r="G1769" i="158"/>
  <c r="G1768" i="158"/>
  <c r="G1767" i="158"/>
  <c r="G1766" i="158"/>
  <c r="G1765" i="158"/>
  <c r="G1764" i="158"/>
  <c r="G1763" i="158"/>
  <c r="G1762" i="158"/>
  <c r="G1761" i="158"/>
  <c r="G1760" i="158"/>
  <c r="G1759" i="158"/>
  <c r="G1758" i="158"/>
  <c r="G1757" i="158"/>
  <c r="G1756" i="158"/>
  <c r="G1755" i="158"/>
  <c r="G1754" i="158"/>
  <c r="G1753" i="158"/>
  <c r="G1752" i="158"/>
  <c r="G1751" i="158"/>
  <c r="G1750" i="158"/>
  <c r="G1749" i="158"/>
  <c r="G1748" i="158"/>
  <c r="G1747" i="158"/>
  <c r="G1746" i="158"/>
  <c r="G1745" i="158"/>
  <c r="G1744" i="158"/>
  <c r="G1743" i="158"/>
  <c r="G1742" i="158"/>
  <c r="G1741" i="158"/>
  <c r="G1740" i="158"/>
  <c r="G1739" i="158"/>
  <c r="G1738" i="158"/>
  <c r="G1737" i="158"/>
  <c r="G1736" i="158"/>
  <c r="G1693" i="158"/>
  <c r="G1692" i="158"/>
  <c r="G1691" i="158"/>
  <c r="G1690" i="158"/>
  <c r="G1689" i="158"/>
  <c r="G1688" i="158"/>
  <c r="G1687" i="158"/>
  <c r="G1686" i="158"/>
  <c r="G1685" i="158"/>
  <c r="G1684" i="158"/>
  <c r="G1683" i="158"/>
  <c r="G1682" i="158"/>
  <c r="G1681" i="158"/>
  <c r="G1680" i="158"/>
  <c r="G1679" i="158"/>
  <c r="G1678" i="158"/>
  <c r="G1677" i="158"/>
  <c r="G1676" i="158"/>
  <c r="F1675" i="158"/>
  <c r="G1675" i="158" s="1"/>
  <c r="G1674" i="158"/>
  <c r="G1673" i="158"/>
  <c r="G1672" i="158"/>
  <c r="G1671" i="158"/>
  <c r="G1670" i="158"/>
  <c r="G1669" i="158"/>
  <c r="G1668" i="158"/>
  <c r="G1667" i="158"/>
  <c r="G1666" i="158"/>
  <c r="G1665" i="158"/>
  <c r="G1664" i="158"/>
  <c r="G1663" i="158"/>
  <c r="G1662" i="158"/>
  <c r="G1661" i="158"/>
  <c r="G1660" i="158"/>
  <c r="G1659" i="158"/>
  <c r="G1658" i="158"/>
  <c r="G1657" i="158"/>
  <c r="G1656" i="158"/>
  <c r="G1590" i="158"/>
  <c r="G1589" i="158"/>
  <c r="G1588" i="158"/>
  <c r="G1587" i="158"/>
  <c r="G1586" i="158"/>
  <c r="G1585" i="158"/>
  <c r="G1584" i="158"/>
  <c r="G1583" i="158"/>
  <c r="G1582" i="158"/>
  <c r="G1581" i="158"/>
  <c r="G1580" i="158"/>
  <c r="G1579" i="158"/>
  <c r="G1578" i="158"/>
  <c r="G1577" i="158"/>
  <c r="G1576" i="158"/>
  <c r="G1172" i="158"/>
  <c r="G1171" i="158"/>
  <c r="G1170" i="158"/>
  <c r="G1169" i="158"/>
  <c r="G1168" i="158"/>
  <c r="G1167" i="158"/>
  <c r="G1166" i="158"/>
  <c r="G1165" i="158"/>
  <c r="G1164" i="158"/>
  <c r="G1163" i="158"/>
  <c r="G1162" i="158"/>
  <c r="G1161" i="158"/>
  <c r="G1160" i="158"/>
  <c r="G1159" i="158"/>
  <c r="G1158" i="158"/>
  <c r="G1157" i="158"/>
  <c r="G1156" i="158"/>
  <c r="G1155" i="158"/>
  <c r="G1154" i="158"/>
  <c r="G1153" i="158"/>
  <c r="G1152" i="158"/>
  <c r="G1151" i="158"/>
  <c r="G1150" i="158"/>
  <c r="G1149" i="158"/>
  <c r="G1148" i="158"/>
  <c r="G1147" i="158"/>
  <c r="G1146" i="158"/>
  <c r="G1145" i="158"/>
  <c r="G1144" i="158"/>
  <c r="G1143" i="158"/>
  <c r="G1142" i="158"/>
  <c r="G1141" i="158"/>
  <c r="G1140" i="158"/>
  <c r="G1139" i="158"/>
  <c r="G1138" i="158"/>
  <c r="G1137" i="158"/>
  <c r="G1136" i="158"/>
  <c r="G1135" i="158"/>
  <c r="G1134" i="158"/>
  <c r="G1133" i="158"/>
  <c r="G1132" i="158"/>
  <c r="G1131" i="158"/>
  <c r="G1130" i="158"/>
  <c r="G1129" i="158"/>
  <c r="G1128" i="158"/>
  <c r="G1127" i="158"/>
  <c r="G1126" i="158"/>
  <c r="G1125" i="158"/>
  <c r="G1124" i="158"/>
  <c r="G1123" i="158"/>
  <c r="G1122" i="158"/>
  <c r="G1121" i="158"/>
  <c r="G1120" i="158"/>
  <c r="G1119" i="158"/>
  <c r="G1118" i="158"/>
  <c r="G1117" i="158"/>
  <c r="G1116" i="158"/>
  <c r="G1115" i="158"/>
  <c r="G1114" i="158"/>
  <c r="G1113" i="158"/>
  <c r="G1112" i="158"/>
  <c r="G1111" i="158"/>
  <c r="G1110" i="158"/>
  <c r="G1109" i="158"/>
  <c r="G1108" i="158"/>
  <c r="G1107" i="158"/>
  <c r="G1106" i="158"/>
  <c r="G1105" i="158"/>
  <c r="G1104" i="158"/>
  <c r="G1103" i="158"/>
  <c r="G1102" i="158"/>
  <c r="G1101" i="158"/>
  <c r="G1100" i="158"/>
  <c r="G1099" i="158"/>
  <c r="G1098" i="158"/>
  <c r="G1097" i="158"/>
  <c r="G1096" i="158"/>
  <c r="G1095" i="158"/>
  <c r="G1094" i="158"/>
  <c r="J1093" i="158"/>
  <c r="G1093" i="158"/>
  <c r="J1092" i="158"/>
  <c r="G1092" i="158"/>
  <c r="J1091" i="158"/>
  <c r="G1091" i="158"/>
  <c r="J1090" i="158"/>
  <c r="G1090" i="158"/>
  <c r="J1089" i="158"/>
  <c r="G1089" i="158"/>
  <c r="J1088" i="158"/>
  <c r="G1088" i="158"/>
  <c r="J1087" i="158"/>
  <c r="G1087" i="158"/>
  <c r="J1086" i="158"/>
  <c r="G1086" i="158"/>
  <c r="J1085" i="158"/>
  <c r="G1085" i="158"/>
  <c r="J1084" i="158"/>
  <c r="G1084" i="158"/>
  <c r="J1083" i="158"/>
  <c r="G1083" i="158"/>
  <c r="J1082" i="158"/>
  <c r="G1082" i="158"/>
  <c r="J1081" i="158"/>
  <c r="G1081" i="158"/>
  <c r="J1080" i="158"/>
  <c r="G1080" i="158"/>
  <c r="J1079" i="158"/>
  <c r="G1079" i="158"/>
  <c r="J1078" i="158"/>
  <c r="G1078" i="158"/>
  <c r="J1077" i="158"/>
  <c r="G1077" i="158"/>
  <c r="J1076" i="158"/>
  <c r="G1076" i="158"/>
  <c r="J1075" i="158"/>
  <c r="G1075" i="158"/>
  <c r="J1074" i="158"/>
  <c r="G1074" i="158"/>
  <c r="J1073" i="158"/>
  <c r="G1073" i="158"/>
  <c r="J1072" i="158"/>
  <c r="G1072" i="158"/>
  <c r="J1071" i="158"/>
  <c r="G1071" i="158"/>
  <c r="J1070" i="158"/>
  <c r="G1070" i="158"/>
  <c r="J1069" i="158"/>
  <c r="G1069" i="158"/>
  <c r="J1068" i="158"/>
  <c r="G1068" i="158"/>
  <c r="J1067" i="158"/>
  <c r="G1067" i="158"/>
  <c r="J1066" i="158"/>
  <c r="G1066" i="158"/>
  <c r="J1065" i="158"/>
  <c r="G1065" i="158"/>
  <c r="J1064" i="158"/>
  <c r="G1064" i="158"/>
  <c r="J1063" i="158"/>
  <c r="G1063" i="158"/>
  <c r="G1062" i="158"/>
  <c r="G1061" i="158"/>
  <c r="G1060" i="158"/>
  <c r="G1059" i="158"/>
  <c r="G1058" i="158"/>
  <c r="G1057" i="158"/>
  <c r="G1056" i="158"/>
  <c r="G1055" i="158"/>
  <c r="G1054" i="158"/>
  <c r="G1053" i="158"/>
  <c r="G1052" i="158"/>
  <c r="G1051" i="158"/>
  <c r="G1050" i="158"/>
  <c r="G1049" i="158"/>
  <c r="G1048" i="158"/>
  <c r="G1047" i="158"/>
  <c r="G1046" i="158"/>
  <c r="G1045" i="158"/>
  <c r="G1044" i="158"/>
  <c r="G1043" i="158"/>
  <c r="G1042" i="158"/>
  <c r="G1041" i="158"/>
  <c r="G1040" i="158"/>
  <c r="G1039" i="158"/>
  <c r="G1038" i="158"/>
  <c r="G1037" i="158"/>
  <c r="G1036" i="158"/>
  <c r="G1035" i="158"/>
  <c r="G1034" i="158"/>
  <c r="G1033" i="158"/>
  <c r="G1032" i="158"/>
  <c r="G1031" i="158"/>
  <c r="G1030" i="158"/>
  <c r="G1029" i="158"/>
  <c r="G1028" i="158"/>
  <c r="G1027" i="158"/>
  <c r="G1026" i="158"/>
  <c r="G1025" i="158"/>
  <c r="G1024" i="158"/>
  <c r="G1023" i="158"/>
  <c r="G1022" i="158"/>
  <c r="G1021" i="158"/>
  <c r="G1020" i="158"/>
  <c r="G1019" i="158"/>
  <c r="G1018" i="158"/>
  <c r="G1017" i="158"/>
  <c r="G1016" i="158"/>
  <c r="G1015" i="158"/>
  <c r="G1014" i="158"/>
  <c r="G1013" i="158"/>
  <c r="G1012" i="158"/>
  <c r="G1011" i="158"/>
  <c r="G1010" i="158"/>
  <c r="G1009" i="158"/>
  <c r="G1008" i="158"/>
  <c r="G1007" i="158"/>
  <c r="G1006" i="158"/>
  <c r="G1005" i="158"/>
  <c r="G1004" i="158"/>
  <c r="G1003" i="158"/>
  <c r="G1002" i="158"/>
  <c r="G1001" i="158"/>
  <c r="G1000" i="158"/>
  <c r="G999" i="158"/>
  <c r="G998" i="158"/>
  <c r="J997" i="158"/>
  <c r="G997" i="158"/>
  <c r="J996" i="158"/>
  <c r="G996" i="158"/>
  <c r="J995" i="158"/>
  <c r="G995" i="158"/>
  <c r="J994" i="158"/>
  <c r="G994" i="158"/>
  <c r="J993" i="158"/>
  <c r="G993" i="158"/>
  <c r="J992" i="158"/>
  <c r="G992" i="158"/>
  <c r="J991" i="158"/>
  <c r="G991" i="158"/>
  <c r="J990" i="158"/>
  <c r="G990" i="158"/>
  <c r="J989" i="158"/>
  <c r="G989" i="158"/>
  <c r="J988" i="158"/>
  <c r="G988" i="158"/>
  <c r="J987" i="158"/>
  <c r="G987" i="158"/>
  <c r="J986" i="158"/>
  <c r="G986" i="158"/>
  <c r="J985" i="158"/>
  <c r="G985" i="158"/>
  <c r="J984" i="158"/>
  <c r="G984" i="158"/>
  <c r="J983" i="158"/>
  <c r="G983" i="158"/>
  <c r="J982" i="158"/>
  <c r="G982" i="158"/>
  <c r="J981" i="158"/>
  <c r="G981" i="158"/>
  <c r="J980" i="158"/>
  <c r="G980" i="158"/>
  <c r="J979" i="158"/>
  <c r="G979" i="158"/>
  <c r="J978" i="158"/>
  <c r="G978" i="158"/>
  <c r="J977" i="158"/>
  <c r="G977" i="158"/>
  <c r="J976" i="158"/>
  <c r="G976" i="158"/>
  <c r="J975" i="158"/>
  <c r="G975" i="158"/>
  <c r="J974" i="158"/>
  <c r="G974" i="158"/>
  <c r="J973" i="158"/>
  <c r="G973" i="158"/>
  <c r="J972" i="158"/>
  <c r="G972" i="158"/>
  <c r="J971" i="158"/>
  <c r="G971" i="158"/>
  <c r="J970" i="158"/>
  <c r="G970" i="158"/>
  <c r="J969" i="158"/>
  <c r="G969" i="158"/>
  <c r="J968" i="158"/>
  <c r="G968" i="158"/>
  <c r="J967" i="158"/>
  <c r="G967" i="158"/>
  <c r="G966" i="158"/>
  <c r="G965" i="158"/>
  <c r="G964" i="158"/>
  <c r="G963" i="158"/>
  <c r="G962" i="158"/>
  <c r="G961" i="158"/>
  <c r="G960" i="158"/>
  <c r="G959" i="158"/>
  <c r="G958" i="158"/>
  <c r="G957" i="158"/>
  <c r="G956" i="158"/>
  <c r="G955" i="158"/>
  <c r="G954" i="158"/>
  <c r="G953" i="158"/>
  <c r="G952" i="158"/>
  <c r="G951" i="158"/>
  <c r="G950" i="158"/>
  <c r="G949" i="158"/>
  <c r="G948" i="158"/>
  <c r="G947" i="158"/>
  <c r="G946" i="158"/>
  <c r="G945" i="158"/>
  <c r="G944" i="158"/>
  <c r="G943" i="158"/>
  <c r="G942" i="158"/>
  <c r="G941" i="158"/>
  <c r="G940" i="158"/>
  <c r="G939" i="158"/>
  <c r="G938" i="158"/>
  <c r="G937" i="158"/>
  <c r="G936" i="158"/>
  <c r="G935" i="158"/>
  <c r="G934" i="158"/>
  <c r="G933" i="158"/>
  <c r="G932" i="158"/>
  <c r="G931" i="158"/>
  <c r="G930" i="158"/>
  <c r="G929" i="158"/>
  <c r="G928" i="158"/>
  <c r="G927" i="158"/>
  <c r="G926" i="158"/>
  <c r="G925" i="158"/>
  <c r="G924" i="158"/>
  <c r="G923" i="158"/>
  <c r="G922" i="158"/>
  <c r="G921" i="158"/>
  <c r="F920" i="158"/>
  <c r="G920" i="158" s="1"/>
  <c r="G919" i="158"/>
  <c r="G918" i="158"/>
  <c r="G917" i="158"/>
  <c r="G916" i="158"/>
  <c r="G915" i="158"/>
  <c r="G914" i="158"/>
  <c r="G913" i="158"/>
  <c r="G912" i="158"/>
  <c r="G911" i="158"/>
  <c r="G910" i="158"/>
  <c r="G909" i="158"/>
  <c r="G908" i="158"/>
  <c r="G907" i="158"/>
  <c r="G906" i="158"/>
  <c r="G905" i="158"/>
  <c r="G904" i="158"/>
  <c r="G903" i="158"/>
  <c r="G902" i="158"/>
  <c r="J901" i="158"/>
  <c r="G901" i="158"/>
  <c r="J900" i="158"/>
  <c r="G900" i="158"/>
  <c r="J899" i="158"/>
  <c r="G899" i="158"/>
  <c r="J898" i="158"/>
  <c r="G898" i="158"/>
  <c r="J897" i="158"/>
  <c r="G897" i="158"/>
  <c r="J896" i="158"/>
  <c r="G896" i="158"/>
  <c r="J895" i="158"/>
  <c r="G895" i="158"/>
  <c r="J894" i="158"/>
  <c r="G894" i="158"/>
  <c r="J893" i="158"/>
  <c r="G893" i="158"/>
  <c r="J892" i="158"/>
  <c r="G892" i="158"/>
  <c r="J891" i="158"/>
  <c r="G891" i="158"/>
  <c r="J890" i="158"/>
  <c r="G890" i="158"/>
  <c r="J889" i="158"/>
  <c r="G889" i="158"/>
  <c r="J888" i="158"/>
  <c r="G888" i="158"/>
  <c r="J887" i="158"/>
  <c r="G887" i="158"/>
  <c r="J886" i="158"/>
  <c r="G886" i="158"/>
  <c r="J885" i="158"/>
  <c r="G885" i="158"/>
  <c r="J884" i="158"/>
  <c r="G884" i="158"/>
  <c r="J883" i="158"/>
  <c r="G883" i="158"/>
  <c r="J882" i="158"/>
  <c r="G882" i="158"/>
  <c r="J881" i="158"/>
  <c r="G881" i="158"/>
  <c r="J880" i="158"/>
  <c r="G880" i="158"/>
  <c r="J879" i="158"/>
  <c r="G879" i="158"/>
  <c r="J878" i="158"/>
  <c r="G878" i="158"/>
  <c r="J877" i="158"/>
  <c r="G877" i="158"/>
  <c r="J876" i="158"/>
  <c r="G876" i="158"/>
  <c r="J875" i="158"/>
  <c r="G875" i="158"/>
  <c r="J874" i="158"/>
  <c r="G874" i="158"/>
  <c r="J873" i="158"/>
  <c r="G873" i="158"/>
  <c r="J872" i="158"/>
  <c r="G872" i="158"/>
  <c r="J871" i="158"/>
  <c r="G871" i="158"/>
  <c r="G870" i="158"/>
  <c r="G869" i="158"/>
  <c r="G868" i="158"/>
  <c r="G867" i="158"/>
  <c r="G866" i="158"/>
  <c r="G865" i="158"/>
  <c r="G864" i="158"/>
  <c r="G863" i="158"/>
  <c r="G862" i="158"/>
  <c r="G861" i="158"/>
  <c r="G860" i="158"/>
  <c r="G859" i="158"/>
  <c r="G858" i="158"/>
  <c r="G857" i="158"/>
  <c r="G856" i="158"/>
  <c r="G855" i="158"/>
  <c r="G854" i="158"/>
  <c r="G853" i="158"/>
  <c r="G852" i="158"/>
  <c r="G851" i="158"/>
  <c r="G850" i="158"/>
  <c r="G849" i="158"/>
  <c r="G848" i="158"/>
  <c r="G847" i="158"/>
  <c r="G846" i="158"/>
  <c r="G845" i="158"/>
  <c r="G844" i="158"/>
  <c r="G843" i="158"/>
  <c r="G842" i="158"/>
  <c r="G841" i="158"/>
  <c r="G840" i="158"/>
  <c r="G839" i="158"/>
  <c r="G838" i="158"/>
  <c r="G837" i="158"/>
  <c r="G836" i="158"/>
  <c r="G835" i="158"/>
  <c r="G834" i="158"/>
  <c r="G833" i="158"/>
  <c r="G832" i="158"/>
  <c r="G831" i="158"/>
  <c r="G830" i="158"/>
  <c r="G829" i="158"/>
  <c r="G828" i="158"/>
  <c r="G827" i="158"/>
  <c r="G826" i="158"/>
  <c r="G825" i="158"/>
  <c r="G824" i="158"/>
  <c r="G823" i="158"/>
  <c r="G822" i="158"/>
  <c r="G821" i="158"/>
  <c r="G820" i="158"/>
  <c r="G819" i="158"/>
  <c r="G818" i="158"/>
  <c r="G817" i="158"/>
  <c r="G816" i="158"/>
  <c r="G815" i="158"/>
  <c r="G814" i="158"/>
  <c r="G813" i="158"/>
  <c r="G812" i="158"/>
  <c r="G811" i="158"/>
  <c r="G810" i="158"/>
  <c r="G809" i="158"/>
  <c r="G808" i="158"/>
  <c r="G807" i="158"/>
  <c r="G806" i="158"/>
  <c r="J805" i="158"/>
  <c r="G805" i="158"/>
  <c r="J804" i="158"/>
  <c r="G804" i="158"/>
  <c r="J803" i="158"/>
  <c r="G803" i="158"/>
  <c r="J802" i="158"/>
  <c r="G802" i="158"/>
  <c r="J801" i="158"/>
  <c r="G801" i="158"/>
  <c r="J800" i="158"/>
  <c r="G800" i="158"/>
  <c r="J799" i="158"/>
  <c r="G799" i="158"/>
  <c r="J798" i="158"/>
  <c r="G798" i="158"/>
  <c r="J797" i="158"/>
  <c r="G797" i="158"/>
  <c r="J796" i="158"/>
  <c r="G796" i="158"/>
  <c r="J795" i="158"/>
  <c r="G795" i="158"/>
  <c r="J794" i="158"/>
  <c r="G794" i="158"/>
  <c r="J793" i="158"/>
  <c r="G793" i="158"/>
  <c r="J792" i="158"/>
  <c r="G792" i="158"/>
  <c r="J791" i="158"/>
  <c r="G791" i="158"/>
  <c r="G790" i="158"/>
  <c r="J789" i="158"/>
  <c r="G789" i="158"/>
  <c r="J788" i="158"/>
  <c r="G788" i="158"/>
  <c r="J787" i="158"/>
  <c r="G787" i="158"/>
  <c r="J786" i="158"/>
  <c r="G786" i="158"/>
  <c r="J785" i="158"/>
  <c r="G785" i="158"/>
  <c r="J784" i="158"/>
  <c r="G784" i="158"/>
  <c r="J783" i="158"/>
  <c r="G783" i="158"/>
  <c r="J782" i="158"/>
  <c r="G782" i="158"/>
  <c r="J781" i="158"/>
  <c r="G781" i="158"/>
  <c r="J780" i="158"/>
  <c r="G780" i="158"/>
  <c r="J779" i="158"/>
  <c r="G779" i="158"/>
  <c r="J778" i="158"/>
  <c r="G778" i="158"/>
  <c r="J777" i="158"/>
  <c r="G777" i="158"/>
  <c r="J776" i="158"/>
  <c r="G776" i="158"/>
  <c r="J775" i="158"/>
  <c r="G775" i="158"/>
  <c r="G774" i="158"/>
  <c r="G773" i="158"/>
  <c r="G772" i="158"/>
  <c r="G771" i="158"/>
  <c r="G770" i="158"/>
  <c r="G769" i="158"/>
  <c r="G768" i="158"/>
  <c r="G767" i="158"/>
  <c r="G766" i="158"/>
  <c r="G765" i="158"/>
  <c r="G764" i="158"/>
  <c r="G763" i="158"/>
  <c r="G762" i="158"/>
  <c r="G761" i="158"/>
  <c r="G760" i="158"/>
  <c r="G759" i="158"/>
  <c r="G758" i="158"/>
  <c r="G757" i="158"/>
  <c r="G756" i="158"/>
  <c r="G755" i="158"/>
  <c r="G754" i="158"/>
  <c r="G753" i="158"/>
  <c r="G752" i="158"/>
  <c r="G751" i="158"/>
  <c r="G750" i="158"/>
  <c r="G749" i="158"/>
  <c r="G748" i="158"/>
  <c r="G747" i="158"/>
  <c r="G746" i="158"/>
  <c r="G745" i="158"/>
  <c r="G744" i="158"/>
  <c r="G743" i="158"/>
  <c r="G742" i="158"/>
  <c r="G741" i="158"/>
  <c r="G740" i="158"/>
  <c r="G739" i="158"/>
  <c r="G738" i="158"/>
  <c r="G737" i="158"/>
  <c r="G736" i="158"/>
  <c r="G735" i="158"/>
  <c r="G734" i="158"/>
  <c r="G733" i="158"/>
  <c r="G732" i="158"/>
  <c r="G731" i="158"/>
  <c r="G730" i="158"/>
  <c r="G729" i="158"/>
  <c r="G728" i="158"/>
  <c r="G727" i="158"/>
  <c r="G726" i="158"/>
  <c r="G725" i="158"/>
  <c r="G724" i="158"/>
  <c r="G723" i="158"/>
  <c r="G722" i="158"/>
  <c r="G721" i="158"/>
  <c r="G720" i="158"/>
  <c r="G719" i="158"/>
  <c r="G718" i="158"/>
  <c r="G717" i="158"/>
  <c r="G716" i="158"/>
  <c r="G715" i="158"/>
  <c r="G714" i="158"/>
  <c r="G713" i="158"/>
  <c r="G712" i="158"/>
  <c r="G711" i="158"/>
  <c r="G710" i="158"/>
  <c r="J709" i="158"/>
  <c r="G709" i="158"/>
  <c r="J708" i="158"/>
  <c r="G708" i="158"/>
  <c r="J707" i="158"/>
  <c r="G707" i="158"/>
  <c r="J706" i="158"/>
  <c r="G706" i="158"/>
  <c r="J705" i="158"/>
  <c r="G705" i="158"/>
  <c r="J704" i="158"/>
  <c r="G704" i="158"/>
  <c r="J703" i="158"/>
  <c r="G703" i="158"/>
  <c r="J702" i="158"/>
  <c r="G702" i="158"/>
  <c r="J701" i="158"/>
  <c r="G701" i="158"/>
  <c r="J700" i="158"/>
  <c r="G700" i="158"/>
  <c r="J699" i="158"/>
  <c r="G699" i="158"/>
  <c r="J698" i="158"/>
  <c r="G698" i="158"/>
  <c r="J697" i="158"/>
  <c r="G697" i="158"/>
  <c r="J696" i="158"/>
  <c r="G696" i="158"/>
  <c r="J695" i="158"/>
  <c r="G695" i="158"/>
  <c r="J694" i="158"/>
  <c r="G694" i="158"/>
  <c r="J693" i="158"/>
  <c r="G693" i="158"/>
  <c r="J692" i="158"/>
  <c r="G692" i="158"/>
  <c r="J691" i="158"/>
  <c r="G691" i="158"/>
  <c r="J690" i="158"/>
  <c r="G690" i="158"/>
  <c r="J689" i="158"/>
  <c r="G689" i="158"/>
  <c r="J688" i="158"/>
  <c r="G688" i="158"/>
  <c r="J687" i="158"/>
  <c r="G687" i="158"/>
  <c r="J686" i="158"/>
  <c r="G686" i="158"/>
  <c r="J685" i="158"/>
  <c r="G685" i="158"/>
  <c r="J684" i="158"/>
  <c r="G684" i="158"/>
  <c r="J683" i="158"/>
  <c r="G683" i="158"/>
  <c r="J682" i="158"/>
  <c r="G682" i="158"/>
  <c r="J681" i="158"/>
  <c r="G681" i="158"/>
  <c r="J680" i="158"/>
  <c r="G680" i="158"/>
  <c r="J679" i="158"/>
  <c r="G679" i="158"/>
  <c r="G678" i="158"/>
  <c r="G677" i="158"/>
  <c r="G676" i="158"/>
  <c r="G675" i="158"/>
  <c r="G674" i="158"/>
  <c r="G673" i="158"/>
  <c r="G672" i="158"/>
  <c r="G671" i="158"/>
  <c r="G670" i="158"/>
  <c r="G669" i="158"/>
  <c r="G668" i="158"/>
  <c r="G667" i="158"/>
  <c r="G666" i="158"/>
  <c r="G665" i="158"/>
  <c r="G664" i="158"/>
  <c r="G663" i="158"/>
  <c r="G662" i="158"/>
  <c r="G661" i="158"/>
  <c r="G660" i="158"/>
  <c r="G659" i="158"/>
  <c r="G658" i="158"/>
  <c r="G657" i="158"/>
  <c r="G656" i="158"/>
  <c r="G655" i="158"/>
  <c r="G654" i="158"/>
  <c r="G653" i="158"/>
  <c r="G652" i="158"/>
  <c r="G651" i="158"/>
  <c r="G650" i="158"/>
  <c r="G649" i="158"/>
  <c r="G648" i="158"/>
  <c r="G647" i="158"/>
  <c r="G646" i="158"/>
  <c r="G645" i="158"/>
  <c r="G644" i="158"/>
  <c r="G643" i="158"/>
  <c r="G642" i="158"/>
  <c r="G641" i="158"/>
  <c r="G640" i="158"/>
  <c r="G639" i="158"/>
  <c r="G638" i="158"/>
  <c r="G637" i="158"/>
  <c r="G636" i="158"/>
  <c r="G635" i="158"/>
  <c r="G634" i="158"/>
  <c r="G633" i="158"/>
  <c r="G632" i="158"/>
  <c r="G631" i="158"/>
  <c r="G630" i="158"/>
  <c r="G629" i="158"/>
  <c r="G628" i="158"/>
  <c r="G627" i="158"/>
  <c r="G626" i="158"/>
  <c r="G625" i="158"/>
  <c r="G624" i="158"/>
  <c r="G623" i="158"/>
  <c r="G622" i="158"/>
  <c r="G621" i="158"/>
  <c r="G620" i="158"/>
  <c r="G619" i="158"/>
  <c r="G618" i="158"/>
  <c r="G617" i="158"/>
  <c r="G616" i="158"/>
  <c r="G615" i="158"/>
  <c r="G614" i="158"/>
  <c r="J613" i="158"/>
  <c r="G613" i="158"/>
  <c r="J612" i="158"/>
  <c r="G612" i="158"/>
  <c r="J611" i="158"/>
  <c r="G611" i="158"/>
  <c r="J610" i="158"/>
  <c r="G610" i="158"/>
  <c r="J609" i="158"/>
  <c r="G609" i="158"/>
  <c r="J608" i="158"/>
  <c r="G608" i="158"/>
  <c r="J607" i="158"/>
  <c r="G607" i="158"/>
  <c r="J606" i="158"/>
  <c r="G606" i="158"/>
  <c r="J605" i="158"/>
  <c r="G605" i="158"/>
  <c r="J604" i="158"/>
  <c r="G604" i="158"/>
  <c r="J603" i="158"/>
  <c r="G603" i="158"/>
  <c r="J602" i="158"/>
  <c r="G602" i="158"/>
  <c r="J601" i="158"/>
  <c r="G601" i="158"/>
  <c r="J600" i="158"/>
  <c r="G600" i="158"/>
  <c r="J599" i="158"/>
  <c r="G599" i="158"/>
  <c r="J598" i="158"/>
  <c r="G598" i="158"/>
  <c r="J597" i="158"/>
  <c r="G597" i="158"/>
  <c r="J596" i="158"/>
  <c r="G596" i="158"/>
  <c r="J595" i="158"/>
  <c r="G595" i="158"/>
  <c r="J594" i="158"/>
  <c r="G594" i="158"/>
  <c r="J593" i="158"/>
  <c r="G593" i="158"/>
  <c r="J592" i="158"/>
  <c r="G592" i="158"/>
  <c r="J591" i="158"/>
  <c r="G591" i="158"/>
  <c r="J590" i="158"/>
  <c r="G590" i="158"/>
  <c r="J589" i="158"/>
  <c r="G589" i="158"/>
  <c r="J588" i="158"/>
  <c r="G588" i="158"/>
  <c r="J587" i="158"/>
  <c r="G587" i="158"/>
  <c r="J586" i="158"/>
  <c r="G586" i="158"/>
  <c r="J585" i="158"/>
  <c r="G585" i="158"/>
  <c r="J584" i="158"/>
  <c r="G584" i="158"/>
  <c r="J583" i="158"/>
  <c r="G583" i="158"/>
  <c r="G582" i="158"/>
  <c r="G581" i="158"/>
  <c r="G580" i="158"/>
  <c r="G579" i="158"/>
  <c r="G578" i="158"/>
  <c r="G577" i="158"/>
  <c r="G576" i="158"/>
  <c r="G575" i="158"/>
  <c r="G574" i="158"/>
  <c r="G573" i="158"/>
  <c r="G572" i="158"/>
  <c r="G571" i="158"/>
  <c r="G570" i="158"/>
  <c r="G569" i="158"/>
  <c r="G568" i="158"/>
  <c r="G567" i="158"/>
  <c r="G566" i="158"/>
  <c r="G565" i="158"/>
  <c r="G564" i="158"/>
  <c r="J563" i="158"/>
  <c r="G563" i="158"/>
  <c r="J562" i="158"/>
  <c r="G562" i="158"/>
  <c r="J561" i="158"/>
  <c r="G561" i="158"/>
  <c r="J560" i="158"/>
  <c r="G560" i="158"/>
  <c r="J559" i="158"/>
  <c r="G559" i="158"/>
  <c r="J558" i="158"/>
  <c r="G558" i="158"/>
  <c r="J557" i="158"/>
  <c r="G557" i="158"/>
  <c r="J556" i="158"/>
  <c r="G556" i="158"/>
  <c r="J555" i="158"/>
  <c r="G555" i="158"/>
  <c r="J554" i="158"/>
  <c r="G554" i="158"/>
  <c r="J553" i="158"/>
  <c r="G553" i="158"/>
  <c r="J552" i="158"/>
  <c r="F552" i="158"/>
  <c r="G552" i="158" s="1"/>
  <c r="J551" i="158"/>
  <c r="G551" i="158"/>
  <c r="J550" i="158"/>
  <c r="G550" i="158"/>
  <c r="J549" i="158"/>
  <c r="G549" i="158"/>
  <c r="J548" i="158"/>
  <c r="G548" i="158"/>
  <c r="J547" i="158"/>
  <c r="G547" i="158"/>
  <c r="J546" i="158"/>
  <c r="G546" i="158"/>
  <c r="J545" i="158"/>
  <c r="G545" i="158"/>
  <c r="J544" i="158"/>
  <c r="G544" i="158"/>
  <c r="J543" i="158"/>
  <c r="G543" i="158"/>
  <c r="J542" i="158"/>
  <c r="G542" i="158"/>
  <c r="J541" i="158"/>
  <c r="G541" i="158"/>
  <c r="J540" i="158"/>
  <c r="G540" i="158"/>
  <c r="J539" i="158"/>
  <c r="G539" i="158"/>
  <c r="J538" i="158"/>
  <c r="G538" i="158"/>
  <c r="J537" i="158"/>
  <c r="G537" i="158"/>
  <c r="J536" i="158"/>
  <c r="G536" i="158"/>
  <c r="J535" i="158"/>
  <c r="G535" i="158"/>
  <c r="J534" i="158"/>
  <c r="G534" i="158"/>
  <c r="J533" i="158"/>
  <c r="G533" i="158"/>
  <c r="J532" i="158"/>
  <c r="G532" i="158"/>
  <c r="J531" i="158"/>
  <c r="G531" i="158"/>
  <c r="J530" i="158"/>
  <c r="G530" i="158"/>
  <c r="J529" i="158"/>
  <c r="G529" i="158"/>
  <c r="J528" i="158"/>
  <c r="G528" i="158"/>
  <c r="J527" i="158"/>
  <c r="G527" i="158"/>
  <c r="J526" i="158"/>
  <c r="G526" i="158"/>
  <c r="J525" i="158"/>
  <c r="G525" i="158"/>
  <c r="J524" i="158"/>
  <c r="G524" i="158"/>
  <c r="J523" i="158"/>
  <c r="G523" i="158"/>
  <c r="J522" i="158"/>
  <c r="G522" i="158"/>
  <c r="J521" i="158"/>
  <c r="G521" i="158"/>
  <c r="J520" i="158"/>
  <c r="G520" i="158"/>
  <c r="J519" i="158"/>
  <c r="G519" i="158"/>
  <c r="J518" i="158"/>
  <c r="G518" i="158"/>
  <c r="J517" i="158"/>
  <c r="G517" i="158"/>
  <c r="J516" i="158"/>
  <c r="G516" i="158"/>
  <c r="J515" i="158"/>
  <c r="G515" i="158"/>
  <c r="J514" i="158"/>
  <c r="G514" i="158"/>
  <c r="J513" i="158"/>
  <c r="G513" i="158"/>
  <c r="J512" i="158"/>
  <c r="G512" i="158"/>
  <c r="J511" i="158"/>
  <c r="G511" i="158"/>
  <c r="J510" i="158"/>
  <c r="G510" i="158"/>
  <c r="J509" i="158"/>
  <c r="G509" i="158"/>
  <c r="J508" i="158"/>
  <c r="G508" i="158"/>
  <c r="J507" i="158"/>
  <c r="G507" i="158"/>
  <c r="J506" i="158"/>
  <c r="G506" i="158"/>
  <c r="J505" i="158"/>
  <c r="G505" i="158"/>
  <c r="J504" i="158"/>
  <c r="G504" i="158"/>
  <c r="J503" i="158"/>
  <c r="G503" i="158"/>
  <c r="J502" i="158"/>
  <c r="G502" i="158"/>
  <c r="J501" i="158"/>
  <c r="G501" i="158"/>
  <c r="J500" i="158"/>
  <c r="G500" i="158"/>
  <c r="J499" i="158"/>
  <c r="G499" i="158"/>
  <c r="J498" i="158"/>
  <c r="G498" i="158"/>
  <c r="J497" i="158"/>
  <c r="G497" i="158"/>
  <c r="J496" i="158"/>
  <c r="G496" i="158"/>
  <c r="J495" i="158"/>
  <c r="G495" i="158"/>
  <c r="J494" i="158"/>
  <c r="G494" i="158"/>
  <c r="J493" i="158"/>
  <c r="G493" i="158"/>
  <c r="J492" i="158"/>
  <c r="G492" i="158"/>
  <c r="J491" i="158"/>
  <c r="G491" i="158"/>
  <c r="J490" i="158"/>
  <c r="G490" i="158"/>
  <c r="J489" i="158"/>
  <c r="G489" i="158"/>
  <c r="J488" i="158"/>
  <c r="G488" i="158"/>
  <c r="J487" i="158"/>
  <c r="G487" i="158"/>
  <c r="G486" i="158"/>
  <c r="G485" i="158"/>
  <c r="G484" i="158"/>
  <c r="G483" i="158"/>
  <c r="G482" i="158"/>
  <c r="G481" i="158"/>
  <c r="G480" i="158"/>
  <c r="G479" i="158"/>
  <c r="G478" i="158"/>
  <c r="G477" i="158"/>
  <c r="G476" i="158"/>
  <c r="G475" i="158"/>
  <c r="G474" i="158"/>
  <c r="G473" i="158"/>
  <c r="G472" i="158"/>
  <c r="G471" i="158"/>
  <c r="G470" i="158"/>
  <c r="G469" i="158"/>
  <c r="G468" i="158"/>
  <c r="G467" i="158"/>
  <c r="G466" i="158"/>
  <c r="G465" i="158"/>
  <c r="G464" i="158"/>
  <c r="G463" i="158"/>
  <c r="G462" i="158"/>
  <c r="G461" i="158"/>
  <c r="G460" i="158"/>
  <c r="G459" i="158"/>
  <c r="G458" i="158"/>
  <c r="G457" i="158"/>
  <c r="G456" i="158"/>
  <c r="G455" i="158"/>
  <c r="G454" i="158"/>
  <c r="G453" i="158"/>
  <c r="G452" i="158"/>
  <c r="G451" i="158"/>
  <c r="G450" i="158"/>
  <c r="G449" i="158"/>
  <c r="G448" i="158"/>
  <c r="G447" i="158"/>
  <c r="G446" i="158"/>
  <c r="G445" i="158"/>
  <c r="G444" i="158"/>
  <c r="G443" i="158"/>
  <c r="G442" i="158"/>
  <c r="G441" i="158"/>
  <c r="G440" i="158"/>
  <c r="G439" i="158"/>
  <c r="G438" i="158"/>
  <c r="G437" i="158"/>
  <c r="G436" i="158"/>
  <c r="G435" i="158"/>
  <c r="G434" i="158"/>
  <c r="G433" i="158"/>
  <c r="G432" i="158"/>
  <c r="G431" i="158"/>
  <c r="G430" i="158"/>
  <c r="G429" i="158"/>
  <c r="G428" i="158"/>
  <c r="G427" i="158"/>
  <c r="G426" i="158"/>
  <c r="G425" i="158"/>
  <c r="G424" i="158"/>
  <c r="G423" i="158"/>
  <c r="G422" i="158"/>
  <c r="J421" i="158"/>
  <c r="J420" i="158"/>
  <c r="G420" i="158"/>
  <c r="J419" i="158"/>
  <c r="G419" i="158"/>
  <c r="J418" i="158"/>
  <c r="G418" i="158"/>
  <c r="J417" i="158"/>
  <c r="G417" i="158"/>
  <c r="J416" i="158"/>
  <c r="G416" i="158"/>
  <c r="J415" i="158"/>
  <c r="G415" i="158"/>
  <c r="J414" i="158"/>
  <c r="G414" i="158"/>
  <c r="J413" i="158"/>
  <c r="G413" i="158"/>
  <c r="J412" i="158"/>
  <c r="G412" i="158"/>
  <c r="J411" i="158"/>
  <c r="G411" i="158"/>
  <c r="J410" i="158"/>
  <c r="G410" i="158"/>
  <c r="J409" i="158"/>
  <c r="G409" i="158"/>
  <c r="J408" i="158"/>
  <c r="G408" i="158"/>
  <c r="J407" i="158"/>
  <c r="G407" i="158"/>
  <c r="J406" i="158"/>
  <c r="G406" i="158"/>
  <c r="J405" i="158"/>
  <c r="G405" i="158"/>
  <c r="J404" i="158"/>
  <c r="G404" i="158"/>
  <c r="J403" i="158"/>
  <c r="G403" i="158"/>
  <c r="J402" i="158"/>
  <c r="G402" i="158"/>
  <c r="J401" i="158"/>
  <c r="G401" i="158"/>
  <c r="J400" i="158"/>
  <c r="G400" i="158"/>
  <c r="J399" i="158"/>
  <c r="G399" i="158"/>
  <c r="J398" i="158"/>
  <c r="G398" i="158"/>
  <c r="J397" i="158"/>
  <c r="G397" i="158"/>
  <c r="J396" i="158"/>
  <c r="G396" i="158"/>
  <c r="J395" i="158"/>
  <c r="G395" i="158"/>
  <c r="J394" i="158"/>
  <c r="G394" i="158"/>
  <c r="J393" i="158"/>
  <c r="G393" i="158"/>
  <c r="J392" i="158"/>
  <c r="G392" i="158"/>
  <c r="J391" i="158"/>
  <c r="G391" i="158"/>
  <c r="G390" i="158"/>
  <c r="G389" i="158"/>
  <c r="G388" i="158"/>
  <c r="G387" i="158"/>
  <c r="G386" i="158"/>
  <c r="G385" i="158"/>
  <c r="G384" i="158"/>
  <c r="G383" i="158"/>
  <c r="G382" i="158"/>
  <c r="G381" i="158"/>
  <c r="G380" i="158"/>
  <c r="G379" i="158"/>
  <c r="G378" i="158"/>
  <c r="G377" i="158"/>
  <c r="G376" i="158"/>
  <c r="G375" i="158"/>
  <c r="G374" i="158"/>
  <c r="G373" i="158"/>
  <c r="G372" i="158"/>
  <c r="G371" i="158"/>
  <c r="G370" i="158"/>
  <c r="G369" i="158"/>
  <c r="G368" i="158"/>
  <c r="G367" i="158"/>
  <c r="G366" i="158"/>
  <c r="G365" i="158"/>
  <c r="G364" i="158"/>
  <c r="G363" i="158"/>
  <c r="G362" i="158"/>
  <c r="G361" i="158"/>
  <c r="G360" i="158"/>
  <c r="G359" i="158"/>
  <c r="G358" i="158"/>
  <c r="G357" i="158"/>
  <c r="G356" i="158"/>
  <c r="G355" i="158"/>
  <c r="G354" i="158"/>
  <c r="G353" i="158"/>
  <c r="G352" i="158"/>
  <c r="G351" i="158"/>
  <c r="G350" i="158"/>
  <c r="G349" i="158"/>
  <c r="G348" i="158"/>
  <c r="G347" i="158"/>
  <c r="G346" i="158"/>
  <c r="G345" i="158"/>
  <c r="G344" i="158"/>
  <c r="G343" i="158"/>
  <c r="G341" i="158"/>
  <c r="G340" i="158"/>
  <c r="G339" i="158"/>
  <c r="G338" i="158"/>
  <c r="G337" i="158"/>
  <c r="G336" i="158"/>
  <c r="G335" i="158"/>
  <c r="G334" i="158"/>
  <c r="G333" i="158"/>
  <c r="G332" i="158"/>
  <c r="G331" i="158"/>
  <c r="G330" i="158"/>
  <c r="G329" i="158"/>
  <c r="G328" i="158"/>
  <c r="G327" i="158"/>
  <c r="G326" i="158"/>
  <c r="G325" i="158"/>
  <c r="G324" i="158"/>
  <c r="G323" i="158"/>
  <c r="G322" i="158"/>
  <c r="G321" i="158"/>
  <c r="G320" i="158"/>
  <c r="G319" i="158"/>
  <c r="G318" i="158"/>
  <c r="G317" i="158"/>
  <c r="G316" i="158"/>
  <c r="G315" i="158"/>
  <c r="G314" i="158"/>
  <c r="G313" i="158"/>
  <c r="G312" i="158"/>
  <c r="G311" i="158"/>
  <c r="G310" i="158"/>
  <c r="G309" i="158"/>
  <c r="G308" i="158"/>
  <c r="G307" i="158"/>
  <c r="G306" i="158"/>
  <c r="G305" i="158"/>
  <c r="G304" i="158"/>
  <c r="G303" i="158"/>
  <c r="G302" i="158"/>
  <c r="G301" i="158"/>
  <c r="G300" i="158"/>
  <c r="G299" i="158"/>
  <c r="G298" i="158"/>
  <c r="G297" i="158"/>
  <c r="G296" i="158"/>
  <c r="G295" i="158"/>
  <c r="G294" i="158"/>
  <c r="G293" i="158"/>
  <c r="G292" i="158"/>
  <c r="G291" i="158"/>
  <c r="G290" i="158"/>
  <c r="G289" i="158"/>
  <c r="G288" i="158"/>
  <c r="G287" i="158"/>
  <c r="G286" i="158"/>
  <c r="G285" i="158"/>
  <c r="G284" i="158"/>
  <c r="G283" i="158"/>
  <c r="G282" i="158"/>
  <c r="G281" i="158"/>
  <c r="G280" i="158"/>
  <c r="G279" i="158"/>
  <c r="G278" i="158"/>
  <c r="G277" i="158"/>
  <c r="G276" i="158"/>
  <c r="G275" i="158"/>
  <c r="G274" i="158"/>
  <c r="G273" i="158"/>
  <c r="G272" i="158"/>
  <c r="G271" i="158"/>
  <c r="G270" i="158"/>
  <c r="G269" i="158"/>
  <c r="G268" i="158"/>
  <c r="G267" i="158"/>
  <c r="G266" i="158"/>
  <c r="G265" i="158"/>
  <c r="G264" i="158"/>
  <c r="G263" i="158"/>
  <c r="G262" i="158"/>
  <c r="G261" i="158"/>
  <c r="G260" i="158"/>
  <c r="G259" i="158"/>
  <c r="G258" i="158"/>
  <c r="G257" i="158"/>
  <c r="G256" i="158"/>
  <c r="G255" i="158"/>
  <c r="G254" i="158"/>
  <c r="G253" i="158"/>
  <c r="G252" i="158"/>
  <c r="G251" i="158"/>
  <c r="G250" i="158"/>
  <c r="G249" i="158"/>
  <c r="G248" i="158"/>
  <c r="G247" i="158"/>
  <c r="G246" i="158"/>
  <c r="G244" i="158"/>
  <c r="G243" i="158"/>
  <c r="G242" i="158"/>
  <c r="G241" i="158"/>
  <c r="G240" i="158"/>
  <c r="G239" i="158"/>
  <c r="G238" i="158"/>
  <c r="G237" i="158"/>
  <c r="G236" i="158"/>
  <c r="G235" i="158"/>
  <c r="G234" i="158"/>
  <c r="G233" i="158"/>
  <c r="G232" i="158"/>
  <c r="G231" i="158"/>
  <c r="G230" i="158"/>
  <c r="G229" i="158"/>
  <c r="G228" i="158"/>
  <c r="G227" i="158"/>
  <c r="G226" i="158"/>
  <c r="G225" i="158"/>
  <c r="G224" i="158"/>
  <c r="G223" i="158"/>
  <c r="G222" i="158"/>
  <c r="G221" i="158"/>
  <c r="G220" i="158"/>
  <c r="G219" i="158"/>
  <c r="G218" i="158"/>
  <c r="G217" i="158"/>
  <c r="G216" i="158"/>
  <c r="G215" i="158"/>
  <c r="G214" i="158"/>
  <c r="G212" i="158"/>
  <c r="G211" i="158"/>
  <c r="G210" i="158"/>
  <c r="G209" i="158"/>
  <c r="G208" i="158"/>
  <c r="G207" i="158"/>
  <c r="G206" i="158"/>
  <c r="G205" i="158"/>
  <c r="G204" i="158"/>
  <c r="G203" i="158"/>
  <c r="G202" i="158"/>
  <c r="G201" i="158"/>
  <c r="G200" i="158"/>
  <c r="G199" i="158"/>
  <c r="G198" i="158"/>
  <c r="G196" i="158"/>
  <c r="G195" i="158"/>
  <c r="G194" i="158"/>
  <c r="G193" i="158"/>
  <c r="G192" i="158"/>
  <c r="G191" i="158"/>
  <c r="G190" i="158"/>
  <c r="G189" i="158"/>
  <c r="G188" i="158"/>
  <c r="G187" i="158"/>
  <c r="G186" i="158"/>
  <c r="G185" i="158"/>
  <c r="G184" i="158"/>
  <c r="G183" i="158"/>
  <c r="G182" i="158"/>
  <c r="G181" i="158"/>
  <c r="G180" i="158"/>
  <c r="G179" i="158"/>
  <c r="G178" i="158"/>
  <c r="G177" i="158"/>
  <c r="G176" i="158"/>
  <c r="G175" i="158"/>
  <c r="G174" i="158"/>
  <c r="G173" i="158"/>
  <c r="G172" i="158"/>
  <c r="G171" i="158"/>
  <c r="G170" i="158"/>
  <c r="G169" i="158"/>
  <c r="G168" i="158"/>
  <c r="G167" i="158"/>
  <c r="G166" i="158"/>
  <c r="G165" i="158"/>
  <c r="G164" i="158"/>
  <c r="G163" i="158"/>
  <c r="G162" i="158"/>
  <c r="G161" i="158"/>
  <c r="G160" i="158"/>
  <c r="G159" i="158"/>
  <c r="G158" i="158"/>
  <c r="G157" i="158"/>
  <c r="G156" i="158"/>
  <c r="G155" i="158"/>
  <c r="G154" i="158"/>
  <c r="G153" i="158"/>
  <c r="G152" i="158"/>
  <c r="G151" i="158"/>
  <c r="G150" i="158"/>
  <c r="G149" i="158"/>
  <c r="G148" i="158"/>
  <c r="G147" i="158"/>
  <c r="G146" i="158"/>
  <c r="G145" i="158"/>
  <c r="G144" i="158"/>
  <c r="G143" i="158"/>
  <c r="G142" i="158"/>
  <c r="G141" i="158"/>
  <c r="G140" i="158"/>
  <c r="G139" i="158"/>
  <c r="G138" i="158"/>
  <c r="G137" i="158"/>
  <c r="G136" i="158"/>
  <c r="G135" i="158"/>
  <c r="G134" i="158"/>
  <c r="G133" i="158"/>
  <c r="G132" i="158"/>
  <c r="G131" i="158"/>
  <c r="G130" i="158"/>
  <c r="G129" i="158"/>
  <c r="G128" i="158"/>
  <c r="G127" i="158"/>
  <c r="G126" i="158"/>
  <c r="G125" i="158"/>
  <c r="G124" i="158"/>
  <c r="G123" i="158"/>
  <c r="G122" i="158"/>
  <c r="G121" i="158"/>
  <c r="G120" i="158"/>
  <c r="G119" i="158"/>
  <c r="G118" i="158"/>
  <c r="G117" i="158"/>
  <c r="G116" i="158"/>
  <c r="G115" i="158"/>
  <c r="G114" i="158"/>
  <c r="G113" i="158"/>
  <c r="G112" i="158"/>
  <c r="G111" i="158"/>
  <c r="G110" i="158"/>
  <c r="G109" i="158"/>
  <c r="G108" i="158"/>
  <c r="G107" i="158"/>
  <c r="G106" i="158"/>
  <c r="G105" i="158"/>
  <c r="G104" i="158"/>
  <c r="G103" i="158"/>
  <c r="G102" i="158"/>
  <c r="G100" i="158"/>
  <c r="G99" i="158"/>
  <c r="G98" i="158"/>
  <c r="G97" i="158"/>
  <c r="G96" i="158"/>
  <c r="G95" i="158"/>
  <c r="G94" i="158"/>
  <c r="G93" i="158"/>
  <c r="G92" i="158"/>
  <c r="G91" i="158"/>
  <c r="G90" i="158"/>
  <c r="G89" i="158"/>
  <c r="G88" i="158"/>
  <c r="G87" i="158"/>
  <c r="G86" i="158"/>
  <c r="G85" i="158"/>
  <c r="G84" i="158"/>
  <c r="G83" i="158"/>
  <c r="G82" i="158"/>
  <c r="G81" i="158"/>
  <c r="G80" i="158"/>
  <c r="G79" i="158"/>
  <c r="G78" i="158"/>
  <c r="G77" i="158"/>
  <c r="G76" i="158"/>
  <c r="G75" i="158"/>
  <c r="G74" i="158"/>
  <c r="G73" i="158"/>
  <c r="G72" i="158"/>
  <c r="G71" i="158"/>
  <c r="G70" i="158"/>
  <c r="G69" i="158"/>
  <c r="G68" i="158"/>
  <c r="G67" i="158"/>
  <c r="G66" i="158"/>
  <c r="G65" i="158"/>
  <c r="G64" i="158"/>
  <c r="G63" i="158"/>
  <c r="G62" i="158"/>
  <c r="G61" i="158"/>
  <c r="G60" i="158"/>
  <c r="G59" i="158"/>
  <c r="G58" i="158"/>
  <c r="G57" i="158"/>
  <c r="G56" i="158"/>
  <c r="G55" i="158"/>
  <c r="G54" i="158"/>
  <c r="G52" i="158"/>
  <c r="G51" i="158"/>
  <c r="G50" i="158"/>
  <c r="G49" i="158"/>
  <c r="G48" i="158"/>
  <c r="G47" i="158"/>
  <c r="G46" i="158"/>
  <c r="G45" i="158"/>
  <c r="G44" i="158"/>
  <c r="G43" i="158"/>
  <c r="G42" i="158"/>
  <c r="G41" i="158"/>
  <c r="G40" i="158"/>
  <c r="G39" i="158"/>
  <c r="G38" i="158"/>
  <c r="G37" i="158"/>
  <c r="G36" i="158"/>
  <c r="G35" i="158"/>
  <c r="G34" i="158"/>
  <c r="G33" i="158"/>
  <c r="G32" i="158"/>
  <c r="G31" i="158"/>
  <c r="G30" i="158"/>
  <c r="G29" i="158"/>
  <c r="G28" i="158"/>
  <c r="G27" i="158"/>
  <c r="G26" i="158"/>
  <c r="G25" i="158"/>
  <c r="G24" i="158"/>
  <c r="G23" i="158"/>
  <c r="G22" i="158"/>
  <c r="G21" i="158"/>
  <c r="G20" i="158"/>
  <c r="G19" i="158"/>
  <c r="G18" i="158"/>
  <c r="G17" i="158"/>
  <c r="G16" i="158"/>
  <c r="G15" i="158"/>
  <c r="G14" i="158"/>
  <c r="G13" i="158"/>
  <c r="G12" i="158"/>
  <c r="G11" i="158"/>
  <c r="G10" i="158"/>
  <c r="G9" i="158"/>
  <c r="G8" i="158"/>
  <c r="G7" i="158"/>
  <c r="G6" i="158"/>
  <c r="G2754" i="158" l="1"/>
  <c r="G3977" i="158"/>
  <c r="G9657" i="158"/>
  <c r="G9705" i="158"/>
  <c r="G9769" i="158"/>
  <c r="G9065" i="158"/>
  <c r="G9081" i="158"/>
  <c r="G9113" i="158"/>
  <c r="G9123" i="158"/>
  <c r="G9225" i="158"/>
  <c r="G9257" i="158"/>
  <c r="G9289" i="158"/>
  <c r="G9321" i="158"/>
  <c r="G9353" i="158"/>
  <c r="G9385" i="158"/>
  <c r="G9673" i="158"/>
  <c r="G4169" i="158"/>
  <c r="G4201" i="158"/>
  <c r="G4345" i="158"/>
  <c r="G4377" i="158"/>
  <c r="G5209" i="158"/>
  <c r="G5241" i="158"/>
  <c r="G5273" i="158"/>
  <c r="G5305" i="158"/>
  <c r="G2728" i="158"/>
  <c r="G2760" i="158"/>
  <c r="G2792" i="158"/>
  <c r="G2824" i="158"/>
  <c r="G2856" i="158"/>
  <c r="G2888" i="158"/>
  <c r="G2920" i="158"/>
  <c r="G2952" i="158"/>
  <c r="G2985" i="158"/>
  <c r="G3017" i="158"/>
  <c r="G3049" i="158"/>
  <c r="G3081" i="158"/>
  <c r="G3113" i="158"/>
  <c r="G3145" i="158"/>
  <c r="G3449" i="158"/>
  <c r="G3481" i="158"/>
  <c r="G3513" i="158"/>
  <c r="G3561" i="158"/>
  <c r="G3593" i="158"/>
  <c r="G3625" i="158"/>
  <c r="G3657" i="158"/>
  <c r="G3689" i="158"/>
  <c r="G3833" i="158"/>
  <c r="G3865" i="158"/>
  <c r="G3945" i="158"/>
  <c r="G5353" i="158"/>
  <c r="G5385" i="158"/>
  <c r="G5417" i="158"/>
  <c r="G5715" i="158"/>
  <c r="G5929" i="158"/>
  <c r="G5961" i="158"/>
  <c r="G5993" i="158"/>
  <c r="G6025" i="158"/>
  <c r="G6057" i="158"/>
  <c r="G6089" i="158"/>
  <c r="G6121" i="158"/>
  <c r="G6153" i="158"/>
  <c r="G6185" i="158"/>
  <c r="G6195" i="158"/>
  <c r="G6201" i="158" s="1"/>
  <c r="G4393" i="158"/>
  <c r="G4403" i="158"/>
  <c r="G4409" i="158" s="1"/>
  <c r="G4473" i="158"/>
  <c r="G4505" i="158"/>
  <c r="G4537" i="158"/>
  <c r="G4569" i="158"/>
  <c r="G4761" i="158"/>
  <c r="G4793" i="158"/>
  <c r="G4825" i="158"/>
  <c r="G4857" i="158"/>
  <c r="G4889" i="158"/>
  <c r="G4921" i="158"/>
  <c r="G4953" i="158"/>
  <c r="G4985" i="158"/>
  <c r="G5017" i="158"/>
  <c r="G5049" i="158"/>
  <c r="G5051" i="158"/>
  <c r="G5081" i="158"/>
  <c r="G5113" i="158"/>
  <c r="G5193" i="158"/>
  <c r="G5225" i="158"/>
  <c r="G5257" i="158"/>
  <c r="G5289" i="158"/>
  <c r="G5321" i="158"/>
  <c r="G5369" i="158"/>
  <c r="G5721" i="158"/>
  <c r="G5945" i="158"/>
  <c r="G5977" i="158"/>
  <c r="G6009" i="158"/>
  <c r="G6041" i="158"/>
  <c r="G6073" i="158"/>
  <c r="G6105" i="158"/>
  <c r="G6137" i="158"/>
  <c r="G6169" i="158"/>
  <c r="G6729" i="158"/>
  <c r="G6761" i="158"/>
  <c r="G6793" i="158"/>
  <c r="G6825" i="158"/>
  <c r="G6857" i="158"/>
  <c r="G6889" i="158"/>
  <c r="G6921" i="158"/>
  <c r="G6969" i="158"/>
  <c r="G7001" i="158"/>
  <c r="G7033" i="158"/>
  <c r="G7065" i="158"/>
  <c r="G7097" i="158"/>
  <c r="G7129" i="158"/>
  <c r="G7161" i="158"/>
  <c r="G7225" i="158"/>
  <c r="G7289" i="158"/>
  <c r="G7353" i="158"/>
  <c r="G7417" i="158"/>
  <c r="G7449" i="158"/>
  <c r="G7481" i="158"/>
  <c r="G7513" i="158"/>
  <c r="G7545" i="158"/>
  <c r="G7577" i="158"/>
  <c r="G7609" i="158"/>
  <c r="G7641" i="158"/>
  <c r="G7673" i="158"/>
  <c r="G7689" i="158"/>
  <c r="G7721" i="158"/>
  <c r="G7753" i="158"/>
  <c r="G7785" i="158"/>
  <c r="G7817" i="158"/>
  <c r="G7849" i="158"/>
  <c r="G7897" i="158"/>
  <c r="G7929" i="158"/>
  <c r="G7961" i="158"/>
  <c r="G7993" i="158"/>
  <c r="G8025" i="158"/>
  <c r="G8057" i="158"/>
  <c r="G8089" i="158"/>
  <c r="G8121" i="158"/>
  <c r="G8153" i="158"/>
  <c r="G8185" i="158"/>
  <c r="G8217" i="158"/>
  <c r="G8249" i="158"/>
  <c r="G8281" i="158"/>
  <c r="G8313" i="158"/>
  <c r="G8345" i="158"/>
  <c r="G8377" i="158"/>
  <c r="G8409" i="158"/>
  <c r="G8473" i="158"/>
  <c r="G8505" i="158"/>
  <c r="G8537" i="158"/>
  <c r="G8569" i="158"/>
  <c r="G8601" i="158"/>
  <c r="G8633" i="158"/>
  <c r="G8665" i="158"/>
  <c r="G8697" i="158"/>
  <c r="G8729" i="158"/>
  <c r="G8761" i="158"/>
  <c r="G8809" i="158"/>
  <c r="G8841" i="158"/>
  <c r="G8873" i="158"/>
  <c r="G8905" i="158"/>
  <c r="G8937" i="158"/>
  <c r="G8969" i="158"/>
  <c r="G9241" i="158"/>
  <c r="G9273" i="158"/>
  <c r="G9305" i="158"/>
  <c r="G9337" i="158"/>
  <c r="G9369" i="158"/>
  <c r="G9433" i="158"/>
  <c r="G9689" i="158"/>
  <c r="G2584" i="158"/>
  <c r="G2616" i="158"/>
  <c r="G2648" i="158"/>
  <c r="G2680" i="158"/>
  <c r="G2712" i="158"/>
  <c r="G3161" i="158"/>
  <c r="G3193" i="158"/>
  <c r="G3225" i="158"/>
  <c r="G3257" i="158"/>
  <c r="G3289" i="158"/>
  <c r="G3321" i="158"/>
  <c r="G3353" i="158"/>
  <c r="G3385" i="158"/>
  <c r="G2744" i="158"/>
  <c r="G2776" i="158"/>
  <c r="G2808" i="158"/>
  <c r="G2840" i="158"/>
  <c r="G2872" i="158"/>
  <c r="G2904" i="158"/>
  <c r="G2936" i="158"/>
  <c r="G2969" i="158"/>
  <c r="G3001" i="158"/>
  <c r="G3033" i="158"/>
  <c r="G3065" i="158"/>
  <c r="G3097" i="158"/>
  <c r="G3129" i="158"/>
  <c r="G2600" i="158"/>
  <c r="G2632" i="158"/>
  <c r="G2696" i="158"/>
  <c r="G3177" i="158"/>
  <c r="G3209" i="158"/>
  <c r="G3241" i="158"/>
  <c r="G3273" i="158"/>
  <c r="G3305" i="158"/>
  <c r="G3337" i="158"/>
  <c r="G3369" i="158"/>
  <c r="G3401" i="158"/>
  <c r="G4009" i="158"/>
  <c r="G4073" i="158"/>
  <c r="G4105" i="158"/>
  <c r="G4233" i="158"/>
  <c r="G4265" i="158"/>
  <c r="G4297" i="158"/>
  <c r="G4425" i="158"/>
  <c r="G4601" i="158"/>
  <c r="G4633" i="158"/>
  <c r="G4665" i="158"/>
  <c r="G4489" i="158"/>
  <c r="G4553" i="158"/>
  <c r="G5145" i="158"/>
  <c r="G5147" i="158"/>
  <c r="G5401" i="158"/>
  <c r="G5465" i="158"/>
  <c r="G5497" i="158"/>
  <c r="G5561" i="158"/>
  <c r="G5593" i="158"/>
  <c r="G5657" i="158"/>
  <c r="G5689" i="158"/>
  <c r="G5753" i="158"/>
  <c r="G5785" i="158"/>
  <c r="G5817" i="158"/>
  <c r="G5849" i="158"/>
  <c r="G5881" i="158"/>
  <c r="G6233" i="158"/>
  <c r="G6265" i="158"/>
  <c r="G6297" i="158"/>
  <c r="G6329" i="158"/>
  <c r="G6361" i="158"/>
  <c r="G6393" i="158"/>
  <c r="G6425" i="158"/>
  <c r="G6473" i="158"/>
  <c r="G6505" i="158"/>
  <c r="G6537" i="158"/>
  <c r="G6569" i="158"/>
  <c r="G9001" i="158"/>
  <c r="G9049" i="158"/>
  <c r="G9145" i="158"/>
  <c r="G9177" i="158"/>
  <c r="G9209" i="158"/>
  <c r="G9401" i="158"/>
  <c r="G9721" i="158"/>
  <c r="G9753" i="158"/>
  <c r="G3417" i="158"/>
  <c r="G4025" i="158"/>
  <c r="G4035" i="158"/>
  <c r="G4041" i="158" s="1"/>
  <c r="G4057" i="158"/>
  <c r="G4089" i="158"/>
  <c r="G4121" i="158"/>
  <c r="G4249" i="158"/>
  <c r="G4441" i="158"/>
  <c r="G4649" i="158"/>
  <c r="G4691" i="158"/>
  <c r="G4697" i="158" s="1"/>
  <c r="G5331" i="158"/>
  <c r="G5337" i="158" s="1"/>
  <c r="G6617" i="158"/>
  <c r="G6649" i="158"/>
  <c r="G6681" i="158"/>
  <c r="G6713" i="158"/>
  <c r="G6745" i="158"/>
  <c r="G6777" i="158"/>
  <c r="G6809" i="158"/>
  <c r="G6841" i="158"/>
  <c r="G6873" i="158"/>
  <c r="G6905" i="158"/>
  <c r="G6937" i="158"/>
  <c r="G6985" i="158"/>
  <c r="G7017" i="158"/>
  <c r="G7049" i="158"/>
  <c r="G7081" i="158"/>
  <c r="G7113" i="158"/>
  <c r="G7145" i="158"/>
  <c r="G7177" i="158"/>
  <c r="G7209" i="158"/>
  <c r="G7241" i="158"/>
  <c r="G7273" i="158"/>
  <c r="G7305" i="158"/>
  <c r="G7337" i="158"/>
  <c r="G7369" i="158"/>
  <c r="G7401" i="158"/>
  <c r="G7433" i="158"/>
  <c r="G7465" i="158"/>
  <c r="G7497" i="158"/>
  <c r="G7529" i="158"/>
  <c r="G7561" i="158"/>
  <c r="G7593" i="158"/>
  <c r="G7625" i="158"/>
  <c r="G7657" i="158"/>
  <c r="G7705" i="158"/>
  <c r="G7737" i="158"/>
  <c r="G7769" i="158"/>
  <c r="G7801" i="158"/>
  <c r="G7833" i="158"/>
  <c r="G7865" i="158"/>
  <c r="G7913" i="158"/>
  <c r="G7945" i="158"/>
  <c r="G7977" i="158"/>
  <c r="G8009" i="158"/>
  <c r="G8041" i="158"/>
  <c r="G8073" i="158"/>
  <c r="G8105" i="158"/>
  <c r="G8137" i="158"/>
  <c r="G8169" i="158"/>
  <c r="G8201" i="158"/>
  <c r="G8233" i="158"/>
  <c r="G8265" i="158"/>
  <c r="G8297" i="158"/>
  <c r="G8329" i="158"/>
  <c r="G8361" i="158"/>
  <c r="G8393" i="158"/>
  <c r="G8489" i="158"/>
  <c r="G8521" i="158"/>
  <c r="G8553" i="158"/>
  <c r="G8585" i="158"/>
  <c r="G8617" i="158"/>
  <c r="G8649" i="158"/>
  <c r="G8681" i="158"/>
  <c r="G8713" i="158"/>
  <c r="G8745" i="158"/>
  <c r="G8793" i="158"/>
  <c r="G8825" i="158"/>
  <c r="G8857" i="158"/>
  <c r="G8889" i="158"/>
  <c r="G8921" i="158"/>
  <c r="G8953" i="158"/>
  <c r="G9097" i="158"/>
  <c r="G9129" i="158"/>
  <c r="G3433" i="158"/>
  <c r="G3465" i="158"/>
  <c r="G3497" i="158"/>
  <c r="G3577" i="158"/>
  <c r="G3609" i="158"/>
  <c r="G3641" i="158"/>
  <c r="G3673" i="158"/>
  <c r="G3753" i="158"/>
  <c r="G3849" i="158"/>
  <c r="G3881" i="158"/>
  <c r="G3929" i="158"/>
  <c r="G3961" i="158"/>
  <c r="G3993" i="158"/>
  <c r="G4153" i="158"/>
  <c r="G4185" i="158"/>
  <c r="G4329" i="158"/>
  <c r="G4745" i="158"/>
  <c r="G4777" i="158"/>
  <c r="G4809" i="158"/>
  <c r="G4841" i="158"/>
  <c r="G4873" i="158"/>
  <c r="G4905" i="158"/>
  <c r="G5033" i="158"/>
  <c r="G5065" i="158"/>
  <c r="G5097" i="158"/>
  <c r="G5129" i="158"/>
  <c r="G5161" i="158"/>
  <c r="G5449" i="158"/>
  <c r="G5481" i="158"/>
  <c r="G5513" i="158"/>
  <c r="G5545" i="158"/>
  <c r="G5577" i="158"/>
  <c r="G5609" i="158"/>
  <c r="G5641" i="158"/>
  <c r="G5673" i="158"/>
  <c r="G5737" i="158"/>
  <c r="G5769" i="158"/>
  <c r="G5801" i="158"/>
  <c r="G5833" i="158"/>
  <c r="G5865" i="158"/>
  <c r="G5897" i="158"/>
  <c r="G6217" i="158"/>
  <c r="G6249" i="158"/>
  <c r="G6281" i="158"/>
  <c r="G6313" i="158"/>
  <c r="G6345" i="158"/>
  <c r="G6377" i="158"/>
  <c r="G6409" i="158"/>
  <c r="G6441" i="158"/>
  <c r="G6457" i="158"/>
  <c r="G6489" i="158"/>
  <c r="G6521" i="158"/>
  <c r="G6553" i="158"/>
  <c r="F7145" i="158"/>
  <c r="F7337" i="158"/>
  <c r="G8425" i="158"/>
  <c r="G9017" i="158"/>
  <c r="G9161" i="158"/>
  <c r="G9193" i="158"/>
  <c r="G9785" i="158"/>
  <c r="G9801" i="158"/>
  <c r="G2658" i="158"/>
  <c r="G2664" i="158" s="1"/>
  <c r="G3891" i="158"/>
  <c r="G3897" i="158" s="1"/>
  <c r="G3899" i="158"/>
  <c r="G3913" i="158" s="1"/>
  <c r="G4211" i="158"/>
  <c r="G4217" i="158" s="1"/>
  <c r="G4281" i="158"/>
  <c r="F4313" i="158"/>
  <c r="G4307" i="158"/>
  <c r="G4313" i="158" s="1"/>
  <c r="G4361" i="158"/>
  <c r="G4457" i="158"/>
  <c r="G4521" i="158"/>
  <c r="G4617" i="158"/>
  <c r="G4681" i="158"/>
  <c r="G4729" i="158"/>
  <c r="G5171" i="158"/>
  <c r="G5177" i="158" s="1"/>
  <c r="G5419" i="158"/>
  <c r="G5433" i="158" s="1"/>
  <c r="G5515" i="158"/>
  <c r="G5529" i="158" s="1"/>
  <c r="G5611" i="158"/>
  <c r="G5625" i="158" s="1"/>
  <c r="G5704" i="158"/>
  <c r="G5705" i="158" s="1"/>
  <c r="G5907" i="158"/>
  <c r="G5913" i="158" s="1"/>
  <c r="G6579" i="158"/>
  <c r="G6585" i="158" s="1"/>
  <c r="G7193" i="158"/>
  <c r="F7241" i="158"/>
  <c r="G7257" i="158"/>
  <c r="G7321" i="158"/>
  <c r="G7385" i="158"/>
  <c r="G8435" i="158"/>
  <c r="G8441" i="158" s="1"/>
  <c r="G8443" i="158"/>
  <c r="G8457" i="158" s="1"/>
  <c r="AW38" i="161" l="1"/>
  <c r="AW42" i="161" s="1"/>
  <c r="R91" i="169"/>
  <c r="D36" i="168"/>
  <c r="H40" i="163"/>
  <c r="H39" i="163"/>
  <c r="H38" i="163"/>
  <c r="H37" i="163"/>
  <c r="H36" i="163"/>
  <c r="H35" i="163"/>
  <c r="H34" i="163"/>
  <c r="H33" i="163"/>
  <c r="H32" i="163"/>
  <c r="H31" i="163"/>
  <c r="H30" i="163"/>
  <c r="H29" i="163"/>
  <c r="H28" i="163"/>
  <c r="H27" i="163"/>
  <c r="H26" i="163"/>
  <c r="H25" i="163"/>
  <c r="H24" i="163"/>
  <c r="H23" i="163"/>
  <c r="H22" i="163"/>
  <c r="H21" i="163"/>
  <c r="H20" i="163"/>
  <c r="H19" i="163"/>
  <c r="H18" i="163"/>
  <c r="H17" i="163"/>
  <c r="H16" i="163"/>
  <c r="H15" i="163"/>
  <c r="H14" i="163"/>
  <c r="H13" i="163"/>
  <c r="H12" i="163"/>
  <c r="H11" i="163"/>
  <c r="H10" i="163"/>
  <c r="H9" i="163"/>
  <c r="H8" i="163"/>
  <c r="H7" i="163"/>
  <c r="H6" i="163"/>
  <c r="H5" i="163"/>
  <c r="H4" i="163"/>
  <c r="H3" i="163"/>
  <c r="CO42" i="161"/>
  <c r="CM42" i="161"/>
  <c r="CK42" i="161"/>
  <c r="CI42" i="161"/>
  <c r="CG42" i="161"/>
  <c r="CC42" i="161"/>
  <c r="CA42" i="161"/>
  <c r="BY42" i="161"/>
  <c r="BU42" i="161"/>
  <c r="BS42" i="161"/>
  <c r="BQ42" i="161"/>
  <c r="BO42" i="161"/>
  <c r="BM42" i="161"/>
  <c r="BI42" i="161"/>
  <c r="BG42" i="161"/>
  <c r="BE42" i="161"/>
  <c r="BA42" i="161"/>
  <c r="AY42" i="161"/>
  <c r="AU42" i="161"/>
  <c r="AS42" i="161"/>
  <c r="AQ42" i="161"/>
  <c r="AM42" i="161"/>
  <c r="AK42" i="161"/>
  <c r="AI42" i="161"/>
  <c r="AG42" i="161"/>
  <c r="AE42" i="161"/>
  <c r="AA42" i="161"/>
  <c r="Y42" i="161"/>
  <c r="U42" i="161"/>
  <c r="S42" i="161"/>
  <c r="Q42" i="161"/>
  <c r="M42" i="161"/>
  <c r="K42" i="161"/>
  <c r="I42" i="161"/>
  <c r="G42" i="161"/>
  <c r="E42" i="161"/>
  <c r="AO38" i="161"/>
  <c r="AO42" i="161" s="1"/>
  <c r="AC38" i="161"/>
  <c r="AC42" i="161" s="1"/>
  <c r="W38" i="161"/>
  <c r="W42" i="161" s="1"/>
  <c r="O38" i="161"/>
  <c r="O42" i="161" s="1"/>
  <c r="CO30" i="161"/>
  <c r="CK30" i="161"/>
  <c r="CI30" i="161"/>
  <c r="CG30" i="161"/>
  <c r="CC30" i="161"/>
  <c r="CA30" i="161"/>
  <c r="BY30" i="161"/>
  <c r="BU30" i="161"/>
  <c r="BS30" i="161"/>
  <c r="BQ30" i="161"/>
  <c r="BO30" i="161"/>
  <c r="BM30" i="161"/>
  <c r="BI30" i="161"/>
  <c r="BG30" i="161"/>
  <c r="BE30" i="161"/>
  <c r="BA30" i="161"/>
  <c r="AY30" i="161"/>
  <c r="AU30" i="161"/>
  <c r="AS30" i="161"/>
  <c r="AQ30" i="161"/>
  <c r="AM30" i="161"/>
  <c r="AK30" i="161"/>
  <c r="AI30" i="161"/>
  <c r="AG30" i="161"/>
  <c r="AE30" i="161"/>
  <c r="AC30" i="161"/>
  <c r="AA30" i="161"/>
  <c r="Y30" i="161"/>
  <c r="U30" i="161"/>
  <c r="S30" i="161"/>
  <c r="Q30" i="161"/>
  <c r="M30" i="161"/>
  <c r="K30" i="161"/>
  <c r="I30" i="161"/>
  <c r="G30" i="161"/>
  <c r="E30" i="161"/>
  <c r="CU26" i="161"/>
  <c r="CU23" i="161"/>
  <c r="CM23" i="161"/>
  <c r="CM30" i="161" s="1"/>
  <c r="CE23" i="161"/>
  <c r="BW23" i="161"/>
  <c r="AW23" i="161"/>
  <c r="AW30" i="161" s="1"/>
  <c r="AO23" i="161"/>
  <c r="AO30" i="161" s="1"/>
  <c r="W23" i="161"/>
  <c r="W30" i="161" s="1"/>
  <c r="O23" i="161"/>
  <c r="O30" i="161" s="1"/>
  <c r="CI14" i="161"/>
  <c r="CG14" i="161"/>
  <c r="CC14" i="161"/>
  <c r="CA14" i="161"/>
  <c r="BY14" i="161"/>
  <c r="BU14" i="161"/>
  <c r="BS14" i="161"/>
  <c r="BQ14" i="161"/>
  <c r="BI14" i="161"/>
  <c r="BG14" i="161"/>
  <c r="BA14" i="161"/>
  <c r="AY14" i="161"/>
  <c r="AW14" i="161"/>
  <c r="AS14" i="161"/>
  <c r="AQ14" i="161"/>
  <c r="AI14" i="161"/>
  <c r="AG14" i="161"/>
  <c r="AE14" i="161"/>
  <c r="AC14" i="161"/>
  <c r="AA14" i="161"/>
  <c r="Y14" i="161"/>
  <c r="U14" i="161"/>
  <c r="S14" i="161"/>
  <c r="Q14" i="161"/>
  <c r="M14" i="161"/>
  <c r="K14" i="161"/>
  <c r="I14" i="161"/>
  <c r="E14" i="161"/>
  <c r="BE11" i="161"/>
  <c r="BE14" i="161" s="1"/>
  <c r="BM9" i="161"/>
  <c r="AU9" i="161"/>
  <c r="AU14" i="161" s="1"/>
  <c r="AM9" i="161"/>
  <c r="AM14" i="161" s="1"/>
  <c r="AK9" i="161"/>
  <c r="CU8" i="161"/>
  <c r="CO7" i="161"/>
  <c r="CO14" i="161" s="1"/>
  <c r="CM7" i="161"/>
  <c r="CM14" i="161" s="1"/>
  <c r="CK7" i="161"/>
  <c r="CK14" i="161" s="1"/>
  <c r="BO7" i="161"/>
  <c r="BO14" i="161" s="1"/>
  <c r="BM7" i="161"/>
  <c r="BM14" i="161" s="1"/>
  <c r="AO7" i="161"/>
  <c r="AO14" i="161" s="1"/>
  <c r="AK7" i="161"/>
  <c r="AK14" i="161" s="1"/>
  <c r="W7" i="161"/>
  <c r="W14" i="161" s="1"/>
  <c r="O7" i="161"/>
  <c r="O14" i="161" s="1"/>
  <c r="G7" i="161"/>
  <c r="G14" i="161" s="1"/>
  <c r="F39" i="164"/>
  <c r="BZ38" i="164"/>
  <c r="N38" i="164"/>
  <c r="F38" i="164"/>
  <c r="BZ37" i="164"/>
  <c r="N37" i="164"/>
  <c r="F37" i="164"/>
  <c r="BZ36" i="164"/>
  <c r="V36" i="164"/>
  <c r="N36" i="164"/>
  <c r="F36" i="164"/>
  <c r="BZ35" i="164"/>
  <c r="BR35" i="164"/>
  <c r="V35" i="164"/>
  <c r="N35" i="164"/>
  <c r="F35" i="164"/>
  <c r="BZ34" i="164"/>
  <c r="BR34" i="164"/>
  <c r="AD34" i="164"/>
  <c r="V34" i="164"/>
  <c r="N34" i="164"/>
  <c r="F34" i="164"/>
  <c r="BZ33" i="164"/>
  <c r="BR33" i="164"/>
  <c r="BJ33" i="164"/>
  <c r="AD33" i="164"/>
  <c r="V33" i="164"/>
  <c r="N33" i="164"/>
  <c r="F33" i="164"/>
  <c r="BZ32" i="164"/>
  <c r="BR32" i="164"/>
  <c r="BJ32" i="164"/>
  <c r="AD32" i="164"/>
  <c r="V32" i="164"/>
  <c r="N32" i="164"/>
  <c r="F32" i="164"/>
  <c r="BZ31" i="164"/>
  <c r="BR31" i="164"/>
  <c r="BJ31" i="164"/>
  <c r="AD31" i="164"/>
  <c r="V31" i="164"/>
  <c r="N31" i="164"/>
  <c r="F31" i="164"/>
  <c r="BZ30" i="164"/>
  <c r="BR30" i="164"/>
  <c r="BJ30" i="164"/>
  <c r="AD30" i="164"/>
  <c r="V30" i="164"/>
  <c r="N30" i="164"/>
  <c r="F30" i="164"/>
  <c r="BZ29" i="164"/>
  <c r="BR29" i="164"/>
  <c r="BJ29" i="164"/>
  <c r="AD29" i="164"/>
  <c r="V29" i="164"/>
  <c r="N29" i="164"/>
  <c r="F29" i="164"/>
  <c r="BZ28" i="164"/>
  <c r="BR28" i="164"/>
  <c r="BJ28" i="164"/>
  <c r="AD28" i="164"/>
  <c r="V28" i="164"/>
  <c r="N28" i="164"/>
  <c r="F28" i="164"/>
  <c r="BZ27" i="164"/>
  <c r="BR27" i="164"/>
  <c r="BJ27" i="164"/>
  <c r="AD27" i="164"/>
  <c r="V27" i="164"/>
  <c r="N27" i="164"/>
  <c r="F27" i="164"/>
  <c r="BZ26" i="164"/>
  <c r="BR26" i="164"/>
  <c r="BJ26" i="164"/>
  <c r="AD26" i="164"/>
  <c r="V26" i="164"/>
  <c r="N26" i="164"/>
  <c r="F26" i="164"/>
  <c r="BZ25" i="164"/>
  <c r="BR25" i="164"/>
  <c r="BJ25" i="164"/>
  <c r="AD25" i="164"/>
  <c r="V25" i="164"/>
  <c r="N25" i="164"/>
  <c r="F25" i="164"/>
  <c r="BZ24" i="164"/>
  <c r="BR24" i="164"/>
  <c r="BJ24" i="164"/>
  <c r="AD24" i="164"/>
  <c r="V24" i="164"/>
  <c r="N24" i="164"/>
  <c r="F24" i="164"/>
  <c r="BZ23" i="164"/>
  <c r="BR23" i="164"/>
  <c r="BJ23" i="164"/>
  <c r="BB23" i="164"/>
  <c r="AL23" i="164"/>
  <c r="AD23" i="164"/>
  <c r="V23" i="164"/>
  <c r="N23" i="164"/>
  <c r="F23" i="164"/>
  <c r="BZ22" i="164"/>
  <c r="BR22" i="164"/>
  <c r="BJ22" i="164"/>
  <c r="BB22" i="164"/>
  <c r="AL22" i="164"/>
  <c r="AD22" i="164"/>
  <c r="V22" i="164"/>
  <c r="N22" i="164"/>
  <c r="F22" i="164"/>
  <c r="BZ21" i="164"/>
  <c r="BR21" i="164"/>
  <c r="BJ21" i="164"/>
  <c r="BB21" i="164"/>
  <c r="AT21" i="164"/>
  <c r="AL21" i="164"/>
  <c r="AD21" i="164"/>
  <c r="V21" i="164"/>
  <c r="N21" i="164"/>
  <c r="F21" i="164"/>
  <c r="CH20" i="164"/>
  <c r="BZ20" i="164"/>
  <c r="BR20" i="164"/>
  <c r="BJ20" i="164"/>
  <c r="BB20" i="164"/>
  <c r="AT20" i="164"/>
  <c r="AL20" i="164"/>
  <c r="AD20" i="164"/>
  <c r="V20" i="164"/>
  <c r="N20" i="164"/>
  <c r="F20" i="164"/>
  <c r="CH19" i="164"/>
  <c r="BZ19" i="164"/>
  <c r="BR19" i="164"/>
  <c r="BJ19" i="164"/>
  <c r="BB19" i="164"/>
  <c r="AT19" i="164"/>
  <c r="AL19" i="164"/>
  <c r="AD19" i="164"/>
  <c r="V19" i="164"/>
  <c r="N19" i="164"/>
  <c r="F19" i="164"/>
  <c r="CH18" i="164"/>
  <c r="BZ18" i="164"/>
  <c r="BR18" i="164"/>
  <c r="BJ18" i="164"/>
  <c r="BB18" i="164"/>
  <c r="AT18" i="164"/>
  <c r="AL18" i="164"/>
  <c r="AD18" i="164"/>
  <c r="V18" i="164"/>
  <c r="N18" i="164"/>
  <c r="F18" i="164"/>
  <c r="CH17" i="164"/>
  <c r="BZ17" i="164"/>
  <c r="BR17" i="164"/>
  <c r="BJ17" i="164"/>
  <c r="BB17" i="164"/>
  <c r="AT17" i="164"/>
  <c r="AL17" i="164"/>
  <c r="AD17" i="164"/>
  <c r="V17" i="164"/>
  <c r="N17" i="164"/>
  <c r="F17" i="164"/>
  <c r="CH16" i="164"/>
  <c r="BZ16" i="164"/>
  <c r="BR16" i="164"/>
  <c r="BJ16" i="164"/>
  <c r="BB16" i="164"/>
  <c r="AT16" i="164"/>
  <c r="AL16" i="164"/>
  <c r="AD16" i="164"/>
  <c r="V16" i="164"/>
  <c r="N16" i="164"/>
  <c r="F16" i="164"/>
  <c r="CH15" i="164"/>
  <c r="BZ15" i="164"/>
  <c r="BR15" i="164"/>
  <c r="BJ15" i="164"/>
  <c r="BB15" i="164"/>
  <c r="AT15" i="164"/>
  <c r="AL15" i="164"/>
  <c r="AD15" i="164"/>
  <c r="V15" i="164"/>
  <c r="N15" i="164"/>
  <c r="F15" i="164"/>
  <c r="CH14" i="164"/>
  <c r="BZ14" i="164"/>
  <c r="BR14" i="164"/>
  <c r="BJ14" i="164"/>
  <c r="BB14" i="164"/>
  <c r="AT14" i="164"/>
  <c r="AL14" i="164"/>
  <c r="AD14" i="164"/>
  <c r="V14" i="164"/>
  <c r="N14" i="164"/>
  <c r="F14" i="164"/>
  <c r="CH13" i="164"/>
  <c r="BZ13" i="164"/>
  <c r="BR13" i="164"/>
  <c r="BJ13" i="164"/>
  <c r="BB13" i="164"/>
  <c r="AT13" i="164"/>
  <c r="AL13" i="164"/>
  <c r="AD13" i="164"/>
  <c r="V13" i="164"/>
  <c r="N13" i="164"/>
  <c r="F13" i="164"/>
  <c r="CH12" i="164"/>
  <c r="BZ12" i="164"/>
  <c r="BR12" i="164"/>
  <c r="BJ12" i="164"/>
  <c r="BB12" i="164"/>
  <c r="AT12" i="164"/>
  <c r="AL12" i="164"/>
  <c r="AD12" i="164"/>
  <c r="V12" i="164"/>
  <c r="N12" i="164"/>
  <c r="F12" i="164"/>
  <c r="CH11" i="164"/>
  <c r="BZ11" i="164"/>
  <c r="BR11" i="164"/>
  <c r="BJ11" i="164"/>
  <c r="BB11" i="164"/>
  <c r="AT11" i="164"/>
  <c r="AL11" i="164"/>
  <c r="AD11" i="164"/>
  <c r="V11" i="164"/>
  <c r="N11" i="164"/>
  <c r="F11" i="164"/>
  <c r="CH10" i="164"/>
  <c r="BZ10" i="164"/>
  <c r="BR10" i="164"/>
  <c r="BJ10" i="164"/>
  <c r="BB10" i="164"/>
  <c r="AT10" i="164"/>
  <c r="AL10" i="164"/>
  <c r="AD10" i="164"/>
  <c r="V10" i="164"/>
  <c r="N10" i="164"/>
  <c r="F10" i="164"/>
  <c r="CH9" i="164"/>
  <c r="BZ9" i="164"/>
  <c r="BR9" i="164"/>
  <c r="BJ9" i="164"/>
  <c r="BB9" i="164"/>
  <c r="AT9" i="164"/>
  <c r="AL9" i="164"/>
  <c r="AD9" i="164"/>
  <c r="V9" i="164"/>
  <c r="N9" i="164"/>
  <c r="F9" i="164"/>
  <c r="CH8" i="164"/>
  <c r="BZ8" i="164"/>
  <c r="BR8" i="164"/>
  <c r="BJ8" i="164"/>
  <c r="BB8" i="164"/>
  <c r="AT8" i="164"/>
  <c r="AL8" i="164"/>
  <c r="AD8" i="164"/>
  <c r="V8" i="164"/>
  <c r="N8" i="164"/>
  <c r="F8" i="164"/>
  <c r="CH7" i="164"/>
  <c r="BZ7" i="164"/>
  <c r="BR7" i="164"/>
  <c r="BB7" i="164"/>
  <c r="AT7" i="164"/>
  <c r="AL7" i="164"/>
  <c r="AD7" i="164"/>
  <c r="V7" i="164"/>
  <c r="N7" i="164"/>
  <c r="F7" i="164"/>
  <c r="CH93" i="156"/>
  <c r="CA93" i="156"/>
  <c r="BT93" i="156"/>
  <c r="BM93" i="156"/>
  <c r="BF93" i="156"/>
  <c r="AY93" i="156"/>
  <c r="AR93" i="156"/>
  <c r="AK93" i="156"/>
  <c r="AD93" i="156"/>
  <c r="W93" i="156"/>
  <c r="P93" i="156"/>
  <c r="I93" i="156"/>
  <c r="CH91" i="156"/>
  <c r="CA91" i="156"/>
  <c r="BT91" i="156"/>
  <c r="BM91" i="156"/>
  <c r="BF91" i="156"/>
  <c r="AY91" i="156"/>
  <c r="AR91" i="156"/>
  <c r="AK91" i="156"/>
  <c r="AD91" i="156"/>
  <c r="W91" i="156"/>
  <c r="P91" i="156"/>
  <c r="I91" i="156"/>
  <c r="CH89" i="156"/>
  <c r="CA89" i="156"/>
  <c r="BT89" i="156"/>
  <c r="BM89" i="156"/>
  <c r="BF89" i="156"/>
  <c r="AY89" i="156"/>
  <c r="AR89" i="156"/>
  <c r="AK89" i="156"/>
  <c r="AD89" i="156"/>
  <c r="W89" i="156"/>
  <c r="P89" i="156"/>
  <c r="I89" i="156"/>
  <c r="CH87" i="156"/>
  <c r="CA87" i="156"/>
  <c r="BT87" i="156"/>
  <c r="BM87" i="156"/>
  <c r="BF87" i="156"/>
  <c r="AY87" i="156"/>
  <c r="AR87" i="156"/>
  <c r="AK87" i="156"/>
  <c r="AD87" i="156"/>
  <c r="W87" i="156"/>
  <c r="P87" i="156"/>
  <c r="I87" i="156"/>
  <c r="CH85" i="156"/>
  <c r="CA85" i="156"/>
  <c r="BT85" i="156"/>
  <c r="BM85" i="156"/>
  <c r="BF85" i="156"/>
  <c r="AY85" i="156"/>
  <c r="AR85" i="156"/>
  <c r="AK85" i="156"/>
  <c r="AD85" i="156"/>
  <c r="W85" i="156"/>
  <c r="P85" i="156"/>
  <c r="I85" i="156"/>
  <c r="CH83" i="156"/>
  <c r="CA83" i="156"/>
  <c r="BT83" i="156"/>
  <c r="BM83" i="156"/>
  <c r="BF83" i="156"/>
  <c r="AY83" i="156"/>
  <c r="AR83" i="156"/>
  <c r="AK83" i="156"/>
  <c r="AD83" i="156"/>
  <c r="W83" i="156"/>
  <c r="P83" i="156"/>
  <c r="I83" i="156"/>
  <c r="CH81" i="156"/>
  <c r="CA81" i="156"/>
  <c r="BT81" i="156"/>
  <c r="BM81" i="156"/>
  <c r="BF81" i="156"/>
  <c r="AY81" i="156"/>
  <c r="AR81" i="156"/>
  <c r="AK81" i="156"/>
  <c r="AD81" i="156"/>
  <c r="W81" i="156"/>
  <c r="P81" i="156"/>
  <c r="I81" i="156"/>
  <c r="CH79" i="156"/>
  <c r="CA79" i="156"/>
  <c r="BT79" i="156"/>
  <c r="BM79" i="156"/>
  <c r="BF79" i="156"/>
  <c r="AY79" i="156"/>
  <c r="AR79" i="156"/>
  <c r="AK79" i="156"/>
  <c r="AD79" i="156"/>
  <c r="W79" i="156"/>
  <c r="P79" i="156"/>
  <c r="I79" i="156"/>
  <c r="CH77" i="156"/>
  <c r="CA77" i="156"/>
  <c r="BT77" i="156"/>
  <c r="BM77" i="156"/>
  <c r="BF77" i="156"/>
  <c r="AY77" i="156"/>
  <c r="AR77" i="156"/>
  <c r="AK77" i="156"/>
  <c r="AD77" i="156"/>
  <c r="W77" i="156"/>
  <c r="P77" i="156"/>
  <c r="I77" i="156"/>
  <c r="CH75" i="156"/>
  <c r="CA75" i="156"/>
  <c r="BT75" i="156"/>
  <c r="BM75" i="156"/>
  <c r="BF75" i="156"/>
  <c r="AY75" i="156"/>
  <c r="AR75" i="156"/>
  <c r="AK75" i="156"/>
  <c r="AD75" i="156"/>
  <c r="W75" i="156"/>
  <c r="P75" i="156"/>
  <c r="I75" i="156"/>
  <c r="CH73" i="156"/>
  <c r="CA73" i="156"/>
  <c r="BT73" i="156"/>
  <c r="BM73" i="156"/>
  <c r="BF73" i="156"/>
  <c r="AY73" i="156"/>
  <c r="AR73" i="156"/>
  <c r="AK73" i="156"/>
  <c r="AD73" i="156"/>
  <c r="W73" i="156"/>
  <c r="P73" i="156"/>
  <c r="I73" i="156"/>
  <c r="CH71" i="156"/>
  <c r="CA71" i="156"/>
  <c r="BT71" i="156"/>
  <c r="BM71" i="156"/>
  <c r="BF71" i="156"/>
  <c r="AY71" i="156"/>
  <c r="AR71" i="156"/>
  <c r="AK71" i="156"/>
  <c r="AD71" i="156"/>
  <c r="W71" i="156"/>
  <c r="P71" i="156"/>
  <c r="I71" i="156"/>
  <c r="CH63" i="156"/>
  <c r="CA63" i="156"/>
  <c r="BT63" i="156"/>
  <c r="BM63" i="156"/>
  <c r="BF63" i="156"/>
  <c r="AY63" i="156"/>
  <c r="AR63" i="156"/>
  <c r="AK63" i="156"/>
  <c r="AD63" i="156"/>
  <c r="W63" i="156"/>
  <c r="P63" i="156"/>
  <c r="I63" i="156"/>
  <c r="CH61" i="156"/>
  <c r="CA61" i="156"/>
  <c r="BT61" i="156"/>
  <c r="BM61" i="156"/>
  <c r="BF61" i="156"/>
  <c r="AY61" i="156"/>
  <c r="AR61" i="156"/>
  <c r="AK61" i="156"/>
  <c r="AD61" i="156"/>
  <c r="W61" i="156"/>
  <c r="P61" i="156"/>
  <c r="I61" i="156"/>
  <c r="CH59" i="156"/>
  <c r="CA59" i="156"/>
  <c r="BT59" i="156"/>
  <c r="BM59" i="156"/>
  <c r="BF59" i="156"/>
  <c r="AY59" i="156"/>
  <c r="AR59" i="156"/>
  <c r="AK59" i="156"/>
  <c r="AD59" i="156"/>
  <c r="W59" i="156"/>
  <c r="P59" i="156"/>
  <c r="I59" i="156"/>
  <c r="CH57" i="156"/>
  <c r="CA57" i="156"/>
  <c r="BT57" i="156"/>
  <c r="BM57" i="156"/>
  <c r="BF57" i="156"/>
  <c r="AY57" i="156"/>
  <c r="AR57" i="156"/>
  <c r="AK57" i="156"/>
  <c r="AD57" i="156"/>
  <c r="W57" i="156"/>
  <c r="P57" i="156"/>
  <c r="I57" i="156"/>
  <c r="CH55" i="156"/>
  <c r="CA55" i="156"/>
  <c r="BT55" i="156"/>
  <c r="BM55" i="156"/>
  <c r="BF55" i="156"/>
  <c r="AY55" i="156"/>
  <c r="AR55" i="156"/>
  <c r="AK55" i="156"/>
  <c r="AD55" i="156"/>
  <c r="W55" i="156"/>
  <c r="P55" i="156"/>
  <c r="I55" i="156"/>
  <c r="CH53" i="156"/>
  <c r="CA53" i="156"/>
  <c r="BT53" i="156"/>
  <c r="BM53" i="156"/>
  <c r="BF53" i="156"/>
  <c r="AY53" i="156"/>
  <c r="AR53" i="156"/>
  <c r="AK53" i="156"/>
  <c r="AD53" i="156"/>
  <c r="W53" i="156"/>
  <c r="P53" i="156"/>
  <c r="I53" i="156"/>
  <c r="CH51" i="156"/>
  <c r="CA51" i="156"/>
  <c r="BT51" i="156"/>
  <c r="BM51" i="156"/>
  <c r="BF51" i="156"/>
  <c r="AY51" i="156"/>
  <c r="AR51" i="156"/>
  <c r="AK51" i="156"/>
  <c r="AD51" i="156"/>
  <c r="W51" i="156"/>
  <c r="P51" i="156"/>
  <c r="I51" i="156"/>
  <c r="CH49" i="156"/>
  <c r="CA49" i="156"/>
  <c r="BT49" i="156"/>
  <c r="BM49" i="156"/>
  <c r="BF49" i="156"/>
  <c r="AY49" i="156"/>
  <c r="AR49" i="156"/>
  <c r="AK49" i="156"/>
  <c r="AD49" i="156"/>
  <c r="W49" i="156"/>
  <c r="P49" i="156"/>
  <c r="I49" i="156"/>
  <c r="CH47" i="156"/>
  <c r="CA47" i="156"/>
  <c r="BT47" i="156"/>
  <c r="BM47" i="156"/>
  <c r="BF47" i="156"/>
  <c r="AY47" i="156"/>
  <c r="AR47" i="156"/>
  <c r="AK47" i="156"/>
  <c r="AD47" i="156"/>
  <c r="W47" i="156"/>
  <c r="P47" i="156"/>
  <c r="I47" i="156"/>
  <c r="CH45" i="156"/>
  <c r="CA45" i="156"/>
  <c r="BT45" i="156"/>
  <c r="BM45" i="156"/>
  <c r="BF45" i="156"/>
  <c r="AY45" i="156"/>
  <c r="AR45" i="156"/>
  <c r="AK45" i="156"/>
  <c r="AD45" i="156"/>
  <c r="W45" i="156"/>
  <c r="P45" i="156"/>
  <c r="I45" i="156"/>
  <c r="CH43" i="156"/>
  <c r="CA43" i="156"/>
  <c r="BT43" i="156"/>
  <c r="BM43" i="156"/>
  <c r="BF43" i="156"/>
  <c r="AY43" i="156"/>
  <c r="AR43" i="156"/>
  <c r="AK43" i="156"/>
  <c r="AD43" i="156"/>
  <c r="W43" i="156"/>
  <c r="P43" i="156"/>
  <c r="I43" i="156"/>
  <c r="CH41" i="156"/>
  <c r="CA41" i="156"/>
  <c r="BT41" i="156"/>
  <c r="BM41" i="156"/>
  <c r="BF41" i="156"/>
  <c r="AY41" i="156"/>
  <c r="AR41" i="156"/>
  <c r="AK41" i="156"/>
  <c r="AD41" i="156"/>
  <c r="W41" i="156"/>
  <c r="P41" i="156"/>
  <c r="I41" i="156"/>
  <c r="CH31" i="156"/>
  <c r="CA31" i="156"/>
  <c r="BT31" i="156"/>
  <c r="BM31" i="156"/>
  <c r="BF31" i="156"/>
  <c r="AY31" i="156"/>
  <c r="AR31" i="156"/>
  <c r="AK31" i="156"/>
  <c r="AD31" i="156"/>
  <c r="W31" i="156"/>
  <c r="P31" i="156"/>
  <c r="I31" i="156"/>
  <c r="CH29" i="156"/>
  <c r="CA29" i="156"/>
  <c r="BT29" i="156"/>
  <c r="BM29" i="156"/>
  <c r="BF29" i="156"/>
  <c r="AY29" i="156"/>
  <c r="AR29" i="156"/>
  <c r="AK29" i="156"/>
  <c r="AD29" i="156"/>
  <c r="W29" i="156"/>
  <c r="P29" i="156"/>
  <c r="I29" i="156"/>
  <c r="CH27" i="156"/>
  <c r="CA27" i="156"/>
  <c r="BT27" i="156"/>
  <c r="BM27" i="156"/>
  <c r="BF27" i="156"/>
  <c r="AY27" i="156"/>
  <c r="AR27" i="156"/>
  <c r="AK27" i="156"/>
  <c r="AD27" i="156"/>
  <c r="W27" i="156"/>
  <c r="P27" i="156"/>
  <c r="I27" i="156"/>
  <c r="CH25" i="156"/>
  <c r="CA25" i="156"/>
  <c r="BT25" i="156"/>
  <c r="BM25" i="156"/>
  <c r="BF25" i="156"/>
  <c r="AY25" i="156"/>
  <c r="AR25" i="156"/>
  <c r="AK25" i="156"/>
  <c r="AD25" i="156"/>
  <c r="W25" i="156"/>
  <c r="P25" i="156"/>
  <c r="I25" i="156"/>
  <c r="CH23" i="156"/>
  <c r="CA23" i="156"/>
  <c r="BT23" i="156"/>
  <c r="BM23" i="156"/>
  <c r="BF23" i="156"/>
  <c r="AY23" i="156"/>
  <c r="AR23" i="156"/>
  <c r="AK23" i="156"/>
  <c r="AD23" i="156"/>
  <c r="W23" i="156"/>
  <c r="P23" i="156"/>
  <c r="I23" i="156"/>
  <c r="CH21" i="156"/>
  <c r="CA21" i="156"/>
  <c r="BT21" i="156"/>
  <c r="BM21" i="156"/>
  <c r="BF21" i="156"/>
  <c r="AY21" i="156"/>
  <c r="AR21" i="156"/>
  <c r="AK21" i="156"/>
  <c r="AD21" i="156"/>
  <c r="W21" i="156"/>
  <c r="P21" i="156"/>
  <c r="I21" i="156"/>
  <c r="CH19" i="156"/>
  <c r="CA19" i="156"/>
  <c r="BT19" i="156"/>
  <c r="BM19" i="156"/>
  <c r="BF19" i="156"/>
  <c r="AY19" i="156"/>
  <c r="AR19" i="156"/>
  <c r="AK19" i="156"/>
  <c r="AD19" i="156"/>
  <c r="W19" i="156"/>
  <c r="P19" i="156"/>
  <c r="I19" i="156"/>
  <c r="CH17" i="156"/>
  <c r="CA17" i="156"/>
  <c r="BT17" i="156"/>
  <c r="BM17" i="156"/>
  <c r="BF17" i="156"/>
  <c r="AY17" i="156"/>
  <c r="AR17" i="156"/>
  <c r="AK17" i="156"/>
  <c r="AD17" i="156"/>
  <c r="W17" i="156"/>
  <c r="P17" i="156"/>
  <c r="I17" i="156"/>
  <c r="CH15" i="156"/>
  <c r="CA15" i="156"/>
  <c r="BT15" i="156"/>
  <c r="BM15" i="156"/>
  <c r="BF15" i="156"/>
  <c r="AY15" i="156"/>
  <c r="AR15" i="156"/>
  <c r="AK15" i="156"/>
  <c r="AD15" i="156"/>
  <c r="W15" i="156"/>
  <c r="P15" i="156"/>
  <c r="I15" i="156"/>
  <c r="CH13" i="156"/>
  <c r="CA13" i="156"/>
  <c r="BT13" i="156"/>
  <c r="BM13" i="156"/>
  <c r="BF13" i="156"/>
  <c r="AY13" i="156"/>
  <c r="AR13" i="156"/>
  <c r="AK13" i="156"/>
  <c r="AD13" i="156"/>
  <c r="W13" i="156"/>
  <c r="P13" i="156"/>
  <c r="I13" i="156"/>
  <c r="CH11" i="156"/>
  <c r="CA11" i="156"/>
  <c r="BT11" i="156"/>
  <c r="BM11" i="156"/>
  <c r="BF11" i="156"/>
  <c r="AY11" i="156"/>
  <c r="AR11" i="156"/>
  <c r="AK11" i="156"/>
  <c r="AD11" i="156"/>
  <c r="W11" i="156"/>
  <c r="P11" i="156"/>
  <c r="I11" i="156"/>
  <c r="CH9" i="156"/>
  <c r="CA9" i="156"/>
  <c r="BT9" i="156"/>
  <c r="BM9" i="156"/>
  <c r="BF9" i="156"/>
  <c r="AY9" i="156"/>
  <c r="AR9" i="156"/>
  <c r="AK9" i="156"/>
  <c r="AD9" i="156"/>
  <c r="W9" i="156"/>
  <c r="P9" i="156"/>
  <c r="I9" i="156"/>
  <c r="CH7" i="156"/>
  <c r="CA7" i="156"/>
  <c r="BT7" i="156"/>
  <c r="BM7" i="156"/>
  <c r="BF7" i="156"/>
  <c r="AY7" i="156"/>
  <c r="AR7" i="156"/>
  <c r="AK7" i="156"/>
  <c r="AD7" i="156"/>
  <c r="W7" i="156"/>
  <c r="P7" i="156"/>
  <c r="I7" i="156"/>
  <c r="E110" i="165"/>
  <c r="V89" i="165"/>
  <c r="Z86" i="165"/>
  <c r="AB85" i="165"/>
  <c r="Z85" i="165"/>
  <c r="AB84" i="165"/>
  <c r="Z84" i="165"/>
  <c r="N84" i="165"/>
  <c r="L84" i="165"/>
  <c r="J84" i="165"/>
  <c r="H84" i="165"/>
  <c r="F84" i="165"/>
  <c r="H74" i="165"/>
  <c r="F42" i="165"/>
  <c r="H40" i="165"/>
  <c r="F38" i="165"/>
  <c r="H37" i="165"/>
  <c r="F37" i="165"/>
  <c r="H36" i="165"/>
  <c r="F36" i="165"/>
  <c r="H35" i="165"/>
  <c r="F35" i="165"/>
  <c r="H10" i="165"/>
  <c r="F10" i="165"/>
  <c r="H8" i="165"/>
  <c r="R5" i="165"/>
  <c r="E118" i="169"/>
  <c r="J104" i="169"/>
  <c r="L95" i="169"/>
  <c r="P92" i="169"/>
  <c r="N92" i="169"/>
  <c r="L92" i="169"/>
  <c r="J92" i="169"/>
  <c r="H92" i="169"/>
  <c r="F92" i="169"/>
  <c r="P91" i="169"/>
  <c r="N91" i="169"/>
  <c r="L91" i="169"/>
  <c r="J91" i="169"/>
  <c r="H91" i="169"/>
  <c r="F91" i="169"/>
  <c r="P90" i="169"/>
  <c r="N90" i="169"/>
  <c r="L90" i="169"/>
  <c r="J90" i="169"/>
  <c r="H90" i="169"/>
  <c r="F90" i="169"/>
  <c r="H88" i="169"/>
  <c r="F59" i="169"/>
  <c r="F58" i="169"/>
  <c r="F44" i="169"/>
  <c r="F41" i="169"/>
  <c r="F40" i="169"/>
  <c r="F39" i="169"/>
  <c r="N28" i="169"/>
  <c r="F15" i="169"/>
  <c r="J112" i="135" l="1"/>
  <c r="S27" i="115" l="1"/>
  <c r="N9" i="78" l="1"/>
  <c r="F32" i="115"/>
  <c r="F20" i="76"/>
  <c r="F13" i="78"/>
  <c r="P9" i="78" l="1"/>
  <c r="J9" i="78"/>
  <c r="D105" i="128" l="1"/>
  <c r="F14" i="78" l="1"/>
  <c r="F72" i="15" l="1"/>
  <c r="W75" i="15" l="1"/>
  <c r="X68" i="15" l="1"/>
  <c r="D64" i="128" l="1"/>
  <c r="D60" i="128"/>
  <c r="D56" i="128"/>
  <c r="D52" i="128"/>
  <c r="D48" i="128"/>
  <c r="D44" i="128"/>
  <c r="D40" i="128"/>
  <c r="D36" i="128"/>
  <c r="D32" i="128"/>
  <c r="D28" i="128"/>
  <c r="D24" i="128"/>
  <c r="D20" i="128"/>
  <c r="D16" i="128"/>
  <c r="D12" i="128"/>
  <c r="C20" i="134" l="1"/>
  <c r="E64" i="128"/>
  <c r="F64" i="128"/>
  <c r="G64" i="128"/>
  <c r="H64" i="128"/>
  <c r="I64" i="128"/>
  <c r="J64" i="128"/>
  <c r="K64" i="128"/>
  <c r="L64" i="128"/>
  <c r="M64" i="128"/>
  <c r="N64" i="128"/>
  <c r="O64" i="128"/>
  <c r="P64" i="128"/>
  <c r="Q64" i="128"/>
  <c r="R64" i="128"/>
  <c r="S64" i="128"/>
  <c r="T64" i="128"/>
  <c r="U64" i="128"/>
  <c r="V64" i="128"/>
  <c r="W64" i="128"/>
  <c r="X64" i="128"/>
  <c r="Y64" i="128"/>
  <c r="Z64" i="128"/>
  <c r="AA64" i="128"/>
  <c r="AB64" i="128"/>
  <c r="AC64" i="128"/>
  <c r="AD64" i="128"/>
  <c r="AE64" i="128"/>
  <c r="AF64" i="128"/>
  <c r="AG64" i="128"/>
  <c r="AH64" i="128"/>
  <c r="AI64" i="128"/>
  <c r="AJ64" i="128"/>
  <c r="AK64" i="128"/>
  <c r="AL64" i="128"/>
  <c r="E38" i="167" l="1"/>
  <c r="C38" i="167"/>
  <c r="E19" i="167"/>
  <c r="C19" i="167"/>
  <c r="H183" i="135" l="1"/>
  <c r="AL171" i="135"/>
  <c r="AK168" i="135"/>
  <c r="AJ168" i="135"/>
  <c r="AH168" i="135"/>
  <c r="AD168" i="135"/>
  <c r="AC168" i="135"/>
  <c r="AA168" i="135"/>
  <c r="W168" i="135"/>
  <c r="V168" i="135"/>
  <c r="T168" i="135"/>
  <c r="S168" i="135"/>
  <c r="P168" i="135"/>
  <c r="O168" i="135"/>
  <c r="K168" i="135"/>
  <c r="I168" i="135"/>
  <c r="H168" i="135"/>
  <c r="AE168" i="135"/>
  <c r="AL167" i="135"/>
  <c r="AL166" i="135"/>
  <c r="AL164" i="135"/>
  <c r="AL163" i="135"/>
  <c r="AL162" i="135"/>
  <c r="M168" i="135"/>
  <c r="J168" i="135"/>
  <c r="E168" i="135"/>
  <c r="AL161" i="135"/>
  <c r="AI168" i="135"/>
  <c r="AL159" i="135"/>
  <c r="AL158" i="135"/>
  <c r="AL157" i="135"/>
  <c r="AL156" i="135"/>
  <c r="AL155" i="135"/>
  <c r="AL154" i="135"/>
  <c r="L168" i="135"/>
  <c r="AL153" i="135"/>
  <c r="AL152" i="135"/>
  <c r="AL151" i="135"/>
  <c r="AL150" i="135"/>
  <c r="AL149" i="135"/>
  <c r="AL148" i="135"/>
  <c r="X168" i="135"/>
  <c r="AL147" i="135"/>
  <c r="R168" i="135"/>
  <c r="AL146" i="135"/>
  <c r="F168" i="135"/>
  <c r="AL145" i="135"/>
  <c r="Y168" i="135"/>
  <c r="AL144" i="135"/>
  <c r="AL143" i="135"/>
  <c r="AL142" i="135"/>
  <c r="AL141" i="135"/>
  <c r="AB168" i="135"/>
  <c r="AL140" i="135"/>
  <c r="Q168" i="135"/>
  <c r="AL139" i="135"/>
  <c r="AL138" i="135"/>
  <c r="AL137" i="135"/>
  <c r="AL136" i="135"/>
  <c r="AL135" i="135"/>
  <c r="AL134" i="135"/>
  <c r="AL133" i="135"/>
  <c r="AL132" i="135"/>
  <c r="AL131" i="135"/>
  <c r="AL130" i="135"/>
  <c r="AL129" i="135"/>
  <c r="AL128" i="135"/>
  <c r="AL127" i="135"/>
  <c r="AL126" i="135"/>
  <c r="AL125" i="135"/>
  <c r="AL124" i="135"/>
  <c r="AL123" i="135"/>
  <c r="N168" i="135"/>
  <c r="AL122" i="135"/>
  <c r="AL121" i="135"/>
  <c r="AG168" i="135"/>
  <c r="U168" i="135"/>
  <c r="G168" i="135"/>
  <c r="D168" i="135"/>
  <c r="C168" i="135"/>
  <c r="AL119" i="135"/>
  <c r="AL118" i="135"/>
  <c r="AK112" i="135"/>
  <c r="AJ112" i="135"/>
  <c r="AH112" i="135"/>
  <c r="AF112" i="135"/>
  <c r="AD112" i="135"/>
  <c r="AC112" i="135"/>
  <c r="AB112" i="135"/>
  <c r="AA112" i="135"/>
  <c r="Z112" i="135"/>
  <c r="W112" i="135"/>
  <c r="V112" i="135"/>
  <c r="U112" i="135"/>
  <c r="T112" i="135"/>
  <c r="S112" i="135"/>
  <c r="R112" i="135"/>
  <c r="P112" i="135"/>
  <c r="O112" i="135"/>
  <c r="L112" i="135"/>
  <c r="K112" i="135"/>
  <c r="I112" i="135"/>
  <c r="H112" i="135"/>
  <c r="G112" i="135"/>
  <c r="E112" i="135"/>
  <c r="D112" i="135"/>
  <c r="AL111" i="135"/>
  <c r="Y112" i="135"/>
  <c r="M112" i="135"/>
  <c r="AL110" i="135"/>
  <c r="AI112" i="135"/>
  <c r="AL109" i="135"/>
  <c r="F112" i="135"/>
  <c r="AL107" i="135"/>
  <c r="N112" i="135"/>
  <c r="AL106" i="135"/>
  <c r="AL105" i="135"/>
  <c r="AE112" i="135"/>
  <c r="AL104" i="135"/>
  <c r="AL103" i="135"/>
  <c r="AG112" i="135"/>
  <c r="AL102" i="135"/>
  <c r="AL101" i="135"/>
  <c r="X112" i="135"/>
  <c r="Q112" i="135"/>
  <c r="AL100" i="135"/>
  <c r="AK93" i="135"/>
  <c r="AJ93" i="135"/>
  <c r="AH93" i="135"/>
  <c r="AG93" i="135"/>
  <c r="AF93" i="135"/>
  <c r="AE93" i="135"/>
  <c r="AD93" i="135"/>
  <c r="AC93" i="135"/>
  <c r="AB93" i="135"/>
  <c r="AA93" i="135"/>
  <c r="Z93" i="135"/>
  <c r="Y93" i="135"/>
  <c r="W93" i="135"/>
  <c r="V93" i="135"/>
  <c r="U93" i="135"/>
  <c r="T93" i="135"/>
  <c r="S93" i="135"/>
  <c r="R93" i="135"/>
  <c r="P93" i="135"/>
  <c r="O93" i="135"/>
  <c r="N93" i="135"/>
  <c r="M93" i="135"/>
  <c r="L93" i="135"/>
  <c r="K93" i="135"/>
  <c r="I93" i="135"/>
  <c r="H93" i="135"/>
  <c r="F93" i="135"/>
  <c r="D93" i="135"/>
  <c r="C93" i="135"/>
  <c r="AI93" i="135"/>
  <c r="G93" i="135"/>
  <c r="AL91" i="135"/>
  <c r="X93" i="135"/>
  <c r="AL90" i="135"/>
  <c r="AL89" i="135"/>
  <c r="AL88" i="135"/>
  <c r="AL87" i="135"/>
  <c r="AL86" i="135"/>
  <c r="Q93" i="135"/>
  <c r="AL85" i="135"/>
  <c r="J93" i="135"/>
  <c r="E93" i="135"/>
  <c r="AL83" i="135"/>
  <c r="AL82" i="135"/>
  <c r="AL81" i="135"/>
  <c r="AL80" i="135"/>
  <c r="AK73" i="135"/>
  <c r="AJ73" i="135"/>
  <c r="AI73" i="135"/>
  <c r="AH73" i="135"/>
  <c r="AG73" i="135"/>
  <c r="AF73" i="135"/>
  <c r="AE73" i="135"/>
  <c r="AD73" i="135"/>
  <c r="AC73" i="135"/>
  <c r="AA73" i="135"/>
  <c r="Y73" i="135"/>
  <c r="X73" i="135"/>
  <c r="W73" i="135"/>
  <c r="V73" i="135"/>
  <c r="U73" i="135"/>
  <c r="T73" i="135"/>
  <c r="S73" i="135"/>
  <c r="R73" i="135"/>
  <c r="Q73" i="135"/>
  <c r="P73" i="135"/>
  <c r="O73" i="135"/>
  <c r="M73" i="135"/>
  <c r="L73" i="135"/>
  <c r="K73" i="135"/>
  <c r="I73" i="135"/>
  <c r="H73" i="135"/>
  <c r="F73" i="135"/>
  <c r="D73" i="135"/>
  <c r="C73" i="135"/>
  <c r="AL72" i="135"/>
  <c r="AL71" i="135"/>
  <c r="AL70" i="135"/>
  <c r="AL69" i="135"/>
  <c r="AL68" i="135"/>
  <c r="AL67" i="135"/>
  <c r="AL65" i="135"/>
  <c r="AL64" i="135"/>
  <c r="AL63" i="135"/>
  <c r="E73" i="135"/>
  <c r="AL61" i="135"/>
  <c r="AL60" i="135"/>
  <c r="AL59" i="135"/>
  <c r="AL58" i="135"/>
  <c r="AB73" i="135"/>
  <c r="AB76" i="135" s="1"/>
  <c r="AL57" i="135"/>
  <c r="AL56" i="135"/>
  <c r="Z73" i="135"/>
  <c r="AL54" i="135"/>
  <c r="AL53" i="135"/>
  <c r="AL52" i="135"/>
  <c r="AL51" i="135"/>
  <c r="AL50" i="135"/>
  <c r="AL49" i="135"/>
  <c r="N73" i="135"/>
  <c r="G73" i="135"/>
  <c r="AL44" i="135"/>
  <c r="AL43" i="135"/>
  <c r="AL42" i="135"/>
  <c r="AL41" i="135"/>
  <c r="AL40" i="135"/>
  <c r="AL39" i="135"/>
  <c r="AL38" i="135"/>
  <c r="AL36" i="135"/>
  <c r="AL35" i="135"/>
  <c r="AL34" i="135"/>
  <c r="AL33" i="135"/>
  <c r="J73" i="135"/>
  <c r="AL30" i="135"/>
  <c r="AL29" i="135"/>
  <c r="AK24" i="135"/>
  <c r="AJ24" i="135"/>
  <c r="AI24" i="135"/>
  <c r="AH24" i="135"/>
  <c r="AG24" i="135"/>
  <c r="AF24" i="135"/>
  <c r="AE24" i="135"/>
  <c r="AD24" i="135"/>
  <c r="AC24" i="135"/>
  <c r="AB24" i="135"/>
  <c r="AA24" i="135"/>
  <c r="Z24" i="135"/>
  <c r="Y24" i="135"/>
  <c r="X24" i="135"/>
  <c r="W24" i="135"/>
  <c r="V24" i="135"/>
  <c r="U24" i="135"/>
  <c r="T24" i="135"/>
  <c r="S24" i="135"/>
  <c r="R24" i="135"/>
  <c r="Q24" i="135"/>
  <c r="P24" i="135"/>
  <c r="O24" i="135"/>
  <c r="N24" i="135"/>
  <c r="M24" i="135"/>
  <c r="K24" i="135"/>
  <c r="J24" i="135"/>
  <c r="I24" i="135"/>
  <c r="H24" i="135"/>
  <c r="G24" i="135"/>
  <c r="F24" i="135"/>
  <c r="E24" i="135"/>
  <c r="D24" i="135"/>
  <c r="C24" i="135"/>
  <c r="AL23" i="135"/>
  <c r="AL22" i="135"/>
  <c r="AL21" i="135"/>
  <c r="AL20" i="135"/>
  <c r="AL19" i="135"/>
  <c r="AL18" i="135"/>
  <c r="AL17" i="135"/>
  <c r="AL16" i="135"/>
  <c r="AK11" i="135"/>
  <c r="AJ11" i="135"/>
  <c r="AI11" i="135"/>
  <c r="AG11" i="135"/>
  <c r="AF11" i="135"/>
  <c r="AE11" i="135"/>
  <c r="AD11" i="135"/>
  <c r="AC11" i="135"/>
  <c r="AA11" i="135"/>
  <c r="Z11" i="135"/>
  <c r="Y11" i="135"/>
  <c r="X11" i="135"/>
  <c r="W11" i="135"/>
  <c r="V11" i="135"/>
  <c r="U11" i="135"/>
  <c r="S11" i="135"/>
  <c r="R11" i="135"/>
  <c r="Q11" i="135"/>
  <c r="P11" i="135"/>
  <c r="O11" i="135"/>
  <c r="N11" i="135"/>
  <c r="M11" i="135"/>
  <c r="L11" i="135"/>
  <c r="K11" i="135"/>
  <c r="J11" i="135"/>
  <c r="I11" i="135"/>
  <c r="H11" i="135"/>
  <c r="F11" i="135"/>
  <c r="E11" i="135"/>
  <c r="D11" i="135"/>
  <c r="C11" i="135"/>
  <c r="AL10" i="135"/>
  <c r="AL9" i="135"/>
  <c r="AL8" i="135"/>
  <c r="AH11" i="135"/>
  <c r="AB11" i="135"/>
  <c r="T11" i="135"/>
  <c r="G11" i="135"/>
  <c r="AV106" i="128"/>
  <c r="AU106" i="128"/>
  <c r="AT106" i="128"/>
  <c r="AR106" i="128"/>
  <c r="AQ106" i="128"/>
  <c r="AS106" i="128"/>
  <c r="AX105" i="128"/>
  <c r="AW105" i="128"/>
  <c r="AV105" i="128"/>
  <c r="AT105" i="128"/>
  <c r="AR105" i="128"/>
  <c r="AP105" i="128"/>
  <c r="AL105" i="128"/>
  <c r="AK105" i="128"/>
  <c r="AJ105" i="128"/>
  <c r="AI105" i="128"/>
  <c r="AG105" i="128"/>
  <c r="AF105" i="128"/>
  <c r="AE105" i="128"/>
  <c r="AD105" i="128"/>
  <c r="AC105" i="128"/>
  <c r="AB105" i="128"/>
  <c r="AA105" i="128"/>
  <c r="Z105" i="128"/>
  <c r="Y105" i="128"/>
  <c r="X105" i="128"/>
  <c r="W105" i="128"/>
  <c r="V105" i="128"/>
  <c r="U105" i="128"/>
  <c r="T105" i="128"/>
  <c r="S105" i="128"/>
  <c r="R105" i="128"/>
  <c r="Q105" i="128"/>
  <c r="P105" i="128"/>
  <c r="O105" i="128"/>
  <c r="N105" i="128"/>
  <c r="M105" i="128"/>
  <c r="L105" i="128"/>
  <c r="K105" i="128"/>
  <c r="J105" i="128"/>
  <c r="I105" i="128"/>
  <c r="H105" i="128"/>
  <c r="G105" i="128"/>
  <c r="F105" i="128"/>
  <c r="E105" i="128"/>
  <c r="AU104" i="128"/>
  <c r="AS104" i="128"/>
  <c r="AQ104" i="128"/>
  <c r="AO104" i="128"/>
  <c r="AM104" i="128"/>
  <c r="AU103" i="128"/>
  <c r="AS103" i="128"/>
  <c r="AQ103" i="128"/>
  <c r="AO103" i="128"/>
  <c r="AM103" i="128"/>
  <c r="AU102" i="128"/>
  <c r="AS102" i="128"/>
  <c r="AQ102" i="128"/>
  <c r="AO102" i="128"/>
  <c r="AM102" i="128"/>
  <c r="AU101" i="128"/>
  <c r="AS101" i="128"/>
  <c r="AQ101" i="128"/>
  <c r="AO101" i="128"/>
  <c r="AM101" i="128"/>
  <c r="AU100" i="128"/>
  <c r="AS100" i="128"/>
  <c r="AQ100" i="128"/>
  <c r="AO100" i="128"/>
  <c r="AM100" i="128"/>
  <c r="AU99" i="128"/>
  <c r="AS99" i="128"/>
  <c r="AQ99" i="128"/>
  <c r="AO99" i="128"/>
  <c r="AM99" i="128"/>
  <c r="AU97" i="128"/>
  <c r="AS97" i="128"/>
  <c r="AQ97" i="128"/>
  <c r="AO97" i="128"/>
  <c r="AM97" i="128"/>
  <c r="AU96" i="128"/>
  <c r="AS96" i="128"/>
  <c r="AQ96" i="128"/>
  <c r="AO96" i="128"/>
  <c r="AM96" i="128"/>
  <c r="AU95" i="128"/>
  <c r="AS95" i="128"/>
  <c r="AQ95" i="128"/>
  <c r="AO95" i="128"/>
  <c r="AM95" i="128"/>
  <c r="AU94" i="128"/>
  <c r="AS94" i="128"/>
  <c r="AQ94" i="128"/>
  <c r="AO94" i="128"/>
  <c r="AM94" i="128"/>
  <c r="AU93" i="128"/>
  <c r="AS93" i="128"/>
  <c r="AQ93" i="128"/>
  <c r="AO93" i="128"/>
  <c r="AM93" i="128"/>
  <c r="AU91" i="128"/>
  <c r="AS91" i="128"/>
  <c r="AQ91" i="128"/>
  <c r="AO91" i="128"/>
  <c r="AM91" i="128"/>
  <c r="AU90" i="128"/>
  <c r="AS90" i="128"/>
  <c r="AQ90" i="128"/>
  <c r="AO90" i="128"/>
  <c r="AM90" i="128"/>
  <c r="AU89" i="128"/>
  <c r="AS89" i="128"/>
  <c r="AQ89" i="128"/>
  <c r="AO89" i="128"/>
  <c r="AM89" i="128"/>
  <c r="AU88" i="128"/>
  <c r="AS88" i="128"/>
  <c r="AQ88" i="128"/>
  <c r="AO88" i="128"/>
  <c r="AM88" i="128"/>
  <c r="AU87" i="128"/>
  <c r="AS87" i="128"/>
  <c r="AQ87" i="128"/>
  <c r="AO87" i="128"/>
  <c r="AM87" i="128"/>
  <c r="AU86" i="128"/>
  <c r="AS86" i="128"/>
  <c r="AQ86" i="128"/>
  <c r="AO86" i="128"/>
  <c r="AM86" i="128"/>
  <c r="AS85" i="128"/>
  <c r="AS84" i="128"/>
  <c r="AU83" i="128"/>
  <c r="AS83" i="128"/>
  <c r="AQ83" i="128"/>
  <c r="AO83" i="128"/>
  <c r="AM83" i="128"/>
  <c r="AU82" i="128"/>
  <c r="AS82" i="128"/>
  <c r="AQ82" i="128"/>
  <c r="AO82" i="128"/>
  <c r="AM82" i="128"/>
  <c r="AU81" i="128"/>
  <c r="AS81" i="128"/>
  <c r="AQ81" i="128"/>
  <c r="AO81" i="128"/>
  <c r="AM81" i="128"/>
  <c r="AU80" i="128"/>
  <c r="AS80" i="128"/>
  <c r="AQ80" i="128"/>
  <c r="AO80" i="128"/>
  <c r="AM80" i="128"/>
  <c r="AU79" i="128"/>
  <c r="AS79" i="128"/>
  <c r="AQ79" i="128"/>
  <c r="AO79" i="128"/>
  <c r="AM79" i="128"/>
  <c r="AU78" i="128"/>
  <c r="AS78" i="128"/>
  <c r="AQ78" i="128"/>
  <c r="AO78" i="128"/>
  <c r="AM78" i="128"/>
  <c r="AU77" i="128"/>
  <c r="AS77" i="128"/>
  <c r="AQ77" i="128"/>
  <c r="AO77" i="128"/>
  <c r="AM77" i="128"/>
  <c r="AH105" i="128"/>
  <c r="AU75" i="128"/>
  <c r="AS75" i="128"/>
  <c r="AQ75" i="128"/>
  <c r="AO75" i="128"/>
  <c r="AM75" i="128"/>
  <c r="AV64" i="128"/>
  <c r="AT64" i="128"/>
  <c r="AR64" i="128"/>
  <c r="AP64" i="128"/>
  <c r="AW63" i="128"/>
  <c r="AU63" i="128"/>
  <c r="AS63" i="128"/>
  <c r="AQ63" i="128"/>
  <c r="AO63" i="128"/>
  <c r="AM63" i="128"/>
  <c r="AW62" i="128"/>
  <c r="AU62" i="128"/>
  <c r="AS62" i="128"/>
  <c r="AQ62" i="128"/>
  <c r="AO62" i="128"/>
  <c r="AM62" i="128"/>
  <c r="AW61" i="128"/>
  <c r="AU61" i="128"/>
  <c r="AS61" i="128"/>
  <c r="AS64" i="128" s="1"/>
  <c r="AQ61" i="128"/>
  <c r="AO61" i="128"/>
  <c r="AM61" i="128"/>
  <c r="AM64" i="128" s="1"/>
  <c r="AL60" i="128"/>
  <c r="AK60" i="128"/>
  <c r="AI60" i="128"/>
  <c r="AH60" i="128"/>
  <c r="AG60" i="128"/>
  <c r="AF60" i="128"/>
  <c r="AE60" i="128"/>
  <c r="AD60" i="128"/>
  <c r="AC60" i="128"/>
  <c r="AB60" i="128"/>
  <c r="AA60" i="128"/>
  <c r="Z60" i="128"/>
  <c r="Y60" i="128"/>
  <c r="X60" i="128"/>
  <c r="W60" i="128"/>
  <c r="V60" i="128"/>
  <c r="U60" i="128"/>
  <c r="T60" i="128"/>
  <c r="S60" i="128"/>
  <c r="R60" i="128"/>
  <c r="Q60" i="128"/>
  <c r="P60" i="128"/>
  <c r="O60" i="128"/>
  <c r="N60" i="128"/>
  <c r="M60" i="128"/>
  <c r="L60" i="128"/>
  <c r="K60" i="128"/>
  <c r="J60" i="128"/>
  <c r="I60" i="128"/>
  <c r="H60" i="128"/>
  <c r="G60" i="128"/>
  <c r="F60" i="128"/>
  <c r="E60" i="128"/>
  <c r="AW59" i="128"/>
  <c r="AV59" i="128"/>
  <c r="AU59" i="128"/>
  <c r="AT59" i="128"/>
  <c r="AS59" i="128"/>
  <c r="AR59" i="128"/>
  <c r="AQ59" i="128"/>
  <c r="AP59" i="128"/>
  <c r="AO59" i="128"/>
  <c r="AM59" i="128"/>
  <c r="AW58" i="128"/>
  <c r="AV58" i="128"/>
  <c r="AU58" i="128"/>
  <c r="AT58" i="128"/>
  <c r="AS58" i="128"/>
  <c r="AR58" i="128"/>
  <c r="AQ58" i="128"/>
  <c r="AP58" i="128"/>
  <c r="AO58" i="128"/>
  <c r="AM58" i="128"/>
  <c r="AV57" i="128"/>
  <c r="AU57" i="128"/>
  <c r="AT57" i="128"/>
  <c r="AS57" i="128"/>
  <c r="AR57" i="128"/>
  <c r="AQ57" i="128"/>
  <c r="AP57" i="128"/>
  <c r="AO57" i="128"/>
  <c r="AM57" i="128"/>
  <c r="AJ60" i="128"/>
  <c r="AV56" i="128"/>
  <c r="AT56" i="128"/>
  <c r="AR56" i="128"/>
  <c r="AP56" i="128"/>
  <c r="AL56" i="128"/>
  <c r="AK56" i="128"/>
  <c r="AI56" i="128"/>
  <c r="AH56" i="128"/>
  <c r="AG56" i="128"/>
  <c r="AF56" i="128"/>
  <c r="AE56" i="128"/>
  <c r="AD56" i="128"/>
  <c r="AC56" i="128"/>
  <c r="AB56" i="128"/>
  <c r="AA56" i="128"/>
  <c r="Z56" i="128"/>
  <c r="Y56" i="128"/>
  <c r="X56" i="128"/>
  <c r="W56" i="128"/>
  <c r="V56" i="128"/>
  <c r="U56" i="128"/>
  <c r="T56" i="128"/>
  <c r="S56" i="128"/>
  <c r="R56" i="128"/>
  <c r="Q56" i="128"/>
  <c r="P56" i="128"/>
  <c r="O56" i="128"/>
  <c r="N56" i="128"/>
  <c r="M56" i="128"/>
  <c r="L56" i="128"/>
  <c r="K56" i="128"/>
  <c r="J56" i="128"/>
  <c r="I56" i="128"/>
  <c r="H56" i="128"/>
  <c r="G56" i="128"/>
  <c r="F56" i="128"/>
  <c r="E56" i="128"/>
  <c r="AW55" i="128"/>
  <c r="AU55" i="128"/>
  <c r="AS55" i="128"/>
  <c r="AQ55" i="128"/>
  <c r="AO55" i="128"/>
  <c r="AM55" i="128"/>
  <c r="AW54" i="128"/>
  <c r="AU54" i="128"/>
  <c r="AS54" i="128"/>
  <c r="AQ54" i="128"/>
  <c r="AO54" i="128"/>
  <c r="AM54" i="128"/>
  <c r="AU53" i="128"/>
  <c r="AS53" i="128"/>
  <c r="AQ53" i="128"/>
  <c r="AO53" i="128"/>
  <c r="AM53" i="128"/>
  <c r="AJ56" i="128"/>
  <c r="AX52" i="128"/>
  <c r="AV52" i="128"/>
  <c r="AT52" i="128"/>
  <c r="AR52" i="128"/>
  <c r="AP52" i="128"/>
  <c r="AL52" i="128"/>
  <c r="AK52" i="128"/>
  <c r="AJ52" i="128"/>
  <c r="AI52" i="128"/>
  <c r="AH52" i="128"/>
  <c r="AG52" i="128"/>
  <c r="AE52" i="128"/>
  <c r="AD52" i="128"/>
  <c r="AC52" i="128"/>
  <c r="AB52" i="128"/>
  <c r="AA52" i="128"/>
  <c r="Z52" i="128"/>
  <c r="Y52" i="128"/>
  <c r="X52" i="128"/>
  <c r="W52" i="128"/>
  <c r="V52" i="128"/>
  <c r="U52" i="128"/>
  <c r="T52" i="128"/>
  <c r="S52" i="128"/>
  <c r="R52" i="128"/>
  <c r="Q52" i="128"/>
  <c r="P52" i="128"/>
  <c r="O52" i="128"/>
  <c r="O73" i="128" s="1"/>
  <c r="N52" i="128"/>
  <c r="M52" i="128"/>
  <c r="M73" i="128" s="1"/>
  <c r="L52" i="128"/>
  <c r="L73" i="128" s="1"/>
  <c r="K52" i="128"/>
  <c r="J52" i="128"/>
  <c r="I52" i="128"/>
  <c r="H52" i="128"/>
  <c r="G52" i="128"/>
  <c r="F52" i="128"/>
  <c r="E52" i="128"/>
  <c r="AU51" i="128"/>
  <c r="AS51" i="128"/>
  <c r="AO51" i="128"/>
  <c r="AF52" i="128"/>
  <c r="AQ51" i="128"/>
  <c r="AW50" i="128"/>
  <c r="AU50" i="128"/>
  <c r="AS50" i="128"/>
  <c r="AQ50" i="128"/>
  <c r="AO50" i="128"/>
  <c r="AM50" i="128"/>
  <c r="AW49" i="128"/>
  <c r="AU49" i="128"/>
  <c r="AS49" i="128"/>
  <c r="AQ49" i="128"/>
  <c r="AO49" i="128"/>
  <c r="AM49" i="128"/>
  <c r="AV48" i="128"/>
  <c r="AT48" i="128"/>
  <c r="AR48" i="128"/>
  <c r="AP48" i="128"/>
  <c r="AL48" i="128"/>
  <c r="AK48" i="128"/>
  <c r="AJ48" i="128"/>
  <c r="AI48" i="128"/>
  <c r="AH48" i="128"/>
  <c r="AF48" i="128"/>
  <c r="AE48" i="128"/>
  <c r="AD48" i="128"/>
  <c r="AC48" i="128"/>
  <c r="AB48" i="128"/>
  <c r="AA48" i="128"/>
  <c r="Z48" i="128"/>
  <c r="Y48" i="128"/>
  <c r="X48" i="128"/>
  <c r="W48" i="128"/>
  <c r="V48" i="128"/>
  <c r="U48" i="128"/>
  <c r="S48" i="128"/>
  <c r="R48" i="128"/>
  <c r="Q48" i="128"/>
  <c r="P48" i="128"/>
  <c r="O48" i="128"/>
  <c r="N48" i="128"/>
  <c r="M48" i="128"/>
  <c r="L48" i="128"/>
  <c r="K48" i="128"/>
  <c r="J48" i="128"/>
  <c r="I48" i="128"/>
  <c r="H48" i="128"/>
  <c r="G48" i="128"/>
  <c r="F48" i="128"/>
  <c r="E48" i="128"/>
  <c r="AU47" i="128"/>
  <c r="AQ47" i="128"/>
  <c r="AW47" i="128"/>
  <c r="T48" i="128"/>
  <c r="AO47" i="128"/>
  <c r="AW46" i="128"/>
  <c r="AU46" i="128"/>
  <c r="AS46" i="128"/>
  <c r="AQ46" i="128"/>
  <c r="AO46" i="128"/>
  <c r="AM46" i="128"/>
  <c r="AW45" i="128"/>
  <c r="AU45" i="128"/>
  <c r="AS45" i="128"/>
  <c r="AQ45" i="128"/>
  <c r="AO45" i="128"/>
  <c r="AM45" i="128"/>
  <c r="AV44" i="128"/>
  <c r="AT44" i="128"/>
  <c r="AR44" i="128"/>
  <c r="AP44" i="128"/>
  <c r="AL44" i="128"/>
  <c r="AK44" i="128"/>
  <c r="AI44" i="128"/>
  <c r="AH44" i="128"/>
  <c r="AG44" i="128"/>
  <c r="AF44" i="128"/>
  <c r="AE44" i="128"/>
  <c r="AD44" i="128"/>
  <c r="AC44" i="128"/>
  <c r="AB44" i="128"/>
  <c r="AA44" i="128"/>
  <c r="Z44" i="128"/>
  <c r="Y44" i="128"/>
  <c r="X44" i="128"/>
  <c r="W44" i="128"/>
  <c r="V44" i="128"/>
  <c r="U44" i="128"/>
  <c r="T44" i="128"/>
  <c r="S44" i="128"/>
  <c r="R44" i="128"/>
  <c r="Q44" i="128"/>
  <c r="P44" i="128"/>
  <c r="O44" i="128"/>
  <c r="N44" i="128"/>
  <c r="M44" i="128"/>
  <c r="K44" i="128"/>
  <c r="J44" i="128"/>
  <c r="I44" i="128"/>
  <c r="H44" i="128"/>
  <c r="G44" i="128"/>
  <c r="F44" i="128"/>
  <c r="E44" i="128"/>
  <c r="AW43" i="128"/>
  <c r="AU43" i="128"/>
  <c r="AS43" i="128"/>
  <c r="AQ43" i="128"/>
  <c r="AO43" i="128"/>
  <c r="AM43" i="128"/>
  <c r="L44" i="128"/>
  <c r="AW42" i="128"/>
  <c r="AU42" i="128"/>
  <c r="AS42" i="128"/>
  <c r="AQ42" i="128"/>
  <c r="AO42" i="128"/>
  <c r="AM42" i="128"/>
  <c r="AU41" i="128"/>
  <c r="AS41" i="128"/>
  <c r="AQ41" i="128"/>
  <c r="AO41" i="128"/>
  <c r="AJ44" i="128"/>
  <c r="AV40" i="128"/>
  <c r="AT40" i="128"/>
  <c r="AR40" i="128"/>
  <c r="AP40" i="128"/>
  <c r="AL40" i="128"/>
  <c r="AK40" i="128"/>
  <c r="AI40" i="128"/>
  <c r="AH40" i="128"/>
  <c r="AG40" i="128"/>
  <c r="AF40" i="128"/>
  <c r="AE40" i="128"/>
  <c r="AD40" i="128"/>
  <c r="AC40" i="128"/>
  <c r="AB40" i="128"/>
  <c r="AA40" i="128"/>
  <c r="Z40" i="128"/>
  <c r="Y40" i="128"/>
  <c r="X40" i="128"/>
  <c r="W40" i="128"/>
  <c r="V40" i="128"/>
  <c r="U40" i="128"/>
  <c r="T40" i="128"/>
  <c r="S40" i="128"/>
  <c r="R40" i="128"/>
  <c r="Q40" i="128"/>
  <c r="P40" i="128"/>
  <c r="O40" i="128"/>
  <c r="N40" i="128"/>
  <c r="M40" i="128"/>
  <c r="L40" i="128"/>
  <c r="K40" i="128"/>
  <c r="J40" i="128"/>
  <c r="I40" i="128"/>
  <c r="G40" i="128"/>
  <c r="F40" i="128"/>
  <c r="E40" i="128"/>
  <c r="AW39" i="128"/>
  <c r="AU39" i="128"/>
  <c r="AS39" i="128"/>
  <c r="AQ39" i="128"/>
  <c r="AM39" i="128"/>
  <c r="AW38" i="128"/>
  <c r="AU38" i="128"/>
  <c r="AS38" i="128"/>
  <c r="AQ38" i="128"/>
  <c r="AO38" i="128"/>
  <c r="AM38" i="128"/>
  <c r="AU37" i="128"/>
  <c r="AS37" i="128"/>
  <c r="AQ37" i="128"/>
  <c r="AO37" i="128"/>
  <c r="AM37" i="128"/>
  <c r="AW37" i="128"/>
  <c r="AV36" i="128"/>
  <c r="AT36" i="128"/>
  <c r="AR36" i="128"/>
  <c r="AP36" i="128"/>
  <c r="AL36" i="128"/>
  <c r="AK36" i="128"/>
  <c r="AJ36" i="128"/>
  <c r="AI36" i="128"/>
  <c r="AH36" i="128"/>
  <c r="AG36" i="128"/>
  <c r="AF36" i="128"/>
  <c r="AE36" i="128"/>
  <c r="AD36" i="128"/>
  <c r="AC36" i="128"/>
  <c r="AB36" i="128"/>
  <c r="AA36" i="128"/>
  <c r="Z36" i="128"/>
  <c r="Y36" i="128"/>
  <c r="X36" i="128"/>
  <c r="W36" i="128"/>
  <c r="V36" i="128"/>
  <c r="U36" i="128"/>
  <c r="T36" i="128"/>
  <c r="S36" i="128"/>
  <c r="R36" i="128"/>
  <c r="Q36" i="128"/>
  <c r="P36" i="128"/>
  <c r="O36" i="128"/>
  <c r="N36" i="128"/>
  <c r="M36" i="128"/>
  <c r="L36" i="128"/>
  <c r="K36" i="128"/>
  <c r="J36" i="128"/>
  <c r="I36" i="128"/>
  <c r="G36" i="128"/>
  <c r="F36" i="128"/>
  <c r="E36" i="128"/>
  <c r="AW35" i="128"/>
  <c r="AU35" i="128"/>
  <c r="AS35" i="128"/>
  <c r="AQ35" i="128"/>
  <c r="AM35" i="128"/>
  <c r="H36" i="128"/>
  <c r="AW34" i="128"/>
  <c r="AU34" i="128"/>
  <c r="AS34" i="128"/>
  <c r="AQ34" i="128"/>
  <c r="AO34" i="128"/>
  <c r="AM34" i="128"/>
  <c r="AW33" i="128"/>
  <c r="AU33" i="128"/>
  <c r="AS33" i="128"/>
  <c r="AQ33" i="128"/>
  <c r="AO33" i="128"/>
  <c r="AM33" i="128"/>
  <c r="AV32" i="128"/>
  <c r="AT32" i="128"/>
  <c r="AR32" i="128"/>
  <c r="AP32" i="128"/>
  <c r="AL32" i="128"/>
  <c r="AK32" i="128"/>
  <c r="AJ32" i="128"/>
  <c r="AI32" i="128"/>
  <c r="AH32" i="128"/>
  <c r="AG32" i="128"/>
  <c r="AF32" i="128"/>
  <c r="AE32" i="128"/>
  <c r="AD32" i="128"/>
  <c r="AC32" i="128"/>
  <c r="AB32" i="128"/>
  <c r="AA32" i="128"/>
  <c r="Z32" i="128"/>
  <c r="Y32" i="128"/>
  <c r="X32" i="128"/>
  <c r="W32" i="128"/>
  <c r="V32" i="128"/>
  <c r="U32" i="128"/>
  <c r="S32" i="128"/>
  <c r="R32" i="128"/>
  <c r="Q32" i="128"/>
  <c r="P32" i="128"/>
  <c r="O32" i="128"/>
  <c r="N32" i="128"/>
  <c r="M32" i="128"/>
  <c r="L32" i="128"/>
  <c r="K32" i="128"/>
  <c r="J32" i="128"/>
  <c r="I32" i="128"/>
  <c r="H32" i="128"/>
  <c r="G32" i="128"/>
  <c r="F32" i="128"/>
  <c r="E32" i="128"/>
  <c r="AW31" i="128"/>
  <c r="AU31" i="128"/>
  <c r="AQ31" i="128"/>
  <c r="AO31" i="128"/>
  <c r="T32" i="128"/>
  <c r="AW30" i="128"/>
  <c r="AU30" i="128"/>
  <c r="AS30" i="128"/>
  <c r="AQ30" i="128"/>
  <c r="AO30" i="128"/>
  <c r="AM30" i="128"/>
  <c r="AW29" i="128"/>
  <c r="AU29" i="128"/>
  <c r="AS29" i="128"/>
  <c r="AQ29" i="128"/>
  <c r="AO29" i="128"/>
  <c r="AO32" i="128" s="1"/>
  <c r="AM29" i="128"/>
  <c r="AX28" i="128"/>
  <c r="AV28" i="128"/>
  <c r="AT28" i="128"/>
  <c r="AR28" i="128"/>
  <c r="AP28" i="128"/>
  <c r="AL28" i="128"/>
  <c r="AK28" i="128"/>
  <c r="AI28" i="128"/>
  <c r="AH28" i="128"/>
  <c r="AG28" i="128"/>
  <c r="AF28" i="128"/>
  <c r="AE28" i="128"/>
  <c r="AD28" i="128"/>
  <c r="AC28" i="128"/>
  <c r="AB28" i="128"/>
  <c r="Y28" i="128"/>
  <c r="X28" i="128"/>
  <c r="W28" i="128"/>
  <c r="V28" i="128"/>
  <c r="T28" i="128"/>
  <c r="S28" i="128"/>
  <c r="R28" i="128"/>
  <c r="Q28" i="128"/>
  <c r="P28" i="128"/>
  <c r="O28" i="128"/>
  <c r="N28" i="128"/>
  <c r="N73" i="128" s="1"/>
  <c r="M28" i="128"/>
  <c r="K28" i="128"/>
  <c r="J28" i="128"/>
  <c r="I28" i="128"/>
  <c r="H28" i="128"/>
  <c r="G28" i="128"/>
  <c r="F28" i="128"/>
  <c r="E28" i="128"/>
  <c r="AW27" i="128"/>
  <c r="AO27" i="128"/>
  <c r="AA28" i="128"/>
  <c r="AU27" i="128"/>
  <c r="U28" i="128"/>
  <c r="AQ27" i="128"/>
  <c r="AW26" i="128"/>
  <c r="AU26" i="128"/>
  <c r="AS26" i="128"/>
  <c r="AQ26" i="128"/>
  <c r="AO26" i="128"/>
  <c r="AM26" i="128"/>
  <c r="AU25" i="128"/>
  <c r="AS25" i="128"/>
  <c r="AQ25" i="128"/>
  <c r="AO25" i="128"/>
  <c r="AM25" i="128"/>
  <c r="AV24" i="128"/>
  <c r="AT24" i="128"/>
  <c r="AR24" i="128"/>
  <c r="AP24" i="128"/>
  <c r="AL24" i="128"/>
  <c r="AK24" i="128"/>
  <c r="AI24" i="128"/>
  <c r="AH24" i="128"/>
  <c r="AG24" i="128"/>
  <c r="AF24" i="128"/>
  <c r="AE24" i="128"/>
  <c r="AD24" i="128"/>
  <c r="AC24" i="128"/>
  <c r="AB24" i="128"/>
  <c r="AA24" i="128"/>
  <c r="Z24" i="128"/>
  <c r="Y24" i="128"/>
  <c r="X24" i="128"/>
  <c r="W24" i="128"/>
  <c r="V24" i="128"/>
  <c r="U24" i="128"/>
  <c r="T24" i="128"/>
  <c r="S24" i="128"/>
  <c r="R24" i="128"/>
  <c r="Q24" i="128"/>
  <c r="P24" i="128"/>
  <c r="O24" i="128"/>
  <c r="N24" i="128"/>
  <c r="M24" i="128"/>
  <c r="L24" i="128"/>
  <c r="K24" i="128"/>
  <c r="J24" i="128"/>
  <c r="I24" i="128"/>
  <c r="H24" i="128"/>
  <c r="G24" i="128"/>
  <c r="F24" i="128"/>
  <c r="E24" i="128"/>
  <c r="AW23" i="128"/>
  <c r="AU23" i="128"/>
  <c r="AS23" i="128"/>
  <c r="AQ23" i="128"/>
  <c r="AO23" i="128"/>
  <c r="AM23" i="128"/>
  <c r="AW22" i="128"/>
  <c r="AU22" i="128"/>
  <c r="AS22" i="128"/>
  <c r="AQ22" i="128"/>
  <c r="AO22" i="128"/>
  <c r="AM22" i="128"/>
  <c r="AU21" i="128"/>
  <c r="AS21" i="128"/>
  <c r="AQ21" i="128"/>
  <c r="AO21" i="128"/>
  <c r="AM21" i="128"/>
  <c r="AV20" i="128"/>
  <c r="AT20" i="128"/>
  <c r="AR20" i="128"/>
  <c r="AP20" i="128"/>
  <c r="AL20" i="128"/>
  <c r="AK20" i="128"/>
  <c r="AJ20" i="128"/>
  <c r="AI20" i="128"/>
  <c r="AH20" i="128"/>
  <c r="AG20" i="128"/>
  <c r="AF20" i="128"/>
  <c r="AE20" i="128"/>
  <c r="AD20" i="128"/>
  <c r="AC20" i="128"/>
  <c r="AB20" i="128"/>
  <c r="AA20" i="128"/>
  <c r="Z20" i="128"/>
  <c r="Y20" i="128"/>
  <c r="X20" i="128"/>
  <c r="W20" i="128"/>
  <c r="V20" i="128"/>
  <c r="U20" i="128"/>
  <c r="T20" i="128"/>
  <c r="S20" i="128"/>
  <c r="R20" i="128"/>
  <c r="Q20" i="128"/>
  <c r="P20" i="128"/>
  <c r="O20" i="128"/>
  <c r="N20" i="128"/>
  <c r="M20" i="128"/>
  <c r="L20" i="128"/>
  <c r="K20" i="128"/>
  <c r="J20" i="128"/>
  <c r="I20" i="128"/>
  <c r="H20" i="128"/>
  <c r="G20" i="128"/>
  <c r="F20" i="128"/>
  <c r="E20" i="128"/>
  <c r="AW19" i="128"/>
  <c r="AU19" i="128"/>
  <c r="AS19" i="128"/>
  <c r="AQ19" i="128"/>
  <c r="AO19" i="128"/>
  <c r="AM19" i="128"/>
  <c r="AW18" i="128"/>
  <c r="AU18" i="128"/>
  <c r="AS18" i="128"/>
  <c r="AQ18" i="128"/>
  <c r="AO18" i="128"/>
  <c r="AM18" i="128"/>
  <c r="AW17" i="128"/>
  <c r="AU17" i="128"/>
  <c r="AS17" i="128"/>
  <c r="AQ17" i="128"/>
  <c r="AO17" i="128"/>
  <c r="AM17" i="128"/>
  <c r="AV16" i="128"/>
  <c r="AT16" i="128"/>
  <c r="AP16" i="128"/>
  <c r="AL16" i="128"/>
  <c r="AK16" i="128"/>
  <c r="AJ16" i="128"/>
  <c r="AI16" i="128"/>
  <c r="AH16" i="128"/>
  <c r="AG16" i="128"/>
  <c r="AF16" i="128"/>
  <c r="AE16" i="128"/>
  <c r="AD16" i="128"/>
  <c r="AC16" i="128"/>
  <c r="AB16" i="128"/>
  <c r="AA16" i="128"/>
  <c r="Z16" i="128"/>
  <c r="Y16" i="128"/>
  <c r="X16" i="128"/>
  <c r="W16" i="128"/>
  <c r="V16" i="128"/>
  <c r="U16" i="128"/>
  <c r="T16" i="128"/>
  <c r="S16" i="128"/>
  <c r="R16" i="128"/>
  <c r="Q16" i="128"/>
  <c r="P16" i="128"/>
  <c r="O16" i="128"/>
  <c r="N16" i="128"/>
  <c r="M16" i="128"/>
  <c r="L16" i="128"/>
  <c r="K16" i="128"/>
  <c r="J16" i="128"/>
  <c r="I16" i="128"/>
  <c r="H16" i="128"/>
  <c r="G16" i="128"/>
  <c r="F16" i="128"/>
  <c r="E16" i="128"/>
  <c r="AW15" i="128"/>
  <c r="AU15" i="128"/>
  <c r="AS15" i="128"/>
  <c r="AR15" i="128"/>
  <c r="AR16" i="128" s="1"/>
  <c r="AQ15" i="128"/>
  <c r="AO15" i="128"/>
  <c r="AM15" i="128"/>
  <c r="AW14" i="128"/>
  <c r="AU14" i="128"/>
  <c r="AS14" i="128"/>
  <c r="AQ14" i="128"/>
  <c r="AO14" i="128"/>
  <c r="AM14" i="128"/>
  <c r="AW13" i="128"/>
  <c r="AU13" i="128"/>
  <c r="AS13" i="128"/>
  <c r="AQ13" i="128"/>
  <c r="AQ16" i="128" s="1"/>
  <c r="AO13" i="128"/>
  <c r="AM13" i="128"/>
  <c r="AV12" i="128"/>
  <c r="AT12" i="128"/>
  <c r="AR12" i="128"/>
  <c r="AP12" i="128"/>
  <c r="AL12" i="128"/>
  <c r="AK12" i="128"/>
  <c r="AI12" i="128"/>
  <c r="AH12" i="128"/>
  <c r="AG12" i="128"/>
  <c r="AF12" i="128"/>
  <c r="AE12" i="128"/>
  <c r="AD12" i="128"/>
  <c r="AC12" i="128"/>
  <c r="AB12" i="128"/>
  <c r="AA12" i="128"/>
  <c r="Z12" i="128"/>
  <c r="Y12" i="128"/>
  <c r="X12" i="128"/>
  <c r="W12" i="128"/>
  <c r="V12" i="128"/>
  <c r="U12" i="128"/>
  <c r="T12" i="128"/>
  <c r="S12" i="128"/>
  <c r="R12" i="128"/>
  <c r="Q12" i="128"/>
  <c r="P12" i="128"/>
  <c r="O12" i="128"/>
  <c r="N12" i="128"/>
  <c r="M12" i="128"/>
  <c r="L12" i="128"/>
  <c r="K12" i="128"/>
  <c r="J12" i="128"/>
  <c r="I12" i="128"/>
  <c r="H12" i="128"/>
  <c r="G12" i="128"/>
  <c r="F12" i="128"/>
  <c r="E12" i="128"/>
  <c r="AW11" i="128"/>
  <c r="AU11" i="128"/>
  <c r="AS11" i="128"/>
  <c r="AQ11" i="128"/>
  <c r="AO11" i="128"/>
  <c r="AM11" i="128"/>
  <c r="AW10" i="128"/>
  <c r="AU10" i="128"/>
  <c r="AS10" i="128"/>
  <c r="AQ10" i="128"/>
  <c r="AO10" i="128"/>
  <c r="AM10" i="128"/>
  <c r="AU9" i="128"/>
  <c r="AS9" i="128"/>
  <c r="AQ9" i="128"/>
  <c r="AO9" i="128"/>
  <c r="AM9" i="128"/>
  <c r="AJ12" i="128"/>
  <c r="I73" i="128" l="1"/>
  <c r="AU20" i="128"/>
  <c r="AW36" i="128"/>
  <c r="AQ52" i="128"/>
  <c r="AW20" i="128"/>
  <c r="AQ36" i="128"/>
  <c r="AU48" i="128"/>
  <c r="AS52" i="128"/>
  <c r="AQ64" i="128"/>
  <c r="X108" i="128"/>
  <c r="W20" i="134" s="1"/>
  <c r="AB108" i="128"/>
  <c r="AA20" i="134" s="1"/>
  <c r="AK108" i="128"/>
  <c r="AJ20" i="134" s="1"/>
  <c r="AW32" i="128"/>
  <c r="AW40" i="128"/>
  <c r="AW48" i="128"/>
  <c r="AU56" i="128"/>
  <c r="AU44" i="128"/>
  <c r="AP60" i="128"/>
  <c r="AR60" i="128"/>
  <c r="AT60" i="128"/>
  <c r="AB170" i="135"/>
  <c r="X170" i="135"/>
  <c r="K170" i="135"/>
  <c r="AV60" i="128"/>
  <c r="AY58" i="128"/>
  <c r="AQ105" i="128"/>
  <c r="AY80" i="128"/>
  <c r="AY88" i="128"/>
  <c r="AY93" i="128"/>
  <c r="AY97" i="128"/>
  <c r="T170" i="135"/>
  <c r="R170" i="135"/>
  <c r="W170" i="135"/>
  <c r="Y170" i="135"/>
  <c r="AA170" i="135"/>
  <c r="AK170" i="135"/>
  <c r="AO48" i="128"/>
  <c r="E170" i="135"/>
  <c r="E172" i="135" s="1"/>
  <c r="AY62" i="128"/>
  <c r="P108" i="128"/>
  <c r="O20" i="134" s="1"/>
  <c r="N170" i="135"/>
  <c r="AQ56" i="128"/>
  <c r="AQ44" i="128"/>
  <c r="AY54" i="128"/>
  <c r="I108" i="128"/>
  <c r="H20" i="134" s="1"/>
  <c r="AC108" i="128"/>
  <c r="AB20" i="134" s="1"/>
  <c r="F108" i="128"/>
  <c r="E20" i="134" s="1"/>
  <c r="N108" i="128"/>
  <c r="M20" i="134" s="1"/>
  <c r="AH108" i="128"/>
  <c r="AG20" i="134" s="1"/>
  <c r="AU16" i="128"/>
  <c r="AS20" i="128"/>
  <c r="AY30" i="128"/>
  <c r="AU36" i="128"/>
  <c r="AS40" i="128"/>
  <c r="AY43" i="128"/>
  <c r="AY49" i="128"/>
  <c r="AY59" i="128"/>
  <c r="AY61" i="128"/>
  <c r="AW64" i="128"/>
  <c r="AM105" i="128"/>
  <c r="AU105" i="128"/>
  <c r="AY78" i="128"/>
  <c r="AY82" i="128"/>
  <c r="AY86" i="128"/>
  <c r="AY90" i="128"/>
  <c r="AY95" i="128"/>
  <c r="AY100" i="128"/>
  <c r="AY104" i="128"/>
  <c r="Q108" i="128"/>
  <c r="P20" i="134" s="1"/>
  <c r="Y108" i="128"/>
  <c r="X20" i="134" s="1"/>
  <c r="AL108" i="128"/>
  <c r="AK20" i="134" s="1"/>
  <c r="J108" i="128"/>
  <c r="I20" i="134" s="1"/>
  <c r="R108" i="128"/>
  <c r="Q20" i="134" s="1"/>
  <c r="AD108" i="128"/>
  <c r="AC20" i="134" s="1"/>
  <c r="O108" i="128"/>
  <c r="N20" i="134" s="1"/>
  <c r="S108" i="128"/>
  <c r="R20" i="134" s="1"/>
  <c r="W108" i="128"/>
  <c r="V20" i="134" s="1"/>
  <c r="AE108" i="128"/>
  <c r="AD20" i="134" s="1"/>
  <c r="AI108" i="128"/>
  <c r="AH20" i="134" s="1"/>
  <c r="AO16" i="128"/>
  <c r="AU32" i="128"/>
  <c r="O170" i="135"/>
  <c r="S170" i="135"/>
  <c r="AC170" i="135"/>
  <c r="AG170" i="135"/>
  <c r="AH170" i="135"/>
  <c r="H170" i="135"/>
  <c r="P170" i="135"/>
  <c r="U170" i="135"/>
  <c r="AD170" i="135"/>
  <c r="AI170" i="135"/>
  <c r="AQ20" i="128"/>
  <c r="AQ32" i="128"/>
  <c r="AS36" i="128"/>
  <c r="AU52" i="128"/>
  <c r="AU64" i="128"/>
  <c r="I170" i="135"/>
  <c r="M170" i="135"/>
  <c r="Q170" i="135"/>
  <c r="V170" i="135"/>
  <c r="AE170" i="135"/>
  <c r="AJ170" i="135"/>
  <c r="M108" i="128"/>
  <c r="L20" i="134" s="1"/>
  <c r="J170" i="135"/>
  <c r="K108" i="128"/>
  <c r="J20" i="134" s="1"/>
  <c r="AS24" i="128"/>
  <c r="AU12" i="128"/>
  <c r="AY10" i="128"/>
  <c r="AS16" i="128"/>
  <c r="AW16" i="128"/>
  <c r="AY14" i="128"/>
  <c r="AY15" i="128"/>
  <c r="AQ40" i="128"/>
  <c r="AU40" i="128"/>
  <c r="AS44" i="128"/>
  <c r="AQ48" i="128"/>
  <c r="AO60" i="128"/>
  <c r="AO105" i="128"/>
  <c r="AY103" i="128"/>
  <c r="G170" i="135"/>
  <c r="F170" i="135"/>
  <c r="G108" i="128"/>
  <c r="F20" i="134" s="1"/>
  <c r="D170" i="135"/>
  <c r="AM20" i="128"/>
  <c r="E108" i="128"/>
  <c r="D20" i="134" s="1"/>
  <c r="AM16" i="128"/>
  <c r="AL24" i="135"/>
  <c r="AO44" i="128"/>
  <c r="AY102" i="128"/>
  <c r="AS105" i="128"/>
  <c r="AY77" i="128"/>
  <c r="AY79" i="128"/>
  <c r="AY81" i="128"/>
  <c r="AY83" i="128"/>
  <c r="AY87" i="128"/>
  <c r="AY89" i="128"/>
  <c r="AY91" i="128"/>
  <c r="AY94" i="128"/>
  <c r="AY96" i="128"/>
  <c r="AY99" i="128"/>
  <c r="AY101" i="128"/>
  <c r="AY22" i="128"/>
  <c r="AY26" i="128"/>
  <c r="AY34" i="128"/>
  <c r="AY38" i="128"/>
  <c r="AY42" i="128"/>
  <c r="AY46" i="128"/>
  <c r="AY50" i="128"/>
  <c r="AO56" i="128"/>
  <c r="AS56" i="128"/>
  <c r="AY55" i="128"/>
  <c r="AY63" i="128"/>
  <c r="AM32" i="128"/>
  <c r="AM56" i="128"/>
  <c r="AO12" i="128"/>
  <c r="AS12" i="128"/>
  <c r="AY11" i="128"/>
  <c r="AY17" i="128"/>
  <c r="AY18" i="128"/>
  <c r="AY19" i="128"/>
  <c r="AQ24" i="128"/>
  <c r="AU24" i="128"/>
  <c r="AY23" i="128"/>
  <c r="AL7" i="135"/>
  <c r="AL11" i="135" s="1"/>
  <c r="L24" i="135"/>
  <c r="L170" i="135" s="1"/>
  <c r="AL32" i="135"/>
  <c r="AL45" i="135"/>
  <c r="AL48" i="135"/>
  <c r="AL62" i="135"/>
  <c r="AL92" i="135"/>
  <c r="C112" i="135"/>
  <c r="C170" i="135" s="1"/>
  <c r="Z168" i="135"/>
  <c r="Z170" i="135" s="1"/>
  <c r="AF168" i="135"/>
  <c r="AF170" i="135" s="1"/>
  <c r="AL84" i="135"/>
  <c r="AL108" i="135"/>
  <c r="AL112" i="135" s="1"/>
  <c r="AL120" i="135"/>
  <c r="AL168" i="135" s="1"/>
  <c r="AQ12" i="128"/>
  <c r="AQ28" i="128"/>
  <c r="AU28" i="128"/>
  <c r="AM36" i="128"/>
  <c r="AM44" i="128"/>
  <c r="AM52" i="128"/>
  <c r="AA108" i="128"/>
  <c r="Z20" i="134" s="1"/>
  <c r="AM12" i="128"/>
  <c r="AO20" i="128"/>
  <c r="AW21" i="128"/>
  <c r="AW24" i="128" s="1"/>
  <c r="AJ24" i="128"/>
  <c r="AO24" i="128"/>
  <c r="AW25" i="128"/>
  <c r="AW28" i="128" s="1"/>
  <c r="AS27" i="128"/>
  <c r="AS28" i="128" s="1"/>
  <c r="L28" i="128"/>
  <c r="Z28" i="128"/>
  <c r="AJ28" i="128"/>
  <c r="AO28" i="128"/>
  <c r="AM31" i="128"/>
  <c r="AY37" i="128"/>
  <c r="AO39" i="128"/>
  <c r="AY39" i="128" s="1"/>
  <c r="H40" i="128"/>
  <c r="AJ40" i="128"/>
  <c r="AW41" i="128"/>
  <c r="AW44" i="128" s="1"/>
  <c r="AM47" i="128"/>
  <c r="AG48" i="128"/>
  <c r="AM48" i="128" s="1"/>
  <c r="AW51" i="128"/>
  <c r="AY51" i="128" s="1"/>
  <c r="AO52" i="128"/>
  <c r="AW9" i="128"/>
  <c r="AW12" i="128" s="1"/>
  <c r="V108" i="128"/>
  <c r="U20" i="134" s="1"/>
  <c r="AF108" i="128"/>
  <c r="AE20" i="134" s="1"/>
  <c r="AY13" i="128"/>
  <c r="AM27" i="128"/>
  <c r="AY29" i="128"/>
  <c r="AS31" i="128"/>
  <c r="AY31" i="128" s="1"/>
  <c r="AY33" i="128"/>
  <c r="AO35" i="128"/>
  <c r="AY35" i="128" s="1"/>
  <c r="AM41" i="128"/>
  <c r="AY45" i="128"/>
  <c r="AS47" i="128"/>
  <c r="AY47" i="128" s="1"/>
  <c r="AM51" i="128"/>
  <c r="AW53" i="128"/>
  <c r="AW56" i="128" s="1"/>
  <c r="AQ60" i="128"/>
  <c r="AS60" i="128"/>
  <c r="AU60" i="128"/>
  <c r="AW57" i="128"/>
  <c r="AM60" i="128"/>
  <c r="AO64" i="128"/>
  <c r="AY75" i="128"/>
  <c r="AM106" i="128"/>
  <c r="AP106" i="128"/>
  <c r="Z108" i="128" l="1"/>
  <c r="Y20" i="134" s="1"/>
  <c r="L108" i="128"/>
  <c r="K20" i="134" s="1"/>
  <c r="H108" i="128"/>
  <c r="G20" i="134" s="1"/>
  <c r="AY105" i="128"/>
  <c r="AY64" i="128"/>
  <c r="AY52" i="128"/>
  <c r="AY41" i="128"/>
  <c r="AY44" i="128" s="1"/>
  <c r="AY16" i="128"/>
  <c r="AL93" i="135"/>
  <c r="AL73" i="135"/>
  <c r="AM28" i="128"/>
  <c r="AJ108" i="128"/>
  <c r="AI20" i="134" s="1"/>
  <c r="AM40" i="128"/>
  <c r="AY40" i="128"/>
  <c r="AW73" i="128"/>
  <c r="AW108" i="128" s="1"/>
  <c r="AS73" i="128"/>
  <c r="AS108" i="128" s="1"/>
  <c r="AY20" i="128"/>
  <c r="AY48" i="128"/>
  <c r="AY36" i="128"/>
  <c r="AY32" i="128"/>
  <c r="AO73" i="128"/>
  <c r="AO108" i="128" s="1"/>
  <c r="AY53" i="128"/>
  <c r="AY56" i="128" s="1"/>
  <c r="AG108" i="128"/>
  <c r="AF20" i="134" s="1"/>
  <c r="U108" i="128"/>
  <c r="T20" i="134" s="1"/>
  <c r="AV73" i="128"/>
  <c r="AW52" i="128"/>
  <c r="AS32" i="128"/>
  <c r="AY27" i="128"/>
  <c r="AY25" i="128"/>
  <c r="AM24" i="128"/>
  <c r="AY9" i="128"/>
  <c r="AY12" i="128" s="1"/>
  <c r="AW60" i="128"/>
  <c r="AY57" i="128"/>
  <c r="AY60" i="128" s="1"/>
  <c r="T108" i="128"/>
  <c r="S20" i="134" s="1"/>
  <c r="AU73" i="128"/>
  <c r="AU108" i="128" s="1"/>
  <c r="AT73" i="128"/>
  <c r="AQ73" i="128"/>
  <c r="AQ108" i="128" s="1"/>
  <c r="AS48" i="128"/>
  <c r="AO40" i="128"/>
  <c r="AO36" i="128"/>
  <c r="AY21" i="128"/>
  <c r="AY24" i="128" s="1"/>
  <c r="AM73" i="128" l="1"/>
  <c r="AM74" i="128"/>
  <c r="AL170" i="135"/>
  <c r="AL172" i="135" s="1"/>
  <c r="AL173" i="135" s="1"/>
  <c r="AY28" i="128"/>
  <c r="AY73" i="128" s="1"/>
  <c r="AM108" i="128"/>
  <c r="H68" i="15" l="1"/>
  <c r="F73" i="15" l="1"/>
  <c r="F33" i="115" l="1"/>
  <c r="AE26" i="134" l="1"/>
  <c r="AF26" i="134"/>
  <c r="AG26" i="134"/>
  <c r="AH26" i="134"/>
  <c r="AI26" i="134"/>
  <c r="AJ26" i="134"/>
  <c r="AK26" i="134"/>
  <c r="AE27" i="134"/>
  <c r="AF27" i="134"/>
  <c r="AG27" i="134"/>
  <c r="AH27" i="134"/>
  <c r="AI27" i="134"/>
  <c r="AJ27" i="134"/>
  <c r="AK27" i="134"/>
  <c r="AE28" i="134"/>
  <c r="AF28" i="134"/>
  <c r="AG28" i="134"/>
  <c r="AH28" i="134"/>
  <c r="AI28" i="134"/>
  <c r="AJ28" i="134"/>
  <c r="AK28" i="134"/>
  <c r="AE29" i="134"/>
  <c r="AF29" i="134"/>
  <c r="AG29" i="134"/>
  <c r="AH29" i="134"/>
  <c r="AI29" i="134"/>
  <c r="AJ29" i="134"/>
  <c r="AK29" i="134"/>
  <c r="AE30" i="134"/>
  <c r="AF30" i="134"/>
  <c r="AG30" i="134"/>
  <c r="AH30" i="134"/>
  <c r="AI30" i="134"/>
  <c r="AJ30" i="134"/>
  <c r="AK30" i="134"/>
  <c r="AE9" i="134"/>
  <c r="AF9" i="134"/>
  <c r="AG9" i="134"/>
  <c r="AH9" i="134"/>
  <c r="AI9" i="134"/>
  <c r="AJ9" i="134"/>
  <c r="AK9" i="134"/>
  <c r="AE10" i="134"/>
  <c r="AF10" i="134"/>
  <c r="AG10" i="134"/>
  <c r="AH10" i="134"/>
  <c r="AI10" i="134"/>
  <c r="AJ10" i="134"/>
  <c r="AK10" i="134"/>
  <c r="AE11" i="134"/>
  <c r="AF11" i="134"/>
  <c r="AG11" i="134"/>
  <c r="AH11" i="134"/>
  <c r="AI11" i="134"/>
  <c r="AJ11" i="134"/>
  <c r="AK11" i="134"/>
  <c r="AE12" i="134"/>
  <c r="AF12" i="134"/>
  <c r="AG12" i="134"/>
  <c r="AH12" i="134"/>
  <c r="AI12" i="134"/>
  <c r="AJ12" i="134"/>
  <c r="AK12" i="134"/>
  <c r="AE13" i="134"/>
  <c r="AF13" i="134"/>
  <c r="AG13" i="134"/>
  <c r="AH13" i="134"/>
  <c r="AI13" i="134"/>
  <c r="AJ13" i="134"/>
  <c r="AK13" i="134"/>
  <c r="AE14" i="134"/>
  <c r="AF14" i="134"/>
  <c r="AG14" i="134"/>
  <c r="AH14" i="134"/>
  <c r="AI14" i="134"/>
  <c r="AJ14" i="134"/>
  <c r="AK14" i="134"/>
  <c r="AE15" i="134"/>
  <c r="AF15" i="134"/>
  <c r="AG15" i="134"/>
  <c r="AH15" i="134"/>
  <c r="AI15" i="134"/>
  <c r="AJ15" i="134"/>
  <c r="AK15" i="134"/>
  <c r="AE16" i="134"/>
  <c r="AF16" i="134"/>
  <c r="AG16" i="134"/>
  <c r="AH16" i="134"/>
  <c r="AI16" i="134"/>
  <c r="AJ16" i="134"/>
  <c r="AK16" i="134"/>
  <c r="AE17" i="134"/>
  <c r="AF17" i="134"/>
  <c r="AG17" i="134"/>
  <c r="AH17" i="134"/>
  <c r="AI17" i="134"/>
  <c r="AJ17" i="134"/>
  <c r="AK17" i="134"/>
  <c r="AE45" i="134"/>
  <c r="AF45" i="134"/>
  <c r="AG45" i="134"/>
  <c r="AH45" i="134"/>
  <c r="AI45" i="134"/>
  <c r="AJ45" i="134"/>
  <c r="AK45" i="134"/>
  <c r="AG18" i="134" l="1"/>
  <c r="AF31" i="134"/>
  <c r="AE18" i="134"/>
  <c r="AK18" i="134"/>
  <c r="AF18" i="134"/>
  <c r="AJ18" i="134"/>
  <c r="AI18" i="134"/>
  <c r="AJ31" i="134"/>
  <c r="AH31" i="134"/>
  <c r="AE31" i="134"/>
  <c r="AK31" i="134"/>
  <c r="AI31" i="134"/>
  <c r="AG31" i="134"/>
  <c r="AH18" i="134"/>
  <c r="AE22" i="134" l="1"/>
  <c r="AE33" i="134" s="1"/>
  <c r="AE47" i="134" s="1"/>
  <c r="AF22" i="134"/>
  <c r="AF33" i="134" s="1"/>
  <c r="AF47" i="134" s="1"/>
  <c r="AK22" i="134"/>
  <c r="AK33" i="134" s="1"/>
  <c r="AK47" i="134" s="1"/>
  <c r="AH22" i="134"/>
  <c r="AH33" i="134" s="1"/>
  <c r="AH47" i="134" s="1"/>
  <c r="AJ22" i="134"/>
  <c r="AJ33" i="134" s="1"/>
  <c r="AJ47" i="134" s="1"/>
  <c r="AI22" i="134"/>
  <c r="AI33" i="134" s="1"/>
  <c r="AI47" i="134" s="1"/>
  <c r="AG22" i="134"/>
  <c r="AG33" i="134" s="1"/>
  <c r="AG47" i="134" s="1"/>
  <c r="F21" i="76" l="1"/>
  <c r="C20" i="159" l="1"/>
  <c r="F9" i="166" l="1"/>
  <c r="F8" i="166"/>
  <c r="F7" i="166"/>
  <c r="H9" i="166"/>
  <c r="H8" i="166"/>
  <c r="H7" i="166"/>
  <c r="F12" i="166"/>
  <c r="F5" i="166" s="1"/>
  <c r="F4" i="166" l="1"/>
  <c r="H12" i="166"/>
  <c r="H11" i="166"/>
  <c r="H4" i="166"/>
  <c r="H5" i="166" l="1"/>
  <c r="T64" i="155" l="1"/>
  <c r="T9" i="134" l="1"/>
  <c r="T10" i="134"/>
  <c r="T11" i="134"/>
  <c r="T12" i="134"/>
  <c r="T13" i="134"/>
  <c r="T14" i="134"/>
  <c r="T15" i="134"/>
  <c r="T16" i="134"/>
  <c r="T17" i="134"/>
  <c r="Z49" i="155" l="1"/>
  <c r="AA5" i="155" l="1"/>
  <c r="AA6" i="155"/>
  <c r="AA7" i="155"/>
  <c r="AA8" i="155"/>
  <c r="AA9" i="155"/>
  <c r="AA10" i="155"/>
  <c r="AA12" i="155"/>
  <c r="AA13" i="155"/>
  <c r="AA14" i="155"/>
  <c r="AA15" i="155"/>
  <c r="AA18" i="155"/>
  <c r="AA20" i="155"/>
  <c r="AA21" i="155"/>
  <c r="AA23" i="155"/>
  <c r="AA25" i="155"/>
  <c r="AA26" i="155"/>
  <c r="AA28" i="155"/>
  <c r="AA29" i="155"/>
  <c r="AA30" i="155"/>
  <c r="AA33" i="155"/>
  <c r="AA40" i="155"/>
  <c r="AA41" i="155"/>
  <c r="AA42" i="155"/>
  <c r="AA43" i="155"/>
  <c r="AA44" i="155"/>
  <c r="AA46" i="155"/>
  <c r="AA47" i="155"/>
  <c r="AA48" i="155"/>
  <c r="AA51" i="155"/>
  <c r="AA59" i="155"/>
  <c r="AA60" i="155"/>
  <c r="AA61" i="155"/>
  <c r="AA62" i="155"/>
  <c r="AA63" i="155"/>
  <c r="AA65" i="155"/>
  <c r="AA68" i="155"/>
  <c r="AA69" i="155"/>
  <c r="AA70" i="155"/>
  <c r="AA71" i="155"/>
  <c r="AA76" i="155"/>
  <c r="AA77" i="155"/>
  <c r="AA79" i="155"/>
  <c r="AA80" i="155"/>
  <c r="AA81" i="155"/>
  <c r="AA82" i="155"/>
  <c r="AA83" i="155"/>
  <c r="AA85" i="155"/>
  <c r="AA86" i="155"/>
  <c r="AA87" i="155"/>
  <c r="AA88" i="155"/>
  <c r="AA89" i="155"/>
  <c r="AA90" i="155"/>
  <c r="AA91" i="155"/>
  <c r="AA92" i="155"/>
  <c r="AA93" i="155"/>
  <c r="AA94" i="155"/>
  <c r="AA95" i="155"/>
  <c r="AA96" i="155"/>
  <c r="AA97" i="155"/>
  <c r="AA98" i="155"/>
  <c r="AA99" i="155"/>
  <c r="AA104" i="155"/>
  <c r="AA105" i="155"/>
  <c r="AA106" i="155"/>
  <c r="AA107" i="155"/>
  <c r="AA108" i="155"/>
  <c r="AA110" i="155"/>
  <c r="AA111" i="155"/>
  <c r="Z4" i="155" l="1"/>
  <c r="Z50" i="155" l="1"/>
  <c r="AA50" i="155" s="1"/>
  <c r="AC9" i="134" l="1"/>
  <c r="AD9" i="134"/>
  <c r="AC10" i="134"/>
  <c r="AD10" i="134"/>
  <c r="AC11" i="134"/>
  <c r="AD11" i="134"/>
  <c r="AC12" i="134"/>
  <c r="AD12" i="134"/>
  <c r="AC13" i="134"/>
  <c r="AD13" i="134"/>
  <c r="AC14" i="134"/>
  <c r="AD14" i="134"/>
  <c r="AC15" i="134"/>
  <c r="AD15" i="134"/>
  <c r="AC16" i="134"/>
  <c r="AD16" i="134"/>
  <c r="AC17" i="134"/>
  <c r="AD17" i="134"/>
  <c r="AC18" i="134" l="1"/>
  <c r="AD18" i="134"/>
  <c r="Z22" i="155" l="1"/>
  <c r="Z109" i="155" l="1"/>
  <c r="AA109" i="155" s="1"/>
  <c r="X22" i="155" l="1"/>
  <c r="V22" i="155" l="1"/>
  <c r="AA22" i="155" s="1"/>
  <c r="V102" i="155" l="1"/>
  <c r="R11" i="155" l="1"/>
  <c r="AA11" i="155" s="1"/>
  <c r="H19" i="155" l="1"/>
  <c r="AA19" i="155" s="1"/>
  <c r="R27" i="155"/>
  <c r="AA27" i="155" s="1"/>
  <c r="P16" i="155" l="1"/>
  <c r="L74" i="155" l="1"/>
  <c r="J75" i="155"/>
  <c r="AA75" i="155" s="1"/>
  <c r="J74" i="155"/>
  <c r="L67" i="155"/>
  <c r="AA67" i="155" s="1"/>
  <c r="L66" i="155"/>
  <c r="AA66" i="155" s="1"/>
  <c r="P58" i="155"/>
  <c r="AA58" i="155" s="1"/>
  <c r="P57" i="155"/>
  <c r="AA74" i="155" l="1"/>
  <c r="R39" i="155"/>
  <c r="R38" i="155"/>
  <c r="R37" i="155"/>
  <c r="R36" i="155"/>
  <c r="R35" i="155"/>
  <c r="K10" i="134" l="1"/>
  <c r="K11" i="134"/>
  <c r="K12" i="134"/>
  <c r="K13" i="134"/>
  <c r="K14" i="134"/>
  <c r="K15" i="134"/>
  <c r="K16" i="134"/>
  <c r="K17" i="134"/>
  <c r="D40" i="160" l="1"/>
  <c r="E40" i="160" s="1"/>
  <c r="M40" i="160"/>
  <c r="L40" i="160"/>
  <c r="M11" i="160" l="1"/>
  <c r="M12" i="160"/>
  <c r="M13" i="160"/>
  <c r="M14" i="160"/>
  <c r="M15" i="160"/>
  <c r="M16" i="160"/>
  <c r="M20" i="160"/>
  <c r="M21" i="160"/>
  <c r="M22" i="160"/>
  <c r="M23" i="160"/>
  <c r="M24" i="160"/>
  <c r="M25" i="160"/>
  <c r="M26" i="160"/>
  <c r="M27" i="160"/>
  <c r="M28" i="160"/>
  <c r="M29" i="160"/>
  <c r="D21" i="160"/>
  <c r="E21" i="160" s="1"/>
  <c r="D22" i="160"/>
  <c r="E22" i="160" s="1"/>
  <c r="D23" i="160"/>
  <c r="E23" i="160" s="1"/>
  <c r="D24" i="160"/>
  <c r="E24" i="160" s="1"/>
  <c r="D25" i="160"/>
  <c r="E25" i="160" s="1"/>
  <c r="D26" i="160"/>
  <c r="E26" i="160" s="1"/>
  <c r="D27" i="160"/>
  <c r="E27" i="160" s="1"/>
  <c r="D28" i="160"/>
  <c r="E28" i="160" s="1"/>
  <c r="D29" i="160"/>
  <c r="E29" i="160" s="1"/>
  <c r="D30" i="160"/>
  <c r="D31" i="160"/>
  <c r="D32" i="160"/>
  <c r="D33" i="160"/>
  <c r="D34" i="160"/>
  <c r="D35" i="160"/>
  <c r="D36" i="160"/>
  <c r="D37" i="160"/>
  <c r="D38" i="160"/>
  <c r="D39" i="160"/>
  <c r="D20" i="160"/>
  <c r="E20" i="160" s="1"/>
  <c r="D9" i="160"/>
  <c r="E9" i="160" s="1"/>
  <c r="D10" i="160"/>
  <c r="E10" i="160" s="1"/>
  <c r="D11" i="160"/>
  <c r="E11" i="160" s="1"/>
  <c r="D12" i="160"/>
  <c r="E12" i="160" s="1"/>
  <c r="D13" i="160"/>
  <c r="E13" i="160" s="1"/>
  <c r="D14" i="160"/>
  <c r="E14" i="160" s="1"/>
  <c r="D15" i="160"/>
  <c r="E15" i="160" s="1"/>
  <c r="D16" i="160"/>
  <c r="E16" i="160" s="1"/>
  <c r="D17" i="160"/>
  <c r="E17" i="160" s="1"/>
  <c r="D18" i="160"/>
  <c r="E18" i="160" s="1"/>
  <c r="D19" i="160"/>
  <c r="E19" i="160" s="1"/>
  <c r="D8" i="160"/>
  <c r="E8" i="160" s="1"/>
  <c r="F47" i="160"/>
  <c r="F46" i="160"/>
  <c r="S43" i="160"/>
  <c r="D43" i="160"/>
  <c r="M39" i="160"/>
  <c r="L39" i="160"/>
  <c r="E39" i="160"/>
  <c r="M38" i="160"/>
  <c r="L38" i="160"/>
  <c r="E38" i="160"/>
  <c r="M37" i="160"/>
  <c r="L37" i="160"/>
  <c r="E37" i="160"/>
  <c r="M36" i="160"/>
  <c r="L36" i="160"/>
  <c r="E36" i="160"/>
  <c r="M35" i="160"/>
  <c r="L35" i="160"/>
  <c r="E35" i="160"/>
  <c r="M34" i="160"/>
  <c r="L34" i="160"/>
  <c r="E34" i="160"/>
  <c r="M33" i="160"/>
  <c r="L33" i="160"/>
  <c r="E33" i="160"/>
  <c r="M32" i="160"/>
  <c r="L32" i="160"/>
  <c r="E32" i="160"/>
  <c r="M31" i="160"/>
  <c r="L31" i="160"/>
  <c r="E31" i="160"/>
  <c r="M30" i="160"/>
  <c r="L30" i="160"/>
  <c r="E30" i="160"/>
  <c r="L29" i="160"/>
  <c r="L28" i="160"/>
  <c r="L27" i="160"/>
  <c r="L26" i="160"/>
  <c r="L25" i="160"/>
  <c r="L24" i="160"/>
  <c r="L23" i="160"/>
  <c r="L22" i="160"/>
  <c r="L21" i="160"/>
  <c r="L20" i="160"/>
  <c r="C19" i="160"/>
  <c r="M19" i="160" s="1"/>
  <c r="C18" i="160"/>
  <c r="C50" i="160" s="1"/>
  <c r="C17" i="160"/>
  <c r="M17" i="160" s="1"/>
  <c r="L16" i="160"/>
  <c r="L15" i="160"/>
  <c r="L14" i="160"/>
  <c r="L13" i="160"/>
  <c r="L12" i="160"/>
  <c r="L11" i="160"/>
  <c r="M10" i="160"/>
  <c r="L10" i="160"/>
  <c r="M9" i="160"/>
  <c r="L9" i="160"/>
  <c r="M8" i="160"/>
  <c r="L8" i="160"/>
  <c r="I43" i="160"/>
  <c r="F48" i="160" s="1"/>
  <c r="X44" i="160"/>
  <c r="M18" i="160" l="1"/>
  <c r="X43" i="160"/>
  <c r="X45" i="160"/>
  <c r="C51" i="160"/>
  <c r="N16" i="155" l="1"/>
  <c r="N55" i="155" l="1"/>
  <c r="AA55" i="155" s="1"/>
  <c r="N54" i="155"/>
  <c r="S10" i="134" l="1"/>
  <c r="S11" i="134"/>
  <c r="S12" i="134"/>
  <c r="S13" i="134"/>
  <c r="S14" i="134"/>
  <c r="S15" i="134"/>
  <c r="S16" i="134"/>
  <c r="S17" i="134"/>
  <c r="N53" i="155" l="1"/>
  <c r="N78" i="155" l="1"/>
  <c r="AA78" i="155" s="1"/>
  <c r="N84" i="155"/>
  <c r="AA84" i="155" s="1"/>
  <c r="N52" i="155"/>
  <c r="Q10" i="134"/>
  <c r="Q11" i="134"/>
  <c r="Q12" i="134"/>
  <c r="Q13" i="134"/>
  <c r="Q14" i="134"/>
  <c r="Q15" i="134"/>
  <c r="Q16" i="134"/>
  <c r="Q17" i="134"/>
  <c r="L17" i="155" l="1"/>
  <c r="AA17" i="155" s="1"/>
  <c r="L16" i="155"/>
  <c r="AA16" i="155" s="1"/>
  <c r="AR66" i="79" l="1"/>
  <c r="AP66" i="79"/>
  <c r="AN66" i="79"/>
  <c r="AL66" i="79"/>
  <c r="D68" i="79"/>
  <c r="J68" i="79"/>
  <c r="S68" i="79"/>
  <c r="T68" i="79"/>
  <c r="X68" i="79"/>
  <c r="Y68" i="79"/>
  <c r="AC68" i="79"/>
  <c r="AF68" i="79"/>
  <c r="AJ66" i="79"/>
  <c r="AT66" i="79" l="1"/>
  <c r="AG68" i="79" l="1"/>
  <c r="AE68" i="79"/>
  <c r="AB68" i="79"/>
  <c r="Z68" i="79"/>
  <c r="R68" i="79" l="1"/>
  <c r="N68" i="79"/>
  <c r="Q68" i="79"/>
  <c r="AH68" i="79"/>
  <c r="AD68" i="79"/>
  <c r="P68" i="79"/>
  <c r="F68" i="79"/>
  <c r="W68" i="79"/>
  <c r="K68" i="79"/>
  <c r="E68" i="79"/>
  <c r="AA68" i="79"/>
  <c r="O68" i="79"/>
  <c r="G68" i="79"/>
  <c r="U68" i="79" l="1"/>
  <c r="I68" i="79"/>
  <c r="C68" i="79"/>
  <c r="H68" i="79"/>
  <c r="M68" i="79"/>
  <c r="L68" i="79"/>
  <c r="V68" i="79"/>
  <c r="AV66" i="79" l="1"/>
  <c r="AX66" i="79" s="1"/>
  <c r="AA128" i="155" l="1"/>
  <c r="AA129" i="155"/>
  <c r="AA130" i="155"/>
  <c r="AA131" i="155"/>
  <c r="L54" i="155" l="1"/>
  <c r="AA54" i="155" s="1"/>
  <c r="D27" i="134" l="1"/>
  <c r="E27" i="134"/>
  <c r="F27" i="134"/>
  <c r="G27" i="134"/>
  <c r="H27" i="134"/>
  <c r="I27" i="134"/>
  <c r="J27" i="134"/>
  <c r="L27" i="134"/>
  <c r="M27" i="134"/>
  <c r="N27" i="134"/>
  <c r="O27" i="134"/>
  <c r="P27" i="134"/>
  <c r="Q27" i="134"/>
  <c r="R27" i="134"/>
  <c r="S27" i="134"/>
  <c r="T27" i="134"/>
  <c r="U27" i="134"/>
  <c r="V27" i="134"/>
  <c r="W27" i="134"/>
  <c r="X27" i="134"/>
  <c r="Y27" i="134"/>
  <c r="Z27" i="134"/>
  <c r="AA27" i="134"/>
  <c r="AB27" i="134"/>
  <c r="AC27" i="134"/>
  <c r="AD27" i="134"/>
  <c r="C27" i="134"/>
  <c r="K27" i="134" l="1"/>
  <c r="AJ35" i="79" l="1"/>
  <c r="AJ36" i="79"/>
  <c r="AJ37" i="79"/>
  <c r="AJ38" i="79"/>
  <c r="D2131" i="136"/>
  <c r="D2120" i="136"/>
  <c r="N10" i="134" l="1"/>
  <c r="N11" i="134"/>
  <c r="N12" i="134"/>
  <c r="N13" i="134"/>
  <c r="N14" i="134"/>
  <c r="N15" i="134"/>
  <c r="N16" i="134"/>
  <c r="N17" i="134"/>
  <c r="L26" i="134" l="1"/>
  <c r="L30" i="134"/>
  <c r="J10" i="134" l="1"/>
  <c r="J11" i="134"/>
  <c r="J12" i="134"/>
  <c r="J13" i="134"/>
  <c r="J14" i="134"/>
  <c r="J15" i="134"/>
  <c r="J16" i="134"/>
  <c r="J17" i="134"/>
  <c r="I10" i="134" l="1"/>
  <c r="I11" i="134"/>
  <c r="I12" i="134"/>
  <c r="I13" i="134"/>
  <c r="I14" i="134"/>
  <c r="I15" i="134"/>
  <c r="I16" i="134"/>
  <c r="I17" i="134"/>
  <c r="G30" i="134" l="1"/>
  <c r="E30" i="134" l="1"/>
  <c r="D28" i="134"/>
  <c r="D29" i="134"/>
  <c r="D30" i="134"/>
  <c r="D45" i="134" l="1"/>
  <c r="D10" i="134"/>
  <c r="D11" i="134"/>
  <c r="D12" i="134"/>
  <c r="D13" i="134"/>
  <c r="D14" i="134"/>
  <c r="D15" i="134"/>
  <c r="D16" i="134"/>
  <c r="D17" i="134"/>
  <c r="Z159" i="155" l="1"/>
  <c r="Z158" i="155"/>
  <c r="Z154" i="155"/>
  <c r="Z153" i="155"/>
  <c r="AA153" i="155" s="1"/>
  <c r="AA152" i="155"/>
  <c r="T150" i="155"/>
  <c r="AA150" i="155" s="1"/>
  <c r="T149" i="155"/>
  <c r="AA149" i="155" s="1"/>
  <c r="X148" i="155"/>
  <c r="AA148" i="155" s="1"/>
  <c r="Z147" i="155"/>
  <c r="X147" i="155"/>
  <c r="Z146" i="155"/>
  <c r="Z145" i="155"/>
  <c r="AA145" i="155" s="1"/>
  <c r="Z144" i="155"/>
  <c r="Z143" i="155"/>
  <c r="AA143" i="155" s="1"/>
  <c r="AA142" i="155"/>
  <c r="AA141" i="155"/>
  <c r="AA140" i="155"/>
  <c r="AA139" i="155"/>
  <c r="AA138" i="155"/>
  <c r="AA137" i="155"/>
  <c r="AA136" i="155"/>
  <c r="AA135" i="155"/>
  <c r="AA134" i="155"/>
  <c r="X133" i="155"/>
  <c r="AA133" i="155" s="1"/>
  <c r="AA132" i="155"/>
  <c r="AA127" i="155"/>
  <c r="AA126" i="155"/>
  <c r="AA125" i="155"/>
  <c r="AA124" i="155"/>
  <c r="AA123" i="155"/>
  <c r="AA122" i="155"/>
  <c r="AA121" i="155"/>
  <c r="F103" i="155"/>
  <c r="AA103" i="155" s="1"/>
  <c r="F102" i="155"/>
  <c r="AA102" i="155" s="1"/>
  <c r="D102" i="155"/>
  <c r="F101" i="155"/>
  <c r="AA101" i="155" s="1"/>
  <c r="F100" i="155"/>
  <c r="AA100" i="155" s="1"/>
  <c r="D100" i="155"/>
  <c r="D77" i="155"/>
  <c r="D75" i="155"/>
  <c r="D74" i="155"/>
  <c r="F73" i="155"/>
  <c r="AA73" i="155" s="1"/>
  <c r="F72" i="155"/>
  <c r="AA72" i="155" s="1"/>
  <c r="D72" i="155"/>
  <c r="F64" i="155"/>
  <c r="AA64" i="155" s="1"/>
  <c r="F57" i="155"/>
  <c r="AA57" i="155" s="1"/>
  <c r="F56" i="155"/>
  <c r="AA56" i="155" s="1"/>
  <c r="D56" i="155"/>
  <c r="F53" i="155"/>
  <c r="AA53" i="155" s="1"/>
  <c r="D53" i="155"/>
  <c r="F52" i="155"/>
  <c r="AA52" i="155" s="1"/>
  <c r="D52" i="155"/>
  <c r="D46" i="155"/>
  <c r="F45" i="155"/>
  <c r="AA45" i="155" s="1"/>
  <c r="D45" i="155"/>
  <c r="L39" i="155"/>
  <c r="AA39" i="155" s="1"/>
  <c r="J38" i="155"/>
  <c r="F38" i="155"/>
  <c r="H37" i="155"/>
  <c r="F37" i="155"/>
  <c r="D37" i="155"/>
  <c r="F36" i="155"/>
  <c r="AA36" i="155" s="1"/>
  <c r="D36" i="155"/>
  <c r="F35" i="155"/>
  <c r="AA35" i="155" s="1"/>
  <c r="D35" i="155"/>
  <c r="F34" i="155"/>
  <c r="AA34" i="155" s="1"/>
  <c r="D34" i="155"/>
  <c r="H32" i="155"/>
  <c r="F32" i="155"/>
  <c r="D32" i="155"/>
  <c r="H31" i="155"/>
  <c r="F31" i="155"/>
  <c r="D31" i="155"/>
  <c r="AA4" i="155"/>
  <c r="AA32" i="155" l="1"/>
  <c r="AA31" i="155"/>
  <c r="AA37" i="155"/>
  <c r="AA38" i="155"/>
  <c r="AA147" i="155"/>
  <c r="C12" i="159" l="1"/>
  <c r="AV43" i="79" l="1"/>
  <c r="AV45" i="79"/>
  <c r="AV47" i="79"/>
  <c r="AV50" i="79"/>
  <c r="AV51" i="79"/>
  <c r="AV53" i="79"/>
  <c r="AV61" i="79"/>
  <c r="AV63" i="79"/>
  <c r="AV44" i="79"/>
  <c r="AV46" i="79"/>
  <c r="AV48" i="79"/>
  <c r="AV33" i="79"/>
  <c r="AV34" i="79"/>
  <c r="AV52" i="79"/>
  <c r="AV54" i="79"/>
  <c r="AV55" i="79"/>
  <c r="AV56" i="79"/>
  <c r="AV35" i="79"/>
  <c r="AV57" i="79"/>
  <c r="AV36" i="79"/>
  <c r="AV37" i="79"/>
  <c r="AV38" i="79"/>
  <c r="AV39" i="79"/>
  <c r="AV58" i="79"/>
  <c r="AV60" i="79"/>
  <c r="AV62" i="79"/>
  <c r="AV59" i="79"/>
  <c r="AV40" i="79"/>
  <c r="AV65" i="79"/>
  <c r="AL59" i="79" l="1"/>
  <c r="AN43" i="79"/>
  <c r="AP43" i="79"/>
  <c r="AR43" i="79"/>
  <c r="AN44" i="79"/>
  <c r="AP44" i="79"/>
  <c r="AR44" i="79"/>
  <c r="AN45" i="79"/>
  <c r="AP45" i="79"/>
  <c r="AR45" i="79"/>
  <c r="AN46" i="79"/>
  <c r="AP46" i="79"/>
  <c r="AR46" i="79"/>
  <c r="AN47" i="79"/>
  <c r="AP47" i="79"/>
  <c r="AR47" i="79"/>
  <c r="AP48" i="79"/>
  <c r="AR48" i="79"/>
  <c r="AN49" i="79"/>
  <c r="AP49" i="79"/>
  <c r="AR49" i="79"/>
  <c r="AN50" i="79"/>
  <c r="AP50" i="79"/>
  <c r="AR50" i="79"/>
  <c r="AN34" i="79"/>
  <c r="AR51" i="79"/>
  <c r="AN52" i="79"/>
  <c r="AP52" i="79"/>
  <c r="AR52" i="79"/>
  <c r="AN53" i="79"/>
  <c r="AR53" i="79"/>
  <c r="AP54" i="79"/>
  <c r="AN55" i="79"/>
  <c r="AP55" i="79"/>
  <c r="AR55" i="79"/>
  <c r="AN56" i="79"/>
  <c r="AR56" i="79"/>
  <c r="AR35" i="79"/>
  <c r="AN57" i="79"/>
  <c r="AP57" i="79"/>
  <c r="AR57" i="79"/>
  <c r="AP36" i="79"/>
  <c r="AR36" i="79"/>
  <c r="AN37" i="79"/>
  <c r="AP37" i="79"/>
  <c r="AR37" i="79"/>
  <c r="AN39" i="79"/>
  <c r="AP39" i="79"/>
  <c r="AN58" i="79"/>
  <c r="AR58" i="79"/>
  <c r="AN60" i="79"/>
  <c r="AP60" i="79"/>
  <c r="AR60" i="79"/>
  <c r="AN61" i="79"/>
  <c r="AP61" i="79"/>
  <c r="AR61" i="79"/>
  <c r="AN62" i="79"/>
  <c r="AP62" i="79"/>
  <c r="AR62" i="79"/>
  <c r="AN63" i="79"/>
  <c r="AP63" i="79"/>
  <c r="AR63" i="79"/>
  <c r="AN59" i="79"/>
  <c r="AP59" i="79"/>
  <c r="AR59" i="79"/>
  <c r="AL43" i="79"/>
  <c r="AL44" i="79"/>
  <c r="AL45" i="79"/>
  <c r="AL46" i="79"/>
  <c r="AL49" i="79"/>
  <c r="AL50" i="79"/>
  <c r="AL51" i="79"/>
  <c r="AL52" i="79"/>
  <c r="AL53" i="79"/>
  <c r="AL54" i="79"/>
  <c r="AL56" i="79"/>
  <c r="AL57" i="79"/>
  <c r="AL37" i="79"/>
  <c r="AL39" i="79"/>
  <c r="AL60" i="79"/>
  <c r="AL61" i="79"/>
  <c r="AL62" i="79"/>
  <c r="AL63" i="79"/>
  <c r="AJ43" i="79"/>
  <c r="AJ44" i="79"/>
  <c r="AJ49" i="79"/>
  <c r="AJ50" i="79"/>
  <c r="AJ51" i="79"/>
  <c r="AJ54" i="79"/>
  <c r="AJ55" i="79"/>
  <c r="AJ57" i="79"/>
  <c r="AJ39" i="79"/>
  <c r="AJ60" i="79"/>
  <c r="AJ61" i="79"/>
  <c r="AJ62" i="79"/>
  <c r="AJ63" i="79"/>
  <c r="AJ59" i="79"/>
  <c r="L10" i="134"/>
  <c r="L11" i="134"/>
  <c r="L12" i="134"/>
  <c r="L13" i="134"/>
  <c r="L14" i="134"/>
  <c r="L15" i="134"/>
  <c r="L16" i="134"/>
  <c r="L17" i="134"/>
  <c r="AT62" i="79" l="1"/>
  <c r="AT60" i="79"/>
  <c r="AT49" i="79"/>
  <c r="AT43" i="79"/>
  <c r="AT63" i="79"/>
  <c r="AT61" i="79"/>
  <c r="AT57" i="79"/>
  <c r="AT50" i="79"/>
  <c r="AT44" i="79"/>
  <c r="AT59" i="79"/>
  <c r="AP35" i="79" l="1"/>
  <c r="AR54" i="79"/>
  <c r="AJ53" i="79"/>
  <c r="AP51" i="79"/>
  <c r="AN51" i="79"/>
  <c r="AL48" i="79"/>
  <c r="AJ46" i="79"/>
  <c r="AT46" i="79" s="1"/>
  <c r="AJ48" i="79" l="1"/>
  <c r="AJ33" i="79"/>
  <c r="AL33" i="79"/>
  <c r="AL55" i="79"/>
  <c r="AT55" i="79" s="1"/>
  <c r="AP33" i="79"/>
  <c r="AP53" i="79"/>
  <c r="AT53" i="79" s="1"/>
  <c r="AN54" i="79"/>
  <c r="AT54" i="79" s="1"/>
  <c r="AN33" i="79"/>
  <c r="AR33" i="79"/>
  <c r="AL35" i="79"/>
  <c r="AN35" i="79"/>
  <c r="AN48" i="79"/>
  <c r="AT51" i="79"/>
  <c r="AP58" i="79"/>
  <c r="AL58" i="79"/>
  <c r="AJ58" i="79"/>
  <c r="AJ45" i="79"/>
  <c r="AT45" i="79" s="1"/>
  <c r="AP56" i="79"/>
  <c r="AL47" i="79"/>
  <c r="AR40" i="79"/>
  <c r="AT37" i="79"/>
  <c r="AN36" i="79"/>
  <c r="AR34" i="79"/>
  <c r="AJ34" i="79"/>
  <c r="AR38" i="79" l="1"/>
  <c r="AP38" i="79"/>
  <c r="AR39" i="79"/>
  <c r="AT39" i="79" s="1"/>
  <c r="AL36" i="79"/>
  <c r="AT36" i="79" s="1"/>
  <c r="AT35" i="79"/>
  <c r="AT33" i="79"/>
  <c r="AT48" i="79"/>
  <c r="AJ56" i="79"/>
  <c r="AT56" i="79" s="1"/>
  <c r="AT58" i="79"/>
  <c r="AN38" i="79"/>
  <c r="AJ40" i="79"/>
  <c r="AN40" i="79"/>
  <c r="AP40" i="79"/>
  <c r="AJ52" i="79"/>
  <c r="AT52" i="79" s="1"/>
  <c r="AL38" i="79"/>
  <c r="AL34" i="79"/>
  <c r="AP34" i="79"/>
  <c r="AL40" i="79"/>
  <c r="AJ47" i="79"/>
  <c r="AT47" i="79" s="1"/>
  <c r="AT38" i="79" l="1"/>
  <c r="AT40" i="79"/>
  <c r="AT34" i="79"/>
  <c r="D13" i="157" l="1"/>
  <c r="E13" i="157" s="1"/>
  <c r="L13" i="157"/>
  <c r="D12" i="157" l="1"/>
  <c r="E12" i="157" s="1"/>
  <c r="L12" i="157"/>
  <c r="L11" i="157" l="1"/>
  <c r="D11" i="157"/>
  <c r="E11" i="157" s="1"/>
  <c r="L10" i="157"/>
  <c r="D10" i="157"/>
  <c r="E10" i="157" s="1"/>
  <c r="D8" i="157"/>
  <c r="E8" i="157" s="1"/>
  <c r="D9" i="157"/>
  <c r="E9" i="157" s="1"/>
  <c r="L9" i="157"/>
  <c r="S9" i="134" l="1"/>
  <c r="S45" i="134"/>
  <c r="T45" i="134"/>
  <c r="S18" i="134" l="1"/>
  <c r="E10" i="134"/>
  <c r="E11" i="134"/>
  <c r="E12" i="134"/>
  <c r="E13" i="134"/>
  <c r="E14" i="134"/>
  <c r="E15" i="134"/>
  <c r="E16" i="134"/>
  <c r="E17" i="134"/>
  <c r="C45" i="134"/>
  <c r="C18" i="134"/>
  <c r="E9" i="134"/>
  <c r="D9" i="134"/>
  <c r="C11" i="159" l="1"/>
  <c r="AV49" i="79"/>
  <c r="D18" i="134"/>
  <c r="C28" i="134"/>
  <c r="D26" i="134"/>
  <c r="C26" i="134"/>
  <c r="AL27" i="134" l="1"/>
  <c r="C29" i="134"/>
  <c r="C30" i="134" l="1"/>
  <c r="C31" i="134" s="1"/>
  <c r="D31" i="134"/>
  <c r="N45" i="134"/>
  <c r="O45" i="134"/>
  <c r="N9" i="134" l="1"/>
  <c r="O9" i="134"/>
  <c r="P9" i="134"/>
  <c r="Q9" i="134"/>
  <c r="R9" i="134"/>
  <c r="O10" i="134"/>
  <c r="P10" i="134"/>
  <c r="R10" i="134"/>
  <c r="O11" i="134"/>
  <c r="P11" i="134"/>
  <c r="R11" i="134"/>
  <c r="O12" i="134"/>
  <c r="P12" i="134"/>
  <c r="R12" i="134"/>
  <c r="O13" i="134"/>
  <c r="P13" i="134"/>
  <c r="R13" i="134"/>
  <c r="O14" i="134"/>
  <c r="P14" i="134"/>
  <c r="R14" i="134"/>
  <c r="O15" i="134"/>
  <c r="P15" i="134"/>
  <c r="R15" i="134"/>
  <c r="O16" i="134"/>
  <c r="P16" i="134"/>
  <c r="R16" i="134"/>
  <c r="O17" i="134"/>
  <c r="P17" i="134"/>
  <c r="R17" i="134"/>
  <c r="Q45" i="134"/>
  <c r="D22" i="134" l="1"/>
  <c r="D33" i="134" s="1"/>
  <c r="D47" i="134" s="1"/>
  <c r="M10" i="134" l="1"/>
  <c r="M11" i="134"/>
  <c r="M12" i="134"/>
  <c r="M13" i="134"/>
  <c r="M14" i="134"/>
  <c r="M15" i="134"/>
  <c r="M16" i="134"/>
  <c r="M17" i="134"/>
  <c r="D7" i="157" l="1"/>
  <c r="E7" i="157" s="1"/>
  <c r="M6" i="157"/>
  <c r="M7" i="157"/>
  <c r="L6" i="157"/>
  <c r="L7" i="157"/>
  <c r="L8" i="157"/>
  <c r="D6" i="157"/>
  <c r="E6" i="157" s="1"/>
  <c r="D5" i="157"/>
  <c r="M5" i="157" l="1"/>
  <c r="L5" i="157"/>
  <c r="E5" i="157"/>
  <c r="F10" i="134" l="1"/>
  <c r="F12" i="134"/>
  <c r="F13" i="134"/>
  <c r="F14" i="134"/>
  <c r="F15" i="134"/>
  <c r="F16" i="134"/>
  <c r="F17" i="134"/>
  <c r="AD45" i="134" l="1"/>
  <c r="Y10" i="134" l="1"/>
  <c r="Y11" i="134"/>
  <c r="Y12" i="134"/>
  <c r="Y13" i="134"/>
  <c r="Y14" i="134"/>
  <c r="Y15" i="134"/>
  <c r="Y16" i="134"/>
  <c r="Y17" i="134"/>
  <c r="X45" i="134" l="1"/>
  <c r="X10" i="134"/>
  <c r="X11" i="134"/>
  <c r="X12" i="134"/>
  <c r="X13" i="134"/>
  <c r="X14" i="134"/>
  <c r="X15" i="134"/>
  <c r="X16" i="134"/>
  <c r="X17" i="134"/>
  <c r="AD22" i="134" l="1"/>
  <c r="H10" i="134"/>
  <c r="H11" i="134"/>
  <c r="H12" i="134"/>
  <c r="H13" i="134"/>
  <c r="H14" i="134"/>
  <c r="H15" i="134"/>
  <c r="H16" i="134"/>
  <c r="H17" i="134"/>
  <c r="G10" i="134" l="1"/>
  <c r="G11" i="134"/>
  <c r="G12" i="134"/>
  <c r="G13" i="134"/>
  <c r="G14" i="134"/>
  <c r="G15" i="134"/>
  <c r="G16" i="134"/>
  <c r="G17" i="134"/>
  <c r="F30" i="134" l="1"/>
  <c r="F45" i="134"/>
  <c r="F28" i="134" l="1"/>
  <c r="F29" i="134"/>
  <c r="F26" i="134" l="1"/>
  <c r="E25" i="79" l="1"/>
  <c r="F25" i="79"/>
  <c r="G25" i="79"/>
  <c r="H25" i="79"/>
  <c r="I25" i="79"/>
  <c r="J25" i="79"/>
  <c r="K25" i="79"/>
  <c r="L25" i="79"/>
  <c r="M25" i="79"/>
  <c r="N25" i="79"/>
  <c r="O25" i="79"/>
  <c r="P25" i="79"/>
  <c r="Q25" i="79"/>
  <c r="R25" i="79"/>
  <c r="S25" i="79"/>
  <c r="T25" i="79"/>
  <c r="U25" i="79"/>
  <c r="V25" i="79"/>
  <c r="W25" i="79"/>
  <c r="X25" i="79"/>
  <c r="Y25" i="79"/>
  <c r="Z25" i="79"/>
  <c r="AA25" i="79"/>
  <c r="AB25" i="79"/>
  <c r="AC25" i="79"/>
  <c r="AD25" i="79"/>
  <c r="AE25" i="79"/>
  <c r="AF25" i="79"/>
  <c r="AG25" i="79"/>
  <c r="AH25" i="79"/>
  <c r="AD30" i="134" l="1"/>
  <c r="Q30" i="134" l="1"/>
  <c r="Q28" i="134"/>
  <c r="Q29" i="134"/>
  <c r="Q26" i="134"/>
  <c r="U10" i="134" l="1"/>
  <c r="V10" i="134"/>
  <c r="W10" i="134"/>
  <c r="Z10" i="134"/>
  <c r="AA10" i="134"/>
  <c r="AB10" i="134"/>
  <c r="U11" i="134"/>
  <c r="V11" i="134"/>
  <c r="W11" i="134"/>
  <c r="Z11" i="134"/>
  <c r="AA11" i="134"/>
  <c r="AB11" i="134"/>
  <c r="U12" i="134"/>
  <c r="V12" i="134"/>
  <c r="W12" i="134"/>
  <c r="Z12" i="134"/>
  <c r="AA12" i="134"/>
  <c r="AB12" i="134"/>
  <c r="U13" i="134"/>
  <c r="V13" i="134"/>
  <c r="W13" i="134"/>
  <c r="Z13" i="134"/>
  <c r="AA13" i="134"/>
  <c r="AB13" i="134"/>
  <c r="U14" i="134"/>
  <c r="V14" i="134"/>
  <c r="W14" i="134"/>
  <c r="Z14" i="134"/>
  <c r="AA14" i="134"/>
  <c r="AB14" i="134"/>
  <c r="U15" i="134"/>
  <c r="V15" i="134"/>
  <c r="W15" i="134"/>
  <c r="Z15" i="134"/>
  <c r="AA15" i="134"/>
  <c r="AB15" i="134"/>
  <c r="U16" i="134"/>
  <c r="V16" i="134"/>
  <c r="W16" i="134"/>
  <c r="Z16" i="134"/>
  <c r="AA16" i="134"/>
  <c r="AB16" i="134"/>
  <c r="U17" i="134"/>
  <c r="V17" i="134"/>
  <c r="W17" i="134"/>
  <c r="Z17" i="134"/>
  <c r="AA17" i="134"/>
  <c r="AB17" i="134"/>
  <c r="U9" i="134"/>
  <c r="V9" i="134"/>
  <c r="W9" i="134"/>
  <c r="X9" i="134"/>
  <c r="Y9" i="134"/>
  <c r="Z9" i="134"/>
  <c r="AA9" i="134"/>
  <c r="AB9" i="134"/>
  <c r="J9" i="134"/>
  <c r="K9" i="134"/>
  <c r="L9" i="134"/>
  <c r="M9" i="134"/>
  <c r="I9" i="134"/>
  <c r="AL17" i="134" l="1"/>
  <c r="AL13" i="134"/>
  <c r="AL15" i="134"/>
  <c r="AL11" i="134"/>
  <c r="AL16" i="134"/>
  <c r="AL14" i="134"/>
  <c r="AL12" i="134"/>
  <c r="AL10" i="134"/>
  <c r="X18" i="134"/>
  <c r="AX16" i="134"/>
  <c r="AX15" i="134"/>
  <c r="AX14" i="134"/>
  <c r="AX13" i="134"/>
  <c r="AX12" i="134"/>
  <c r="AX10" i="134" l="1"/>
  <c r="AX11" i="134"/>
  <c r="AX17" i="134"/>
  <c r="H9" i="134"/>
  <c r="H18" i="134" s="1"/>
  <c r="G9" i="134"/>
  <c r="F9" i="134"/>
  <c r="AL9" i="134" l="1"/>
  <c r="AL18" i="134" s="1"/>
  <c r="AX9" i="134"/>
  <c r="F18" i="134"/>
  <c r="H30" i="134" l="1"/>
  <c r="I30" i="134"/>
  <c r="N30" i="134"/>
  <c r="O30" i="134"/>
  <c r="P30" i="134"/>
  <c r="V30" i="134"/>
  <c r="W30" i="134"/>
  <c r="AC30" i="134"/>
  <c r="G29" i="134"/>
  <c r="H29" i="134"/>
  <c r="I29" i="134"/>
  <c r="M29" i="134"/>
  <c r="N29" i="134"/>
  <c r="O29" i="134"/>
  <c r="P29" i="134"/>
  <c r="R29" i="134"/>
  <c r="U29" i="134"/>
  <c r="V29" i="134"/>
  <c r="W29" i="134"/>
  <c r="Y29" i="134"/>
  <c r="AC29" i="134"/>
  <c r="AD29" i="134"/>
  <c r="E29" i="134"/>
  <c r="G28" i="134"/>
  <c r="H28" i="134"/>
  <c r="I28" i="134"/>
  <c r="J28" i="134"/>
  <c r="L28" i="134"/>
  <c r="M28" i="134"/>
  <c r="N28" i="134"/>
  <c r="O28" i="134"/>
  <c r="P28" i="134"/>
  <c r="R28" i="134"/>
  <c r="S28" i="134"/>
  <c r="T28" i="134"/>
  <c r="U28" i="134"/>
  <c r="V28" i="134"/>
  <c r="W28" i="134"/>
  <c r="X28" i="134"/>
  <c r="Y28" i="134"/>
  <c r="Z28" i="134"/>
  <c r="AA28" i="134"/>
  <c r="AB28" i="134"/>
  <c r="AC28" i="134"/>
  <c r="AD28" i="134"/>
  <c r="E28" i="134"/>
  <c r="G26" i="134"/>
  <c r="H26" i="134"/>
  <c r="I26" i="134"/>
  <c r="J26" i="134"/>
  <c r="K26" i="134"/>
  <c r="M26" i="134"/>
  <c r="N26" i="134"/>
  <c r="O26" i="134"/>
  <c r="P26" i="134"/>
  <c r="R26" i="134"/>
  <c r="S26" i="134"/>
  <c r="T26" i="134"/>
  <c r="U26" i="134"/>
  <c r="V26" i="134"/>
  <c r="W26" i="134"/>
  <c r="X26" i="134"/>
  <c r="Y26" i="134"/>
  <c r="Z26" i="134"/>
  <c r="AA26" i="134"/>
  <c r="AC26" i="134"/>
  <c r="AD26" i="134"/>
  <c r="E26" i="134"/>
  <c r="AB26" i="134" l="1"/>
  <c r="AT26" i="134" s="1"/>
  <c r="AD31" i="134"/>
  <c r="AD33" i="134" s="1"/>
  <c r="K28" i="134"/>
  <c r="AP28" i="134" s="1"/>
  <c r="AT28" i="134"/>
  <c r="AN28" i="134"/>
  <c r="AP27" i="134"/>
  <c r="AN26" i="134"/>
  <c r="AP26" i="134"/>
  <c r="AR28" i="134"/>
  <c r="AT27" i="134"/>
  <c r="AB29" i="134"/>
  <c r="AA30" i="134"/>
  <c r="AB18" i="134"/>
  <c r="Z30" i="134"/>
  <c r="Y30" i="134"/>
  <c r="C13" i="159" l="1"/>
  <c r="AN29" i="134"/>
  <c r="AN27" i="134"/>
  <c r="AA18" i="134"/>
  <c r="Z29" i="134"/>
  <c r="AA29" i="134"/>
  <c r="U30" i="134"/>
  <c r="T30" i="134"/>
  <c r="T29" i="134"/>
  <c r="S30" i="134"/>
  <c r="AL28" i="134" l="1"/>
  <c r="S29" i="134"/>
  <c r="X29" i="134"/>
  <c r="O18" i="134"/>
  <c r="P18" i="134"/>
  <c r="J30" i="134"/>
  <c r="AR29" i="134" l="1"/>
  <c r="AT29" i="134"/>
  <c r="R18" i="134"/>
  <c r="L29" i="134"/>
  <c r="M30" i="134"/>
  <c r="R30" i="134"/>
  <c r="K30" i="134"/>
  <c r="J18" i="134"/>
  <c r="K29" i="134" l="1"/>
  <c r="AN30" i="134"/>
  <c r="AP30" i="134"/>
  <c r="G45" i="134"/>
  <c r="J29" i="134" l="1"/>
  <c r="C14" i="159"/>
  <c r="X30" i="134"/>
  <c r="AB30" i="134"/>
  <c r="AP29" i="134" l="1"/>
  <c r="AL29" i="134"/>
  <c r="AT30" i="134"/>
  <c r="AL30" i="134" l="1"/>
  <c r="C15" i="159"/>
  <c r="D30" i="79" l="1"/>
  <c r="E30" i="79"/>
  <c r="F30" i="79"/>
  <c r="G30" i="79"/>
  <c r="H30" i="79"/>
  <c r="I30" i="79"/>
  <c r="J30" i="79"/>
  <c r="K30" i="79"/>
  <c r="L30" i="79"/>
  <c r="M30" i="79"/>
  <c r="N30" i="79"/>
  <c r="O30" i="79"/>
  <c r="P30" i="79"/>
  <c r="Q30" i="79"/>
  <c r="R30" i="79"/>
  <c r="S30" i="79"/>
  <c r="T30" i="79"/>
  <c r="U30" i="79"/>
  <c r="V30" i="79"/>
  <c r="W30" i="79"/>
  <c r="X30" i="79"/>
  <c r="Y30" i="79"/>
  <c r="Z30" i="79"/>
  <c r="AA30" i="79"/>
  <c r="AB30" i="79"/>
  <c r="AC30" i="79"/>
  <c r="AD30" i="79"/>
  <c r="AE30" i="79"/>
  <c r="AF30" i="79"/>
  <c r="AG30" i="79"/>
  <c r="AH30" i="79"/>
  <c r="C30" i="79"/>
  <c r="AV23" i="79"/>
  <c r="AV24" i="79"/>
  <c r="AR26" i="134"/>
  <c r="AR30" i="134"/>
  <c r="V18" i="134"/>
  <c r="L18" i="134"/>
  <c r="E18" i="134"/>
  <c r="AR27" i="134"/>
  <c r="E45" i="134"/>
  <c r="H45" i="134"/>
  <c r="I45" i="134"/>
  <c r="J45" i="134"/>
  <c r="K45" i="134"/>
  <c r="L45" i="134"/>
  <c r="M45" i="134"/>
  <c r="P45" i="134"/>
  <c r="R45" i="134"/>
  <c r="U45" i="134"/>
  <c r="V45" i="134"/>
  <c r="W45" i="134"/>
  <c r="Y45" i="134"/>
  <c r="Z45" i="134"/>
  <c r="AA45" i="134"/>
  <c r="AB45" i="134"/>
  <c r="AC45" i="134"/>
  <c r="AL45" i="134"/>
  <c r="M75" i="134"/>
  <c r="M100" i="134"/>
  <c r="AR65" i="79"/>
  <c r="AP65" i="79"/>
  <c r="AN65" i="79"/>
  <c r="E22" i="134" l="1"/>
  <c r="AN18" i="134"/>
  <c r="AX18" i="134" s="1"/>
  <c r="AC22" i="134"/>
  <c r="AX61" i="79"/>
  <c r="AV41" i="79"/>
  <c r="AV68" i="79" s="1"/>
  <c r="AV22" i="79"/>
  <c r="AV25" i="79" s="1"/>
  <c r="R31" i="134"/>
  <c r="F31" i="134"/>
  <c r="N31" i="134"/>
  <c r="AX60" i="79"/>
  <c r="K31" i="134"/>
  <c r="T18" i="134"/>
  <c r="Z18" i="134"/>
  <c r="N18" i="134"/>
  <c r="AX63" i="79"/>
  <c r="AL65" i="79"/>
  <c r="AX62" i="79"/>
  <c r="AJ65" i="79"/>
  <c r="U18" i="134"/>
  <c r="Q18" i="134"/>
  <c r="I18" i="134"/>
  <c r="Y18" i="134"/>
  <c r="M18" i="134"/>
  <c r="C7" i="159"/>
  <c r="W18" i="134"/>
  <c r="K18" i="134"/>
  <c r="G18" i="134"/>
  <c r="Z31" i="134"/>
  <c r="X31" i="134"/>
  <c r="AB31" i="134"/>
  <c r="P31" i="134"/>
  <c r="L31" i="134"/>
  <c r="V31" i="134"/>
  <c r="T31" i="134"/>
  <c r="AC31" i="134"/>
  <c r="Y31" i="134"/>
  <c r="U31" i="134"/>
  <c r="M31" i="134"/>
  <c r="I31" i="134"/>
  <c r="E31" i="134"/>
  <c r="AA31" i="134"/>
  <c r="W31" i="134"/>
  <c r="O31" i="134"/>
  <c r="G31" i="134"/>
  <c r="S31" i="134"/>
  <c r="AX26" i="134" l="1"/>
  <c r="AL26" i="134"/>
  <c r="V22" i="134"/>
  <c r="V33" i="134" s="1"/>
  <c r="V47" i="134" s="1"/>
  <c r="C10" i="159"/>
  <c r="C16" i="159" s="1"/>
  <c r="X22" i="134"/>
  <c r="X33" i="134" s="1"/>
  <c r="X47" i="134" s="1"/>
  <c r="S22" i="134"/>
  <c r="S33" i="134" s="1"/>
  <c r="AX40" i="79"/>
  <c r="W22" i="134"/>
  <c r="W33" i="134" s="1"/>
  <c r="W47" i="134" s="1"/>
  <c r="H22" i="134"/>
  <c r="AB22" i="134"/>
  <c r="AB33" i="134" s="1"/>
  <c r="AB47" i="134" s="1"/>
  <c r="E33" i="134"/>
  <c r="E47" i="134" s="1"/>
  <c r="K22" i="134"/>
  <c r="K33" i="134" s="1"/>
  <c r="K47" i="134" s="1"/>
  <c r="AC33" i="134"/>
  <c r="AC47" i="134" s="1"/>
  <c r="AX30" i="134"/>
  <c r="J31" i="134"/>
  <c r="AT65" i="79"/>
  <c r="AX65" i="79" s="1"/>
  <c r="AX28" i="134"/>
  <c r="AX27" i="134"/>
  <c r="H31" i="134"/>
  <c r="C6" i="159"/>
  <c r="AL20" i="134" l="1"/>
  <c r="U22" i="134"/>
  <c r="U33" i="134" s="1"/>
  <c r="U47" i="134" s="1"/>
  <c r="J22" i="134"/>
  <c r="J33" i="134" s="1"/>
  <c r="J47" i="134" s="1"/>
  <c r="AD47" i="134"/>
  <c r="G22" i="134"/>
  <c r="G33" i="134" s="1"/>
  <c r="G47" i="134" s="1"/>
  <c r="AV31" i="134"/>
  <c r="AL32" i="134"/>
  <c r="S47" i="134"/>
  <c r="Q22" i="134"/>
  <c r="Y22" i="134"/>
  <c r="Y33" i="134" s="1"/>
  <c r="Y47" i="134" s="1"/>
  <c r="AA22" i="134"/>
  <c r="AA33" i="134" s="1"/>
  <c r="AA47" i="134" s="1"/>
  <c r="N22" i="134"/>
  <c r="N33" i="134" s="1"/>
  <c r="N47" i="134" s="1"/>
  <c r="C5" i="159"/>
  <c r="R22" i="134"/>
  <c r="R33" i="134" s="1"/>
  <c r="R47" i="134" s="1"/>
  <c r="L22" i="134"/>
  <c r="L33" i="134" s="1"/>
  <c r="L47" i="134" s="1"/>
  <c r="I22" i="134"/>
  <c r="I33" i="134" s="1"/>
  <c r="I47" i="134" s="1"/>
  <c r="Z22" i="134"/>
  <c r="Z33" i="134" s="1"/>
  <c r="Z47" i="134" s="1"/>
  <c r="P22" i="134"/>
  <c r="P33" i="134" s="1"/>
  <c r="P47" i="134" s="1"/>
  <c r="O22" i="134"/>
  <c r="O33" i="134" s="1"/>
  <c r="O47" i="134" s="1"/>
  <c r="H33" i="134"/>
  <c r="H47" i="134" s="1"/>
  <c r="M22" i="134"/>
  <c r="M33" i="134" s="1"/>
  <c r="M47" i="134" s="1"/>
  <c r="AN31" i="134"/>
  <c r="AR31" i="134"/>
  <c r="AT20" i="134" l="1"/>
  <c r="AR20" i="134"/>
  <c r="AP20" i="134"/>
  <c r="C8" i="159"/>
  <c r="C18" i="159" s="1"/>
  <c r="AL22" i="134"/>
  <c r="AL21" i="134"/>
  <c r="AT31" i="134"/>
  <c r="AX29" i="134"/>
  <c r="AJ22" i="79"/>
  <c r="F22" i="134" l="1"/>
  <c r="F33" i="134" s="1"/>
  <c r="F47" i="134" s="1"/>
  <c r="T22" i="134"/>
  <c r="T33" i="134" s="1"/>
  <c r="T47" i="134" s="1"/>
  <c r="AP22" i="79" l="1"/>
  <c r="F82" i="79"/>
  <c r="G82" i="79"/>
  <c r="D81" i="79"/>
  <c r="E81" i="79"/>
  <c r="F81" i="79"/>
  <c r="I81" i="79"/>
  <c r="E10" i="79"/>
  <c r="E11" i="79"/>
  <c r="X12" i="79"/>
  <c r="X13" i="79"/>
  <c r="H10" i="79"/>
  <c r="I10" i="79"/>
  <c r="J10" i="79"/>
  <c r="N10" i="79"/>
  <c r="O10" i="79"/>
  <c r="Q10" i="79"/>
  <c r="R10" i="79"/>
  <c r="V10" i="79"/>
  <c r="W10" i="79"/>
  <c r="X10" i="79"/>
  <c r="G11" i="79"/>
  <c r="I11" i="79"/>
  <c r="J11" i="79"/>
  <c r="Q11" i="79"/>
  <c r="K12" i="79"/>
  <c r="H77" i="79"/>
  <c r="K77" i="79"/>
  <c r="O77" i="79"/>
  <c r="M77" i="79"/>
  <c r="F73" i="79"/>
  <c r="H73" i="79"/>
  <c r="I73" i="79"/>
  <c r="J73" i="79"/>
  <c r="E73" i="79"/>
  <c r="K72" i="79"/>
  <c r="M73" i="79"/>
  <c r="O73" i="79"/>
  <c r="R72" i="79"/>
  <c r="S72" i="79"/>
  <c r="V72" i="79"/>
  <c r="W72" i="79"/>
  <c r="Z72" i="79"/>
  <c r="AC72" i="79"/>
  <c r="AE72" i="79"/>
  <c r="AF72" i="79"/>
  <c r="AG72" i="79"/>
  <c r="M71" i="79"/>
  <c r="AG71" i="79"/>
  <c r="F70" i="79"/>
  <c r="O70" i="79"/>
  <c r="W70" i="79"/>
  <c r="AA70" i="79"/>
  <c r="D8" i="79"/>
  <c r="D10" i="79"/>
  <c r="F10" i="79"/>
  <c r="G10" i="79"/>
  <c r="K10" i="79"/>
  <c r="L10" i="79"/>
  <c r="P10" i="79"/>
  <c r="S10" i="79"/>
  <c r="T10" i="79"/>
  <c r="U10" i="79"/>
  <c r="Y10" i="79"/>
  <c r="Z10" i="79"/>
  <c r="AA10" i="79"/>
  <c r="AB10" i="79"/>
  <c r="AC10" i="79"/>
  <c r="AD10" i="79"/>
  <c r="AE10" i="79"/>
  <c r="AF10" i="79"/>
  <c r="AG10" i="79"/>
  <c r="AH10" i="79"/>
  <c r="D11" i="79"/>
  <c r="F11" i="79"/>
  <c r="H11" i="79"/>
  <c r="L11" i="79"/>
  <c r="M11" i="79"/>
  <c r="N11" i="79"/>
  <c r="O11" i="79"/>
  <c r="P11" i="79"/>
  <c r="R11" i="79"/>
  <c r="S11" i="79"/>
  <c r="T11" i="79"/>
  <c r="X11" i="79"/>
  <c r="Y11" i="79"/>
  <c r="Z11" i="79"/>
  <c r="AA11" i="79"/>
  <c r="AB11" i="79"/>
  <c r="AC11" i="79"/>
  <c r="AD11" i="79"/>
  <c r="AE11" i="79"/>
  <c r="AF11" i="79"/>
  <c r="AG11" i="79"/>
  <c r="AH11" i="79"/>
  <c r="D12" i="79"/>
  <c r="E12" i="79"/>
  <c r="F12" i="79"/>
  <c r="G12" i="79"/>
  <c r="H12" i="79"/>
  <c r="I12" i="79"/>
  <c r="J12" i="79"/>
  <c r="L12" i="79"/>
  <c r="M12" i="79"/>
  <c r="N12" i="79"/>
  <c r="O12" i="79"/>
  <c r="P12" i="79"/>
  <c r="Q12" i="79"/>
  <c r="R12" i="79"/>
  <c r="S12" i="79"/>
  <c r="T12" i="79"/>
  <c r="U12" i="79"/>
  <c r="V12" i="79"/>
  <c r="W12" i="79"/>
  <c r="Y12" i="79"/>
  <c r="Z12" i="79"/>
  <c r="AA12" i="79"/>
  <c r="AB12" i="79"/>
  <c r="AC12" i="79"/>
  <c r="AD12" i="79"/>
  <c r="AE12" i="79"/>
  <c r="AF12" i="79"/>
  <c r="AG12" i="79"/>
  <c r="AH12" i="79"/>
  <c r="D13" i="79"/>
  <c r="L13" i="79"/>
  <c r="R13" i="79"/>
  <c r="S13" i="79"/>
  <c r="T13" i="79"/>
  <c r="U13" i="79"/>
  <c r="V13" i="79"/>
  <c r="W13" i="79"/>
  <c r="Y13" i="79"/>
  <c r="Z13" i="79"/>
  <c r="AA13" i="79"/>
  <c r="AB13" i="79"/>
  <c r="AC13" i="79"/>
  <c r="AD13" i="79"/>
  <c r="AE13" i="79"/>
  <c r="AF13" i="79"/>
  <c r="AG13" i="79"/>
  <c r="AH13" i="79"/>
  <c r="AN22" i="79"/>
  <c r="AR22" i="79"/>
  <c r="AJ23" i="79"/>
  <c r="AL23" i="79"/>
  <c r="AN23" i="79"/>
  <c r="AP23" i="79"/>
  <c r="AR23" i="79"/>
  <c r="AJ24" i="79"/>
  <c r="AL24" i="79"/>
  <c r="AN24" i="79"/>
  <c r="AP24" i="79"/>
  <c r="AR24" i="79"/>
  <c r="C25" i="79"/>
  <c r="D25" i="79"/>
  <c r="AJ26" i="79"/>
  <c r="AL26" i="79"/>
  <c r="AN26" i="79"/>
  <c r="AP26" i="79"/>
  <c r="AR26" i="79"/>
  <c r="AJ27" i="79"/>
  <c r="AL27" i="79"/>
  <c r="AN27" i="79"/>
  <c r="AP27" i="79"/>
  <c r="AR27" i="79"/>
  <c r="AJ28" i="79"/>
  <c r="AL28" i="79"/>
  <c r="AN28" i="79"/>
  <c r="AP28" i="79"/>
  <c r="AR28" i="79"/>
  <c r="AJ29" i="79"/>
  <c r="AL29" i="79"/>
  <c r="AN29" i="79"/>
  <c r="AP29" i="79"/>
  <c r="AR29" i="79"/>
  <c r="AJ30" i="79"/>
  <c r="AL30" i="79"/>
  <c r="AN30" i="79"/>
  <c r="AP30" i="79"/>
  <c r="AR30" i="79"/>
  <c r="AR41" i="79"/>
  <c r="AR68" i="79" s="1"/>
  <c r="AI68" i="79"/>
  <c r="AJ69" i="79"/>
  <c r="AL69" i="79"/>
  <c r="AN69" i="79"/>
  <c r="AP69" i="79"/>
  <c r="AR69" i="79"/>
  <c r="J70" i="79"/>
  <c r="K70" i="79"/>
  <c r="R70" i="79"/>
  <c r="Y70" i="79"/>
  <c r="AF70" i="79"/>
  <c r="AG70" i="79"/>
  <c r="AH70" i="79"/>
  <c r="J71" i="79"/>
  <c r="Q71" i="79"/>
  <c r="X71" i="79"/>
  <c r="AE71" i="79"/>
  <c r="AF71" i="79"/>
  <c r="AH71" i="79"/>
  <c r="D72" i="79"/>
  <c r="E72" i="79"/>
  <c r="F72" i="79"/>
  <c r="G72" i="79"/>
  <c r="H72" i="79"/>
  <c r="I72" i="79"/>
  <c r="L72" i="79"/>
  <c r="M72" i="79"/>
  <c r="O72" i="79"/>
  <c r="P72" i="79"/>
  <c r="T72" i="79"/>
  <c r="U72" i="79"/>
  <c r="Y72" i="79"/>
  <c r="AB72" i="79"/>
  <c r="AD72" i="79"/>
  <c r="K73" i="79"/>
  <c r="L73" i="79"/>
  <c r="P73" i="79"/>
  <c r="AF73" i="79"/>
  <c r="AG73" i="79"/>
  <c r="AH73" i="79"/>
  <c r="J74" i="79"/>
  <c r="K74" i="79"/>
  <c r="L74" i="79"/>
  <c r="M74" i="79"/>
  <c r="N74" i="79"/>
  <c r="O74" i="79"/>
  <c r="P74" i="79"/>
  <c r="Q74" i="79"/>
  <c r="AE74" i="79"/>
  <c r="AF74" i="79"/>
  <c r="AG74" i="79"/>
  <c r="AH74" i="79"/>
  <c r="J75" i="79"/>
  <c r="Q75" i="79"/>
  <c r="X75" i="79"/>
  <c r="AE75" i="79"/>
  <c r="AF75" i="79"/>
  <c r="AG75" i="79"/>
  <c r="AH75" i="79"/>
  <c r="D76" i="79"/>
  <c r="E76" i="79"/>
  <c r="F76" i="79"/>
  <c r="J76" i="79"/>
  <c r="Q76" i="79"/>
  <c r="X76" i="79"/>
  <c r="AE76" i="79"/>
  <c r="D77" i="79"/>
  <c r="E77" i="79"/>
  <c r="F77" i="79"/>
  <c r="D78" i="79"/>
  <c r="E78" i="79"/>
  <c r="F78" i="79"/>
  <c r="G78" i="79"/>
  <c r="H78" i="79"/>
  <c r="I78" i="79"/>
  <c r="J78" i="79"/>
  <c r="K78" i="79"/>
  <c r="L78" i="79"/>
  <c r="M78" i="79"/>
  <c r="N78" i="79"/>
  <c r="O78" i="79"/>
  <c r="P78" i="79"/>
  <c r="Q78" i="79"/>
  <c r="R78" i="79"/>
  <c r="S78" i="79"/>
  <c r="T78" i="79"/>
  <c r="U78" i="79"/>
  <c r="V78" i="79"/>
  <c r="W78" i="79"/>
  <c r="X78" i="79"/>
  <c r="Y78" i="79"/>
  <c r="Z78" i="79"/>
  <c r="AA78" i="79"/>
  <c r="AB78" i="79"/>
  <c r="AC78" i="79"/>
  <c r="AD78" i="79"/>
  <c r="AE78" i="79"/>
  <c r="AF78" i="79"/>
  <c r="AG78" i="79"/>
  <c r="AH78" i="79"/>
  <c r="D80" i="79"/>
  <c r="E80" i="79"/>
  <c r="F80" i="79"/>
  <c r="G80" i="79"/>
  <c r="H80" i="79"/>
  <c r="I80" i="79"/>
  <c r="J80" i="79"/>
  <c r="K80" i="79"/>
  <c r="L80" i="79"/>
  <c r="M80" i="79"/>
  <c r="N80" i="79"/>
  <c r="O80" i="79"/>
  <c r="P80" i="79"/>
  <c r="Q80" i="79"/>
  <c r="R80" i="79"/>
  <c r="S80" i="79"/>
  <c r="T80" i="79"/>
  <c r="U80" i="79"/>
  <c r="V80" i="79"/>
  <c r="W80" i="79"/>
  <c r="X80" i="79"/>
  <c r="Y80" i="79"/>
  <c r="Z80" i="79"/>
  <c r="AA80" i="79"/>
  <c r="AB80" i="79"/>
  <c r="AC80" i="79"/>
  <c r="AD80" i="79"/>
  <c r="AE80" i="79"/>
  <c r="AF80" i="79"/>
  <c r="AG80" i="79"/>
  <c r="AH80" i="79"/>
  <c r="G81" i="79"/>
  <c r="H81" i="79"/>
  <c r="J81" i="79"/>
  <c r="Q81" i="79"/>
  <c r="X81" i="79"/>
  <c r="AE81" i="79"/>
  <c r="AF81" i="79"/>
  <c r="AG81" i="79"/>
  <c r="AH81" i="79"/>
  <c r="J82" i="79"/>
  <c r="R82" i="79"/>
  <c r="S82" i="79"/>
  <c r="T82" i="79"/>
  <c r="U82" i="79"/>
  <c r="V82" i="79"/>
  <c r="W82" i="79"/>
  <c r="X82" i="79"/>
  <c r="Y82" i="79"/>
  <c r="Z82" i="79"/>
  <c r="AA82" i="79"/>
  <c r="AB82" i="79"/>
  <c r="AC82" i="79"/>
  <c r="AD82" i="79"/>
  <c r="AE82" i="79"/>
  <c r="AF82" i="79"/>
  <c r="AG82" i="79"/>
  <c r="AH82" i="79"/>
  <c r="D83" i="79"/>
  <c r="E83" i="79"/>
  <c r="F83" i="79"/>
  <c r="G83" i="79"/>
  <c r="H83" i="79"/>
  <c r="I83" i="79"/>
  <c r="J83" i="79"/>
  <c r="AL83" i="79"/>
  <c r="AN83" i="79"/>
  <c r="AP83" i="79"/>
  <c r="AR83" i="79"/>
  <c r="C84" i="79"/>
  <c r="AI84" i="79"/>
  <c r="AV84" i="79"/>
  <c r="AJ85" i="79"/>
  <c r="AL85" i="79"/>
  <c r="AN85" i="79"/>
  <c r="AP85" i="79"/>
  <c r="AR85" i="79"/>
  <c r="AJ86" i="79"/>
  <c r="AL86" i="79"/>
  <c r="AN86" i="79"/>
  <c r="AP86" i="79"/>
  <c r="AR86" i="79"/>
  <c r="AJ87" i="79"/>
  <c r="AL87" i="79"/>
  <c r="AN87" i="79"/>
  <c r="AP87" i="79"/>
  <c r="AR87" i="79"/>
  <c r="AJ88" i="79"/>
  <c r="AL88" i="79"/>
  <c r="AN88" i="79"/>
  <c r="AP88" i="79"/>
  <c r="AR88" i="79"/>
  <c r="AJ89" i="79"/>
  <c r="AL89" i="79"/>
  <c r="AN89" i="79"/>
  <c r="AP89" i="79"/>
  <c r="AR89" i="79"/>
  <c r="AJ90" i="79"/>
  <c r="AL90" i="79"/>
  <c r="AN90" i="79"/>
  <c r="AP90" i="79"/>
  <c r="AR90" i="79"/>
  <c r="AJ91" i="79"/>
  <c r="AL91" i="79"/>
  <c r="AN91" i="79"/>
  <c r="AP91" i="79"/>
  <c r="AR91" i="79"/>
  <c r="AJ92" i="79"/>
  <c r="AL92" i="79"/>
  <c r="AN92" i="79"/>
  <c r="AP92" i="79"/>
  <c r="AR92" i="79"/>
  <c r="AJ93" i="79"/>
  <c r="AL93" i="79"/>
  <c r="AN93" i="79"/>
  <c r="AP93" i="79"/>
  <c r="AR93" i="79"/>
  <c r="AJ94" i="79"/>
  <c r="AL94" i="79"/>
  <c r="AN94" i="79"/>
  <c r="AP94" i="79"/>
  <c r="AR94" i="79"/>
  <c r="AJ95" i="79"/>
  <c r="AL95" i="79"/>
  <c r="AN95" i="79"/>
  <c r="AP95" i="79"/>
  <c r="AR95" i="79"/>
  <c r="AJ96" i="79"/>
  <c r="AL96" i="79"/>
  <c r="AN96" i="79"/>
  <c r="AP96" i="79"/>
  <c r="AR96" i="79"/>
  <c r="AJ97" i="79"/>
  <c r="AL97" i="79"/>
  <c r="AN97" i="79"/>
  <c r="AP97" i="79"/>
  <c r="AR97" i="79"/>
  <c r="AJ98" i="79"/>
  <c r="AL98" i="79"/>
  <c r="AN98" i="79"/>
  <c r="AP98" i="79"/>
  <c r="AR98" i="79"/>
  <c r="D99" i="79"/>
  <c r="E99" i="79"/>
  <c r="F99" i="79"/>
  <c r="G99" i="79"/>
  <c r="H99" i="79"/>
  <c r="I99" i="79"/>
  <c r="J99" i="79"/>
  <c r="K99" i="79"/>
  <c r="AJ100" i="79"/>
  <c r="AL100" i="79"/>
  <c r="AN100" i="79"/>
  <c r="AP100" i="79"/>
  <c r="AR100" i="79"/>
  <c r="AJ101" i="79"/>
  <c r="AL101" i="79"/>
  <c r="AN101" i="79"/>
  <c r="AP101" i="79"/>
  <c r="AR101" i="79"/>
  <c r="L102" i="79"/>
  <c r="L110" i="79" s="1"/>
  <c r="AJ102" i="79"/>
  <c r="AN102" i="79"/>
  <c r="AP102" i="79"/>
  <c r="AR102" i="79"/>
  <c r="AJ103" i="79"/>
  <c r="AL103" i="79"/>
  <c r="AN103" i="79"/>
  <c r="AP103" i="79"/>
  <c r="AR103" i="79"/>
  <c r="AJ104" i="79"/>
  <c r="AL104" i="79"/>
  <c r="AN104" i="79"/>
  <c r="AP104" i="79"/>
  <c r="AR104" i="79"/>
  <c r="AJ105" i="79"/>
  <c r="AL105" i="79"/>
  <c r="AN105" i="79"/>
  <c r="AP105" i="79"/>
  <c r="AR105" i="79"/>
  <c r="AJ106" i="79"/>
  <c r="AL106" i="79"/>
  <c r="AN106" i="79"/>
  <c r="AP106" i="79"/>
  <c r="AR106" i="79"/>
  <c r="AJ107" i="79"/>
  <c r="AL107" i="79"/>
  <c r="AN107" i="79"/>
  <c r="AP107" i="79"/>
  <c r="AR107" i="79"/>
  <c r="AJ108" i="79"/>
  <c r="AL108" i="79"/>
  <c r="AN108" i="79"/>
  <c r="AP108" i="79"/>
  <c r="AR108" i="79"/>
  <c r="AJ109" i="79"/>
  <c r="AL109" i="79"/>
  <c r="AN109" i="79"/>
  <c r="AP109" i="79"/>
  <c r="AR109" i="79"/>
  <c r="D110" i="79"/>
  <c r="E110" i="79"/>
  <c r="F110" i="79"/>
  <c r="G110" i="79"/>
  <c r="H110" i="79"/>
  <c r="I110" i="79"/>
  <c r="J110" i="79"/>
  <c r="K110" i="79"/>
  <c r="M110" i="79"/>
  <c r="N110" i="79"/>
  <c r="O110" i="79"/>
  <c r="P110" i="79"/>
  <c r="Q110" i="79"/>
  <c r="R110" i="79"/>
  <c r="S110" i="79"/>
  <c r="T110" i="79"/>
  <c r="U110" i="79"/>
  <c r="V110" i="79"/>
  <c r="W110" i="79"/>
  <c r="X110" i="79"/>
  <c r="Y110" i="79"/>
  <c r="Z110" i="79"/>
  <c r="AA110" i="79"/>
  <c r="AB110" i="79"/>
  <c r="AC110" i="79"/>
  <c r="AD110" i="79"/>
  <c r="AE110" i="79"/>
  <c r="AF110" i="79"/>
  <c r="AG110" i="79"/>
  <c r="AH110" i="79"/>
  <c r="AJ111" i="79"/>
  <c r="AL111" i="79"/>
  <c r="AN111" i="79"/>
  <c r="AP111" i="79"/>
  <c r="AR111" i="79"/>
  <c r="AJ113" i="79"/>
  <c r="AL113" i="79"/>
  <c r="AN113" i="79"/>
  <c r="AP113" i="79"/>
  <c r="AR113" i="79"/>
  <c r="O71" i="79" l="1"/>
  <c r="K71" i="79"/>
  <c r="T71" i="79"/>
  <c r="P71" i="79"/>
  <c r="L71" i="79"/>
  <c r="W74" i="79"/>
  <c r="W81" i="79"/>
  <c r="AL102" i="79"/>
  <c r="AT102" i="79" s="1"/>
  <c r="AG76" i="79"/>
  <c r="AC76" i="79"/>
  <c r="Y76" i="79"/>
  <c r="U76" i="79"/>
  <c r="H76" i="79"/>
  <c r="S81" i="79"/>
  <c r="R71" i="79"/>
  <c r="G71" i="79"/>
  <c r="E74" i="79"/>
  <c r="AB75" i="79"/>
  <c r="P70" i="79"/>
  <c r="L70" i="79"/>
  <c r="D70" i="79"/>
  <c r="AA75" i="79"/>
  <c r="L76" i="79"/>
  <c r="I77" i="79"/>
  <c r="T81" i="79"/>
  <c r="H13" i="79"/>
  <c r="H14" i="79" s="1"/>
  <c r="AB81" i="79"/>
  <c r="P81" i="79"/>
  <c r="L81" i="79"/>
  <c r="AT104" i="79"/>
  <c r="AG77" i="79"/>
  <c r="AA77" i="79"/>
  <c r="G13" i="79"/>
  <c r="G14" i="79" s="1"/>
  <c r="P75" i="79"/>
  <c r="L75" i="79"/>
  <c r="Y77" i="79"/>
  <c r="S77" i="79"/>
  <c r="AD71" i="79"/>
  <c r="Z71" i="79"/>
  <c r="F71" i="79"/>
  <c r="AB71" i="79"/>
  <c r="U71" i="79"/>
  <c r="X72" i="79"/>
  <c r="AN72" i="79" s="1"/>
  <c r="AH72" i="79"/>
  <c r="AR72" i="79" s="1"/>
  <c r="J72" i="79"/>
  <c r="AJ72" i="79" s="1"/>
  <c r="AC73" i="79"/>
  <c r="Y73" i="79"/>
  <c r="U73" i="79"/>
  <c r="AD74" i="79"/>
  <c r="AD75" i="79"/>
  <c r="Z75" i="79"/>
  <c r="G76" i="79"/>
  <c r="AH76" i="79"/>
  <c r="Z76" i="79"/>
  <c r="V76" i="79"/>
  <c r="W79" i="79"/>
  <c r="AC79" i="79"/>
  <c r="Y79" i="79"/>
  <c r="U79" i="79"/>
  <c r="Q79" i="79"/>
  <c r="W11" i="79"/>
  <c r="Z74" i="79"/>
  <c r="N13" i="79"/>
  <c r="N14" i="79" s="1"/>
  <c r="AA73" i="79"/>
  <c r="S73" i="79"/>
  <c r="V75" i="79"/>
  <c r="AF77" i="79"/>
  <c r="Z77" i="79"/>
  <c r="T77" i="79"/>
  <c r="R14" i="79"/>
  <c r="K13" i="79"/>
  <c r="K14" i="79" s="1"/>
  <c r="AC74" i="79"/>
  <c r="Y74" i="79"/>
  <c r="U74" i="79"/>
  <c r="I74" i="79"/>
  <c r="G75" i="79"/>
  <c r="AD76" i="79"/>
  <c r="R76" i="79"/>
  <c r="AF76" i="79"/>
  <c r="AB76" i="79"/>
  <c r="T76" i="79"/>
  <c r="P76" i="79"/>
  <c r="AC77" i="79"/>
  <c r="W77" i="79"/>
  <c r="N82" i="79"/>
  <c r="O82" i="79"/>
  <c r="K82" i="79"/>
  <c r="AE73" i="79"/>
  <c r="W73" i="79"/>
  <c r="K76" i="79"/>
  <c r="AD77" i="79"/>
  <c r="X77" i="79"/>
  <c r="Q77" i="79"/>
  <c r="AD14" i="79"/>
  <c r="Z14" i="79"/>
  <c r="O13" i="79"/>
  <c r="O14" i="79" s="1"/>
  <c r="AC70" i="79"/>
  <c r="Q70" i="79"/>
  <c r="AB73" i="79"/>
  <c r="T73" i="79"/>
  <c r="D75" i="79"/>
  <c r="G77" i="79"/>
  <c r="P79" i="79"/>
  <c r="L79" i="79"/>
  <c r="Q82" i="79"/>
  <c r="M82" i="79"/>
  <c r="AT107" i="79"/>
  <c r="AT24" i="79"/>
  <c r="AX24" i="79" s="1"/>
  <c r="AT106" i="79"/>
  <c r="Z81" i="79"/>
  <c r="AN110" i="79"/>
  <c r="AT109" i="79"/>
  <c r="I13" i="79"/>
  <c r="I14" i="79" s="1"/>
  <c r="K11" i="79"/>
  <c r="AL11" i="79" s="1"/>
  <c r="M75" i="79"/>
  <c r="T75" i="79"/>
  <c r="N81" i="79"/>
  <c r="AT108" i="79"/>
  <c r="P13" i="79"/>
  <c r="P14" i="79" s="1"/>
  <c r="U70" i="79"/>
  <c r="M70" i="79"/>
  <c r="H70" i="79"/>
  <c r="H75" i="79"/>
  <c r="U81" i="79"/>
  <c r="AD70" i="79"/>
  <c r="Z70" i="79"/>
  <c r="N70" i="79"/>
  <c r="AE70" i="79"/>
  <c r="S70" i="79"/>
  <c r="AA71" i="79"/>
  <c r="H71" i="79"/>
  <c r="D71" i="79"/>
  <c r="AD73" i="79"/>
  <c r="Z73" i="79"/>
  <c r="V73" i="79"/>
  <c r="R73" i="79"/>
  <c r="G73" i="79"/>
  <c r="X73" i="79"/>
  <c r="D73" i="79"/>
  <c r="U75" i="79"/>
  <c r="N75" i="79"/>
  <c r="I76" i="79"/>
  <c r="V14" i="79"/>
  <c r="M79" i="79"/>
  <c r="I79" i="79"/>
  <c r="AE79" i="79"/>
  <c r="AA79" i="79"/>
  <c r="S79" i="79"/>
  <c r="O79" i="79"/>
  <c r="K79" i="79"/>
  <c r="G79" i="79"/>
  <c r="P82" i="79"/>
  <c r="L82" i="79"/>
  <c r="H82" i="79"/>
  <c r="D82" i="79"/>
  <c r="X70" i="79"/>
  <c r="T70" i="79"/>
  <c r="S74" i="79"/>
  <c r="G74" i="79"/>
  <c r="R75" i="79"/>
  <c r="F75" i="79"/>
  <c r="I75" i="79"/>
  <c r="N77" i="79"/>
  <c r="AD79" i="79"/>
  <c r="Z79" i="79"/>
  <c r="N79" i="79"/>
  <c r="AF79" i="79"/>
  <c r="AF84" i="79" s="1"/>
  <c r="H79" i="79"/>
  <c r="I82" i="79"/>
  <c r="E82" i="79"/>
  <c r="T14" i="79"/>
  <c r="AT91" i="79"/>
  <c r="AN13" i="79"/>
  <c r="AL12" i="79"/>
  <c r="AF14" i="79"/>
  <c r="AB14" i="79"/>
  <c r="X14" i="79"/>
  <c r="AN10" i="79"/>
  <c r="AR25" i="79"/>
  <c r="AG79" i="79"/>
  <c r="AG84" i="79" s="1"/>
  <c r="U77" i="79"/>
  <c r="AR110" i="79"/>
  <c r="AT103" i="79"/>
  <c r="AT95" i="79"/>
  <c r="AT87" i="79"/>
  <c r="L14" i="79"/>
  <c r="AJ10" i="79"/>
  <c r="I70" i="79"/>
  <c r="E70" i="79"/>
  <c r="Q73" i="79"/>
  <c r="AB74" i="79"/>
  <c r="X74" i="79"/>
  <c r="T74" i="79"/>
  <c r="H74" i="79"/>
  <c r="N73" i="79"/>
  <c r="N72" i="79"/>
  <c r="O76" i="79"/>
  <c r="E13" i="79"/>
  <c r="E14" i="79" s="1"/>
  <c r="AJ8" i="79"/>
  <c r="D16" i="79"/>
  <c r="J13" i="79"/>
  <c r="J14" i="79" s="1"/>
  <c r="F13" i="79"/>
  <c r="F14" i="79" s="1"/>
  <c r="U11" i="79"/>
  <c r="AI114" i="79"/>
  <c r="N71" i="79"/>
  <c r="AE77" i="79"/>
  <c r="AT105" i="79"/>
  <c r="AP80" i="79"/>
  <c r="V71" i="79"/>
  <c r="N76" i="79"/>
  <c r="R81" i="79"/>
  <c r="AN82" i="79"/>
  <c r="AT26" i="79"/>
  <c r="AV26" i="79" s="1"/>
  <c r="Q13" i="79"/>
  <c r="Q14" i="79" s="1"/>
  <c r="M13" i="79"/>
  <c r="M10" i="79"/>
  <c r="AL10" i="79" s="1"/>
  <c r="V70" i="79"/>
  <c r="G70" i="79"/>
  <c r="W71" i="79"/>
  <c r="S71" i="79"/>
  <c r="I71" i="79"/>
  <c r="E71" i="79"/>
  <c r="AA72" i="79"/>
  <c r="V74" i="79"/>
  <c r="R74" i="79"/>
  <c r="F74" i="79"/>
  <c r="AC75" i="79"/>
  <c r="Y75" i="79"/>
  <c r="W75" i="79"/>
  <c r="S75" i="79"/>
  <c r="AB79" i="79"/>
  <c r="E79" i="79"/>
  <c r="AA81" i="79"/>
  <c r="O81" i="79"/>
  <c r="K81" i="79"/>
  <c r="M76" i="79"/>
  <c r="X79" i="79"/>
  <c r="T79" i="79"/>
  <c r="AD81" i="79"/>
  <c r="V81" i="79"/>
  <c r="AL110" i="79"/>
  <c r="V11" i="79"/>
  <c r="AB70" i="79"/>
  <c r="AC71" i="79"/>
  <c r="Y71" i="79"/>
  <c r="AA74" i="79"/>
  <c r="O75" i="79"/>
  <c r="K75" i="79"/>
  <c r="AA76" i="79"/>
  <c r="W76" i="79"/>
  <c r="S76" i="79"/>
  <c r="E75" i="79"/>
  <c r="AH77" i="79"/>
  <c r="AB77" i="79"/>
  <c r="V77" i="79"/>
  <c r="R77" i="79"/>
  <c r="P77" i="79"/>
  <c r="L77" i="79"/>
  <c r="J77" i="79"/>
  <c r="AH79" i="79"/>
  <c r="V79" i="79"/>
  <c r="R79" i="79"/>
  <c r="J79" i="79"/>
  <c r="F79" i="79"/>
  <c r="AC81" i="79"/>
  <c r="Y81" i="79"/>
  <c r="M81" i="79"/>
  <c r="AJ25" i="79"/>
  <c r="AR82" i="79"/>
  <c r="AP12" i="79"/>
  <c r="AJ80" i="79"/>
  <c r="AN78" i="79"/>
  <c r="AR74" i="79"/>
  <c r="AR13" i="79"/>
  <c r="AJ11" i="79"/>
  <c r="AG14" i="79"/>
  <c r="AE14" i="79"/>
  <c r="AC14" i="79"/>
  <c r="AA14" i="79"/>
  <c r="AP10" i="79"/>
  <c r="W14" i="79"/>
  <c r="U14" i="79"/>
  <c r="S14" i="79"/>
  <c r="AN41" i="79"/>
  <c r="AN68" i="79" s="1"/>
  <c r="AL41" i="79"/>
  <c r="AL68" i="79" s="1"/>
  <c r="AP41" i="79"/>
  <c r="AP68" i="79" s="1"/>
  <c r="AJ41" i="79"/>
  <c r="AJ83" i="79"/>
  <c r="AT83" i="79" s="1"/>
  <c r="AP82" i="79"/>
  <c r="AR81" i="79"/>
  <c r="AJ81" i="79"/>
  <c r="AR80" i="79"/>
  <c r="AN80" i="79"/>
  <c r="AL80" i="79"/>
  <c r="Y14" i="79"/>
  <c r="AP13" i="79"/>
  <c r="AN12" i="79"/>
  <c r="AJ12" i="79"/>
  <c r="AP11" i="79"/>
  <c r="AH14" i="79"/>
  <c r="AR10" i="79"/>
  <c r="AT111" i="79"/>
  <c r="AT100" i="79"/>
  <c r="AT98" i="79"/>
  <c r="AT93" i="79"/>
  <c r="AT90" i="79"/>
  <c r="AT85" i="79"/>
  <c r="Q72" i="79"/>
  <c r="D74" i="79"/>
  <c r="AT113" i="79"/>
  <c r="AJ110" i="79"/>
  <c r="AP110" i="79"/>
  <c r="AT101" i="79"/>
  <c r="AJ99" i="79"/>
  <c r="AT97" i="79"/>
  <c r="AT94" i="79"/>
  <c r="AT89" i="79"/>
  <c r="AT86" i="79"/>
  <c r="D79" i="79"/>
  <c r="AL74" i="79"/>
  <c r="AR71" i="79"/>
  <c r="AT29" i="79"/>
  <c r="AV29" i="79" s="1"/>
  <c r="AT27" i="79"/>
  <c r="AV27" i="79" s="1"/>
  <c r="AR12" i="79"/>
  <c r="AT96" i="79"/>
  <c r="AT92" i="79"/>
  <c r="AT88" i="79"/>
  <c r="AR78" i="79"/>
  <c r="AP78" i="79"/>
  <c r="AL78" i="79"/>
  <c r="AJ78" i="79"/>
  <c r="AR75" i="79"/>
  <c r="AR73" i="79"/>
  <c r="AR70" i="79"/>
  <c r="AT69" i="79"/>
  <c r="AX55" i="79"/>
  <c r="AT30" i="79"/>
  <c r="AT28" i="79"/>
  <c r="AV28" i="79" s="1"/>
  <c r="AX28" i="79" s="1"/>
  <c r="AT23" i="79"/>
  <c r="AX23" i="79" s="1"/>
  <c r="AN25" i="79"/>
  <c r="D14" i="79"/>
  <c r="AR11" i="79"/>
  <c r="AP25" i="79"/>
  <c r="AL22" i="79"/>
  <c r="AT22" i="79" s="1"/>
  <c r="AX22" i="79" s="1"/>
  <c r="AJ77" i="79" l="1"/>
  <c r="AR76" i="79"/>
  <c r="AJ76" i="79"/>
  <c r="AL71" i="79"/>
  <c r="AJ73" i="79"/>
  <c r="AJ74" i="79"/>
  <c r="AP70" i="79"/>
  <c r="AR77" i="79"/>
  <c r="AP73" i="79"/>
  <c r="AE84" i="79"/>
  <c r="AE99" i="79" s="1"/>
  <c r="Z84" i="79"/>
  <c r="Z99" i="79" s="1"/>
  <c r="AP76" i="79"/>
  <c r="AD84" i="79"/>
  <c r="AD99" i="79" s="1"/>
  <c r="AX27" i="79"/>
  <c r="AX29" i="79"/>
  <c r="AX25" i="79"/>
  <c r="AX26" i="79"/>
  <c r="AE112" i="79"/>
  <c r="AX35" i="79"/>
  <c r="AX56" i="79"/>
  <c r="AX57" i="79"/>
  <c r="AX58" i="79"/>
  <c r="AX51" i="79"/>
  <c r="AX49" i="79"/>
  <c r="AX48" i="79"/>
  <c r="AX47" i="79"/>
  <c r="AX44" i="79"/>
  <c r="AV30" i="79"/>
  <c r="AX30" i="79" s="1"/>
  <c r="I84" i="79"/>
  <c r="I112" i="79" s="1"/>
  <c r="AL79" i="79"/>
  <c r="J84" i="79"/>
  <c r="J112" i="79" s="1"/>
  <c r="AN70" i="79"/>
  <c r="AP77" i="79"/>
  <c r="O84" i="79"/>
  <c r="O99" i="79" s="1"/>
  <c r="L84" i="79"/>
  <c r="L99" i="79" s="1"/>
  <c r="AJ75" i="79"/>
  <c r="U84" i="79"/>
  <c r="U99" i="79" s="1"/>
  <c r="AL82" i="79"/>
  <c r="AN73" i="79"/>
  <c r="AL70" i="79"/>
  <c r="AP71" i="79"/>
  <c r="AT78" i="79"/>
  <c r="AP74" i="79"/>
  <c r="AJ82" i="79"/>
  <c r="AJ71" i="79"/>
  <c r="AP81" i="79"/>
  <c r="AH84" i="79"/>
  <c r="AH99" i="79" s="1"/>
  <c r="W84" i="79"/>
  <c r="W99" i="79" s="1"/>
  <c r="M84" i="79"/>
  <c r="M99" i="79" s="1"/>
  <c r="M112" i="79" s="1"/>
  <c r="P84" i="79"/>
  <c r="AP79" i="79"/>
  <c r="AP75" i="79"/>
  <c r="AT12" i="79"/>
  <c r="G84" i="79"/>
  <c r="G112" i="79" s="1"/>
  <c r="AJ13" i="79"/>
  <c r="AN76" i="79"/>
  <c r="AN74" i="79"/>
  <c r="AL13" i="79"/>
  <c r="H84" i="79"/>
  <c r="H112" i="79" s="1"/>
  <c r="AL72" i="79"/>
  <c r="Y84" i="79"/>
  <c r="Y99" i="79" s="1"/>
  <c r="F84" i="79"/>
  <c r="F112" i="79" s="1"/>
  <c r="AN81" i="79"/>
  <c r="AN11" i="79"/>
  <c r="AT11" i="79" s="1"/>
  <c r="R84" i="79"/>
  <c r="R99" i="79" s="1"/>
  <c r="R112" i="79" s="1"/>
  <c r="AL77" i="79"/>
  <c r="AL73" i="79"/>
  <c r="N84" i="79"/>
  <c r="N99" i="79" s="1"/>
  <c r="AR14" i="79"/>
  <c r="E84" i="79"/>
  <c r="E112" i="79" s="1"/>
  <c r="AJ70" i="79"/>
  <c r="AN14" i="79"/>
  <c r="AT80" i="79"/>
  <c r="AN79" i="79"/>
  <c r="AC84" i="79"/>
  <c r="AC99" i="79" s="1"/>
  <c r="AC112" i="79" s="1"/>
  <c r="AL81" i="79"/>
  <c r="AN75" i="79"/>
  <c r="S84" i="79"/>
  <c r="S99" i="79" s="1"/>
  <c r="S112" i="79" s="1"/>
  <c r="X84" i="79"/>
  <c r="X99" i="79" s="1"/>
  <c r="AA84" i="79"/>
  <c r="AA99" i="79" s="1"/>
  <c r="AA112" i="79" s="1"/>
  <c r="AL76" i="79"/>
  <c r="T84" i="79"/>
  <c r="T99" i="79" s="1"/>
  <c r="T112" i="79" s="1"/>
  <c r="AJ16" i="79"/>
  <c r="AL8" i="79" s="1"/>
  <c r="AL16" i="79" s="1"/>
  <c r="AN8" i="79" s="1"/>
  <c r="AN16" i="79" s="1"/>
  <c r="AP8" i="79" s="1"/>
  <c r="AP16" i="79" s="1"/>
  <c r="AR8" i="79" s="1"/>
  <c r="AR16" i="79" s="1"/>
  <c r="AT8" i="79" s="1"/>
  <c r="AG99" i="79"/>
  <c r="AG112" i="79" s="1"/>
  <c r="AN71" i="79"/>
  <c r="AJ79" i="79"/>
  <c r="AN77" i="79"/>
  <c r="AR79" i="79"/>
  <c r="AL75" i="79"/>
  <c r="K84" i="79"/>
  <c r="K112" i="79" s="1"/>
  <c r="AT10" i="79"/>
  <c r="AP14" i="79"/>
  <c r="AP72" i="79"/>
  <c r="AB84" i="79"/>
  <c r="M14" i="79"/>
  <c r="AL14" i="79" s="1"/>
  <c r="V84" i="79"/>
  <c r="V99" i="79" s="1"/>
  <c r="AL25" i="79"/>
  <c r="AJ14" i="79"/>
  <c r="Q84" i="79"/>
  <c r="Q99" i="79" s="1"/>
  <c r="AT25" i="79"/>
  <c r="AT41" i="79"/>
  <c r="AX43" i="79"/>
  <c r="AF99" i="79"/>
  <c r="D84" i="79"/>
  <c r="AT110" i="79"/>
  <c r="AD112" i="79" l="1"/>
  <c r="AR84" i="79"/>
  <c r="L112" i="79"/>
  <c r="AX41" i="79"/>
  <c r="AT68" i="79"/>
  <c r="AJ68" i="79"/>
  <c r="N112" i="79"/>
  <c r="U112" i="79"/>
  <c r="Y112" i="79"/>
  <c r="W112" i="79"/>
  <c r="AT72" i="79"/>
  <c r="AT70" i="79"/>
  <c r="AT79" i="79"/>
  <c r="V112" i="79"/>
  <c r="AT73" i="79"/>
  <c r="O112" i="79"/>
  <c r="AT82" i="79"/>
  <c r="AT74" i="79"/>
  <c r="AT13" i="79"/>
  <c r="X112" i="79"/>
  <c r="AH112" i="79"/>
  <c r="AT75" i="79"/>
  <c r="AT71" i="79"/>
  <c r="AT81" i="79"/>
  <c r="AR99" i="79"/>
  <c r="AP84" i="79"/>
  <c r="AT77" i="79"/>
  <c r="AX50" i="79"/>
  <c r="AX53" i="79"/>
  <c r="AX38" i="79"/>
  <c r="AX34" i="79"/>
  <c r="AX33" i="79"/>
  <c r="AX52" i="79"/>
  <c r="AX54" i="79"/>
  <c r="AX36" i="79"/>
  <c r="AX46" i="79"/>
  <c r="AN84" i="79"/>
  <c r="AL84" i="79"/>
  <c r="AT16" i="79"/>
  <c r="P99" i="79"/>
  <c r="P112" i="79" s="1"/>
  <c r="AT76" i="79"/>
  <c r="AT14" i="79"/>
  <c r="AB99" i="79"/>
  <c r="AB112" i="79" s="1"/>
  <c r="AN99" i="79"/>
  <c r="Z112" i="79"/>
  <c r="AJ84" i="79"/>
  <c r="D112" i="79"/>
  <c r="Q112" i="79"/>
  <c r="AF112" i="79"/>
  <c r="AN112" i="79" l="1"/>
  <c r="AR112" i="79"/>
  <c r="AT84" i="79"/>
  <c r="AX45" i="79"/>
  <c r="AX68" i="79" s="1"/>
  <c r="AL99" i="79"/>
  <c r="AL112" i="79"/>
  <c r="AP99" i="79"/>
  <c r="AP112" i="79"/>
  <c r="D114" i="79"/>
  <c r="AJ112" i="79"/>
  <c r="AT99" i="79" l="1"/>
  <c r="AT112" i="79"/>
  <c r="E8" i="79"/>
  <c r="E16" i="79" s="1"/>
  <c r="E114" i="79" s="1"/>
  <c r="F8" i="79" s="1"/>
  <c r="F16" i="79" s="1"/>
  <c r="F114" i="79" s="1"/>
  <c r="G8" i="79" s="1"/>
  <c r="G16" i="79" s="1"/>
  <c r="G114" i="79" s="1"/>
  <c r="H8" i="79" s="1"/>
  <c r="H16" i="79" s="1"/>
  <c r="H114" i="79" s="1"/>
  <c r="I8" i="79" s="1"/>
  <c r="I16" i="79" s="1"/>
  <c r="I114" i="79" s="1"/>
  <c r="J8" i="79" s="1"/>
  <c r="J16" i="79" s="1"/>
  <c r="J114" i="79" s="1"/>
  <c r="K8" i="79" s="1"/>
  <c r="K16" i="79" s="1"/>
  <c r="K114" i="79" s="1"/>
  <c r="L8" i="79" l="1"/>
  <c r="L16" i="79" s="1"/>
  <c r="L114" i="79" s="1"/>
  <c r="M8" i="79" s="1"/>
  <c r="M16" i="79" s="1"/>
  <c r="M114" i="79" s="1"/>
  <c r="N8" i="79" s="1"/>
  <c r="N16" i="79" s="1"/>
  <c r="N114" i="79" s="1"/>
  <c r="O8" i="79" s="1"/>
  <c r="O16" i="79" s="1"/>
  <c r="O114" i="79" s="1"/>
  <c r="P8" i="79" s="1"/>
  <c r="P16" i="79" s="1"/>
  <c r="P114" i="79" s="1"/>
  <c r="Q8" i="79" s="1"/>
  <c r="Q16" i="79" s="1"/>
  <c r="Q114" i="79" s="1"/>
  <c r="R8" i="79" s="1"/>
  <c r="R16" i="79" s="1"/>
  <c r="R114" i="79" s="1"/>
  <c r="AJ114" i="79"/>
  <c r="S8" i="79" l="1"/>
  <c r="S16" i="79" s="1"/>
  <c r="S114" i="79" s="1"/>
  <c r="T8" i="79" s="1"/>
  <c r="T16" i="79" s="1"/>
  <c r="T114" i="79" s="1"/>
  <c r="U8" i="79" s="1"/>
  <c r="U16" i="79" s="1"/>
  <c r="U114" i="79" s="1"/>
  <c r="V8" i="79" s="1"/>
  <c r="V16" i="79" s="1"/>
  <c r="V114" i="79" s="1"/>
  <c r="W8" i="79" s="1"/>
  <c r="W16" i="79" s="1"/>
  <c r="W114" i="79" s="1"/>
  <c r="X8" i="79" s="1"/>
  <c r="X16" i="79" s="1"/>
  <c r="X114" i="79" s="1"/>
  <c r="Y8" i="79" s="1"/>
  <c r="Y16" i="79" s="1"/>
  <c r="Y114" i="79" s="1"/>
  <c r="AL114" i="79"/>
  <c r="AN114" i="79" l="1"/>
  <c r="Z8" i="79"/>
  <c r="Z16" i="79" s="1"/>
  <c r="Z114" i="79" s="1"/>
  <c r="AA8" i="79" s="1"/>
  <c r="AA16" i="79" s="1"/>
  <c r="AA114" i="79" s="1"/>
  <c r="AB8" i="79" s="1"/>
  <c r="AB16" i="79" s="1"/>
  <c r="AB114" i="79" s="1"/>
  <c r="AC8" i="79" s="1"/>
  <c r="AC16" i="79" s="1"/>
  <c r="AC114" i="79" s="1"/>
  <c r="AD8" i="79" s="1"/>
  <c r="AD16" i="79" s="1"/>
  <c r="AD114" i="79" s="1"/>
  <c r="AE8" i="79" s="1"/>
  <c r="AE16" i="79" s="1"/>
  <c r="AE114" i="79" s="1"/>
  <c r="AF8" i="79" s="1"/>
  <c r="AF16" i="79" s="1"/>
  <c r="AF114" i="79" s="1"/>
  <c r="AG8" i="79" l="1"/>
  <c r="AG16" i="79" s="1"/>
  <c r="AG114" i="79" s="1"/>
  <c r="AH8" i="79" s="1"/>
  <c r="AH16" i="79" s="1"/>
  <c r="AH114" i="79" s="1"/>
  <c r="AP114" i="79"/>
  <c r="AR114" i="79" l="1"/>
  <c r="AT114" i="79" s="1"/>
  <c r="Q31" i="134" l="1"/>
  <c r="Q33" i="134" s="1"/>
  <c r="Q47" i="134" s="1"/>
  <c r="AL31" i="134"/>
  <c r="AL33" i="134" l="1"/>
  <c r="AL47" i="134" s="1"/>
  <c r="AX31" i="134"/>
  <c r="AP31" i="134"/>
  <c r="C22" i="159" l="1"/>
  <c r="C25" i="159"/>
  <c r="C26" i="159" l="1"/>
  <c r="AO106" i="128"/>
  <c r="AY106" i="128" s="1"/>
  <c r="AY108" i="128" s="1"/>
  <c r="C22" i="134"/>
  <c r="C33" i="134" s="1"/>
  <c r="C47" i="134" s="1"/>
  <c r="AN20" i="134" l="1"/>
  <c r="AX20" i="134" l="1"/>
  <c r="AN45" i="134"/>
  <c r="AP18" i="134" s="1"/>
  <c r="AN22" i="134"/>
  <c r="AN33" i="134" s="1"/>
  <c r="AP22" i="134" l="1"/>
  <c r="AP33" i="134" s="1"/>
  <c r="AP45" i="134"/>
  <c r="AR18" i="134" s="1"/>
  <c r="AN47" i="134"/>
  <c r="AX45" i="134"/>
  <c r="AX22" i="134"/>
  <c r="AX33" i="134" s="1"/>
  <c r="AX47" i="134" l="1"/>
  <c r="AP47" i="134"/>
  <c r="AR22" i="134"/>
  <c r="AR33" i="134" s="1"/>
  <c r="AR45" i="134"/>
  <c r="AT18" i="134" s="1"/>
  <c r="AR47" i="134" l="1"/>
  <c r="AT22" i="134"/>
  <c r="AT33" i="134" s="1"/>
  <c r="AT45" i="134"/>
  <c r="AV18" i="134" s="1"/>
  <c r="AV45" i="134" l="1"/>
  <c r="AV22" i="134"/>
  <c r="AV33" i="134" s="1"/>
  <c r="AT47" i="134"/>
  <c r="AV47" i="134" l="1"/>
  <c r="D10867" i="158" l="1"/>
  <c r="E10867" i="158"/>
  <c r="G10867" i="158"/>
  <c r="F10867" i="158"/>
  <c r="D3145" i="158"/>
</calcChain>
</file>

<file path=xl/comments1.xml><?xml version="1.0" encoding="utf-8"?>
<comments xmlns="http://schemas.openxmlformats.org/spreadsheetml/2006/main">
  <authors>
    <author>300-20K</author>
  </authors>
  <commentList>
    <comment ref="G15" authorId="0">
      <text>
        <r>
          <rPr>
            <b/>
            <sz val="9"/>
            <color indexed="81"/>
            <rFont val="Tahoma"/>
            <family val="2"/>
          </rPr>
          <t>SISA SERVICE H 1753 PY</t>
        </r>
      </text>
    </comment>
    <comment ref="G27" authorId="0">
      <text>
        <r>
          <rPr>
            <b/>
            <sz val="9"/>
            <color indexed="81"/>
            <rFont val="Tahoma"/>
            <family val="2"/>
          </rPr>
          <t>MBRFS DN 3029</t>
        </r>
      </text>
    </comment>
    <comment ref="I35" authorId="0">
      <text>
        <r>
          <rPr>
            <b/>
            <sz val="9"/>
            <color indexed="81"/>
            <rFont val="Tahoma"/>
            <family val="2"/>
          </rPr>
          <t xml:space="preserve">SET KURSET 031022 </t>
        </r>
      </text>
    </comment>
    <comment ref="F47" authorId="0">
      <text>
        <r>
          <rPr>
            <b/>
            <sz val="9"/>
            <color indexed="81"/>
            <rFont val="Tahoma"/>
            <family val="2"/>
          </rPr>
          <t>NK-LAINNYA SLS LBH 011022</t>
        </r>
      </text>
    </comment>
    <comment ref="H59" authorId="0">
      <text>
        <r>
          <rPr>
            <b/>
            <sz val="9"/>
            <color indexed="81"/>
            <rFont val="Tahoma"/>
            <family val="2"/>
          </rPr>
          <t>NK-LAINNYA SLS LBH 041022</t>
        </r>
      </text>
    </comment>
    <comment ref="F61" authorId="0">
      <text>
        <r>
          <rPr>
            <b/>
            <sz val="9"/>
            <color indexed="81"/>
            <rFont val="Tahoma"/>
            <family val="2"/>
          </rPr>
          <t>TGL 01 OKT</t>
        </r>
      </text>
    </comment>
    <comment ref="F106" authorId="0">
      <text>
        <r>
          <rPr>
            <b/>
            <sz val="9"/>
            <color indexed="81"/>
            <rFont val="Tahoma"/>
            <family val="2"/>
          </rPr>
          <t>MMJP -
STNK &amp; ASURANSI</t>
        </r>
      </text>
    </comment>
  </commentList>
</comments>
</file>

<file path=xl/comments10.xml><?xml version="1.0" encoding="utf-8"?>
<comments xmlns="http://schemas.openxmlformats.org/spreadsheetml/2006/main">
  <authors>
    <author>300-20</author>
    <author>300-20K</author>
  </authors>
  <commentList>
    <comment ref="CU8" authorId="0">
      <text>
        <r>
          <rPr>
            <b/>
            <sz val="9"/>
            <color indexed="81"/>
            <rFont val="Tahoma"/>
            <family val="2"/>
          </rPr>
          <t>PPH 23 NONINATIF MASA DES '20 + PPH 23 JASA NOMINATIF DES '20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KURANG BAYAR PPH 21 MASA JAN '20</t>
        </r>
      </text>
    </comment>
    <comment ref="AM10" authorId="0">
      <text>
        <r>
          <rPr>
            <b/>
            <sz val="9"/>
            <color indexed="81"/>
            <rFont val="Tahoma"/>
            <family val="2"/>
          </rPr>
          <t>KAP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13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AC23" authorId="0">
      <text>
        <r>
          <rPr>
            <b/>
            <sz val="9"/>
            <color indexed="81"/>
            <rFont val="Tahoma"/>
            <family val="2"/>
          </rPr>
          <t>KAP AUIDIT PER 31 DES '20</t>
        </r>
      </text>
    </comment>
    <comment ref="AE23" authorId="0">
      <text>
        <r>
          <rPr>
            <b/>
            <sz val="9"/>
            <color indexed="81"/>
            <rFont val="Tahoma"/>
            <family val="2"/>
          </rPr>
          <t>PPH 23 MASA APR '21 SELIISH GT MT MIN</t>
        </r>
      </text>
    </comment>
    <comment ref="AU23" authorId="0">
      <text>
        <r>
          <rPr>
            <b/>
            <sz val="9"/>
            <color indexed="81"/>
            <rFont val="Tahoma"/>
            <family val="2"/>
          </rPr>
          <t>FEE AUDIT LAP KEU 31 DES '20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SEWA GUDANG MGL JUN '21 - JUN '25</t>
        </r>
      </text>
    </comment>
    <comment ref="BG23" authorId="0">
      <text>
        <r>
          <rPr>
            <b/>
            <sz val="9"/>
            <color indexed="81"/>
            <rFont val="Tahoma"/>
            <family val="2"/>
          </rPr>
          <t>PT MIN</t>
        </r>
      </text>
    </comment>
    <comment ref="BO23" authorId="0">
      <text>
        <r>
          <rPr>
            <b/>
            <sz val="9"/>
            <color indexed="81"/>
            <rFont val="Tahoma"/>
            <family val="2"/>
          </rPr>
          <t>KJPP NIRBOYO</t>
        </r>
      </text>
    </comment>
    <comment ref="CE23" authorId="0">
      <text>
        <r>
          <rPr>
            <b/>
            <sz val="9"/>
            <color indexed="81"/>
            <rFont val="Tahoma"/>
            <family val="2"/>
          </rPr>
          <t>100 + 104</t>
        </r>
      </text>
    </comment>
    <comment ref="CM23" authorId="0">
      <text>
        <r>
          <rPr>
            <b/>
            <sz val="9"/>
            <color indexed="81"/>
            <rFont val="Tahoma"/>
            <family val="2"/>
          </rPr>
          <t>PPH 23 100, 104</t>
        </r>
      </text>
    </comment>
    <comment ref="W24" authorId="0">
      <text>
        <r>
          <rPr>
            <b/>
            <sz val="9"/>
            <color indexed="81"/>
            <rFont val="Tahoma"/>
            <family val="2"/>
          </rPr>
          <t>PEMBETULAN PPH 23 MARET '21</t>
        </r>
      </text>
    </comment>
    <comment ref="AC24" authorId="0">
      <text>
        <r>
          <rPr>
            <b/>
            <sz val="9"/>
            <color indexed="81"/>
            <rFont val="Tahoma"/>
            <family val="2"/>
          </rPr>
          <t>PPH 21 MASA APR '21</t>
        </r>
      </text>
    </comment>
    <comment ref="BE24" authorId="0">
      <text>
        <r>
          <rPr>
            <b/>
            <sz val="9"/>
            <color indexed="81"/>
            <rFont val="Tahoma"/>
            <family val="2"/>
          </rPr>
          <t>PPH 21 JUL '21 (NOTARIS BY FIDUSIA)</t>
        </r>
      </text>
    </comment>
    <comment ref="BO24" authorId="0">
      <text>
        <r>
          <rPr>
            <b/>
            <sz val="9"/>
            <color indexed="81"/>
            <rFont val="Tahoma"/>
            <family val="2"/>
          </rPr>
          <t>MIN, ISI</t>
        </r>
      </text>
    </comment>
    <comment ref="AC25" authorId="0">
      <text>
        <r>
          <rPr>
            <b/>
            <sz val="9"/>
            <color indexed="81"/>
            <rFont val="Tahoma"/>
            <family val="2"/>
          </rPr>
          <t>PPH 21 MASA APR '21 THR '21</t>
        </r>
      </text>
    </comment>
    <comment ref="CE26" authorId="0">
      <text>
        <r>
          <rPr>
            <b/>
            <sz val="9"/>
            <color indexed="81"/>
            <rFont val="Tahoma"/>
            <family val="2"/>
          </rPr>
          <t>PEMBETULAN 1</t>
        </r>
      </text>
    </comment>
    <comment ref="CU26" authorId="0">
      <text>
        <r>
          <rPr>
            <b/>
            <sz val="9"/>
            <color indexed="81"/>
            <rFont val="Tahoma"/>
            <family val="2"/>
          </rPr>
          <t>100 PEMBETULAN 0 +
 104 PEMBETULAN 0</t>
        </r>
      </text>
    </comment>
    <comment ref="CU27" authorId="0">
      <text>
        <r>
          <rPr>
            <b/>
            <sz val="9"/>
            <color indexed="81"/>
            <rFont val="Tahoma"/>
            <family val="2"/>
          </rPr>
          <t xml:space="preserve">NOMINATIF </t>
        </r>
      </text>
    </comment>
    <comment ref="B28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29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STP PPH PS 25 MEI 2018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100 +
104</t>
        </r>
      </text>
    </comment>
    <comment ref="W38" authorId="0">
      <text>
        <r>
          <rPr>
            <b/>
            <sz val="9"/>
            <color indexed="81"/>
            <rFont val="Tahoma"/>
            <family val="2"/>
          </rPr>
          <t xml:space="preserve">PPH 23 MAR '22 (100) +
PPH 23 MAR '22 (104)
</t>
        </r>
      </text>
    </comment>
    <comment ref="AC38" authorId="0">
      <text>
        <r>
          <rPr>
            <b/>
            <sz val="9"/>
            <color indexed="81"/>
            <rFont val="Tahoma"/>
            <family val="2"/>
          </rPr>
          <t xml:space="preserve">PPH 21 APR + THR APR </t>
        </r>
      </text>
    </comment>
    <comment ref="AO38" authorId="1">
      <text>
        <r>
          <rPr>
            <b/>
            <sz val="9"/>
            <color indexed="81"/>
            <rFont val="Tahoma"/>
            <family val="2"/>
          </rPr>
          <t>100 + 104</t>
        </r>
      </text>
    </comment>
    <comment ref="AW38" authorId="1">
      <text>
        <r>
          <rPr>
            <b/>
            <sz val="9"/>
            <color indexed="81"/>
            <rFont val="Tahoma"/>
            <family val="2"/>
          </rPr>
          <t>100 +
104</t>
        </r>
      </text>
    </comment>
    <comment ref="B40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41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</commentList>
</comments>
</file>

<file path=xl/comments11.xml><?xml version="1.0" encoding="utf-8"?>
<comments xmlns="http://schemas.openxmlformats.org/spreadsheetml/2006/main">
  <authors>
    <author>300-20</author>
  </authors>
  <commentList>
    <comment ref="D27" authorId="0">
      <text>
        <r>
          <rPr>
            <b/>
            <sz val="9"/>
            <color indexed="81"/>
            <rFont val="Tahoma"/>
            <family val="2"/>
          </rPr>
          <t xml:space="preserve">TAMBAHAN 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TAMBAHAN</t>
        </r>
      </text>
    </comment>
  </commentList>
</comments>
</file>

<file path=xl/comments12.xml><?xml version="1.0" encoding="utf-8"?>
<comments xmlns="http://schemas.openxmlformats.org/spreadsheetml/2006/main">
  <authors>
    <author>300</author>
    <author>BACK</author>
    <author>300-20</author>
  </authors>
  <commentList>
    <comment ref="V4" authorId="0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X4" authorId="1">
      <text>
        <r>
          <rPr>
            <b/>
            <sz val="9"/>
            <color indexed="81"/>
            <rFont val="Tahoma"/>
            <family val="2"/>
          </rPr>
          <t>ANGSURAN KE 15</t>
        </r>
      </text>
    </comment>
    <comment ref="Z4" authorId="2">
      <text>
        <r>
          <rPr>
            <b/>
            <sz val="9"/>
            <color indexed="81"/>
            <rFont val="Tahoma"/>
            <family val="2"/>
          </rPr>
          <t>ANGS KE 16 DIPO STAR</t>
        </r>
      </text>
    </comment>
    <comment ref="D5" authorId="2">
      <text>
        <r>
          <rPr>
            <b/>
            <sz val="9"/>
            <color indexed="81"/>
            <rFont val="Tahoma"/>
            <family val="2"/>
          </rPr>
          <t>angs ke 8</t>
        </r>
      </text>
    </comment>
    <comment ref="F5" authorId="2">
      <text>
        <r>
          <rPr>
            <b/>
            <sz val="9"/>
            <color indexed="81"/>
            <rFont val="Tahoma"/>
            <family val="2"/>
          </rPr>
          <t>angs ke 9</t>
        </r>
      </text>
    </comment>
    <comment ref="H5" authorId="2">
      <text>
        <r>
          <rPr>
            <b/>
            <sz val="9"/>
            <color indexed="81"/>
            <rFont val="Tahoma"/>
            <family val="2"/>
          </rPr>
          <t>angs ke 10</t>
        </r>
      </text>
    </comment>
    <comment ref="J5" authorId="2">
      <text>
        <r>
          <rPr>
            <b/>
            <sz val="9"/>
            <color indexed="81"/>
            <rFont val="Tahoma"/>
            <family val="2"/>
          </rPr>
          <t>angs ke 11</t>
        </r>
      </text>
    </comment>
    <comment ref="L5" authorId="2">
      <text>
        <r>
          <rPr>
            <b/>
            <sz val="9"/>
            <color indexed="81"/>
            <rFont val="Tahoma"/>
            <family val="2"/>
          </rPr>
          <t>angs ke 12</t>
        </r>
      </text>
    </comment>
    <comment ref="N5" authorId="2">
      <text>
        <r>
          <rPr>
            <b/>
            <sz val="9"/>
            <color indexed="81"/>
            <rFont val="Tahoma"/>
            <family val="2"/>
          </rPr>
          <t>angs ke 13</t>
        </r>
      </text>
    </comment>
    <comment ref="P5" authorId="2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R5" authorId="2">
      <text>
        <r>
          <rPr>
            <b/>
            <sz val="9"/>
            <color indexed="81"/>
            <rFont val="Tahoma"/>
            <family val="2"/>
          </rPr>
          <t>angs ke 15</t>
        </r>
      </text>
    </comment>
    <comment ref="T5" authorId="2">
      <text>
        <r>
          <rPr>
            <b/>
            <sz val="9"/>
            <color indexed="81"/>
            <rFont val="Tahoma"/>
            <family val="2"/>
          </rPr>
          <t>angs ke 16</t>
        </r>
      </text>
    </comment>
    <comment ref="V5" authorId="1">
      <text>
        <r>
          <rPr>
            <b/>
            <sz val="9"/>
            <color indexed="81"/>
            <rFont val="Tahoma"/>
            <family val="2"/>
          </rPr>
          <t>ANGS KE 17</t>
        </r>
      </text>
    </comment>
    <comment ref="X5" authorId="2">
      <text>
        <r>
          <rPr>
            <b/>
            <sz val="9"/>
            <color indexed="81"/>
            <rFont val="Tahoma"/>
            <family val="2"/>
          </rPr>
          <t>angs ke 18</t>
        </r>
      </text>
    </comment>
    <comment ref="Z5" authorId="2">
      <text>
        <r>
          <rPr>
            <b/>
            <sz val="9"/>
            <color indexed="81"/>
            <rFont val="Tahoma"/>
            <family val="2"/>
          </rPr>
          <t>ANGS KE 19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MSS YK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HO MSS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ATK PANTASELHO SEP '20 &amp; KERTAS PANTASELHP SEP '20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KERTAS OKT + KEKURANGAN ATK SEP + ATK PANSEL OKT + ATK PANTURA OKT '20</t>
        </r>
      </text>
    </comment>
    <comment ref="X22" authorId="0">
      <text>
        <r>
          <rPr>
            <b/>
            <sz val="9"/>
            <color indexed="81"/>
            <rFont val="Tahoma"/>
            <family val="2"/>
          </rPr>
          <t>KERTAS HVS + ATK PANTURA + ATK PANSEL</t>
        </r>
      </text>
    </comment>
    <comment ref="Z22" authorId="2">
      <text>
        <r>
          <rPr>
            <b/>
            <sz val="9"/>
            <color indexed="81"/>
            <rFont val="Tahoma"/>
            <family val="2"/>
          </rPr>
          <t>KERTAS BURAM + ATK PANSEL + ATK PANTURA</t>
        </r>
      </text>
    </comment>
    <comment ref="X23" authorId="2">
      <text>
        <r>
          <rPr>
            <b/>
            <sz val="9"/>
            <color indexed="81"/>
            <rFont val="Tahoma"/>
            <family val="2"/>
          </rPr>
          <t>KEKURANGAN ATK NOV'20 MSS PKL</t>
        </r>
      </text>
    </comment>
    <comment ref="Z23" authorId="2">
      <text>
        <r>
          <rPr>
            <b/>
            <sz val="9"/>
            <color indexed="81"/>
            <rFont val="Tahoma"/>
            <family val="2"/>
          </rPr>
          <t>KEKURANGAN ATK DES PANTURA</t>
        </r>
      </text>
    </comment>
    <comment ref="Z24" authorId="2">
      <text>
        <r>
          <rPr>
            <b/>
            <sz val="9"/>
            <color indexed="81"/>
            <rFont val="Tahoma"/>
            <family val="2"/>
          </rPr>
          <t>KEKR ATK PANSEL,HO DES '20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CETAKAN ALL DEPO</t>
        </r>
      </text>
    </comment>
    <comment ref="X29" authorId="2">
      <text>
        <r>
          <rPr>
            <b/>
            <sz val="9"/>
            <color indexed="81"/>
            <rFont val="Tahoma"/>
            <family val="2"/>
          </rPr>
          <t xml:space="preserve">CETAKAN 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39" authorId="2">
      <text>
        <r>
          <rPr>
            <b/>
            <sz val="9"/>
            <color indexed="81"/>
            <rFont val="Tahoma"/>
            <family val="2"/>
          </rPr>
          <t>21 DES - 31 DES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49" authorId="2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T50" authorId="0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V50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51" authorId="0">
      <text>
        <r>
          <rPr>
            <b/>
            <sz val="9"/>
            <color indexed="81"/>
            <rFont val="Tahoma"/>
            <family val="2"/>
          </rPr>
          <t xml:space="preserve">BLO, TGL, SMG </t>
        </r>
      </text>
    </comment>
    <comment ref="V51" authorId="0">
      <text>
        <r>
          <rPr>
            <b/>
            <sz val="9"/>
            <color indexed="81"/>
            <rFont val="Tahoma"/>
            <family val="2"/>
          </rPr>
          <t>KEKURANGAN GAJI JPA PANTASEL LEWAT KAS KECIL HO</t>
        </r>
      </text>
    </comment>
    <comment ref="Z51" authorId="2">
      <text>
        <r>
          <rPr>
            <b/>
            <sz val="9"/>
            <color indexed="81"/>
            <rFont val="Tahoma"/>
            <family val="2"/>
          </rPr>
          <t>21-31 DES '20</t>
        </r>
      </text>
    </comment>
    <comment ref="T5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R5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66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67" authorId="2">
      <text>
        <r>
          <rPr>
            <b/>
            <sz val="9"/>
            <color indexed="81"/>
            <rFont val="Tahoma"/>
            <family val="2"/>
          </rPr>
          <t>TEGAL</t>
        </r>
      </text>
    </comment>
    <comment ref="L69" authorId="2">
      <text>
        <r>
          <rPr>
            <b/>
            <sz val="9"/>
            <color indexed="81"/>
            <rFont val="Tahoma"/>
            <family val="2"/>
          </rPr>
          <t>Q4 MEI-JUL '20</t>
        </r>
      </text>
    </comment>
    <comment ref="R69" authorId="2">
      <text>
        <r>
          <rPr>
            <b/>
            <sz val="9"/>
            <color indexed="81"/>
            <rFont val="Tahoma"/>
            <family val="2"/>
          </rPr>
          <t xml:space="preserve">Q1 (AGT-OKT '20) </t>
        </r>
      </text>
    </comment>
    <comment ref="Z71" authorId="2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T72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72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X86" authorId="2">
      <text>
        <r>
          <rPr>
            <b/>
            <sz val="9"/>
            <color indexed="81"/>
            <rFont val="Tahoma"/>
            <family val="2"/>
          </rPr>
          <t>smg,sol,blr</t>
        </r>
      </text>
    </comment>
    <comment ref="R88" authorId="0">
      <text>
        <r>
          <rPr>
            <b/>
            <sz val="9"/>
            <color indexed="81"/>
            <rFont val="Tahoma"/>
            <family val="2"/>
          </rPr>
          <t xml:space="preserve">FC AGT-SEP, RK YK SEP </t>
        </r>
      </text>
    </comment>
    <comment ref="V88" authorId="0">
      <text>
        <r>
          <rPr>
            <b/>
            <sz val="9"/>
            <color indexed="81"/>
            <rFont val="Tahoma"/>
            <family val="2"/>
          </rPr>
          <t xml:space="preserve">JATAH HO </t>
        </r>
      </text>
    </comment>
    <comment ref="X88" authorId="2">
      <text>
        <r>
          <rPr>
            <b/>
            <sz val="9"/>
            <color indexed="81"/>
            <rFont val="Tahoma"/>
            <family val="2"/>
          </rPr>
          <t>JATAH MSS YK</t>
        </r>
      </text>
    </comment>
    <comment ref="Z88" authorId="2">
      <text>
        <r>
          <rPr>
            <b/>
            <sz val="9"/>
            <color indexed="81"/>
            <rFont val="Tahoma"/>
            <family val="2"/>
          </rPr>
          <t>JATAH MSS HO</t>
        </r>
      </text>
    </comment>
    <comment ref="T89" authorId="0">
      <text>
        <r>
          <rPr>
            <b/>
            <sz val="9"/>
            <color indexed="81"/>
            <rFont val="Tahoma"/>
            <family val="2"/>
          </rPr>
          <t>MSS HO</t>
        </r>
      </text>
    </comment>
    <comment ref="Z89" authorId="2">
      <text>
        <r>
          <rPr>
            <b/>
            <sz val="9"/>
            <color indexed="81"/>
            <rFont val="Tahoma"/>
            <family val="2"/>
          </rPr>
          <t>UPGRADE DARI FAST 15 KE 20</t>
        </r>
      </text>
    </comment>
    <comment ref="T99" authorId="2">
      <text>
        <r>
          <rPr>
            <b/>
            <sz val="9"/>
            <color indexed="81"/>
            <rFont val="Tahoma"/>
            <family val="2"/>
          </rPr>
          <t>PELUNASAN DIS COST SEP '20</t>
        </r>
      </text>
    </comment>
    <comment ref="V100" authorId="0">
      <text>
        <r>
          <rPr>
            <b/>
            <sz val="9"/>
            <color indexed="81"/>
            <rFont val="Tahoma"/>
            <family val="2"/>
          </rPr>
          <t>300:YK</t>
        </r>
      </text>
    </comment>
    <comment ref="V102" authorId="0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V109" authorId="0">
      <text>
        <r>
          <rPr>
            <b/>
            <sz val="9"/>
            <color indexed="81"/>
            <rFont val="Tahoma"/>
            <family val="2"/>
          </rPr>
          <t xml:space="preserve">KERTAS HVS A4 PANTASEL&amp;HO </t>
        </r>
      </text>
    </comment>
    <comment ref="X109" authorId="0">
      <text>
        <r>
          <rPr>
            <b/>
            <sz val="9"/>
            <color indexed="81"/>
            <rFont val="Tahoma"/>
            <family val="2"/>
          </rPr>
          <t>KERTAS HVS, A4, F4 N</t>
        </r>
      </text>
    </comment>
    <comment ref="Z109" authorId="2">
      <text>
        <r>
          <rPr>
            <b/>
            <sz val="9"/>
            <color indexed="81"/>
            <rFont val="Tahoma"/>
            <family val="2"/>
          </rPr>
          <t xml:space="preserve">CF DEPAPER + KERTAS </t>
        </r>
      </text>
    </comment>
    <comment ref="V110" authorId="0">
      <text>
        <r>
          <rPr>
            <b/>
            <sz val="9"/>
            <color indexed="81"/>
            <rFont val="Tahoma"/>
            <family val="2"/>
          </rPr>
          <t xml:space="preserve">CF DEPAPER PANTASEL </t>
        </r>
      </text>
    </comment>
    <comment ref="X110" authorId="0">
      <text>
        <r>
          <rPr>
            <b/>
            <sz val="9"/>
            <color indexed="81"/>
            <rFont val="Tahoma"/>
            <family val="2"/>
          </rPr>
          <t xml:space="preserve">CF DEPAPER </t>
        </r>
      </text>
    </comment>
  </commentList>
</comments>
</file>

<file path=xl/comments13.xml><?xml version="1.0" encoding="utf-8"?>
<comments xmlns="http://schemas.openxmlformats.org/spreadsheetml/2006/main">
  <authors>
    <author>Lenovo</author>
  </authors>
  <commentList>
    <comment ref="C4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11 UNIT FE-71.
08 UNIT FE-73.
03 UNIT L-300.</t>
        </r>
      </text>
    </comment>
    <comment ref="C5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 UNIT XENIA 1.3R A/T.
3 UNIT SIGRA 1.2R M/T.</t>
        </r>
      </text>
    </comment>
  </commentList>
</comments>
</file>

<file path=xl/comments2.xml><?xml version="1.0" encoding="utf-8"?>
<comments xmlns="http://schemas.openxmlformats.org/spreadsheetml/2006/main">
  <authors>
    <author>300-20K</author>
    <author>300-20</author>
  </authors>
  <commentList>
    <comment ref="F31" authorId="0">
      <text>
        <r>
          <rPr>
            <b/>
            <sz val="9"/>
            <color indexed="81"/>
            <rFont val="Tahoma"/>
            <family val="2"/>
          </rPr>
          <t>CBD</t>
        </r>
      </text>
    </comment>
    <comment ref="E43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A61" authorId="1">
      <text>
        <r>
          <rPr>
            <b/>
            <sz val="9"/>
            <color indexed="81"/>
            <rFont val="Tahoma"/>
            <family val="2"/>
          </rPr>
          <t>8000 774 71800 
NIAGA</t>
        </r>
      </text>
    </comment>
    <comment ref="A62" authorId="1">
      <text>
        <r>
          <rPr>
            <b/>
            <sz val="9"/>
            <color indexed="81"/>
            <rFont val="Tahoma"/>
            <family val="2"/>
          </rPr>
          <t>182 025 7584 
BCA</t>
        </r>
      </text>
    </comment>
    <comment ref="A63" authorId="1">
      <text>
        <r>
          <rPr>
            <b/>
            <sz val="9"/>
            <color indexed="81"/>
            <rFont val="Tahoma"/>
            <family val="2"/>
          </rPr>
          <t>8000 5906 9500 NIAGA</t>
        </r>
      </text>
    </comment>
    <comment ref="G92" authorId="0">
      <text>
        <r>
          <rPr>
            <b/>
            <sz val="9"/>
            <color indexed="81"/>
            <rFont val="Tahoma"/>
            <family val="2"/>
          </rPr>
          <t>RIANDO /
PENYELESAIAN UM RENOV TALANG YK TGL 26 SEP</t>
        </r>
      </text>
    </comment>
    <comment ref="G120" authorId="0">
      <text>
        <r>
          <rPr>
            <b/>
            <sz val="9"/>
            <color indexed="81"/>
            <rFont val="Tahoma"/>
            <family val="2"/>
          </rPr>
          <t>ANGS KE 13 9 UNT MISTUBISHI 5 NOV '21 - 5 SEP '21</t>
        </r>
      </text>
    </comment>
    <comment ref="E138" authorId="0">
      <text>
        <r>
          <rPr>
            <b/>
            <sz val="9"/>
            <color indexed="81"/>
            <rFont val="Tahoma"/>
            <family val="2"/>
          </rPr>
          <t xml:space="preserve">BUNGA DIFI MIN NIAGA SEP </t>
        </r>
      </text>
    </comment>
    <comment ref="E139" authorId="0">
      <text>
        <r>
          <rPr>
            <b/>
            <sz val="9"/>
            <color indexed="81"/>
            <rFont val="Tahoma"/>
            <family val="2"/>
          </rPr>
          <t xml:space="preserve">BY RTGS REFUND +
BUNGA DIFI YIJG NIAGA SEP </t>
        </r>
      </text>
    </comment>
    <comment ref="E140" authorId="0">
      <text>
        <r>
          <rPr>
            <b/>
            <sz val="9"/>
            <color indexed="81"/>
            <rFont val="Tahoma"/>
            <family val="2"/>
          </rPr>
          <t>PK SPV AN TRIYA M BLORA</t>
        </r>
      </text>
    </comment>
    <comment ref="E142" authorId="0">
      <text>
        <r>
          <rPr>
            <b/>
            <sz val="9"/>
            <color indexed="81"/>
            <rFont val="Tahoma"/>
            <family val="2"/>
          </rPr>
          <t>UP HELPER AN ISKANDAR MSS YOGYA</t>
        </r>
      </text>
    </comment>
    <comment ref="G143" authorId="0">
      <text>
        <r>
          <rPr>
            <b/>
            <sz val="9"/>
            <color indexed="81"/>
            <rFont val="Tahoma"/>
            <family val="2"/>
          </rPr>
          <t>SULISTIYATI /
PENYELESAIAN UM STNK TGL 23 SEP</t>
        </r>
      </text>
    </comment>
    <comment ref="G153" authorId="0">
      <text>
        <r>
          <rPr>
            <b/>
            <sz val="9"/>
            <color indexed="81"/>
            <rFont val="Tahoma"/>
            <family val="2"/>
          </rPr>
          <t>JOGJA SPEED / CV ALVINDO -
2 BAN BARU 700/16 H 1645 TY KBM
1 BAN BARU 700/16 H 1309 SW KBM 
2 BAN BARU 750/15 H 1739 PY SOLO
2 BAN BARU 700/16 H 1628 NW SOLO 
JOGJA SPEED / CV ALVINDO -
2 BAN BARU 185/65 H 1869 WW HOC</t>
        </r>
      </text>
    </comment>
    <comment ref="G158" authorId="0">
      <text>
        <r>
          <rPr>
            <b/>
            <sz val="9"/>
            <color indexed="81"/>
            <rFont val="Tahoma"/>
            <family val="2"/>
          </rPr>
          <t>PT SAS INDO BCA /
MAN FEE JUNI '22 +
NGADIMUN NOBU /
KB MAN FEE JUNI '22 + CICIL MAN FEE JULI '22</t>
        </r>
      </text>
    </comment>
    <comment ref="H158" authorId="0">
      <text>
        <r>
          <rPr>
            <b/>
            <sz val="9"/>
            <color indexed="81"/>
            <rFont val="Tahoma"/>
            <family val="2"/>
          </rPr>
          <t>NGADIMUN BCA /
KB JULI '22, CICIL AGT '22</t>
        </r>
      </text>
    </comment>
    <comment ref="E159" authorId="0">
      <text>
        <r>
          <rPr>
            <b/>
            <sz val="9"/>
            <color indexed="81"/>
            <rFont val="Tahoma"/>
            <family val="2"/>
          </rPr>
          <t>MSS BCA /
BG MI 300 JT PER 01 SEP 2022 - 30 SEP 2023</t>
        </r>
      </text>
    </comment>
    <comment ref="F161" authorId="0">
      <text>
        <r>
          <rPr>
            <b/>
            <sz val="9"/>
            <color indexed="81"/>
            <rFont val="Tahoma"/>
            <family val="2"/>
          </rPr>
          <t>ND-LAINNYA SLS KURSET 031022 MSS CILACAP</t>
        </r>
      </text>
    </comment>
    <comment ref="H161" authorId="0">
      <text>
        <r>
          <rPr>
            <b/>
            <sz val="9"/>
            <color indexed="81"/>
            <rFont val="Tahoma"/>
            <family val="2"/>
          </rPr>
          <t>ND-LAINNYA UANG MERAGUKAN 051022 MSS CILACAP</t>
        </r>
      </text>
    </comment>
    <comment ref="E167" authorId="0">
      <text>
        <r>
          <rPr>
            <b/>
            <sz val="9"/>
            <color indexed="81"/>
            <rFont val="Tahoma"/>
            <family val="2"/>
          </rPr>
          <t>DM MEBEL - DITTA MATIN M /
12 UNT KURSI STATIS MGL +
3 UNT KURSI PUTAR MGL +
USAHA MULYA - ARY SETYONO /
30 PALLET MSS BLORA ,
50 PALLET MSS PATI</t>
        </r>
      </text>
    </comment>
    <comment ref="G167" authorId="0">
      <text>
        <r>
          <rPr>
            <b/>
            <sz val="9"/>
            <color indexed="81"/>
            <rFont val="Tahoma"/>
            <family val="2"/>
          </rPr>
          <t>CV MULYA MITRA MANDIRI - SUTRIYONO /
BY ANGKUT KENDARAAN SMG H 9737 BQ PER 19 SEP 2022 - 18 OKT 2022</t>
        </r>
      </text>
    </comment>
    <comment ref="H167" authorId="0">
      <text>
        <r>
          <rPr>
            <b/>
            <sz val="9"/>
            <color indexed="81"/>
            <rFont val="Tahoma"/>
            <family val="2"/>
          </rPr>
          <t>TOKO PUSAT KEBAB / MULYADI ABADI -
REFUND SALA TF TOKO MSS PKL</t>
        </r>
      </text>
    </comment>
  </commentList>
</comments>
</file>

<file path=xl/comments3.xml><?xml version="1.0" encoding="utf-8"?>
<comments xmlns="http://schemas.openxmlformats.org/spreadsheetml/2006/main">
  <authors>
    <author>300-20K</author>
  </authors>
  <commentList>
    <comment ref="N5" authorId="0">
      <text>
        <r>
          <rPr>
            <b/>
            <sz val="9"/>
            <color indexed="81"/>
            <rFont val="Tahoma"/>
            <family val="2"/>
          </rPr>
          <t>BUNGA ULANG BULAN W 5 SEP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BUNGA ULAN BULAN W 2 OKT</t>
        </r>
      </text>
    </comment>
  </commentList>
</comments>
</file>

<file path=xl/comments4.xml><?xml version="1.0" encoding="utf-8"?>
<comments xmlns="http://schemas.openxmlformats.org/spreadsheetml/2006/main">
  <authors>
    <author>300-20</author>
    <author>300-20K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21 DES '21 - 20 JAN '22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'22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 xml:space="preserve">21 FEB - 20 MAR </t>
        </r>
      </text>
    </comment>
    <comment ref="L5" authorId="0">
      <text>
        <r>
          <rPr>
            <b/>
            <sz val="9"/>
            <color indexed="81"/>
            <rFont val="Tahoma"/>
            <family val="2"/>
          </rPr>
          <t xml:space="preserve">21 MAR - 20 APR </t>
        </r>
      </text>
    </comment>
    <comment ref="N5" authorId="1">
      <text>
        <r>
          <rPr>
            <b/>
            <sz val="9"/>
            <color indexed="81"/>
            <rFont val="Tahoma"/>
            <family val="2"/>
          </rPr>
          <t>21 APR - 20 MEI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 xml:space="preserve">1 JAN - 20 JAN </t>
        </r>
      </text>
    </comment>
    <comment ref="H8" authorId="0">
      <text>
        <r>
          <rPr>
            <b/>
            <sz val="9"/>
            <color indexed="81"/>
            <rFont val="Tahoma"/>
            <family val="2"/>
          </rPr>
          <t>21 JAN - 20 FEB '22</t>
        </r>
      </text>
    </comment>
    <comment ref="J8" authorId="0">
      <text>
        <r>
          <rPr>
            <b/>
            <sz val="9"/>
            <color indexed="81"/>
            <rFont val="Tahoma"/>
            <family val="2"/>
          </rPr>
          <t xml:space="preserve">21 FEB - 20 MAR </t>
        </r>
      </text>
    </comment>
    <comment ref="L8" authorId="0">
      <text>
        <r>
          <rPr>
            <b/>
            <sz val="9"/>
            <color indexed="81"/>
            <rFont val="Tahoma"/>
            <family val="2"/>
          </rPr>
          <t>21 MAR - 20 APR</t>
        </r>
      </text>
    </comment>
    <comment ref="N8" authorId="1">
      <text>
        <r>
          <rPr>
            <b/>
            <sz val="9"/>
            <color indexed="81"/>
            <rFont val="Tahoma"/>
            <family val="2"/>
          </rPr>
          <t>21 APR-20 MEI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>SMG + SOL + YK</t>
        </r>
      </text>
    </comment>
    <comment ref="F24" authorId="1">
      <text>
        <r>
          <rPr>
            <b/>
            <sz val="9"/>
            <color indexed="81"/>
            <rFont val="Tahoma"/>
            <family val="2"/>
          </rPr>
          <t xml:space="preserve">INC SLM KIMBO JAN-MAR </t>
        </r>
      </text>
    </comment>
    <comment ref="F33" authorId="0">
      <text>
        <r>
          <rPr>
            <b/>
            <sz val="9"/>
            <color indexed="81"/>
            <rFont val="Tahoma"/>
            <family val="2"/>
          </rPr>
          <t xml:space="preserve">Q1 JAN, FEB, MAR </t>
        </r>
      </text>
    </comment>
    <comment ref="F36" authorId="0">
      <text>
        <r>
          <rPr>
            <sz val="11"/>
            <color indexed="8"/>
            <rFont val="Calibri"/>
            <family val="2"/>
          </rPr>
          <t>INC SLM FBI NOV '21 - JAN '22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41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45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F49" authorId="1">
      <text>
        <r>
          <rPr>
            <b/>
            <sz val="9"/>
            <color indexed="81"/>
            <rFont val="Tahoma"/>
            <family val="2"/>
          </rPr>
          <t>2 TH AGT 2022 - JULI 2024</t>
        </r>
      </text>
    </comment>
    <comment ref="F58" authorId="0">
      <text>
        <r>
          <rPr>
            <b/>
            <sz val="9"/>
            <color indexed="81"/>
            <rFont val="Tahoma"/>
            <family val="2"/>
          </rPr>
          <t>NILA DC JAN '22 : 537.950.969 
NILAI DC FEB '22 :
544.577.393</t>
        </r>
      </text>
    </comment>
    <comment ref="F59" authorId="0">
      <text>
        <r>
          <rPr>
            <b/>
            <sz val="9"/>
            <color indexed="81"/>
            <rFont val="Tahoma"/>
            <family val="2"/>
          </rPr>
          <t>NILA DC JAN '22 : 537.950.969
NILAI DC FEB '22 :
544.577.393</t>
        </r>
      </text>
    </comment>
    <comment ref="N76" authorId="1">
      <text>
        <r>
          <rPr>
            <b/>
            <sz val="9"/>
            <color indexed="81"/>
            <rFont val="Tahoma"/>
            <family val="2"/>
          </rPr>
          <t>+ PERBAIKAN KABEL</t>
        </r>
      </text>
    </comment>
    <comment ref="H78" authorId="0">
      <text>
        <r>
          <rPr>
            <b/>
            <sz val="9"/>
            <color indexed="81"/>
            <rFont val="Tahoma"/>
            <family val="2"/>
          </rPr>
          <t xml:space="preserve">KERTAS &amp; CF DEPAPER </t>
        </r>
      </text>
    </comment>
    <comment ref="J78" authorId="0">
      <text>
        <r>
          <rPr>
            <b/>
            <sz val="9"/>
            <color indexed="81"/>
            <rFont val="Tahoma"/>
            <family val="2"/>
          </rPr>
          <t>CF DEPAPER &amp; KERTAS A4</t>
        </r>
      </text>
    </comment>
    <comment ref="L78" authorId="0">
      <text>
        <r>
          <rPr>
            <b/>
            <sz val="9"/>
            <color indexed="81"/>
            <rFont val="Tahoma"/>
            <family val="2"/>
          </rPr>
          <t>CF DEPAPER &amp; KERTAS A4</t>
        </r>
      </text>
    </comment>
    <comment ref="F85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J85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L85" authorId="1">
      <text>
        <r>
          <rPr>
            <b/>
            <sz val="9"/>
            <color indexed="81"/>
            <rFont val="Tahoma"/>
            <family val="2"/>
          </rPr>
          <t>HO</t>
        </r>
      </text>
    </comment>
    <comment ref="N85" authorId="1">
      <text>
        <r>
          <rPr>
            <b/>
            <sz val="9"/>
            <color indexed="81"/>
            <rFont val="Tahoma"/>
            <family val="2"/>
          </rPr>
          <t>YK</t>
        </r>
      </text>
    </comment>
    <comment ref="F90" authorId="0">
      <text>
        <r>
          <rPr>
            <b/>
            <sz val="9"/>
            <color indexed="81"/>
            <rFont val="Tahoma"/>
            <family val="2"/>
          </rPr>
          <t xml:space="preserve">ANGS KE 29 11 UNT + 8 UNT + 3 UNT </t>
        </r>
      </text>
    </comment>
    <comment ref="H90" authorId="0">
      <text>
        <r>
          <rPr>
            <b/>
            <sz val="9"/>
            <color indexed="81"/>
            <rFont val="Tahoma"/>
            <family val="2"/>
          </rPr>
          <t>PT DIPO STAR / 
ANGS KE 30 11 UNT, 8 UNT, 3 UNT 30 OKT 2019 - 30 AGT 2022</t>
        </r>
      </text>
    </comment>
    <comment ref="J90" authorId="0">
      <text>
        <r>
          <rPr>
            <b/>
            <sz val="9"/>
            <color indexed="81"/>
            <rFont val="Tahoma"/>
            <family val="2"/>
          </rPr>
          <t xml:space="preserve">PT DIPO STAR /
ANGS KE 31 11 UNT + 8 UNT + 3 UNT </t>
        </r>
      </text>
    </comment>
    <comment ref="L90" authorId="0">
      <text>
        <r>
          <rPr>
            <b/>
            <sz val="9"/>
            <color indexed="81"/>
            <rFont val="Tahoma"/>
            <family val="2"/>
          </rPr>
          <t xml:space="preserve">PT DIPO STAR /
ANGS KE 32 11 UNT + 8 UNT + 3 UNT </t>
        </r>
      </text>
    </comment>
    <comment ref="N90" authorId="0">
      <text>
        <r>
          <rPr>
            <b/>
            <sz val="9"/>
            <color indexed="81"/>
            <rFont val="Tahoma"/>
            <family val="2"/>
          </rPr>
          <t xml:space="preserve">PT DIPO STAR /
ANGS KE 33 11 UNT + 8 UNT + 3 UNT </t>
        </r>
      </text>
    </comment>
    <comment ref="P90" authorId="0">
      <text>
        <r>
          <rPr>
            <b/>
            <sz val="9"/>
            <color indexed="81"/>
            <rFont val="Tahoma"/>
            <family val="2"/>
          </rPr>
          <t xml:space="preserve">PT DIPO STAR /
ANGS KE 34 11 UNT + 8 UNT + 3 UNT </t>
        </r>
      </text>
    </comment>
    <comment ref="F91" authorId="0">
      <text>
        <r>
          <rPr>
            <b/>
            <sz val="9"/>
            <color indexed="81"/>
            <rFont val="Tahoma"/>
            <family val="2"/>
          </rPr>
          <t xml:space="preserve">ANGS KE 4 </t>
        </r>
      </text>
    </comment>
    <comment ref="H91" authorId="0">
      <text>
        <r>
          <rPr>
            <b/>
            <sz val="9"/>
            <color indexed="81"/>
            <rFont val="Tahoma"/>
            <family val="2"/>
          </rPr>
          <t>ANGS KE 5 9 UNT MISTUBISHI 5 NOV '21 - 5 SEP '21
(KEKURANGAN 6000 PAKE KK, KRN BANK SALAH VALIDASI)</t>
        </r>
      </text>
    </comment>
    <comment ref="J91" authorId="0">
      <text>
        <r>
          <rPr>
            <b/>
            <sz val="9"/>
            <color indexed="81"/>
            <rFont val="Tahoma"/>
            <family val="2"/>
          </rPr>
          <t xml:space="preserve">ANGS KE 6 9 UNT MISTUBISHI 5 NOV '21 - 5 SEP '21
</t>
        </r>
      </text>
    </comment>
    <comment ref="L91" authorId="0">
      <text>
        <r>
          <rPr>
            <b/>
            <sz val="9"/>
            <color indexed="81"/>
            <rFont val="Tahoma"/>
            <family val="2"/>
          </rPr>
          <t xml:space="preserve">ANGS KE 7 9 UNT MISTUBISHI 5 NOV '21 - 5 SEP '21
</t>
        </r>
      </text>
    </comment>
    <comment ref="N91" authorId="0">
      <text>
        <r>
          <rPr>
            <b/>
            <sz val="9"/>
            <color indexed="81"/>
            <rFont val="Tahoma"/>
            <family val="2"/>
          </rPr>
          <t xml:space="preserve">ANGS KE 8 9 UNT MISTUBISHI 5 NOV '21 - 5 SEP '21
</t>
        </r>
      </text>
    </comment>
    <comment ref="P91" authorId="0">
      <text>
        <r>
          <rPr>
            <b/>
            <sz val="9"/>
            <color indexed="81"/>
            <rFont val="Tahoma"/>
            <family val="2"/>
          </rPr>
          <t xml:space="preserve">ANGS KE 9 9 UNT MISTUBISHI 5 NOV '21 - 5 SEP '21
</t>
        </r>
      </text>
    </comment>
    <comment ref="R91" authorId="0">
      <text>
        <r>
          <rPr>
            <b/>
            <sz val="9"/>
            <color indexed="81"/>
            <rFont val="Tahoma"/>
            <family val="2"/>
          </rPr>
          <t xml:space="preserve">ANGS KE 10 9 UNT MISTUBISHI 5 NOV '21 - 5 SEP '21
</t>
        </r>
      </text>
    </comment>
    <comment ref="F92" authorId="0">
      <text>
        <r>
          <rPr>
            <b/>
            <sz val="9"/>
            <color indexed="81"/>
            <rFont val="Tahoma"/>
            <family val="2"/>
          </rPr>
          <t>ANGS KE 3 004, 005, 001, 003</t>
        </r>
      </text>
    </comment>
    <comment ref="H92" authorId="0">
      <text>
        <r>
          <rPr>
            <b/>
            <sz val="9"/>
            <color indexed="81"/>
            <rFont val="Tahoma"/>
            <family val="2"/>
          </rPr>
          <t>ANGS KE 4 
LEASING DAIHATSU XENIA TERIOS</t>
        </r>
      </text>
    </comment>
    <comment ref="J92" authorId="0">
      <text>
        <r>
          <rPr>
            <b/>
            <sz val="9"/>
            <color indexed="81"/>
            <rFont val="Tahoma"/>
            <family val="2"/>
          </rPr>
          <t>ANGS KE 5 
LEASING 3 UNT DAIHATSU XENIA 
1 UNT TERIOS</t>
        </r>
      </text>
    </comment>
    <comment ref="L92" authorId="0">
      <text>
        <r>
          <rPr>
            <b/>
            <sz val="9"/>
            <color indexed="81"/>
            <rFont val="Tahoma"/>
            <family val="2"/>
          </rPr>
          <t>ANGS KE 6 
LEASING 3 UNT DAIHATSU XENIA 
1 UNT TERIOS</t>
        </r>
      </text>
    </comment>
    <comment ref="N92" authorId="1">
      <text>
        <r>
          <rPr>
            <b/>
            <sz val="9"/>
            <color indexed="81"/>
            <rFont val="Tahoma"/>
            <family val="2"/>
          </rPr>
          <t>LEASING KE 7 MOBIL XENIA NO 004 +
LEASING KE 7 MOBIL XENIA NO 004 +
LEASING KE 7 MOBIL XENIA NO 004 +
LEASING KE 7 MOBIL TERIOS NO 003</t>
        </r>
      </text>
    </comment>
    <comment ref="P92" authorId="1">
      <text>
        <r>
          <rPr>
            <b/>
            <sz val="9"/>
            <color indexed="81"/>
            <rFont val="Tahoma"/>
            <family val="2"/>
          </rPr>
          <t>LEASING KE 8 MOBIL XENIA NO 004 +
LEASING KE 8 MOBIL XENIA NO 004 +
LEASING KE 8 MOBIL XENIA NO 004 +
LEASING KE 8 MOBIL TERIOS NO 003</t>
        </r>
      </text>
    </comment>
    <comment ref="F93" authorId="0">
      <text>
        <r>
          <rPr>
            <b/>
            <sz val="9"/>
            <color indexed="81"/>
            <rFont val="Tahoma"/>
            <family val="2"/>
          </rPr>
          <t xml:space="preserve">SWADHARMA / 
ANGS KE 32 SIGRA XENIA </t>
        </r>
      </text>
    </comment>
    <comment ref="H93" authorId="0">
      <text>
        <r>
          <rPr>
            <b/>
            <sz val="9"/>
            <color indexed="81"/>
            <rFont val="Tahoma"/>
            <family val="2"/>
          </rPr>
          <t xml:space="preserve">SWADHARMA / 
ANGS KE 33 SIGRA XENIA </t>
        </r>
      </text>
    </comment>
    <comment ref="J93" authorId="0">
      <text>
        <r>
          <rPr>
            <b/>
            <sz val="9"/>
            <color indexed="81"/>
            <rFont val="Tahoma"/>
            <family val="2"/>
          </rPr>
          <t xml:space="preserve">SWADHARMA / 
ANGS KE 34 SIGRA XENIA </t>
        </r>
      </text>
    </comment>
    <comment ref="L93" authorId="0">
      <text>
        <r>
          <rPr>
            <b/>
            <sz val="9"/>
            <color indexed="81"/>
            <rFont val="Tahoma"/>
            <family val="2"/>
          </rPr>
          <t xml:space="preserve">SWADHARMA / 
ANGS KE 35 SIGRA XENIA </t>
        </r>
      </text>
    </comment>
    <comment ref="N93" authorId="0">
      <text>
        <r>
          <rPr>
            <b/>
            <sz val="9"/>
            <color indexed="81"/>
            <rFont val="Tahoma"/>
            <family val="2"/>
          </rPr>
          <t xml:space="preserve">SWADHARMA / 
ANGS KE 36 SIGRA XENIA </t>
        </r>
      </text>
    </comment>
    <comment ref="P94" authorId="1">
      <text>
        <r>
          <rPr>
            <b/>
            <sz val="9"/>
            <color indexed="81"/>
            <rFont val="Tahoma"/>
            <family val="2"/>
          </rPr>
          <t>ANGS KE 2 CRV</t>
        </r>
      </text>
    </comment>
    <comment ref="H95" authorId="0">
      <text>
        <r>
          <rPr>
            <b/>
            <sz val="9"/>
            <color indexed="81"/>
            <rFont val="Tahoma"/>
            <family val="2"/>
          </rPr>
          <t xml:space="preserve">ALL DEPO + HO </t>
        </r>
      </text>
    </comment>
    <comment ref="L95" authorId="0">
      <text>
        <r>
          <rPr>
            <b/>
            <sz val="9"/>
            <color indexed="81"/>
            <rFont val="Tahoma"/>
            <family val="2"/>
          </rPr>
          <t xml:space="preserve">ATK PANTASEL HO APR '22
</t>
        </r>
      </text>
    </comment>
    <comment ref="N95" authorId="1">
      <text>
        <r>
          <rPr>
            <b/>
            <sz val="9"/>
            <color indexed="81"/>
            <rFont val="Tahoma"/>
            <family val="2"/>
          </rPr>
          <t>ATK PANTASEL HO MEI '22</t>
        </r>
      </text>
    </comment>
    <comment ref="J104" authorId="0">
      <text>
        <r>
          <rPr>
            <b/>
            <sz val="9"/>
            <color indexed="81"/>
            <rFont val="Tahoma"/>
            <family val="2"/>
          </rPr>
          <t xml:space="preserve">CETAKAN MAR '22 + KEKR YK CILA FEB + KEKR KBM MAR + HO APR </t>
        </r>
      </text>
    </comment>
  </commentList>
</comments>
</file>

<file path=xl/comments5.xml><?xml version="1.0" encoding="utf-8"?>
<comments xmlns="http://schemas.openxmlformats.org/spreadsheetml/2006/main">
  <authors>
    <author>300-20</author>
    <author>300-20K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PANTASEL 21 DES '20- 20 JAN '21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'21 PANTASEL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>21 feb - 20 mar '21</t>
        </r>
      </text>
    </comment>
    <comment ref="P5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R5" authorId="0">
      <text>
        <r>
          <rPr>
            <b/>
            <sz val="9"/>
            <color indexed="81"/>
            <rFont val="Tahoma"/>
            <family val="2"/>
          </rPr>
          <t>21 JUN-19 JUL '21</t>
        </r>
      </text>
    </comment>
    <comment ref="T5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V5" authorId="0">
      <text>
        <r>
          <rPr>
            <b/>
            <sz val="9"/>
            <color indexed="81"/>
            <rFont val="Tahoma"/>
            <family val="2"/>
          </rPr>
          <t>21 AGT - 20 SEP '21</t>
        </r>
      </text>
    </comment>
    <comment ref="Z5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F6" authorId="0">
      <text>
        <r>
          <rPr>
            <b/>
            <sz val="9"/>
            <color indexed="81"/>
            <rFont val="Tahoma"/>
            <family val="2"/>
          </rPr>
          <t xml:space="preserve">PANTASEL 21 DES - 21 JAN '21 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 xml:space="preserve">PANTASEL 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1-20 JAN '21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21 APR-20 MEI '21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X8" authorId="0">
      <text>
        <r>
          <rPr>
            <b/>
            <sz val="9"/>
            <color indexed="81"/>
            <rFont val="Tahoma"/>
            <family val="2"/>
          </rPr>
          <t>21 SEP-20 OKT '21</t>
        </r>
      </text>
    </comment>
    <comment ref="Z8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AB8" authorId="0">
      <text>
        <r>
          <rPr>
            <b/>
            <sz val="9"/>
            <color indexed="81"/>
            <rFont val="Tahoma"/>
            <family val="2"/>
          </rPr>
          <t>21 NOV - 20 DES '21</t>
        </r>
      </text>
    </comment>
    <comment ref="AB9" authorId="0">
      <text>
        <r>
          <rPr>
            <b/>
            <sz val="9"/>
            <color indexed="81"/>
            <rFont val="Tahoma"/>
            <family val="2"/>
          </rPr>
          <t>21 DES-31 DES</t>
        </r>
      </text>
    </comment>
    <comment ref="F10" authorId="0">
      <text>
        <r>
          <rPr>
            <b/>
            <sz val="9"/>
            <color indexed="81"/>
            <rFont val="Tahoma"/>
            <family val="2"/>
          </rPr>
          <t>SMG,TGL PER 21 DES '20-20 JAN '21</t>
        </r>
      </text>
    </comment>
    <comment ref="H10" authorId="0">
      <text>
        <r>
          <rPr>
            <b/>
            <sz val="9"/>
            <color indexed="81"/>
            <rFont val="Tahoma"/>
            <family val="2"/>
          </rPr>
          <t>TGL+SMG PER 21 JAN-20 FEB '21</t>
        </r>
      </text>
    </comment>
    <comment ref="L12" authorId="0">
      <text>
        <r>
          <rPr>
            <b/>
            <sz val="9"/>
            <color indexed="81"/>
            <rFont val="Tahoma"/>
            <family val="2"/>
          </rPr>
          <t>19 APR - 30 APR '21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1 MEI - 25 MEI '21 PAT, SLT, MGL, KBM, TGL, SMG, PWT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26 MEI - 25 JUN '21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SELISIH GAJI 21 JUL - 20 AGT '21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YK</t>
        </r>
      </text>
    </comment>
    <comment ref="X20" authorId="1">
      <text>
        <r>
          <rPr>
            <b/>
            <sz val="9"/>
            <color indexed="81"/>
            <rFont val="Tahoma"/>
            <family val="2"/>
          </rPr>
          <t>INC SLM KIMBO OKT-DES '21</t>
        </r>
      </text>
    </comment>
    <comment ref="F2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INC GEBETAN GT SEP-OKT '21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INC GEBETAN MT SEP-OKT '21</t>
        </r>
      </text>
    </comment>
    <comment ref="F29" authorId="0">
      <text>
        <r>
          <rPr>
            <b/>
            <sz val="9"/>
            <color indexed="81"/>
            <rFont val="Tahoma"/>
            <family val="2"/>
          </rPr>
          <t>Q1 (JAN-MAR '21)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Q3 JUL-SEP '21</t>
        </r>
      </text>
    </comment>
    <comment ref="X29" authorId="0">
      <text>
        <r>
          <rPr>
            <b/>
            <sz val="9"/>
            <color indexed="81"/>
            <rFont val="Tahoma"/>
            <family val="2"/>
          </rPr>
          <t xml:space="preserve">Q4 OKT, NOV, DES </t>
        </r>
      </text>
    </comment>
    <comment ref="J31" authorId="0">
      <text>
        <r>
          <rPr>
            <b/>
            <sz val="9"/>
            <color indexed="81"/>
            <rFont val="Tahoma"/>
            <family val="2"/>
          </rPr>
          <t>HARUSNYA TIDAK DI TF KE DEPO, KRN DIDALAMNYA ADA INC BS MARET '21 (DEPO TF BALIK KE HO)</t>
        </r>
      </text>
    </comment>
    <comment ref="F32" authorId="0">
      <text>
        <r>
          <rPr>
            <b/>
            <sz val="9"/>
            <color indexed="81"/>
            <rFont val="Tahoma"/>
            <family val="2"/>
          </rPr>
          <t>Q2 (NOV '20 - JAN '21)</t>
        </r>
      </text>
    </comment>
    <comment ref="H32" authorId="0">
      <text>
        <r>
          <rPr>
            <b/>
            <sz val="9"/>
            <color indexed="81"/>
            <rFont val="Tahoma"/>
            <family val="2"/>
          </rPr>
          <t>Q3 (FEB-APR '21)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Q4 (MEI-JUL '21)</t>
        </r>
      </text>
    </comment>
    <comment ref="F35" authorId="0">
      <text>
        <r>
          <rPr>
            <b/>
            <sz val="9"/>
            <color indexed="81"/>
            <rFont val="Tahoma"/>
            <family val="2"/>
          </rPr>
          <t>PER JAN '21 - DES '21 TF KE PT SAS INDO 0693034768 
-PPH PS 4 AYAT 2</t>
        </r>
      </text>
    </comment>
    <comment ref="H35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36" authorId="0">
      <text>
        <r>
          <rPr>
            <b/>
            <sz val="9"/>
            <color indexed="81"/>
            <rFont val="Tahoma"/>
            <family val="2"/>
          </rPr>
          <t>PER JAN '21 - DES '21 TF KE NGADIMUN 069.198.7778 
-PPH PS 4 AYT 2</t>
        </r>
      </text>
    </comment>
    <comment ref="H36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37" authorId="0">
      <text>
        <r>
          <rPr>
            <b/>
            <sz val="9"/>
            <color indexed="81"/>
            <rFont val="Tahoma"/>
            <family val="2"/>
          </rPr>
          <t>PER JAN '21 - DES '21 
TF KE NGADIMUN 
-PPH PS 4 AYT 2</t>
        </r>
      </text>
    </comment>
    <comment ref="H37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>SURJANTO / 
SEWA GUDANG CILACAP 2 TH (+PPN-HUTANG PPH PS 4 AYT 2)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 xml:space="preserve">IVONNE / PER MEI '21 2 TAHUN 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DP</t>
        </r>
      </text>
    </comment>
    <comment ref="H40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41" authorId="0">
      <text>
        <r>
          <rPr>
            <b/>
            <sz val="9"/>
            <color indexed="81"/>
            <rFont val="Tahoma"/>
            <family val="2"/>
          </rPr>
          <t>LELY DWI A / DP UTK 3 TH</t>
        </r>
      </text>
    </comment>
    <comment ref="H41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F42" authorId="0">
      <text>
        <r>
          <rPr>
            <b/>
            <sz val="9"/>
            <color indexed="81"/>
            <rFont val="Tahoma"/>
            <family val="2"/>
          </rPr>
          <t>SUSANTO / SEWA GUDANG PATI UTK 3 TAHUN (PPH DITANGGUNG PEMILIK GUDANG)</t>
        </r>
      </text>
    </comment>
    <comment ref="F43" authorId="0">
      <text>
        <r>
          <rPr>
            <sz val="11"/>
            <color indexed="8"/>
            <rFont val="Calibri"/>
            <family val="2"/>
          </rPr>
          <t>H SIGIT DARMAWAN / UTK 2 TH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ROCHIDI / UTK 2 TH</t>
        </r>
      </text>
    </comment>
    <comment ref="F45" authorId="0">
      <text>
        <r>
          <rPr>
            <b/>
            <sz val="9"/>
            <color indexed="81"/>
            <rFont val="Tahoma"/>
            <family val="2"/>
          </rPr>
          <t>FEB '21 - JAN '22</t>
        </r>
      </text>
    </comment>
    <comment ref="F46" authorId="0">
      <text>
        <r>
          <rPr>
            <b/>
            <sz val="9"/>
            <color indexed="81"/>
            <rFont val="Tahoma"/>
            <family val="2"/>
          </rPr>
          <t>PER 1 MAR '21 - 28 FEB '22, TF KE DEPO SOLO</t>
        </r>
      </text>
    </comment>
    <comment ref="F47" authorId="0">
      <text>
        <r>
          <rPr>
            <b/>
            <sz val="9"/>
            <color indexed="81"/>
            <rFont val="Tahoma"/>
            <family val="2"/>
          </rPr>
          <t>UM PER FEB '21-FEB '23</t>
        </r>
      </text>
    </comment>
    <comment ref="F49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50" authorId="0">
      <text>
        <r>
          <rPr>
            <b/>
            <sz val="9"/>
            <color indexed="81"/>
            <rFont val="Tahoma"/>
            <family val="2"/>
          </rPr>
          <t xml:space="preserve">TH 2021
</t>
        </r>
      </text>
    </comment>
    <comment ref="F51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54" authorId="0">
      <text>
        <r>
          <rPr>
            <b/>
            <sz val="9"/>
            <color indexed="81"/>
            <rFont val="Tahoma"/>
            <family val="2"/>
          </rPr>
          <t>HOTMAIDA SMG</t>
        </r>
      </text>
    </comment>
    <comment ref="F55" authorId="0">
      <text>
        <r>
          <rPr>
            <b/>
            <sz val="9"/>
            <color indexed="81"/>
            <rFont val="Tahoma"/>
            <family val="2"/>
          </rPr>
          <t>SRIYATUN SMG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ARI H</t>
        </r>
      </text>
    </comment>
    <comment ref="F57" authorId="0">
      <text>
        <r>
          <rPr>
            <b/>
            <sz val="9"/>
            <color indexed="81"/>
            <rFont val="Tahoma"/>
            <family val="2"/>
          </rPr>
          <t>SUPRIYANTO CILA</t>
        </r>
      </text>
    </comment>
    <comment ref="F58" authorId="0">
      <text>
        <r>
          <rPr>
            <b/>
            <sz val="9"/>
            <color indexed="81"/>
            <rFont val="Tahoma"/>
            <family val="2"/>
          </rPr>
          <t xml:space="preserve">UM EKO </t>
        </r>
      </text>
    </comment>
    <comment ref="F59" authorId="0">
      <text>
        <r>
          <rPr>
            <b/>
            <sz val="9"/>
            <color indexed="81"/>
            <rFont val="Tahoma"/>
            <family val="2"/>
          </rPr>
          <t xml:space="preserve">TANAG&amp;BANGUNAN MSS TEGAL 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TANAH&amp;BANGUNAN MSS SMG</t>
        </r>
      </text>
    </comment>
    <comment ref="F61" authorId="0">
      <text>
        <r>
          <rPr>
            <b/>
            <sz val="9"/>
            <color indexed="81"/>
            <rFont val="Tahoma"/>
            <family val="2"/>
          </rPr>
          <t>TANAH&amp;BANGUNAN MSS SOLO</t>
        </r>
      </text>
    </comment>
    <comment ref="F62" authorId="0">
      <text>
        <r>
          <rPr>
            <b/>
            <sz val="9"/>
            <color indexed="81"/>
            <rFont val="Tahoma"/>
            <family val="2"/>
          </rPr>
          <t>TANAH&amp;BANGUNAN MSS YK</t>
        </r>
      </text>
    </comment>
    <comment ref="F63" authorId="0">
      <text>
        <r>
          <rPr>
            <b/>
            <sz val="9"/>
            <color indexed="81"/>
            <rFont val="Tahoma"/>
            <family val="2"/>
          </rPr>
          <t xml:space="preserve">MSS YK </t>
        </r>
      </text>
    </comment>
    <comment ref="F64" authorId="0">
      <text>
        <r>
          <rPr>
            <b/>
            <sz val="9"/>
            <color indexed="81"/>
            <rFont val="Tahoma"/>
            <family val="2"/>
          </rPr>
          <t>HO</t>
        </r>
      </text>
    </comment>
    <comment ref="F79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H79" authorId="0">
      <text>
        <r>
          <rPr>
            <b/>
            <sz val="9"/>
            <color indexed="81"/>
            <rFont val="Tahoma"/>
            <family val="2"/>
          </rPr>
          <t>BEBAN HO MSS</t>
        </r>
      </text>
    </comment>
    <comment ref="J79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L79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N79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P79" authorId="0">
      <text>
        <r>
          <rPr>
            <b/>
            <sz val="9"/>
            <color indexed="81"/>
            <rFont val="Tahoma"/>
            <family val="2"/>
          </rPr>
          <t xml:space="preserve">BEBAN HO </t>
        </r>
      </text>
    </comment>
    <comment ref="R79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T79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V79" authorId="0">
      <text>
        <r>
          <rPr>
            <b/>
            <sz val="9"/>
            <color indexed="81"/>
            <rFont val="Tahoma"/>
            <family val="2"/>
          </rPr>
          <t>BEBAN YK</t>
        </r>
      </text>
    </comment>
    <comment ref="X79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Z79" authorId="0">
      <text>
        <r>
          <rPr>
            <b/>
            <sz val="9"/>
            <color indexed="81"/>
            <rFont val="Tahoma"/>
            <family val="2"/>
          </rPr>
          <t xml:space="preserve">BEBAN YK </t>
        </r>
      </text>
    </comment>
    <comment ref="AB79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F84" authorId="0">
      <text>
        <r>
          <rPr>
            <b/>
            <sz val="9"/>
            <color indexed="81"/>
            <rFont val="Tahoma"/>
            <family val="2"/>
          </rPr>
          <t>PT DIPO STAR/ANGS KE 17</t>
        </r>
      </text>
    </comment>
    <comment ref="H84" authorId="0">
      <text>
        <r>
          <rPr>
            <b/>
            <sz val="9"/>
            <color indexed="81"/>
            <rFont val="Tahoma"/>
            <family val="2"/>
          </rPr>
          <t>PT DIPO STAR/ANGS KE 18</t>
        </r>
      </text>
    </comment>
    <comment ref="J84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L84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P84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R84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T84" authorId="0">
      <text>
        <r>
          <rPr>
            <b/>
            <sz val="9"/>
            <color indexed="81"/>
            <rFont val="Tahoma"/>
            <family val="2"/>
          </rPr>
          <t>ANGS KE 24</t>
        </r>
      </text>
    </comment>
    <comment ref="V84" authorId="0">
      <text>
        <r>
          <rPr>
            <b/>
            <sz val="9"/>
            <color indexed="81"/>
            <rFont val="Tahoma"/>
            <family val="2"/>
          </rPr>
          <t>ANGS KE 25</t>
        </r>
      </text>
    </comment>
    <comment ref="X84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Z84" authorId="0">
      <text>
        <r>
          <rPr>
            <b/>
            <sz val="9"/>
            <color indexed="81"/>
            <rFont val="Tahoma"/>
            <family val="2"/>
          </rPr>
          <t xml:space="preserve">PT DIPO STAR / ANGS KE 27 11 UNT + 8 UNT + 3 UNT </t>
        </r>
      </text>
    </comment>
    <comment ref="AB84" authorId="0">
      <text>
        <r>
          <rPr>
            <b/>
            <sz val="9"/>
            <color indexed="81"/>
            <rFont val="Tahoma"/>
            <family val="2"/>
          </rPr>
          <t>ANGS KE 28 11 UNT + 8 UNT + 3UNT</t>
        </r>
      </text>
    </comment>
    <comment ref="Z85" authorId="0">
      <text>
        <r>
          <rPr>
            <b/>
            <sz val="9"/>
            <color indexed="81"/>
            <rFont val="Tahoma"/>
            <family val="2"/>
          </rPr>
          <t>ANGS KE 2</t>
        </r>
      </text>
    </comment>
    <comment ref="AB85" authorId="0">
      <text>
        <r>
          <rPr>
            <b/>
            <sz val="9"/>
            <color indexed="81"/>
            <rFont val="Tahoma"/>
            <family val="2"/>
          </rPr>
          <t xml:space="preserve">DIPO STAR / ANGS KE 3 5 NOV - 5 SEP </t>
        </r>
      </text>
    </comment>
    <comment ref="F86" authorId="0">
      <text>
        <r>
          <rPr>
            <b/>
            <sz val="9"/>
            <color indexed="81"/>
            <rFont val="Tahoma"/>
            <family val="2"/>
          </rPr>
          <t>ANGS KE 20</t>
        </r>
      </text>
    </comment>
    <comment ref="H86" authorId="0">
      <text>
        <r>
          <rPr>
            <b/>
            <sz val="9"/>
            <color indexed="81"/>
            <rFont val="Tahoma"/>
            <family val="2"/>
          </rPr>
          <t>ANGS KE 21</t>
        </r>
      </text>
    </comment>
    <comment ref="J86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L86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R86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T86" authorId="0">
      <text>
        <r>
          <rPr>
            <b/>
            <sz val="9"/>
            <color indexed="81"/>
            <rFont val="Tahoma"/>
            <family val="2"/>
          </rPr>
          <t>ANG KE 27</t>
        </r>
      </text>
    </comment>
    <comment ref="V86" authorId="0">
      <text>
        <r>
          <rPr>
            <b/>
            <sz val="9"/>
            <color indexed="81"/>
            <rFont val="Tahoma"/>
            <family val="2"/>
          </rPr>
          <t>ANG KE 28</t>
        </r>
      </text>
    </comment>
    <comment ref="X86" authorId="0">
      <text>
        <r>
          <rPr>
            <b/>
            <sz val="9"/>
            <color indexed="81"/>
            <rFont val="Tahoma"/>
            <family val="2"/>
          </rPr>
          <t>ANG KE 29</t>
        </r>
      </text>
    </comment>
    <comment ref="Z86" authorId="0">
      <text>
        <r>
          <rPr>
            <b/>
            <sz val="9"/>
            <color indexed="81"/>
            <rFont val="Tahoma"/>
            <family val="2"/>
          </rPr>
          <t>PT SWADHARMA / ANGS KE 30 SIGRA XENIA</t>
        </r>
      </text>
    </comment>
    <comment ref="AB86" authorId="0">
      <text>
        <r>
          <rPr>
            <b/>
            <sz val="9"/>
            <color indexed="81"/>
            <rFont val="Tahoma"/>
            <family val="2"/>
          </rPr>
          <t>PT SWADHARMA / ANGS KE 31 SIGRA XENIA</t>
        </r>
      </text>
    </comment>
    <comment ref="F87" authorId="0">
      <text>
        <r>
          <rPr>
            <b/>
            <sz val="9"/>
            <color indexed="81"/>
            <rFont val="Tahoma"/>
            <family val="2"/>
          </rPr>
          <t xml:space="preserve">KERTAS BURAM&amp;F4 PANTASEL </t>
        </r>
      </text>
    </comment>
    <comment ref="H87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7" authorId="0">
      <text>
        <r>
          <rPr>
            <b/>
            <sz val="9"/>
            <color indexed="81"/>
            <rFont val="Tahoma"/>
            <family val="2"/>
          </rPr>
          <t xml:space="preserve">KERTAS BURAM </t>
        </r>
      </text>
    </comment>
    <comment ref="L87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N87" authorId="0">
      <text>
        <r>
          <rPr>
            <b/>
            <sz val="9"/>
            <color indexed="81"/>
            <rFont val="Tahoma"/>
            <family val="2"/>
          </rPr>
          <t>ATK PANSELHO</t>
        </r>
      </text>
    </comment>
    <comment ref="P87" authorId="0">
      <text>
        <r>
          <rPr>
            <b/>
            <sz val="9"/>
            <color indexed="81"/>
            <rFont val="Tahoma"/>
            <family val="2"/>
          </rPr>
          <t>PANTURA</t>
        </r>
      </text>
    </comment>
    <comment ref="F88" authorId="0">
      <text>
        <r>
          <rPr>
            <b/>
            <sz val="9"/>
            <color indexed="81"/>
            <rFont val="Tahoma"/>
            <family val="2"/>
          </rPr>
          <t xml:space="preserve">ATK PANSEL
</t>
        </r>
      </text>
    </comment>
    <comment ref="H88" authorId="0">
      <text>
        <r>
          <rPr>
            <b/>
            <sz val="9"/>
            <color indexed="81"/>
            <rFont val="Tahoma"/>
            <family val="2"/>
          </rPr>
          <t>ATK&amp;KERTAS BURAM PANSEL</t>
        </r>
      </text>
    </comment>
    <comment ref="J88" authorId="0">
      <text>
        <r>
          <rPr>
            <b/>
            <sz val="9"/>
            <color indexed="81"/>
            <rFont val="Tahoma"/>
            <family val="2"/>
          </rPr>
          <t>ATK PANSEL+HO</t>
        </r>
      </text>
    </comment>
    <comment ref="L88" authorId="0">
      <text>
        <r>
          <rPr>
            <b/>
            <sz val="9"/>
            <color indexed="81"/>
            <rFont val="Tahoma"/>
            <family val="2"/>
          </rPr>
          <t>ATK PANSEL</t>
        </r>
      </text>
    </comment>
    <comment ref="N88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P88" authorId="0">
      <text>
        <r>
          <rPr>
            <b/>
            <sz val="9"/>
            <color indexed="81"/>
            <rFont val="Tahoma"/>
            <family val="2"/>
          </rPr>
          <t>ATK PANSEL HO</t>
        </r>
      </text>
    </comment>
    <comment ref="F89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9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KERTAS BURAM APR '21</t>
        </r>
      </text>
    </comment>
    <comment ref="V89" authorId="0">
      <text>
        <r>
          <rPr>
            <b/>
            <sz val="9"/>
            <color indexed="81"/>
            <rFont val="Tahoma"/>
            <family val="2"/>
          </rPr>
          <t>KEKR ATK PANSEL SEP '21 + KEKR ATK OANTURA SEP '21</t>
        </r>
      </text>
    </comment>
    <comment ref="F91" authorId="0">
      <text>
        <r>
          <rPr>
            <b/>
            <sz val="9"/>
            <color indexed="81"/>
            <rFont val="Tahoma"/>
            <family val="2"/>
          </rPr>
          <t xml:space="preserve">YK </t>
        </r>
      </text>
    </comment>
    <comment ref="H94" authorId="0">
      <text>
        <r>
          <rPr>
            <b/>
            <sz val="9"/>
            <color indexed="81"/>
            <rFont val="Tahoma"/>
            <family val="2"/>
          </rPr>
          <t>AN LILY EKA FAS TGL DIPOTONG GAJI PER FEB '21 1 JT</t>
        </r>
      </text>
    </comment>
    <comment ref="H95" authorId="0">
      <text>
        <r>
          <rPr>
            <b/>
            <sz val="9"/>
            <color indexed="81"/>
            <rFont val="Tahoma"/>
            <family val="2"/>
          </rPr>
          <t>AN EKO PRASETYO SPV MIX MSS TGL</t>
        </r>
      </text>
    </comment>
    <comment ref="F97" authorId="0">
      <text>
        <r>
          <rPr>
            <b/>
            <sz val="9"/>
            <color indexed="81"/>
            <rFont val="Tahoma"/>
            <family val="2"/>
          </rPr>
          <t>JNT MSS HO</t>
        </r>
      </text>
    </comment>
    <comment ref="F100" authorId="0">
      <text>
        <r>
          <rPr>
            <b/>
            <sz val="9"/>
            <color indexed="81"/>
            <rFont val="Tahoma"/>
            <family val="2"/>
          </rPr>
          <t>YK</t>
        </r>
      </text>
    </comment>
  </commentList>
</comments>
</file>

<file path=xl/comments6.xml><?xml version="1.0" encoding="utf-8"?>
<comments xmlns="http://schemas.openxmlformats.org/spreadsheetml/2006/main">
  <authors>
    <author>300-20</author>
  </authors>
  <commentList>
    <comment ref="E45" authorId="0">
      <text>
        <r>
          <rPr>
            <b/>
            <sz val="9"/>
            <color indexed="81"/>
            <rFont val="Tahoma"/>
            <family val="2"/>
          </rPr>
          <t>JUMLAH REAL JAN :
537.950.969</t>
        </r>
      </text>
    </comment>
    <comment ref="E46" authorId="0">
      <text>
        <r>
          <rPr>
            <b/>
            <sz val="9"/>
            <color indexed="81"/>
            <rFont val="Tahoma"/>
            <family val="2"/>
          </rPr>
          <t>JUMLAH REAL FEB :
544.577.393</t>
        </r>
      </text>
    </comment>
    <comment ref="E47" authorId="0">
      <text>
        <r>
          <rPr>
            <b/>
            <sz val="9"/>
            <color indexed="81"/>
            <rFont val="Tahoma"/>
            <family val="2"/>
          </rPr>
          <t>KB PERIODE JAN, FEB</t>
        </r>
      </text>
    </comment>
  </commentList>
</comments>
</file>

<file path=xl/comments7.xml><?xml version="1.0" encoding="utf-8"?>
<comments xmlns="http://schemas.openxmlformats.org/spreadsheetml/2006/main">
  <authors>
    <author>300-20</author>
  </authors>
  <commentList>
    <comment ref="K40" authorId="0">
      <text>
        <r>
          <rPr>
            <b/>
            <sz val="9"/>
            <color indexed="81"/>
            <rFont val="Tahoma"/>
            <family val="2"/>
          </rPr>
          <t>300-20: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300-20</author>
    <author>300-20K</author>
  </authors>
  <commentList>
    <comment ref="G2161" authorId="0">
      <text>
        <r>
          <rPr>
            <b/>
            <sz val="9"/>
            <color indexed="81"/>
            <rFont val="Tahoma"/>
            <family val="2"/>
          </rPr>
          <t>slip gabung dg tgl 31</t>
        </r>
      </text>
    </comment>
    <comment ref="F3117" authorId="0">
      <text>
        <r>
          <rPr>
            <b/>
            <sz val="9"/>
            <color indexed="81"/>
            <rFont val="Tahoma"/>
            <family val="2"/>
          </rPr>
          <t>pickup tgl 13 mar,
yg lain tgl 15 mar</t>
        </r>
      </text>
    </comment>
    <comment ref="F3134" authorId="0">
      <text>
        <r>
          <rPr>
            <b/>
            <sz val="9"/>
            <color indexed="81"/>
            <rFont val="Tahoma"/>
            <family val="2"/>
          </rPr>
          <t xml:space="preserve">pickup tgl 15 mar '21
</t>
        </r>
      </text>
    </comment>
    <comment ref="F3147" authorId="0">
      <text>
        <r>
          <rPr>
            <b/>
            <sz val="9"/>
            <color indexed="81"/>
            <rFont val="Tahoma"/>
            <family val="2"/>
          </rPr>
          <t>pickup tgl 16 mar '21</t>
        </r>
      </text>
    </comment>
    <comment ref="F3148" authorId="0">
      <text>
        <r>
          <rPr>
            <b/>
            <sz val="9"/>
            <color indexed="81"/>
            <rFont val="Tahoma"/>
            <family val="2"/>
          </rPr>
          <t>pickup tgl 16 mar</t>
        </r>
      </text>
    </comment>
    <comment ref="F3150" authorId="0">
      <text>
        <r>
          <rPr>
            <b/>
            <sz val="9"/>
            <color indexed="81"/>
            <rFont val="Tahoma"/>
            <family val="2"/>
          </rPr>
          <t xml:space="preserve">pickup tgl 16 mar '21
</t>
        </r>
      </text>
    </comment>
    <comment ref="F3151" authorId="0">
      <text>
        <r>
          <rPr>
            <b/>
            <sz val="9"/>
            <color indexed="81"/>
            <rFont val="Tahoma"/>
            <family val="2"/>
          </rPr>
          <t>pickup tgl 16</t>
        </r>
      </text>
    </comment>
    <comment ref="F3155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8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9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4408" authorId="0">
      <text>
        <r>
          <rPr>
            <b/>
            <sz val="9"/>
            <color indexed="81"/>
            <rFont val="Tahoma"/>
            <family val="2"/>
          </rPr>
          <t>MUTASI TGL 22</t>
        </r>
      </text>
    </comment>
    <comment ref="F4424" authorId="0">
      <text>
        <r>
          <rPr>
            <b/>
            <sz val="9"/>
            <color indexed="81"/>
            <rFont val="Tahoma"/>
            <family val="2"/>
          </rPr>
          <t>MUTASI TGL 23</t>
        </r>
      </text>
    </comment>
    <comment ref="G10027" authorId="1">
      <text>
        <r>
          <rPr>
            <b/>
            <sz val="9"/>
            <color indexed="81"/>
            <rFont val="Tahoma"/>
            <family val="2"/>
          </rPr>
          <t>SET KURSET</t>
        </r>
      </text>
    </comment>
    <comment ref="F10660" authorId="1">
      <text>
        <r>
          <rPr>
            <b/>
            <sz val="9"/>
            <color indexed="81"/>
            <rFont val="Tahoma"/>
            <family val="2"/>
          </rPr>
          <t>03 OKT</t>
        </r>
      </text>
    </comment>
    <comment ref="F10849" authorId="1">
      <text>
        <r>
          <rPr>
            <b/>
            <sz val="9"/>
            <color indexed="81"/>
            <rFont val="Tahoma"/>
            <family val="2"/>
          </rPr>
          <t xml:space="preserve">MASUK 17 OKT </t>
        </r>
      </text>
    </comment>
  </commentList>
</comments>
</file>

<file path=xl/comments9.xml><?xml version="1.0" encoding="utf-8"?>
<comments xmlns="http://schemas.openxmlformats.org/spreadsheetml/2006/main">
  <authors>
    <author>300-20</author>
  </authors>
  <commentList>
    <comment ref="CC7" authorId="0">
      <text>
        <r>
          <rPr>
            <b/>
            <sz val="9"/>
            <color indexed="81"/>
            <rFont val="Tahoma"/>
            <family val="2"/>
          </rPr>
          <t>JADI SATU INV DG PKL</t>
        </r>
      </text>
    </comment>
    <comment ref="AG14" authorId="0">
      <text>
        <r>
          <rPr>
            <b/>
            <sz val="9"/>
            <color indexed="81"/>
            <rFont val="Tahoma"/>
            <family val="2"/>
          </rPr>
          <t>JAD SATU DG INV PKL SEP '21</t>
        </r>
      </text>
    </comment>
    <comment ref="Y21" authorId="0">
      <text>
        <r>
          <rPr>
            <b/>
            <sz val="9"/>
            <color indexed="81"/>
            <rFont val="Tahoma"/>
            <family val="2"/>
          </rPr>
          <t>JADI SATU INV DG BLORA</t>
        </r>
      </text>
    </comment>
    <comment ref="Y25" authorId="0">
      <text>
        <r>
          <rPr>
            <b/>
            <sz val="9"/>
            <color indexed="81"/>
            <rFont val="Tahoma"/>
            <family val="2"/>
          </rPr>
          <t>JADI SATU DG INV PATI SEP '21</t>
        </r>
      </text>
    </comment>
  </commentList>
</comments>
</file>

<file path=xl/sharedStrings.xml><?xml version="1.0" encoding="utf-8"?>
<sst xmlns="http://schemas.openxmlformats.org/spreadsheetml/2006/main" count="21987" uniqueCount="6336">
  <si>
    <t>PT MITRA SEHATI SEKATA</t>
  </si>
  <si>
    <t>week 1</t>
  </si>
  <si>
    <t>DESRCIPTION</t>
  </si>
  <si>
    <t>DATE</t>
  </si>
  <si>
    <t>Week 1 (1-7)</t>
  </si>
  <si>
    <t>Week  2 (8-14)</t>
  </si>
  <si>
    <t>Week 3 (15-21)</t>
  </si>
  <si>
    <t>Week  4 ( 22-28)</t>
  </si>
  <si>
    <t>Week 5 (29-31)</t>
  </si>
  <si>
    <t>Total</t>
  </si>
  <si>
    <t xml:space="preserve"> CASH INFLOW</t>
  </si>
  <si>
    <t>BEGINNING BALANCE</t>
  </si>
  <si>
    <t>FORECAST FROM SALE &amp; OTHERS</t>
  </si>
  <si>
    <t>MT</t>
  </si>
  <si>
    <t>GT</t>
  </si>
  <si>
    <t>Others</t>
  </si>
  <si>
    <t>REALISASI SALES</t>
  </si>
  <si>
    <t>SELISIH (VARIANCE)</t>
  </si>
  <si>
    <t xml:space="preserve"> </t>
  </si>
  <si>
    <t>TOTAL FUND AVAILABLE (FORECAST)</t>
  </si>
  <si>
    <t>OUTFLOW</t>
  </si>
  <si>
    <t>PAYMENT TO METRIX</t>
  </si>
  <si>
    <t>HSBC</t>
  </si>
  <si>
    <t>OCBC</t>
  </si>
  <si>
    <t>TOTAL</t>
  </si>
  <si>
    <t>INTEREST</t>
  </si>
  <si>
    <t>INTEREST TO HSBC</t>
  </si>
  <si>
    <t>INTEREST TO OCBC</t>
  </si>
  <si>
    <t>PAYMENT TO PRINCIPLES</t>
  </si>
  <si>
    <t>AI</t>
  </si>
  <si>
    <t>ARNOTT'S INDONESIA</t>
  </si>
  <si>
    <t>BJS</t>
  </si>
  <si>
    <t>BERILL JAYA SEJAHTERA</t>
  </si>
  <si>
    <t>DBW</t>
  </si>
  <si>
    <t>DUNIA BINTANG WALET</t>
  </si>
  <si>
    <t>EIT</t>
  </si>
  <si>
    <t xml:space="preserve">ELLEAIR </t>
  </si>
  <si>
    <t>EVER</t>
  </si>
  <si>
    <t>FBI</t>
  </si>
  <si>
    <t>FONTERRA BRANDS INDONESIA PT</t>
  </si>
  <si>
    <t>FJF</t>
  </si>
  <si>
    <t>FAVORITE JAYA FOOD</t>
  </si>
  <si>
    <t>FNP</t>
  </si>
  <si>
    <t>FORISA NUSAPERDANA</t>
  </si>
  <si>
    <t>GFI</t>
  </si>
  <si>
    <t xml:space="preserve">GENERAL FOOD INDUSTRI </t>
  </si>
  <si>
    <t>GIM</t>
  </si>
  <si>
    <t>GRAHA INTI MAS PT.</t>
  </si>
  <si>
    <t>ITF</t>
  </si>
  <si>
    <t xml:space="preserve">INTRAFOOD </t>
  </si>
  <si>
    <t>JPA</t>
  </si>
  <si>
    <t>JAVA PRIMA ABADI</t>
  </si>
  <si>
    <t>MBR</t>
  </si>
  <si>
    <t>MBRK</t>
  </si>
  <si>
    <t>MULIA BOGA RAYA PT  KONSINYASI</t>
  </si>
  <si>
    <t>MI</t>
  </si>
  <si>
    <t>MOTASA INDONESIA</t>
  </si>
  <si>
    <t>MIN</t>
  </si>
  <si>
    <t>MARKETAMA INDAH PT</t>
  </si>
  <si>
    <t>MNP</t>
  </si>
  <si>
    <t>MADUSARI NUSAPERDANA PT</t>
  </si>
  <si>
    <t>NLS</t>
  </si>
  <si>
    <t>PIC</t>
  </si>
  <si>
    <t xml:space="preserve">PERUSAHAAN INDUSTRI CERES </t>
  </si>
  <si>
    <t>RDSI</t>
  </si>
  <si>
    <t>RUBBER DUCK SNACK INDUSTRY PT</t>
  </si>
  <si>
    <t>SPS</t>
  </si>
  <si>
    <t>SINAR PANGAN SEJAHTERA PT</t>
  </si>
  <si>
    <t>YIJG</t>
  </si>
  <si>
    <t>YUPI INDO JELLY GUM PT</t>
  </si>
  <si>
    <t>YTI</t>
  </si>
  <si>
    <t>YUPI TRADING INTERNATIONAL</t>
  </si>
  <si>
    <t>SEMARANG BOGA MAKMUR</t>
  </si>
  <si>
    <t xml:space="preserve">SENTRA PANGAN UTAMA </t>
  </si>
  <si>
    <t>AGUNG MAKMUR PANGAN</t>
  </si>
  <si>
    <t>PAYMENT TO DEPO</t>
  </si>
  <si>
    <t>KKO1</t>
  </si>
  <si>
    <t>YOGYA</t>
  </si>
  <si>
    <t>CILACAP</t>
  </si>
  <si>
    <t>KEBUMEN</t>
  </si>
  <si>
    <t>SEMARANG</t>
  </si>
  <si>
    <t>PURWOKERTO</t>
  </si>
  <si>
    <t>SALATIGA</t>
  </si>
  <si>
    <t>TEGAL</t>
  </si>
  <si>
    <t>SOLO</t>
  </si>
  <si>
    <t>WONOGIRI</t>
  </si>
  <si>
    <t>BLORA</t>
  </si>
  <si>
    <t>PATI</t>
  </si>
  <si>
    <t>PEKALONGAN</t>
  </si>
  <si>
    <t>MAGELANG</t>
  </si>
  <si>
    <t>HO</t>
  </si>
  <si>
    <t>KK02</t>
  </si>
  <si>
    <t>OTHERS</t>
  </si>
  <si>
    <t>SALARY , TAX, BPJS</t>
  </si>
  <si>
    <t>TAX VAT, 23, 25 , etc</t>
  </si>
  <si>
    <t xml:space="preserve">INSENTIVE </t>
  </si>
  <si>
    <t xml:space="preserve">PROGRAM PRINCPLE </t>
  </si>
  <si>
    <t xml:space="preserve">INSENTIVE SALESMAN DR PRINCPLE </t>
  </si>
  <si>
    <t>HQ METRIX</t>
  </si>
  <si>
    <t>MISCELLINEOUS</t>
  </si>
  <si>
    <t>GRAND TOTAL CASH OUT FLOW</t>
  </si>
  <si>
    <t>ENDING BALANCE</t>
  </si>
  <si>
    <t>LOAN BY ROLL OVER</t>
  </si>
  <si>
    <t>DUE DATE</t>
  </si>
  <si>
    <t>BALANCE</t>
  </si>
  <si>
    <t>ESTIMASI (INTEREST)</t>
  </si>
  <si>
    <t>PERHITUNGAN BUNGA</t>
  </si>
  <si>
    <t>SELISIH</t>
  </si>
  <si>
    <t>BALANCE OF LOAN</t>
  </si>
  <si>
    <t>DATED</t>
  </si>
  <si>
    <t>PRINCIPLES</t>
  </si>
  <si>
    <t>AMOUNT</t>
  </si>
  <si>
    <t>LATE  TIME</t>
  </si>
  <si>
    <t>PAID -1</t>
  </si>
  <si>
    <t>TANGGAL</t>
  </si>
  <si>
    <t>PAID-2</t>
  </si>
  <si>
    <t>PAID-3</t>
  </si>
  <si>
    <t xml:space="preserve">REALISASI </t>
  </si>
  <si>
    <t>30 HARI</t>
  </si>
  <si>
    <t>30 UP</t>
  </si>
  <si>
    <t xml:space="preserve">MIN </t>
  </si>
  <si>
    <t xml:space="preserve">TOTAL BAYAR BULAN MARET </t>
  </si>
  <si>
    <t xml:space="preserve">TOTAL PINJAMAN BULAN MARET </t>
  </si>
  <si>
    <t xml:space="preserve">TOTAL PINJAMAN HSBC+OCBC+OUB </t>
  </si>
  <si>
    <t>PELUNASAN</t>
  </si>
  <si>
    <t>-</t>
  </si>
  <si>
    <t>SBM</t>
  </si>
  <si>
    <t>SPU</t>
  </si>
  <si>
    <t>AMP</t>
  </si>
  <si>
    <t>FORISA</t>
  </si>
  <si>
    <t>MONTH</t>
  </si>
  <si>
    <t>NO</t>
  </si>
  <si>
    <t>DESCRIPTION</t>
  </si>
  <si>
    <t>WEEK 1</t>
  </si>
  <si>
    <t>DESEMBER</t>
  </si>
  <si>
    <t>NOVEMBER</t>
  </si>
  <si>
    <t>WEEK 2</t>
  </si>
  <si>
    <t>WEEK 3</t>
  </si>
  <si>
    <t>WEEK 5</t>
  </si>
  <si>
    <t>DEPO</t>
  </si>
  <si>
    <t xml:space="preserve">TEGAL </t>
  </si>
  <si>
    <t xml:space="preserve">KEBUMEN </t>
  </si>
  <si>
    <t xml:space="preserve">PEKALONGAN </t>
  </si>
  <si>
    <t xml:space="preserve">SOLO </t>
  </si>
  <si>
    <t xml:space="preserve">MAGELANG </t>
  </si>
  <si>
    <t xml:space="preserve">CILACAP </t>
  </si>
  <si>
    <t xml:space="preserve">PATI </t>
  </si>
  <si>
    <t xml:space="preserve">PURWOKERTO </t>
  </si>
  <si>
    <t xml:space="preserve">SEMARANG </t>
  </si>
  <si>
    <t xml:space="preserve">SALATIGA </t>
  </si>
  <si>
    <t>JOGJA</t>
  </si>
  <si>
    <t>EVERBRIGHT</t>
  </si>
  <si>
    <t xml:space="preserve">NIRWANA LESTARI </t>
  </si>
  <si>
    <t>BCA</t>
  </si>
  <si>
    <t>CFA</t>
  </si>
  <si>
    <t>SSS</t>
  </si>
  <si>
    <t>CITRA FOOD ABADI</t>
  </si>
  <si>
    <t xml:space="preserve">PLAN </t>
  </si>
  <si>
    <t xml:space="preserve">CASH FLOW PROJECTION </t>
  </si>
  <si>
    <t>INTEREST TO BCA</t>
  </si>
  <si>
    <r>
      <t xml:space="preserve">MULIA BOGA RAYA PT </t>
    </r>
    <r>
      <rPr>
        <sz val="10"/>
        <color rgb="FFFF0000"/>
        <rFont val="Calibri"/>
        <family val="2"/>
        <scheme val="minor"/>
      </rPr>
      <t>FULL DIST</t>
    </r>
  </si>
  <si>
    <t>DAILY REPORT  COLLECTION</t>
  </si>
  <si>
    <t>BY DEPO &amp; CLAIM</t>
  </si>
  <si>
    <t>RESOURCES</t>
  </si>
  <si>
    <t>WEEK4</t>
  </si>
  <si>
    <t>PICK-UP</t>
  </si>
  <si>
    <t>BANJARNEGARA</t>
  </si>
  <si>
    <t xml:space="preserve">TOTAL SETORAN </t>
  </si>
  <si>
    <t xml:space="preserve">CLAIM </t>
  </si>
  <si>
    <t>TOTAL CLAIM</t>
  </si>
  <si>
    <t>GRAND TOTAL</t>
  </si>
  <si>
    <t>DIFFERENT/CONTROL</t>
  </si>
  <si>
    <t>TOTAL ENDING BALANCE</t>
  </si>
  <si>
    <t>0400100095008</t>
  </si>
  <si>
    <t>Bank Niaga Operational</t>
  </si>
  <si>
    <t>0400100098006</t>
  </si>
  <si>
    <t>Bank Niaga Collection</t>
  </si>
  <si>
    <t>888-008208-068</t>
  </si>
  <si>
    <t xml:space="preserve">Bank HSBC Collection </t>
  </si>
  <si>
    <t>01034-0011-002772-4</t>
  </si>
  <si>
    <t>Bank MEGA Collection ( jogja)</t>
  </si>
  <si>
    <t>01135-0011-00134-5</t>
  </si>
  <si>
    <t xml:space="preserve">Bank MEGA Collection ( pekalongan </t>
  </si>
  <si>
    <t>01033-0011-70000-2</t>
  </si>
  <si>
    <t>Bank MEGA Collection ( semarang )</t>
  </si>
  <si>
    <t>01051-0011-00105-5</t>
  </si>
  <si>
    <t>Bank MEGA Collection ( solo)</t>
  </si>
  <si>
    <t>445-1267899</t>
  </si>
  <si>
    <t>Bank BCA Operational</t>
  </si>
  <si>
    <t>445-1263999</t>
  </si>
  <si>
    <t>Bank BCA Collection</t>
  </si>
  <si>
    <t>FUND ENDING BALANCE</t>
  </si>
  <si>
    <t>TOTAL TRANSFER</t>
  </si>
  <si>
    <t>DEPO (KK02)</t>
  </si>
  <si>
    <t>DEPO (KK01)</t>
  </si>
  <si>
    <t>MATRIX</t>
  </si>
  <si>
    <t>TRANSFER TODAY</t>
  </si>
  <si>
    <t>FUND AVAILABLE</t>
  </si>
  <si>
    <t>TOTAL RECEIPT</t>
  </si>
  <si>
    <t>TOTAL BEGINNING BALANCE</t>
  </si>
  <si>
    <t>ACC NOMBER</t>
  </si>
  <si>
    <t>BANK STATEMENT DAILY REPORT</t>
  </si>
  <si>
    <t>PT-MITRA SEHATI SEKATA</t>
  </si>
  <si>
    <t xml:space="preserve">TOTAL </t>
  </si>
  <si>
    <t>Buku Cheque (HO)</t>
  </si>
  <si>
    <t>Tax (Bank HO)</t>
  </si>
  <si>
    <t>Biaya Transfer (Bank HO)</t>
  </si>
  <si>
    <t>Adm  bank (Bank HO)</t>
  </si>
  <si>
    <t xml:space="preserve">KURANG SETOR DEPO </t>
  </si>
  <si>
    <t>BANK GARANSI</t>
  </si>
  <si>
    <t>FONTERA</t>
  </si>
  <si>
    <t>INTEREST (DIFI)</t>
  </si>
  <si>
    <t>PPH25</t>
  </si>
  <si>
    <t>PPH23</t>
  </si>
  <si>
    <t>PPH21</t>
  </si>
  <si>
    <t>PPN</t>
  </si>
  <si>
    <t xml:space="preserve">KAS NEGARA </t>
  </si>
  <si>
    <t>KESEHATAN</t>
  </si>
  <si>
    <t>TENAGA KERJA</t>
  </si>
  <si>
    <t xml:space="preserve">BPJS </t>
  </si>
  <si>
    <t>BAYAR SEWA MOBIL (HO)</t>
  </si>
  <si>
    <t>LEASING</t>
  </si>
  <si>
    <t>SALARY</t>
  </si>
  <si>
    <t>HO (PATTY CASH)</t>
  </si>
  <si>
    <t>PEMBAYARAN KE DEPO-KK02</t>
  </si>
  <si>
    <t xml:space="preserve">HO </t>
  </si>
  <si>
    <t xml:space="preserve">PURWOKETO </t>
  </si>
  <si>
    <t>KK01</t>
  </si>
  <si>
    <t>PEMBAYARAN KE DEPO-KK01</t>
  </si>
  <si>
    <t>MBR FULL</t>
  </si>
  <si>
    <t>PRINCPLE</t>
  </si>
  <si>
    <t>BAYAR SENDIRI (PRINCIPLE)</t>
  </si>
  <si>
    <t>METRIX HUTANG BANK</t>
  </si>
  <si>
    <t>DY 531571</t>
  </si>
  <si>
    <t>DY 531570</t>
  </si>
  <si>
    <t>DY 531569</t>
  </si>
  <si>
    <t>DY 531568</t>
  </si>
  <si>
    <t>DY 531567</t>
  </si>
  <si>
    <t>DY 531566</t>
  </si>
  <si>
    <t>DY 531565</t>
  </si>
  <si>
    <t>DY 531564</t>
  </si>
  <si>
    <t>DY 531563</t>
  </si>
  <si>
    <t>DY 531562</t>
  </si>
  <si>
    <t>DY 531561</t>
  </si>
  <si>
    <t>DY 531560</t>
  </si>
  <si>
    <t>DY 531559</t>
  </si>
  <si>
    <t>MIN-HUTANG DAGANG</t>
  </si>
  <si>
    <t>DY 531558</t>
  </si>
  <si>
    <t>EVER - BAYAR HUTANG</t>
  </si>
  <si>
    <t>DY 531557</t>
  </si>
  <si>
    <t>ITF-HUTANG DAGANG</t>
  </si>
  <si>
    <t>DY 531556</t>
  </si>
  <si>
    <t>jpa-hutang dagang</t>
  </si>
  <si>
    <t>DY 531555</t>
  </si>
  <si>
    <t>forisa-hutang dagang</t>
  </si>
  <si>
    <t>DY 531554</t>
  </si>
  <si>
    <t>DY 531553</t>
  </si>
  <si>
    <t>DBW - BAYAR HUTANG</t>
  </si>
  <si>
    <t>DY 531552</t>
  </si>
  <si>
    <t>FBI-HUTANG DAGANG</t>
  </si>
  <si>
    <t>DY 531551</t>
  </si>
  <si>
    <t>DY 531550</t>
  </si>
  <si>
    <t>DY 531549</t>
  </si>
  <si>
    <t>DY 531548</t>
  </si>
  <si>
    <t>DY 531547</t>
  </si>
  <si>
    <t>DY 531546</t>
  </si>
  <si>
    <t>DY 531545</t>
  </si>
  <si>
    <t>DY 531544</t>
  </si>
  <si>
    <t>DY 531543</t>
  </si>
  <si>
    <t>DY 531542</t>
  </si>
  <si>
    <t>DY 531541</t>
  </si>
  <si>
    <t>DY 531540</t>
  </si>
  <si>
    <t>DY 531539</t>
  </si>
  <si>
    <t>DY 531538</t>
  </si>
  <si>
    <t>DY 531537</t>
  </si>
  <si>
    <t>DY 531536</t>
  </si>
  <si>
    <t>KAS NEGARA</t>
  </si>
  <si>
    <t>DY 531535</t>
  </si>
  <si>
    <t>DY 531534</t>
  </si>
  <si>
    <t>BCA-HUTANG BANK</t>
  </si>
  <si>
    <t>DY 531533</t>
  </si>
  <si>
    <t>DY 531532</t>
  </si>
  <si>
    <t>DY 531531</t>
  </si>
  <si>
    <t>GIM - BAYAR HUTANG</t>
  </si>
  <si>
    <t>DY 531530</t>
  </si>
  <si>
    <t>DY 531529</t>
  </si>
  <si>
    <t>SPS-BAYAR HUTANG</t>
  </si>
  <si>
    <t>DY 531528</t>
  </si>
  <si>
    <t>DIPO STAR FINANCE</t>
  </si>
  <si>
    <t>DY 531527</t>
  </si>
  <si>
    <t>DY 531526</t>
  </si>
  <si>
    <t>DY 531200</t>
  </si>
  <si>
    <t>DY 531199</t>
  </si>
  <si>
    <t>MOTASA-BAYAR HUTANG</t>
  </si>
  <si>
    <t>DY 531198</t>
  </si>
  <si>
    <t>MBR-BAYAR HUTANG</t>
  </si>
  <si>
    <t>DY 531197</t>
  </si>
  <si>
    <t>DY 531196</t>
  </si>
  <si>
    <t>PIC-HUTANG DAGANG</t>
  </si>
  <si>
    <t>DY 531195</t>
  </si>
  <si>
    <t>HSBC-HUTANK BANK, BMHD</t>
  </si>
  <si>
    <t>DY 531194</t>
  </si>
  <si>
    <t>RDSI - BAYAR HUTANG</t>
  </si>
  <si>
    <t>DY 531193</t>
  </si>
  <si>
    <t>yti-hutang dagang</t>
  </si>
  <si>
    <t>DY 531192</t>
  </si>
  <si>
    <t>DY 531191</t>
  </si>
  <si>
    <t>DY 531190</t>
  </si>
  <si>
    <t>DY 531189</t>
  </si>
  <si>
    <t>DY 531188</t>
  </si>
  <si>
    <t>DY 531187</t>
  </si>
  <si>
    <t>DY 531186</t>
  </si>
  <si>
    <t>MIN-BAYAR HUTANG0</t>
  </si>
  <si>
    <t>DY 531185</t>
  </si>
  <si>
    <t>DY 531184</t>
  </si>
  <si>
    <t>DY 531183</t>
  </si>
  <si>
    <t>DY 531182</t>
  </si>
  <si>
    <t>DY 531181</t>
  </si>
  <si>
    <t>DIFI MIN</t>
  </si>
  <si>
    <t>DY 531180</t>
  </si>
  <si>
    <t>OCBC-HUTANG BANK</t>
  </si>
  <si>
    <t>DY 531179</t>
  </si>
  <si>
    <t>void</t>
  </si>
  <si>
    <t>DY 531178</t>
  </si>
  <si>
    <t>SPB-HUTANG DAGANG</t>
  </si>
  <si>
    <t>DY 531177</t>
  </si>
  <si>
    <t>DY 531176</t>
  </si>
  <si>
    <t>DY 530925</t>
  </si>
  <si>
    <t>DY 530924</t>
  </si>
  <si>
    <t>DY 530923</t>
  </si>
  <si>
    <t>DY 530922</t>
  </si>
  <si>
    <t>EIT - BAYAR HUTANG</t>
  </si>
  <si>
    <t>DY 530921</t>
  </si>
  <si>
    <t>AI-BAYAR HUTANG</t>
  </si>
  <si>
    <t>DY 530920</t>
  </si>
  <si>
    <t>DY 530919</t>
  </si>
  <si>
    <t>DY 530918</t>
  </si>
  <si>
    <t>BANK GARANSI ARNOTTS KURANG SETOR</t>
  </si>
  <si>
    <t>DY 530917</t>
  </si>
  <si>
    <t>HSBC BMHD BUNGA</t>
  </si>
  <si>
    <t>DY 530916</t>
  </si>
  <si>
    <t>DIFI MIN-BAYAR HUTANG</t>
  </si>
  <si>
    <t>DY 530915</t>
  </si>
  <si>
    <t>DY 530914</t>
  </si>
  <si>
    <t>DY 530913</t>
  </si>
  <si>
    <t>DY 530912</t>
  </si>
  <si>
    <t>DY 530911</t>
  </si>
  <si>
    <t>DY 530910</t>
  </si>
  <si>
    <t>DY 530909</t>
  </si>
  <si>
    <t>DY 530908</t>
  </si>
  <si>
    <t>HSBC-BMHD</t>
  </si>
  <si>
    <t>DY 530907</t>
  </si>
  <si>
    <t>BMHD OCBC W3</t>
  </si>
  <si>
    <t>DY 530906</t>
  </si>
  <si>
    <t>DIFI FBI-BAYAR HUTANG</t>
  </si>
  <si>
    <t>DY 530905</t>
  </si>
  <si>
    <t>DY 530904</t>
  </si>
  <si>
    <t>DY 530903</t>
  </si>
  <si>
    <t>HSBCB+MHD</t>
  </si>
  <si>
    <t>DY 530902</t>
  </si>
  <si>
    <t>DY 530901</t>
  </si>
  <si>
    <t>DY530875</t>
  </si>
  <si>
    <t>DY530874</t>
  </si>
  <si>
    <t>DY530873</t>
  </si>
  <si>
    <t>DY530872</t>
  </si>
  <si>
    <t>DY530871</t>
  </si>
  <si>
    <t>HSBC-HUTANG BANK, BMHD</t>
  </si>
  <si>
    <t>DY530870</t>
  </si>
  <si>
    <t>DY530869</t>
  </si>
  <si>
    <t>DY530868</t>
  </si>
  <si>
    <t>DY530867</t>
  </si>
  <si>
    <t>DY530866</t>
  </si>
  <si>
    <t>PT. METRIX</t>
  </si>
  <si>
    <t>DY530865</t>
  </si>
  <si>
    <t>DY530864</t>
  </si>
  <si>
    <t>DY530863</t>
  </si>
  <si>
    <t>DY530862</t>
  </si>
  <si>
    <t>DY530861</t>
  </si>
  <si>
    <t>DY530860</t>
  </si>
  <si>
    <t>BCA-BUNGA</t>
  </si>
  <si>
    <t>DY530859</t>
  </si>
  <si>
    <t>DY530858</t>
  </si>
  <si>
    <t>DY530857</t>
  </si>
  <si>
    <t>MBRK-HUTANG DAGANG</t>
  </si>
  <si>
    <t>DY530856</t>
  </si>
  <si>
    <t>NLS - BAYAR HUTANG</t>
  </si>
  <si>
    <t>DY530855</t>
  </si>
  <si>
    <t>DY530854</t>
  </si>
  <si>
    <t>VOID</t>
  </si>
  <si>
    <t>DY530853</t>
  </si>
  <si>
    <t>DY530852</t>
  </si>
  <si>
    <t>DY530851</t>
  </si>
  <si>
    <t>DY530400</t>
  </si>
  <si>
    <t>DY530399</t>
  </si>
  <si>
    <t>KAS NEGARA-PAJAK</t>
  </si>
  <si>
    <t>DY530398</t>
  </si>
  <si>
    <t>DY530397</t>
  </si>
  <si>
    <t>HSBC-HUTABANK BMHD BUNGA</t>
  </si>
  <si>
    <t>DY530396</t>
  </si>
  <si>
    <t>DY530395</t>
  </si>
  <si>
    <t>DY530394</t>
  </si>
  <si>
    <t>DY530393</t>
  </si>
  <si>
    <t>DY530392</t>
  </si>
  <si>
    <t>min difi-hutang dagang</t>
  </si>
  <si>
    <t>DY530391</t>
  </si>
  <si>
    <t>hsbc-hutang bmhd bunga</t>
  </si>
  <si>
    <t>DY530390</t>
  </si>
  <si>
    <t>ocbc-hutang bank</t>
  </si>
  <si>
    <t>DY530389</t>
  </si>
  <si>
    <t>DY530388</t>
  </si>
  <si>
    <t>DY530387</t>
  </si>
  <si>
    <t>DY530386</t>
  </si>
  <si>
    <t>DY530385</t>
  </si>
  <si>
    <t>DY530384</t>
  </si>
  <si>
    <t>DY530383</t>
  </si>
  <si>
    <t>DY530382</t>
  </si>
  <si>
    <t>DY530381</t>
  </si>
  <si>
    <t>GFI - BAYAR HUTANG</t>
  </si>
  <si>
    <t>DY530380</t>
  </si>
  <si>
    <t>DY530379</t>
  </si>
  <si>
    <t>DY530378</t>
  </si>
  <si>
    <t>DIFI PIC-HUTANG DAGANG</t>
  </si>
  <si>
    <t>DY530377</t>
  </si>
  <si>
    <t>DY530376</t>
  </si>
  <si>
    <t>DY530350</t>
  </si>
  <si>
    <t>FBI-BAYAR HUTANG</t>
  </si>
  <si>
    <t>DY530349</t>
  </si>
  <si>
    <t>MBR K - BAYAR HUTANG</t>
  </si>
  <si>
    <t>DY530348</t>
  </si>
  <si>
    <t>YTI - BAYAR HUTANG</t>
  </si>
  <si>
    <t>DY530347</t>
  </si>
  <si>
    <t>JPA - BAYAR HUTANG</t>
  </si>
  <si>
    <t>DY530346</t>
  </si>
  <si>
    <t>HSBC-HUTANG BUNGA</t>
  </si>
  <si>
    <t>DY530345</t>
  </si>
  <si>
    <t>OCBC-HUTANG BUNGA BANK</t>
  </si>
  <si>
    <t>DY530344</t>
  </si>
  <si>
    <t>DY530343</t>
  </si>
  <si>
    <t>DY530342</t>
  </si>
  <si>
    <t>DY530341</t>
  </si>
  <si>
    <t>FORISA-BAYAR HUTANG</t>
  </si>
  <si>
    <t>DY530340</t>
  </si>
  <si>
    <t>DY530339</t>
  </si>
  <si>
    <t>DY530338</t>
  </si>
  <si>
    <t>DY530337</t>
  </si>
  <si>
    <t>DY530336</t>
  </si>
  <si>
    <t>DY530335</t>
  </si>
  <si>
    <t>DY530334</t>
  </si>
  <si>
    <t>DY530333</t>
  </si>
  <si>
    <t>DY530332</t>
  </si>
  <si>
    <t>NIAGA-PT MSS</t>
  </si>
  <si>
    <t>DY530331</t>
  </si>
  <si>
    <t>ITF-BAYAR HUTANG</t>
  </si>
  <si>
    <t>DY530330</t>
  </si>
  <si>
    <t>DY530329</t>
  </si>
  <si>
    <t>DY530328</t>
  </si>
  <si>
    <t>DY530327</t>
  </si>
  <si>
    <t>DY530326</t>
  </si>
  <si>
    <t>DY530150</t>
  </si>
  <si>
    <t>DY530149</t>
  </si>
  <si>
    <t>DY530148</t>
  </si>
  <si>
    <t>DY530147</t>
  </si>
  <si>
    <t>DY530146</t>
  </si>
  <si>
    <t>DY530145</t>
  </si>
  <si>
    <t>DY530144</t>
  </si>
  <si>
    <t>DY530143</t>
  </si>
  <si>
    <t>DY530142</t>
  </si>
  <si>
    <t>DY530141</t>
  </si>
  <si>
    <t>BANK GARANSI ARNOTTS</t>
  </si>
  <si>
    <t>DY530140</t>
  </si>
  <si>
    <t>DY530139</t>
  </si>
  <si>
    <t>DY530138</t>
  </si>
  <si>
    <t>DY530137</t>
  </si>
  <si>
    <t>DY530136</t>
  </si>
  <si>
    <t>DY530135</t>
  </si>
  <si>
    <t>DIPO STAR FINANCE ANGSURAN KE 3</t>
  </si>
  <si>
    <t>DY530134</t>
  </si>
  <si>
    <t>DY530133</t>
  </si>
  <si>
    <t>DY530132</t>
  </si>
  <si>
    <t>DY530131</t>
  </si>
  <si>
    <t>DY530130</t>
  </si>
  <si>
    <t>DY530129</t>
  </si>
  <si>
    <t>AMP-BAYAR HUTANG</t>
  </si>
  <si>
    <t>DY530128</t>
  </si>
  <si>
    <t>DY530127</t>
  </si>
  <si>
    <t>DY530126</t>
  </si>
  <si>
    <t>DY530175</t>
  </si>
  <si>
    <t>DY530174</t>
  </si>
  <si>
    <t>DY530173</t>
  </si>
  <si>
    <t>DY530172</t>
  </si>
  <si>
    <t>DY530171</t>
  </si>
  <si>
    <t>DY530170</t>
  </si>
  <si>
    <t>DY530169</t>
  </si>
  <si>
    <t>DY530168</t>
  </si>
  <si>
    <t>DY530167</t>
  </si>
  <si>
    <t>DESMAN NOTARIS</t>
  </si>
  <si>
    <t>DY530166</t>
  </si>
  <si>
    <t>DY530165</t>
  </si>
  <si>
    <t>PIC - BAYAR HUTANG</t>
  </si>
  <si>
    <t>DY530164</t>
  </si>
  <si>
    <t>DY530163</t>
  </si>
  <si>
    <t>DY530162</t>
  </si>
  <si>
    <t>DY530161</t>
  </si>
  <si>
    <t>DY530160</t>
  </si>
  <si>
    <t>DY530159</t>
  </si>
  <si>
    <t>DY530158</t>
  </si>
  <si>
    <t>OCBC-HUTANG BANK BMHD</t>
  </si>
  <si>
    <t>DY530157</t>
  </si>
  <si>
    <t>DY530156</t>
  </si>
  <si>
    <t>DY530155</t>
  </si>
  <si>
    <t>DY530154</t>
  </si>
  <si>
    <t>MIN-NIAGA</t>
  </si>
  <si>
    <t>DY530153</t>
  </si>
  <si>
    <t>DY530152</t>
  </si>
  <si>
    <t>bank niaga- pindah dana</t>
  </si>
  <si>
    <t>DY530151</t>
  </si>
  <si>
    <t>HSBC-BIAYA BUNGA WEEK 4</t>
  </si>
  <si>
    <t>DY 530000</t>
  </si>
  <si>
    <t>DY 529999</t>
  </si>
  <si>
    <t>MI-BAYAR HUTANG</t>
  </si>
  <si>
    <t>DY 529998</t>
  </si>
  <si>
    <t>DY 529997</t>
  </si>
  <si>
    <t>ITF - BAYAR HUTANG</t>
  </si>
  <si>
    <t>DY 529996</t>
  </si>
  <si>
    <t>DY 529995</t>
  </si>
  <si>
    <t>MIN - BAYAR HUTANG</t>
  </si>
  <si>
    <t>DY 529994</t>
  </si>
  <si>
    <t>DY 529993</t>
  </si>
  <si>
    <t>OCBC-HUTANG METRIX</t>
  </si>
  <si>
    <t>DY 529992</t>
  </si>
  <si>
    <t>DY 529991</t>
  </si>
  <si>
    <t>DY 529990</t>
  </si>
  <si>
    <t>DY 529989</t>
  </si>
  <si>
    <t>DY 529988</t>
  </si>
  <si>
    <t>DY 529987</t>
  </si>
  <si>
    <t>HSBC-BIAYA BUNGA WEEK 5</t>
  </si>
  <si>
    <t>DY 529986</t>
  </si>
  <si>
    <t>DY 529985</t>
  </si>
  <si>
    <t>DY 529984</t>
  </si>
  <si>
    <t>HSBC-HUTANG METRIX</t>
  </si>
  <si>
    <t>DY 529983</t>
  </si>
  <si>
    <t>DY 529982</t>
  </si>
  <si>
    <t>DY 529981</t>
  </si>
  <si>
    <t>FNP - BAYAR HUTANG</t>
  </si>
  <si>
    <t>DY 529980</t>
  </si>
  <si>
    <t>DY 529979</t>
  </si>
  <si>
    <t>DY 531525</t>
  </si>
  <si>
    <t>DY 529978</t>
  </si>
  <si>
    <t>DY 531524</t>
  </si>
  <si>
    <t>DY 529977</t>
  </si>
  <si>
    <t>DY 531523</t>
  </si>
  <si>
    <t>BJS - BAYAR HUTANG</t>
  </si>
  <si>
    <t>DY 529976</t>
  </si>
  <si>
    <t>DY 531522</t>
  </si>
  <si>
    <t>DY 529975</t>
  </si>
  <si>
    <t>DY 531521</t>
  </si>
  <si>
    <t>DY 529974</t>
  </si>
  <si>
    <t>ZAENAL-PWT</t>
  </si>
  <si>
    <t>DY 531520</t>
  </si>
  <si>
    <t>DY 529973</t>
  </si>
  <si>
    <t>RONNY CHANDRA</t>
  </si>
  <si>
    <t>DY 531519</t>
  </si>
  <si>
    <t>DY 529972</t>
  </si>
  <si>
    <t>SUDARSIH-GAJI TERAKHIR AN SURATNO</t>
  </si>
  <si>
    <t>DY 531518</t>
  </si>
  <si>
    <t>DY 529971</t>
  </si>
  <si>
    <t>JAMSOSTEK DES19</t>
  </si>
  <si>
    <t>DY 531517</t>
  </si>
  <si>
    <t>FBI-EVENT LUWES SOLO A.N TAKDIR SAPUTRA</t>
  </si>
  <si>
    <t>DY 529970</t>
  </si>
  <si>
    <t>PESANGON AN SURATNO</t>
  </si>
  <si>
    <t>DY 531516</t>
  </si>
  <si>
    <t>DY 529969</t>
  </si>
  <si>
    <t>DY 531515</t>
  </si>
  <si>
    <t>DY 529968</t>
  </si>
  <si>
    <t>DY 531514</t>
  </si>
  <si>
    <t>DY 529967</t>
  </si>
  <si>
    <t>DY 531513</t>
  </si>
  <si>
    <t>HSBC- HUTANG METRIX</t>
  </si>
  <si>
    <t>DY 529966</t>
  </si>
  <si>
    <t>DY 531512</t>
  </si>
  <si>
    <t>DY 529965</t>
  </si>
  <si>
    <t>KAS KECIL</t>
  </si>
  <si>
    <t>DY 531511</t>
  </si>
  <si>
    <t>DY 529964</t>
  </si>
  <si>
    <t>lily eka-tegal</t>
  </si>
  <si>
    <t>DY 531510</t>
  </si>
  <si>
    <t>DY 529963</t>
  </si>
  <si>
    <t>DIAN ADI-MGL</t>
  </si>
  <si>
    <t>DY 531509</t>
  </si>
  <si>
    <t>DY 529962</t>
  </si>
  <si>
    <t>nia-kbm</t>
  </si>
  <si>
    <t>DY 531508</t>
  </si>
  <si>
    <t>DY 529961</t>
  </si>
  <si>
    <t>RAHAYU-WGR</t>
  </si>
  <si>
    <t>DY 531507</t>
  </si>
  <si>
    <t>DY 529960</t>
  </si>
  <si>
    <t>DY 531506</t>
  </si>
  <si>
    <t>DY 529959</t>
  </si>
  <si>
    <t>FAJAR-CILACAP</t>
  </si>
  <si>
    <t>DY 531505</t>
  </si>
  <si>
    <t>FBI - BAYAR HUTANG</t>
  </si>
  <si>
    <t>DY 529958</t>
  </si>
  <si>
    <t>DY 531504</t>
  </si>
  <si>
    <t>DY 529957</t>
  </si>
  <si>
    <t>CAHYONO-SMG</t>
  </si>
  <si>
    <t>DY 531503</t>
  </si>
  <si>
    <t>DY 529956</t>
  </si>
  <si>
    <t>RAHAYU-SOLO</t>
  </si>
  <si>
    <t>DY 531502</t>
  </si>
  <si>
    <t>OCBC-GRATIFIKASI</t>
  </si>
  <si>
    <t>DY 529955</t>
  </si>
  <si>
    <t>MURYANI-JOGJA</t>
  </si>
  <si>
    <t>DY 531501</t>
  </si>
  <si>
    <t>DY 529954</t>
  </si>
  <si>
    <t>ety-blora</t>
  </si>
  <si>
    <t>DY 531250</t>
  </si>
  <si>
    <t>DY 529953</t>
  </si>
  <si>
    <t>SURYA DEWI-PATI</t>
  </si>
  <si>
    <t>DY 531249</t>
  </si>
  <si>
    <t>DY 529952</t>
  </si>
  <si>
    <t>DONI SUDAERMAJI-PEKALONGAN</t>
  </si>
  <si>
    <t>DY 531248</t>
  </si>
  <si>
    <t>AI - BAYAR HUTANG</t>
  </si>
  <si>
    <t>DY 529951</t>
  </si>
  <si>
    <t>DY 531247</t>
  </si>
  <si>
    <t>DY 529650</t>
  </si>
  <si>
    <t>DY 531246</t>
  </si>
  <si>
    <t>DY 529649</t>
  </si>
  <si>
    <t>dian adi-mgl</t>
  </si>
  <si>
    <t>DY 531245</t>
  </si>
  <si>
    <t>DY 529648</t>
  </si>
  <si>
    <t>DY 531244</t>
  </si>
  <si>
    <t>SAS INDO - MANAGEMENT FEE APRIL</t>
  </si>
  <si>
    <t>DY 529647</t>
  </si>
  <si>
    <t>DY 531243</t>
  </si>
  <si>
    <t>DY 529646</t>
  </si>
  <si>
    <t>DY 531242</t>
  </si>
  <si>
    <t>SPU - PIUTANG KLAIM</t>
  </si>
  <si>
    <t>DY 529645</t>
  </si>
  <si>
    <t>DY 531241</t>
  </si>
  <si>
    <t>DY 529644</t>
  </si>
  <si>
    <t>TAKDIR SAPUTRA EVENT LUWES SOLO</t>
  </si>
  <si>
    <t>DY 531240</t>
  </si>
  <si>
    <t>DY 529643</t>
  </si>
  <si>
    <t>DY 531239</t>
  </si>
  <si>
    <t>DY 529642</t>
  </si>
  <si>
    <t>DY 531238</t>
  </si>
  <si>
    <t>DY 529641</t>
  </si>
  <si>
    <t>DY 531237</t>
  </si>
  <si>
    <t>DY 529640</t>
  </si>
  <si>
    <t>DY 531236</t>
  </si>
  <si>
    <t>DY 529639</t>
  </si>
  <si>
    <t>DY 531235</t>
  </si>
  <si>
    <t>DY 529638</t>
  </si>
  <si>
    <t>DIAN ADI-sltg</t>
  </si>
  <si>
    <t>DY 531234</t>
  </si>
  <si>
    <t>DY 529637</t>
  </si>
  <si>
    <t>DY 531233</t>
  </si>
  <si>
    <t>DY 529636</t>
  </si>
  <si>
    <t>DY 531232</t>
  </si>
  <si>
    <t>DY 529635</t>
  </si>
  <si>
    <t>rahayu-wgr</t>
  </si>
  <si>
    <t>DY 531231</t>
  </si>
  <si>
    <t>DY 529634</t>
  </si>
  <si>
    <t>NIA ANDRIYATI-KBM</t>
  </si>
  <si>
    <t>DY 531230</t>
  </si>
  <si>
    <t>DY 529633</t>
  </si>
  <si>
    <t>DY 531229</t>
  </si>
  <si>
    <t>DY 529632</t>
  </si>
  <si>
    <t>DY 531228</t>
  </si>
  <si>
    <t>DY 529631</t>
  </si>
  <si>
    <t>DY 531227</t>
  </si>
  <si>
    <t>DY 529630</t>
  </si>
  <si>
    <t xml:space="preserve">KAS KECIL </t>
  </si>
  <si>
    <t>DY 531226</t>
  </si>
  <si>
    <t>DY 529629</t>
  </si>
  <si>
    <t xml:space="preserve">RENTOKIL </t>
  </si>
  <si>
    <t>DY 530325</t>
  </si>
  <si>
    <t>DY 529628</t>
  </si>
  <si>
    <t>HANINDYO SENO-TIKET KAI</t>
  </si>
  <si>
    <t>DY 530324</t>
  </si>
  <si>
    <t>DY 529627</t>
  </si>
  <si>
    <t>JNT</t>
  </si>
  <si>
    <t>DY 530323</t>
  </si>
  <si>
    <t>DY 529626</t>
  </si>
  <si>
    <t>SRI MULYANA-GTMT</t>
  </si>
  <si>
    <t>DY 530322</t>
  </si>
  <si>
    <t xml:space="preserve">HSBC </t>
  </si>
  <si>
    <t>DY 529674</t>
  </si>
  <si>
    <t>SURJANTO-SEWA GUDANG CILACAP</t>
  </si>
  <si>
    <t>DY 530321</t>
  </si>
  <si>
    <t>DY 529673</t>
  </si>
  <si>
    <t>DY 530320</t>
  </si>
  <si>
    <t>SPB - BAYAR HUTANG</t>
  </si>
  <si>
    <t>DY 529672</t>
  </si>
  <si>
    <t>DY 530319</t>
  </si>
  <si>
    <t>DY 529671</t>
  </si>
  <si>
    <t>DY 530318</t>
  </si>
  <si>
    <t>DY 529670</t>
  </si>
  <si>
    <t>ETY-TEGAL</t>
  </si>
  <si>
    <t>DY 530317</t>
  </si>
  <si>
    <t>MBR - BAYAR HUTANG</t>
  </si>
  <si>
    <t>DY 529669</t>
  </si>
  <si>
    <t>DY 530316</t>
  </si>
  <si>
    <t>DY 529668</t>
  </si>
  <si>
    <t>DY 530315</t>
  </si>
  <si>
    <t>DY 529667</t>
  </si>
  <si>
    <t>DY 530314</t>
  </si>
  <si>
    <t>MI - BAYAR HUTANG</t>
  </si>
  <si>
    <t>DY 529666</t>
  </si>
  <si>
    <t>DY 530313</t>
  </si>
  <si>
    <t>DY 529665</t>
  </si>
  <si>
    <t>DY 530312</t>
  </si>
  <si>
    <t>DY 529664</t>
  </si>
  <si>
    <t>DY 530311</t>
  </si>
  <si>
    <t>DY 529663</t>
  </si>
  <si>
    <t>DY 530310</t>
  </si>
  <si>
    <t>HSBC HUTANG BANK GARANSI, BHMD BUNGA</t>
  </si>
  <si>
    <t>DY 529662</t>
  </si>
  <si>
    <t>JOGJA SPEED</t>
  </si>
  <si>
    <t>DY 530309</t>
  </si>
  <si>
    <t>DY 529661</t>
  </si>
  <si>
    <t>DY 530308</t>
  </si>
  <si>
    <t>DY 529660</t>
  </si>
  <si>
    <t>dian adi-magelang</t>
  </si>
  <si>
    <t>DY 530307</t>
  </si>
  <si>
    <t>DY 529659</t>
  </si>
  <si>
    <t>DY 530306</t>
  </si>
  <si>
    <t>DY 529658</t>
  </si>
  <si>
    <t>DY 530305</t>
  </si>
  <si>
    <t>DANAMON FBI</t>
  </si>
  <si>
    <t>DY 529657</t>
  </si>
  <si>
    <t>DY 530304</t>
  </si>
  <si>
    <t>DY 529656</t>
  </si>
  <si>
    <t>DY 530303</t>
  </si>
  <si>
    <t xml:space="preserve">MBRK </t>
  </si>
  <si>
    <t>DY 529655</t>
  </si>
  <si>
    <t>DY 530302</t>
  </si>
  <si>
    <t>DY 529654</t>
  </si>
  <si>
    <t>DY 530301</t>
  </si>
  <si>
    <t>DY 529653</t>
  </si>
  <si>
    <t>INDOJAYA PAPER</t>
  </si>
  <si>
    <t>DY 530300</t>
  </si>
  <si>
    <t>DY 529652</t>
  </si>
  <si>
    <t>DY 530299</t>
  </si>
  <si>
    <t>DY 529651</t>
  </si>
  <si>
    <t>DY 530298</t>
  </si>
  <si>
    <t>DY 529525</t>
  </si>
  <si>
    <t>DY 530297</t>
  </si>
  <si>
    <t>DY 529524</t>
  </si>
  <si>
    <t>DY 530296</t>
  </si>
  <si>
    <t>DY 529523</t>
  </si>
  <si>
    <t>DIAN ADIPRATAMA-SALATIGA</t>
  </si>
  <si>
    <t>DY 530295</t>
  </si>
  <si>
    <t>DY 529522</t>
  </si>
  <si>
    <t>ETY YULIANTY-BLORA</t>
  </si>
  <si>
    <t>DY 530294</t>
  </si>
  <si>
    <t>YIJG-BAYAR UTANG</t>
  </si>
  <si>
    <t>DY 529521</t>
  </si>
  <si>
    <t>IT-HARDISK DAN POWER SUPPLY</t>
  </si>
  <si>
    <t>DY 530293</t>
  </si>
  <si>
    <t>DY 529520</t>
  </si>
  <si>
    <t>DY 530292</t>
  </si>
  <si>
    <t>DY 529519</t>
  </si>
  <si>
    <t>DY 530291</t>
  </si>
  <si>
    <t>DY 529518</t>
  </si>
  <si>
    <t>CITRANET</t>
  </si>
  <si>
    <t>DY 530290</t>
  </si>
  <si>
    <t>DY 529517</t>
  </si>
  <si>
    <t>GM, RSM PANSEL, RSM PANTURA</t>
  </si>
  <si>
    <t>DY 530289</t>
  </si>
  <si>
    <t>DY 529516</t>
  </si>
  <si>
    <t>DY 530288</t>
  </si>
  <si>
    <t>DY 529515</t>
  </si>
  <si>
    <t>DY 530287</t>
  </si>
  <si>
    <t>DY 529514</t>
  </si>
  <si>
    <t>dian adi-salatiga</t>
  </si>
  <si>
    <t>DY 530286</t>
  </si>
  <si>
    <t>DY 529513</t>
  </si>
  <si>
    <t>DY 530285</t>
  </si>
  <si>
    <t>DY 529512</t>
  </si>
  <si>
    <t>DY 530284</t>
  </si>
  <si>
    <t>DY 529511</t>
  </si>
  <si>
    <t>DY 530283</t>
  </si>
  <si>
    <t>DY 529510</t>
  </si>
  <si>
    <t>DY 530282</t>
  </si>
  <si>
    <t>DY 529509</t>
  </si>
  <si>
    <t>DY 530281</t>
  </si>
  <si>
    <t>OCBCGRATIVIKASI 2018</t>
  </si>
  <si>
    <t>DY 529508</t>
  </si>
  <si>
    <t>RAHAYU-WNG</t>
  </si>
  <si>
    <t>DY 530280</t>
  </si>
  <si>
    <t>DY 529507</t>
  </si>
  <si>
    <t>DY 530279</t>
  </si>
  <si>
    <t>DY 529506</t>
  </si>
  <si>
    <t>NIA ANDRIYARI-KBM</t>
  </si>
  <si>
    <t>DY 530278</t>
  </si>
  <si>
    <t>FORISA - BAYAR HUTANG</t>
  </si>
  <si>
    <t>DY 529505</t>
  </si>
  <si>
    <t>DY 530277</t>
  </si>
  <si>
    <t>DY 529504</t>
  </si>
  <si>
    <t>ZAENAL ARIFIN-PWT</t>
  </si>
  <si>
    <t>DY 530276</t>
  </si>
  <si>
    <t>DY 529503</t>
  </si>
  <si>
    <t>DY 530125</t>
  </si>
  <si>
    <t>DY 529502</t>
  </si>
  <si>
    <t>muryani siti-jogja</t>
  </si>
  <si>
    <t>DY 530124</t>
  </si>
  <si>
    <t xml:space="preserve">OCBC </t>
  </si>
  <si>
    <t>DY 529501</t>
  </si>
  <si>
    <t>DY 530123</t>
  </si>
  <si>
    <t>DY 529375</t>
  </si>
  <si>
    <t>BPJS KESEHATAN</t>
  </si>
  <si>
    <t>DY 530122</t>
  </si>
  <si>
    <t>DY 529374</t>
  </si>
  <si>
    <t>DY 530121</t>
  </si>
  <si>
    <t>DY 529373</t>
  </si>
  <si>
    <t>DY 530120</t>
  </si>
  <si>
    <t>DY 529372</t>
  </si>
  <si>
    <t>DY 530119</t>
  </si>
  <si>
    <t>DY 529371</t>
  </si>
  <si>
    <t>ZAENAL ARUPIN</t>
  </si>
  <si>
    <t>DY 530118</t>
  </si>
  <si>
    <t>DY 529370</t>
  </si>
  <si>
    <t>DIAN ADIPRATAMA-MAGELANG</t>
  </si>
  <si>
    <t>DY 530117</t>
  </si>
  <si>
    <t>DY 529369</t>
  </si>
  <si>
    <t>IT-MIKROTOK</t>
  </si>
  <si>
    <t>DY 530116</t>
  </si>
  <si>
    <t>DY 529368</t>
  </si>
  <si>
    <t>DY 530115</t>
  </si>
  <si>
    <t>HSBCBUNGA +  CICILAN</t>
  </si>
  <si>
    <t>DY 529367</t>
  </si>
  <si>
    <t>DY 530114</t>
  </si>
  <si>
    <t>DY 529366</t>
  </si>
  <si>
    <t>DY 530113</t>
  </si>
  <si>
    <t>MSS BIAYA PINDAH BUKU</t>
  </si>
  <si>
    <t>DY 529365</t>
  </si>
  <si>
    <t>DY 530112</t>
  </si>
  <si>
    <t>DY 529364</t>
  </si>
  <si>
    <t>DY 530111</t>
  </si>
  <si>
    <t>DY 529363</t>
  </si>
  <si>
    <t>KAS NEGARA-PPH PASAL 4 AYAT 2</t>
  </si>
  <si>
    <t>DY 530110</t>
  </si>
  <si>
    <t>DY 529362</t>
  </si>
  <si>
    <t>kas kecil HO</t>
  </si>
  <si>
    <t>DY 530109</t>
  </si>
  <si>
    <t>DY 529361</t>
  </si>
  <si>
    <t>DY 530108</t>
  </si>
  <si>
    <t>DY 529360</t>
  </si>
  <si>
    <t>DY 530107</t>
  </si>
  <si>
    <t>CFA-BAYAR HUTANG</t>
  </si>
  <si>
    <t>DY 529359</t>
  </si>
  <si>
    <t>cahyono eko-semarang</t>
  </si>
  <si>
    <t>DY 530106</t>
  </si>
  <si>
    <t>DY 529358</t>
  </si>
  <si>
    <t>DY 530105</t>
  </si>
  <si>
    <t>DY 529357</t>
  </si>
  <si>
    <t>DY 530104</t>
  </si>
  <si>
    <t>DY 529356</t>
  </si>
  <si>
    <t>DY 530103</t>
  </si>
  <si>
    <t>DY 529355</t>
  </si>
  <si>
    <t xml:space="preserve">PT SERASI AUTO </t>
  </si>
  <si>
    <t>DY 530102</t>
  </si>
  <si>
    <t>DY 529354</t>
  </si>
  <si>
    <t>PT BENGAWAN SMBR ALAM VULKANISIR BAN</t>
  </si>
  <si>
    <t>DY 530101</t>
  </si>
  <si>
    <t>DY 529353</t>
  </si>
  <si>
    <t>DY530100</t>
  </si>
  <si>
    <t>DY 529352</t>
  </si>
  <si>
    <t>DY530099</t>
  </si>
  <si>
    <t>DY 529351</t>
  </si>
  <si>
    <t>TRI YULIYATNO - SEWA KENDARAAN</t>
  </si>
  <si>
    <t>DY530098</t>
  </si>
  <si>
    <t>BAYAR HUTANG BANK HSBC</t>
  </si>
  <si>
    <t>DY 529175</t>
  </si>
  <si>
    <t>LYLY EKA</t>
  </si>
  <si>
    <t>DY530097</t>
  </si>
  <si>
    <t>DY 529174</t>
  </si>
  <si>
    <t>TALI ASIH WINDA HAPSARI</t>
  </si>
  <si>
    <t>DY530096</t>
  </si>
  <si>
    <t>DY 529173</t>
  </si>
  <si>
    <t>RAHAYU W</t>
  </si>
  <si>
    <t>DY530095</t>
  </si>
  <si>
    <t>HUTANG BANK OCBC</t>
  </si>
  <si>
    <t>DY 529172</t>
  </si>
  <si>
    <t xml:space="preserve">FAJAR </t>
  </si>
  <si>
    <t>DY530094</t>
  </si>
  <si>
    <t>DY 529171</t>
  </si>
  <si>
    <t>NIA ANDRIYATI</t>
  </si>
  <si>
    <t>DY530093</t>
  </si>
  <si>
    <t>DY 529170</t>
  </si>
  <si>
    <t>RAHAYU</t>
  </si>
  <si>
    <t>DY530092</t>
  </si>
  <si>
    <t>DY 529169</t>
  </si>
  <si>
    <t>DIAN ADIPRATAMA</t>
  </si>
  <si>
    <t>DY530091</t>
  </si>
  <si>
    <t>DY 529168</t>
  </si>
  <si>
    <t>DY530090</t>
  </si>
  <si>
    <t>DY 529167</t>
  </si>
  <si>
    <t>MURYANI</t>
  </si>
  <si>
    <t>DY530089</t>
  </si>
  <si>
    <t>DY 529166</t>
  </si>
  <si>
    <t>DY530088</t>
  </si>
  <si>
    <t>DY 529165</t>
  </si>
  <si>
    <t>CAHYONO EKO</t>
  </si>
  <si>
    <t>DY530087</t>
  </si>
  <si>
    <t>DY 529164</t>
  </si>
  <si>
    <t>DY530086</t>
  </si>
  <si>
    <t>HUTANG BANK HSBC</t>
  </si>
  <si>
    <t>DY 529163</t>
  </si>
  <si>
    <t>DY530085</t>
  </si>
  <si>
    <t>DY 529162</t>
  </si>
  <si>
    <t>DY530084</t>
  </si>
  <si>
    <t>DY 529161</t>
  </si>
  <si>
    <t xml:space="preserve"> TEGAL-LILY EKA </t>
  </si>
  <si>
    <t>DY530083</t>
  </si>
  <si>
    <t>DY 529160</t>
  </si>
  <si>
    <t>DY530082</t>
  </si>
  <si>
    <t>DY 529159</t>
  </si>
  <si>
    <t>DY530081</t>
  </si>
  <si>
    <t>DY 529158</t>
  </si>
  <si>
    <t>DY530080</t>
  </si>
  <si>
    <t>DY 529157</t>
  </si>
  <si>
    <t>PEKALONGAN BIAYA POLISI</t>
  </si>
  <si>
    <t>DY530079</t>
  </si>
  <si>
    <t>DY 529156</t>
  </si>
  <si>
    <t>JAMSOSTEK OKT19</t>
  </si>
  <si>
    <t>DY530078</t>
  </si>
  <si>
    <t>DY 529155</t>
  </si>
  <si>
    <t>ARIF NUR-BAIAY PERCETAKAN</t>
  </si>
  <si>
    <t>DY530077</t>
  </si>
  <si>
    <t>DY 529154</t>
  </si>
  <si>
    <t>PT PRIANGAN PERSADA</t>
  </si>
  <si>
    <t>DY530076</t>
  </si>
  <si>
    <t>DY 529153</t>
  </si>
  <si>
    <t>JOBSTREET-ILKAN</t>
  </si>
  <si>
    <t>DY529950</t>
  </si>
  <si>
    <t>DY 529152</t>
  </si>
  <si>
    <t>PT PILLAR NUSANTARA EKSPEDISI</t>
  </si>
  <si>
    <t>DY529949</t>
  </si>
  <si>
    <t>DY 529151</t>
  </si>
  <si>
    <t>PT USAHA DIGDAYA FOTOCOPY</t>
  </si>
  <si>
    <t>DY529948</t>
  </si>
  <si>
    <t>DY 529200</t>
  </si>
  <si>
    <t>DY529947</t>
  </si>
  <si>
    <t>DY 529199</t>
  </si>
  <si>
    <t>DY529946</t>
  </si>
  <si>
    <t>BAYAR HUTANG BANK OCBC</t>
  </si>
  <si>
    <t>DY 529198</t>
  </si>
  <si>
    <t>SEMARANG-PROMO NLS</t>
  </si>
  <si>
    <t>DY529945</t>
  </si>
  <si>
    <t>DY 529197</t>
  </si>
  <si>
    <t xml:space="preserve">SOLO-BO&amp;NON BO </t>
  </si>
  <si>
    <t>DY529944</t>
  </si>
  <si>
    <t>DY 529196</t>
  </si>
  <si>
    <t>DY529943</t>
  </si>
  <si>
    <t>DY 529195</t>
  </si>
  <si>
    <t xml:space="preserve">WONOGIRI-BO&amp;NON BO </t>
  </si>
  <si>
    <t>DY529942</t>
  </si>
  <si>
    <t>DY 529194</t>
  </si>
  <si>
    <t>DY529941</t>
  </si>
  <si>
    <t>DY 529193</t>
  </si>
  <si>
    <t>KAS KECIL HO</t>
  </si>
  <si>
    <t>DY529940</t>
  </si>
  <si>
    <t>DY 529192</t>
  </si>
  <si>
    <t>SIGIT DARMAWAN-BAYAR GUDANG</t>
  </si>
  <si>
    <t>DY529939</t>
  </si>
  <si>
    <t>DY 529191</t>
  </si>
  <si>
    <t>PATI-NON BO</t>
  </si>
  <si>
    <t>DY529938</t>
  </si>
  <si>
    <t>DY 529190</t>
  </si>
  <si>
    <t>KEBUMEN-NON BO</t>
  </si>
  <si>
    <t>DY529937</t>
  </si>
  <si>
    <t>DY 529189</t>
  </si>
  <si>
    <t>TEGAL-GAJI&amp;INSENTIV</t>
  </si>
  <si>
    <t>DY529936</t>
  </si>
  <si>
    <t xml:space="preserve">SKG - BAYAR HUTANG </t>
  </si>
  <si>
    <t>DY 529188</t>
  </si>
  <si>
    <t>PKL-DONI GAJI YUPI</t>
  </si>
  <si>
    <t>DY529935</t>
  </si>
  <si>
    <t>DY 529187</t>
  </si>
  <si>
    <t>SEMARANG-REWARD MEI DAN GAJI TL</t>
  </si>
  <si>
    <t>DY529934</t>
  </si>
  <si>
    <t>DY 529186</t>
  </si>
  <si>
    <t>PWT-BO&amp;NON BO</t>
  </si>
  <si>
    <t>DY529933</t>
  </si>
  <si>
    <t>DY 529185</t>
  </si>
  <si>
    <t>MAGELANG-NON BO</t>
  </si>
  <si>
    <t>DY529932</t>
  </si>
  <si>
    <t>DY 529184</t>
  </si>
  <si>
    <t>CILACAP-NON BO</t>
  </si>
  <si>
    <t>DY529931</t>
  </si>
  <si>
    <t>DY 529183</t>
  </si>
  <si>
    <t>BLORA-GAJI KANVAS</t>
  </si>
  <si>
    <t>DY529930</t>
  </si>
  <si>
    <t>DY 529182</t>
  </si>
  <si>
    <t>YOGYA-BO&amp;GAJI</t>
  </si>
  <si>
    <t>DY529929</t>
  </si>
  <si>
    <t>DY 529181</t>
  </si>
  <si>
    <t>TEGAL-BO &amp; INSENTIV</t>
  </si>
  <si>
    <t>DY529928</t>
  </si>
  <si>
    <t>DY 529180</t>
  </si>
  <si>
    <t>PATI-BO &amp;NON BO</t>
  </si>
  <si>
    <t>DY529927</t>
  </si>
  <si>
    <t>DY 529179</t>
  </si>
  <si>
    <t>SEMARANG-BO DAN INSENTIV</t>
  </si>
  <si>
    <t>DY529926</t>
  </si>
  <si>
    <t>DY 529178</t>
  </si>
  <si>
    <t>CILACAP-PENGGANTIAN BO</t>
  </si>
  <si>
    <t>DY529622</t>
  </si>
  <si>
    <t>DY 529177</t>
  </si>
  <si>
    <t>CV ABADI TRANS - SEWA KENDARAAN</t>
  </si>
  <si>
    <t>DY529621</t>
  </si>
  <si>
    <t>DY 529176</t>
  </si>
  <si>
    <t>SOLO -PENGGANTIAN BO</t>
  </si>
  <si>
    <t>DY529620</t>
  </si>
  <si>
    <t>DY 528850</t>
  </si>
  <si>
    <t>PURWOKERTO - PENGGANTIAN BO DEPO</t>
  </si>
  <si>
    <t>DY529619</t>
  </si>
  <si>
    <t>DY 528849</t>
  </si>
  <si>
    <t>TEGAL - PAJAK STNK,PROGRAM FBI DRESS UP FBI</t>
  </si>
  <si>
    <t>DY529618</t>
  </si>
  <si>
    <t>DY 528848</t>
  </si>
  <si>
    <t>YOGYA - PENGGANTIAN BO DEPO</t>
  </si>
  <si>
    <t>DY529617</t>
  </si>
  <si>
    <t>DY 528847</t>
  </si>
  <si>
    <t>MAGELANG - PENGGANTIAN BO DEPO,AC MOBIL</t>
  </si>
  <si>
    <t>DY529616</t>
  </si>
  <si>
    <t>DY 528846</t>
  </si>
  <si>
    <t>KEBUMEN-PENGGANTIAN BO</t>
  </si>
  <si>
    <t>DY529615</t>
  </si>
  <si>
    <t>BAYAR HUTANG OCBC</t>
  </si>
  <si>
    <t>DY 528845</t>
  </si>
  <si>
    <t xml:space="preserve">WONOGIRI - PENGGANTIAN BO DEPO ,SERVIS KENDARAAN </t>
  </si>
  <si>
    <t>DY529614</t>
  </si>
  <si>
    <t xml:space="preserve">FORISA - </t>
  </si>
  <si>
    <t>DY 528844</t>
  </si>
  <si>
    <t>DY529613</t>
  </si>
  <si>
    <t>DY 528843</t>
  </si>
  <si>
    <t>TEGAL- PENGGANTIAN BO</t>
  </si>
  <si>
    <t>DY529612</t>
  </si>
  <si>
    <t>DY 528842</t>
  </si>
  <si>
    <t xml:space="preserve">SALATIGA - PENGGANTIAN BO </t>
  </si>
  <si>
    <t>DY529611</t>
  </si>
  <si>
    <t>DY 528841</t>
  </si>
  <si>
    <t>SEMARANG-PENGGANTIAN BO</t>
  </si>
  <si>
    <t>DY529610</t>
  </si>
  <si>
    <t>DY 528840</t>
  </si>
  <si>
    <t>BLORA- PENGGANTIAN BO</t>
  </si>
  <si>
    <t>DY529609</t>
  </si>
  <si>
    <t>DY 528839</t>
  </si>
  <si>
    <t>PATI - NON BO</t>
  </si>
  <si>
    <t>DY529608</t>
  </si>
  <si>
    <t>DY 528838</t>
  </si>
  <si>
    <t>PEKALONGAN - NON BO</t>
  </si>
  <si>
    <t>DY529607</t>
  </si>
  <si>
    <t>DY 528837</t>
  </si>
  <si>
    <t>PURWOKERTO-NON BO</t>
  </si>
  <si>
    <t>DY529606</t>
  </si>
  <si>
    <t>DY 528836</t>
  </si>
  <si>
    <t>PT.BENGAWAN SUMBER BARU-VULKANISIR BAN PANSEL</t>
  </si>
  <si>
    <t>DY529605</t>
  </si>
  <si>
    <t>DY 528835</t>
  </si>
  <si>
    <t>DY529604</t>
  </si>
  <si>
    <t>DY 528834</t>
  </si>
  <si>
    <t>SOLO - NON BO</t>
  </si>
  <si>
    <t>DY529603</t>
  </si>
  <si>
    <t>DY 528833</t>
  </si>
  <si>
    <t>BLORA-NON BO</t>
  </si>
  <si>
    <t>DY529602</t>
  </si>
  <si>
    <t>DY 528832</t>
  </si>
  <si>
    <t>PT.JEMBATAN CITRA NUSANTARA - BIAYA INTERNET BLN NOV 19</t>
  </si>
  <si>
    <t>DY529601</t>
  </si>
  <si>
    <t>DY 528831</t>
  </si>
  <si>
    <t>DY 529474</t>
  </si>
  <si>
    <t>OCBC - BANK GARANSI</t>
  </si>
  <si>
    <t>DY 528830</t>
  </si>
  <si>
    <t>PWT - BO</t>
  </si>
  <si>
    <t>DY 529473</t>
  </si>
  <si>
    <t>HSBC - BANK GARANSI</t>
  </si>
  <si>
    <t>DY 528829</t>
  </si>
  <si>
    <t>YOGYA - BO</t>
  </si>
  <si>
    <t>DY 529472</t>
  </si>
  <si>
    <t>DY 528828</t>
  </si>
  <si>
    <t xml:space="preserve">SOLO - BO </t>
  </si>
  <si>
    <t>DY 529471</t>
  </si>
  <si>
    <t>DY 528827</t>
  </si>
  <si>
    <t>CLP - BO</t>
  </si>
  <si>
    <t>DY 529470</t>
  </si>
  <si>
    <t>DY 528826</t>
  </si>
  <si>
    <t xml:space="preserve">WGR - BO </t>
  </si>
  <si>
    <t>DY 529469</t>
  </si>
  <si>
    <t>NEVERBRIGHT</t>
  </si>
  <si>
    <t>DY 528475</t>
  </si>
  <si>
    <t xml:space="preserve">KBM - BO </t>
  </si>
  <si>
    <t>DY 529468</t>
  </si>
  <si>
    <t>DY 528474</t>
  </si>
  <si>
    <t xml:space="preserve">MGL BO DAN NON BO </t>
  </si>
  <si>
    <t>DY 529467</t>
  </si>
  <si>
    <t>DY 528473</t>
  </si>
  <si>
    <t>PATI -  BO</t>
  </si>
  <si>
    <t>DY 529466</t>
  </si>
  <si>
    <t>DY 528472</t>
  </si>
  <si>
    <t>DENY SUWANDI - SEWA GUDANG PWT</t>
  </si>
  <si>
    <t>DY 529465</t>
  </si>
  <si>
    <t>DY 528471</t>
  </si>
  <si>
    <t>DY 529464</t>
  </si>
  <si>
    <t>DY 528470</t>
  </si>
  <si>
    <t>SLTG -  BO</t>
  </si>
  <si>
    <t>DY 529463</t>
  </si>
  <si>
    <t>DY 528469</t>
  </si>
  <si>
    <t>BLORA - BO</t>
  </si>
  <si>
    <t>DY 529462</t>
  </si>
  <si>
    <t>DY 528468</t>
  </si>
  <si>
    <t>DY 529461</t>
  </si>
  <si>
    <t>DY 528467</t>
  </si>
  <si>
    <t xml:space="preserve">PKL - BO </t>
  </si>
  <si>
    <t>DY 529460</t>
  </si>
  <si>
    <t>DY 528466</t>
  </si>
  <si>
    <t xml:space="preserve">TEGAL -BO </t>
  </si>
  <si>
    <t>DY 529459</t>
  </si>
  <si>
    <t>DY 528465</t>
  </si>
  <si>
    <t>SMG -   BO</t>
  </si>
  <si>
    <t>DY 529458</t>
  </si>
  <si>
    <t>DY 528464</t>
  </si>
  <si>
    <t>CV INDOJAYA PAPER</t>
  </si>
  <si>
    <t>DY 529457</t>
  </si>
  <si>
    <t>OCBC - BIAYA FASILITAS KREDIT 2019</t>
  </si>
  <si>
    <t>DY 528463</t>
  </si>
  <si>
    <t>SMG - INC MOTORIS</t>
  </si>
  <si>
    <t>DY 529456</t>
  </si>
  <si>
    <t>DY 528462</t>
  </si>
  <si>
    <t xml:space="preserve">SERASI AUTO RAYA </t>
  </si>
  <si>
    <t>DY 529455</t>
  </si>
  <si>
    <t>DY 528461</t>
  </si>
  <si>
    <t>TEGAL NON BO</t>
  </si>
  <si>
    <t>DY 529454</t>
  </si>
  <si>
    <t>DY 528460</t>
  </si>
  <si>
    <t>SMG FBI LMM LSM NOV 19</t>
  </si>
  <si>
    <t>DY 529453</t>
  </si>
  <si>
    <t>DY 528459</t>
  </si>
  <si>
    <t>PATI FBI NOV 19</t>
  </si>
  <si>
    <t>DY 529452</t>
  </si>
  <si>
    <t>DY 528458</t>
  </si>
  <si>
    <t xml:space="preserve">PWT - NON BO </t>
  </si>
  <si>
    <t>DY 529451</t>
  </si>
  <si>
    <t>BAYAR HUTANG MNP</t>
  </si>
  <si>
    <t>DY 528457</t>
  </si>
  <si>
    <t>DANA NON BO SOLO</t>
  </si>
  <si>
    <t>DY 529500</t>
  </si>
  <si>
    <t>DY 528456</t>
  </si>
  <si>
    <t>CLP - NON BO</t>
  </si>
  <si>
    <t>DY 529499</t>
  </si>
  <si>
    <t>DY 528455</t>
  </si>
  <si>
    <t>DY 529498</t>
  </si>
  <si>
    <t>DY 528454</t>
  </si>
  <si>
    <t>SMG HADIAH EMAS GROSIR</t>
  </si>
  <si>
    <t>DY 529497</t>
  </si>
  <si>
    <t>DY 528453</t>
  </si>
  <si>
    <t xml:space="preserve">ABADI TRANS </t>
  </si>
  <si>
    <t>DY 529496</t>
  </si>
  <si>
    <t>DY 528452</t>
  </si>
  <si>
    <t>DY 529495</t>
  </si>
  <si>
    <t>DY 528451</t>
  </si>
  <si>
    <t xml:space="preserve">SOLO - BO DAN NON BO </t>
  </si>
  <si>
    <t>DY 529494</t>
  </si>
  <si>
    <t>DY528300</t>
  </si>
  <si>
    <t xml:space="preserve">KBM - BO DAN NON BO </t>
  </si>
  <si>
    <t>DY 529493</t>
  </si>
  <si>
    <t>DY528299</t>
  </si>
  <si>
    <t>MGL - BO DAN NON BO</t>
  </si>
  <si>
    <t>DY 529492</t>
  </si>
  <si>
    <t>DY528298</t>
  </si>
  <si>
    <t xml:space="preserve">CLP -  BO DAN NON BO </t>
  </si>
  <si>
    <t>DY 529491</t>
  </si>
  <si>
    <t>DY528297</t>
  </si>
  <si>
    <t>WNGR - BO DAN NON BO</t>
  </si>
  <si>
    <t>DY 529490</t>
  </si>
  <si>
    <t>DY528296</t>
  </si>
  <si>
    <t>YOGYA - BO DAN NON BO</t>
  </si>
  <si>
    <t>DY 529489</t>
  </si>
  <si>
    <t>DY528295</t>
  </si>
  <si>
    <t>GM, RSM - INSENTIF FOYU</t>
  </si>
  <si>
    <t>DY 529488</t>
  </si>
  <si>
    <t>DY528294</t>
  </si>
  <si>
    <t>PATI - BO DAN BO</t>
  </si>
  <si>
    <t>DY 529487</t>
  </si>
  <si>
    <t>DY528293</t>
  </si>
  <si>
    <t>SLTG - BO DAN BO</t>
  </si>
  <si>
    <t>DY 529486</t>
  </si>
  <si>
    <t>DY528292</t>
  </si>
  <si>
    <t xml:space="preserve">TEGAL - BO DAN NON BO </t>
  </si>
  <si>
    <t>DY 529485</t>
  </si>
  <si>
    <t>DY528291</t>
  </si>
  <si>
    <t xml:space="preserve">PKL - BO DAN NON BO </t>
  </si>
  <si>
    <t>DY 529484</t>
  </si>
  <si>
    <t>DIFI FBI - BAYAR HUTANG</t>
  </si>
  <si>
    <t>DY528290</t>
  </si>
  <si>
    <t>BLORA - BO DAN NON BO</t>
  </si>
  <si>
    <t>DY 529483</t>
  </si>
  <si>
    <t>DY528289</t>
  </si>
  <si>
    <t>SMG - BO DAN NON BO</t>
  </si>
  <si>
    <t>DY 529482</t>
  </si>
  <si>
    <t>DY528288</t>
  </si>
  <si>
    <t xml:space="preserve">ARIF NUR </t>
  </si>
  <si>
    <t>DY 529481</t>
  </si>
  <si>
    <t>DY528287</t>
  </si>
  <si>
    <t>DY 529480</t>
  </si>
  <si>
    <t>DY528286</t>
  </si>
  <si>
    <t>SMG - NON BO</t>
  </si>
  <si>
    <t>DY 529479</t>
  </si>
  <si>
    <t>DY528285</t>
  </si>
  <si>
    <t>DY 529478</t>
  </si>
  <si>
    <t>DIFI PIC-BAYAR HUTANG</t>
  </si>
  <si>
    <t>DY528284</t>
  </si>
  <si>
    <t>MGL - NON BO</t>
  </si>
  <si>
    <t>DY 529477</t>
  </si>
  <si>
    <t>DIFI GFI- BAYAR HUTANG</t>
  </si>
  <si>
    <t>DY528283</t>
  </si>
  <si>
    <t>JAMSOSTEK BULAN OKT 19</t>
  </si>
  <si>
    <t>DY 529476</t>
  </si>
  <si>
    <t>DY528282</t>
  </si>
  <si>
    <t>GAJI MOTORIS YUPI</t>
  </si>
  <si>
    <t>DY 528875</t>
  </si>
  <si>
    <t>DY528281</t>
  </si>
  <si>
    <t>DY 528874</t>
  </si>
  <si>
    <t>DY528280</t>
  </si>
  <si>
    <t>PENGGANTIAN BO, NON BO WNGR</t>
  </si>
  <si>
    <t>DY 528873</t>
  </si>
  <si>
    <t>DY528279</t>
  </si>
  <si>
    <t>PENGGANTIAN BO, NON BO MGL</t>
  </si>
  <si>
    <t>DY 528872</t>
  </si>
  <si>
    <t>DY528278</t>
  </si>
  <si>
    <t>PENGGANTIAN BO NON BO, KBM</t>
  </si>
  <si>
    <t>DY 528871</t>
  </si>
  <si>
    <t>DY528277</t>
  </si>
  <si>
    <t>PENGGANTIAN BO, NON BO CLP</t>
  </si>
  <si>
    <t>DY 528870</t>
  </si>
  <si>
    <t>DY528276</t>
  </si>
  <si>
    <t>PENGGANTIAN BO, NON BO YOGYA</t>
  </si>
  <si>
    <t>DY 528869</t>
  </si>
  <si>
    <t>DY528325</t>
  </si>
  <si>
    <t>PENGGANTIAN BO, NON BO PWT</t>
  </si>
  <si>
    <t>DY 528868</t>
  </si>
  <si>
    <t>DY528324</t>
  </si>
  <si>
    <t>PENGGANTIAN BO, NON BO SOLO</t>
  </si>
  <si>
    <t>DY 528867</t>
  </si>
  <si>
    <t>DIFI PIC REG-BAYAR HUTANG BUNGA AGST-SEPT 19</t>
  </si>
  <si>
    <t>DY528323</t>
  </si>
  <si>
    <t>PENGGANTIAN NON BO PWT</t>
  </si>
  <si>
    <t>DY 528866</t>
  </si>
  <si>
    <t>DIFI NLS-BAYAR HUTANG BUNGA SEPT 19</t>
  </si>
  <si>
    <t>DY528322</t>
  </si>
  <si>
    <t>PENGGANTIAN BO, NON BO SMG</t>
  </si>
  <si>
    <t>DY 528865</t>
  </si>
  <si>
    <t>DIFI GFI SEASONAL-BAYAR HUTANG BUNGA SEPT 19</t>
  </si>
  <si>
    <t>DY528321</t>
  </si>
  <si>
    <t>PENGGANTIAN BO, NON BO PATI</t>
  </si>
  <si>
    <t>DY 528864</t>
  </si>
  <si>
    <t>DY528320</t>
  </si>
  <si>
    <t>PENGGANTIAN BO,NON BO TEGAL</t>
  </si>
  <si>
    <t>DY 528863</t>
  </si>
  <si>
    <t>DY528319</t>
  </si>
  <si>
    <t xml:space="preserve">PENGGANTIAN BO, NON BO SLTG </t>
  </si>
  <si>
    <t>DY 528862</t>
  </si>
  <si>
    <t>DY528318</t>
  </si>
  <si>
    <t>PENGGANTIAN BO BLORA</t>
  </si>
  <si>
    <t>DY 528861</t>
  </si>
  <si>
    <t>DY528317</t>
  </si>
  <si>
    <t>BLORA - GAJI KANVAS</t>
  </si>
  <si>
    <t>DY 528860</t>
  </si>
  <si>
    <t>DY528316</t>
  </si>
  <si>
    <t>DY 528859</t>
  </si>
  <si>
    <t>DY528315</t>
  </si>
  <si>
    <t>DY 528858</t>
  </si>
  <si>
    <t>DY528314</t>
  </si>
  <si>
    <t>ATK</t>
  </si>
  <si>
    <t>DY 528857</t>
  </si>
  <si>
    <t>DY528313</t>
  </si>
  <si>
    <t>PENGGANTIAN NON BO WONOGIRI</t>
  </si>
  <si>
    <t>DY 528856</t>
  </si>
  <si>
    <t>DY528312</t>
  </si>
  <si>
    <t>JNT OKT 19</t>
  </si>
  <si>
    <t>DY 528855</t>
  </si>
  <si>
    <t>DY528311</t>
  </si>
  <si>
    <t>VPS SERVER  - FAUZI</t>
  </si>
  <si>
    <t>DY 528854</t>
  </si>
  <si>
    <t>DY528310</t>
  </si>
  <si>
    <t>DY 528853</t>
  </si>
  <si>
    <t>DY528309</t>
  </si>
  <si>
    <t>PENGGANTIAN BO SEMARANG</t>
  </si>
  <si>
    <t>DY 528852</t>
  </si>
  <si>
    <t>DIFI NLS - BAYAR HUTANG</t>
  </si>
  <si>
    <t>DY528308</t>
  </si>
  <si>
    <t>PENGGANTIAN BO PEKALONGAN</t>
  </si>
  <si>
    <t>DY 528851</t>
  </si>
  <si>
    <t>DY528307</t>
  </si>
  <si>
    <t>PENGGANTIAN BO SOLO</t>
  </si>
  <si>
    <t>DY 528500</t>
  </si>
  <si>
    <t>DY528306</t>
  </si>
  <si>
    <t>PENGGANTIAN BO MGL</t>
  </si>
  <si>
    <t>DY 528499</t>
  </si>
  <si>
    <t>DY528305</t>
  </si>
  <si>
    <t>PENGGANTIAN BO TEGAL</t>
  </si>
  <si>
    <t>DY 528498</t>
  </si>
  <si>
    <t>DY528304</t>
  </si>
  <si>
    <t xml:space="preserve">PENGGANTIAN BO PWT </t>
  </si>
  <si>
    <t>DY 528497</t>
  </si>
  <si>
    <t>DY528303</t>
  </si>
  <si>
    <t>PENGGANTIAN BO JOGJA</t>
  </si>
  <si>
    <t>DY 528496</t>
  </si>
  <si>
    <t>DIFI PIC - BAYAR HUTANG</t>
  </si>
  <si>
    <t>DY528302</t>
  </si>
  <si>
    <t>DY 528495</t>
  </si>
  <si>
    <t>DY528301</t>
  </si>
  <si>
    <t>PENGGANTIAN BO KEBUMEN</t>
  </si>
  <si>
    <t>DY 528494</t>
  </si>
  <si>
    <t>DY527900</t>
  </si>
  <si>
    <t>GAJI PATI</t>
  </si>
  <si>
    <t>DY 528493</t>
  </si>
  <si>
    <t>DY527899</t>
  </si>
  <si>
    <t>SOLO HO BEST DEPO</t>
  </si>
  <si>
    <t>DY 528492</t>
  </si>
  <si>
    <t>DY527898</t>
  </si>
  <si>
    <t>DY 528491</t>
  </si>
  <si>
    <t>DY527897</t>
  </si>
  <si>
    <t>DY 528490</t>
  </si>
  <si>
    <t>DY527896</t>
  </si>
  <si>
    <t>DY 528489</t>
  </si>
  <si>
    <t>DY527895</t>
  </si>
  <si>
    <t>DY 528488</t>
  </si>
  <si>
    <t>DY527894</t>
  </si>
  <si>
    <t>PENGGANTIAN BO WNGR</t>
  </si>
  <si>
    <t>DY 528487</t>
  </si>
  <si>
    <t>DY527893</t>
  </si>
  <si>
    <t>PENGGANTIAN BO KBM</t>
  </si>
  <si>
    <t>DY 528486</t>
  </si>
  <si>
    <t>DY527892</t>
  </si>
  <si>
    <t>PENGGANTIAN BO CLP</t>
  </si>
  <si>
    <t>DY 528485</t>
  </si>
  <si>
    <t>DY527891</t>
  </si>
  <si>
    <t>PENGGANTIAN BO PKL</t>
  </si>
  <si>
    <t>DY 528484</t>
  </si>
  <si>
    <t>METRIX - SEWA GEDUNG DAN KENDARAAN SEPT 19</t>
  </si>
  <si>
    <t>DY527890</t>
  </si>
  <si>
    <t>DY 528483</t>
  </si>
  <si>
    <t>BCA - BG MI DAN DBW</t>
  </si>
  <si>
    <t>DY527889</t>
  </si>
  <si>
    <t>PENGGANTIAN BO PATI</t>
  </si>
  <si>
    <t>DY 528482</t>
  </si>
  <si>
    <t>DY527888</t>
  </si>
  <si>
    <t>DY 528481</t>
  </si>
  <si>
    <t>DY527887</t>
  </si>
  <si>
    <t>PENGGANTIAN BO SALATIGA</t>
  </si>
  <si>
    <t>DY 528480</t>
  </si>
  <si>
    <t>DY527886</t>
  </si>
  <si>
    <t>DY 528479</t>
  </si>
  <si>
    <t>DY527885</t>
  </si>
  <si>
    <t>AMOTT &amp; FBI</t>
  </si>
  <si>
    <t>DY 528478</t>
  </si>
  <si>
    <t>DY527884</t>
  </si>
  <si>
    <t>DY 528477</t>
  </si>
  <si>
    <t>DY527883</t>
  </si>
  <si>
    <t>PURWOKWERTO SEKAT RUANGAN</t>
  </si>
  <si>
    <t>DY 528476</t>
  </si>
  <si>
    <t>DY527882</t>
  </si>
  <si>
    <t>PENGGANTIAN BO DAN NON BO PATI</t>
  </si>
  <si>
    <t>DY 528275</t>
  </si>
  <si>
    <t>DIFI GFI -BAYAR HUTANG</t>
  </si>
  <si>
    <t>DY527881</t>
  </si>
  <si>
    <t>PENGGANTIAN BO DAN NON BO TGL</t>
  </si>
  <si>
    <t>DY 528274</t>
  </si>
  <si>
    <t>DIFI MIN - BAYAR HUTANG</t>
  </si>
  <si>
    <t>DY527880</t>
  </si>
  <si>
    <t>PENGGANTIAN BO DAN NON BO PKL</t>
  </si>
  <si>
    <t>DY 528273</t>
  </si>
  <si>
    <t>DY527879</t>
  </si>
  <si>
    <t>INCENTUIVE YUPI TOPLES RSM PANTURA</t>
  </si>
  <si>
    <t>DY 528272</t>
  </si>
  <si>
    <t>DY527878</t>
  </si>
  <si>
    <t>INCENTIVE YUPI TOPLES TAUFIK R</t>
  </si>
  <si>
    <t>DY 528271</t>
  </si>
  <si>
    <t>MBR LOG - BAYAR HUTANG</t>
  </si>
  <si>
    <t>DY527877</t>
  </si>
  <si>
    <t>DY 528270</t>
  </si>
  <si>
    <t>DY527876</t>
  </si>
  <si>
    <t>DY 528269</t>
  </si>
  <si>
    <t>DY527800</t>
  </si>
  <si>
    <t>PENGGANTIAN BO, NON BO KBM</t>
  </si>
  <si>
    <t>DY 528268</t>
  </si>
  <si>
    <t>DY527799</t>
  </si>
  <si>
    <t>DY 528267</t>
  </si>
  <si>
    <t>DIFI GFI - BAYAR HUTANG</t>
  </si>
  <si>
    <t>DY527798</t>
  </si>
  <si>
    <t>DY 528266</t>
  </si>
  <si>
    <t>LEASING KENDARAAN - SRIKANDI</t>
  </si>
  <si>
    <t>DY527797</t>
  </si>
  <si>
    <t>DY 528265</t>
  </si>
  <si>
    <t>BCA - BG EIT</t>
  </si>
  <si>
    <t>DY527796</t>
  </si>
  <si>
    <t>PENGGANTIAN NON BO SOLO</t>
  </si>
  <si>
    <t>DY 528264</t>
  </si>
  <si>
    <t>DY527795</t>
  </si>
  <si>
    <t>PT.JEMBATAN CITRA NUSANTARA-BIAYA INTERNET BLN OKT 19</t>
  </si>
  <si>
    <t>DY 528263</t>
  </si>
  <si>
    <t>DY527794</t>
  </si>
  <si>
    <t>DY 528262</t>
  </si>
  <si>
    <t>DY527793</t>
  </si>
  <si>
    <t>DY 528261</t>
  </si>
  <si>
    <t>DY527792</t>
  </si>
  <si>
    <t>DY 528260</t>
  </si>
  <si>
    <t>DY527791</t>
  </si>
  <si>
    <t>PENGGANTIAN BO INCENTIVE MNP AGST, BLORA</t>
  </si>
  <si>
    <t>DY 528259</t>
  </si>
  <si>
    <t>DY527790</t>
  </si>
  <si>
    <t>DY 528258</t>
  </si>
  <si>
    <t>DY527789</t>
  </si>
  <si>
    <t>PENGGANTIAN BO SMG</t>
  </si>
  <si>
    <t>DY 528257</t>
  </si>
  <si>
    <t>DY527788</t>
  </si>
  <si>
    <t xml:space="preserve">PENGGANTIAN BO, INCENTIVE, </t>
  </si>
  <si>
    <t>DY 528256</t>
  </si>
  <si>
    <t>SPS - BAYAR HUTANG</t>
  </si>
  <si>
    <t>DY527787</t>
  </si>
  <si>
    <t>DY 528255</t>
  </si>
  <si>
    <t>DY527786</t>
  </si>
  <si>
    <t>DY528254</t>
  </si>
  <si>
    <t>DY527785</t>
  </si>
  <si>
    <t>DY 528254</t>
  </si>
  <si>
    <t>LEASING KENDARAAN-MITSUBISHI FE 73</t>
  </si>
  <si>
    <t>DY527784</t>
  </si>
  <si>
    <t>MGL - UANG PECAH</t>
  </si>
  <si>
    <t>DY 528253</t>
  </si>
  <si>
    <t>DY527783</t>
  </si>
  <si>
    <t>PKL - INCENTIVE FBI &amp; KIMBO</t>
  </si>
  <si>
    <t>DY 528252</t>
  </si>
  <si>
    <t>DP LEASING KENDARAAN</t>
  </si>
  <si>
    <t>DY527782</t>
  </si>
  <si>
    <t>PATI-INCENTIVE FBI &amp; KIMBO</t>
  </si>
  <si>
    <t>DY 528251</t>
  </si>
  <si>
    <t>DY527781</t>
  </si>
  <si>
    <t>MAGELANG-UANG PISAH KARYAWAN</t>
  </si>
  <si>
    <t>DY528253</t>
  </si>
  <si>
    <t>DY527780</t>
  </si>
  <si>
    <t>PEKALONGAN-INCENTIVE KIMBO DAN FBI JULI 19</t>
  </si>
  <si>
    <t>DY528252</t>
  </si>
  <si>
    <t>DY527779</t>
  </si>
  <si>
    <t>PATI-INCENTIVE KIMBO DAN FBI JULI 19</t>
  </si>
  <si>
    <t>DY528251</t>
  </si>
  <si>
    <t>DY527778</t>
  </si>
  <si>
    <t>SEMARANG-INCENTIVE KIMBO DAN FBI JULI 19</t>
  </si>
  <si>
    <t>DY528250</t>
  </si>
  <si>
    <t>DY527777</t>
  </si>
  <si>
    <t>DY528249</t>
  </si>
  <si>
    <t>DY527776</t>
  </si>
  <si>
    <t>TEGAL-INCENTIVE KIMBO DAN FBI JULI 19</t>
  </si>
  <si>
    <t>DY528248</t>
  </si>
  <si>
    <t>DY061900</t>
  </si>
  <si>
    <t>BLORA-INCENTIVE KIMBO DAN FBI JULI 19</t>
  </si>
  <si>
    <t>DY528247</t>
  </si>
  <si>
    <t>DY061899</t>
  </si>
  <si>
    <t>SOLO-PENGGANTIAN BO,INCENTIVE KIMBO DAN FBI JULI 19</t>
  </si>
  <si>
    <t>DY528246</t>
  </si>
  <si>
    <t>DY061898</t>
  </si>
  <si>
    <t>MAGELANG-PENGGANTIAN BO,INCENTIVE KIMBO DAN FBI JULI 19</t>
  </si>
  <si>
    <t>DY528245</t>
  </si>
  <si>
    <t>DY061897</t>
  </si>
  <si>
    <t>PURWOKERTO-PENGGANTIAN BO,INCENTIVE KIMBO DAN FBI JULI 19</t>
  </si>
  <si>
    <t>DY528244</t>
  </si>
  <si>
    <t>DY061896</t>
  </si>
  <si>
    <t>YOGYA-PENGGANTIAN BO,INCENTIVE KIMBO DAN FBI JULI 19</t>
  </si>
  <si>
    <t>DY528243</t>
  </si>
  <si>
    <t>DY061895</t>
  </si>
  <si>
    <t>CILACAP-PENGGANTIAN BO,INCENTIVE KIMBO DAN FBI JULI 19</t>
  </si>
  <si>
    <t>DY528242</t>
  </si>
  <si>
    <t>DY061894</t>
  </si>
  <si>
    <t>WONOGIRI-PENGGANTIAN BO</t>
  </si>
  <si>
    <t>DY528241</t>
  </si>
  <si>
    <t>DY061893</t>
  </si>
  <si>
    <t>DY528240</t>
  </si>
  <si>
    <t>DY061892</t>
  </si>
  <si>
    <t>PATI-PENGGANTIAN BO</t>
  </si>
  <si>
    <t>DY528239</t>
  </si>
  <si>
    <t>PINDAH DANA NIAGA COLL</t>
  </si>
  <si>
    <t>DY061891</t>
  </si>
  <si>
    <t>TRAC A CAR</t>
  </si>
  <si>
    <t>DY528238</t>
  </si>
  <si>
    <t>DY061890</t>
  </si>
  <si>
    <t>INDO JAYA PAPER</t>
  </si>
  <si>
    <t>DY528237</t>
  </si>
  <si>
    <t>HSBC-BANK GARANSI</t>
  </si>
  <si>
    <t>DY061889</t>
  </si>
  <si>
    <t>DY528236</t>
  </si>
  <si>
    <t>DY061888</t>
  </si>
  <si>
    <t>DY528235</t>
  </si>
  <si>
    <t>DY061887</t>
  </si>
  <si>
    <t>TEGAL-PENGGANTIAN BO</t>
  </si>
  <si>
    <t>DY528234</t>
  </si>
  <si>
    <t>DY061886</t>
  </si>
  <si>
    <t>PEKALONGAN-PENGGANTIAN BO</t>
  </si>
  <si>
    <t>DY528233</t>
  </si>
  <si>
    <t>DY061885</t>
  </si>
  <si>
    <t>DY528232</t>
  </si>
  <si>
    <t>DY061884</t>
  </si>
  <si>
    <t>SALATIGA-PENGGANTIAN BO</t>
  </si>
  <si>
    <t>DY528231</t>
  </si>
  <si>
    <t>DY061883</t>
  </si>
  <si>
    <t>BLORA-PENGGANTIAN BO</t>
  </si>
  <si>
    <t>DY528230</t>
  </si>
  <si>
    <t>DY061882</t>
  </si>
  <si>
    <t>DY528229</t>
  </si>
  <si>
    <t>DY061881</t>
  </si>
  <si>
    <t>DY528228</t>
  </si>
  <si>
    <t>DY061880</t>
  </si>
  <si>
    <t>DY528227</t>
  </si>
  <si>
    <t>DY061879</t>
  </si>
  <si>
    <t>BLORA-BIAYA PENAMBAHAN PLAFON KAS KECIL</t>
  </si>
  <si>
    <t>DY528226</t>
  </si>
  <si>
    <t>DY061878</t>
  </si>
  <si>
    <t>DY527875</t>
  </si>
  <si>
    <t>DY061877</t>
  </si>
  <si>
    <t>SEMARANG-GAJI MOTORIS EVER,GAJI GOON SEPT 19</t>
  </si>
  <si>
    <t>DY527874</t>
  </si>
  <si>
    <t>DY061876</t>
  </si>
  <si>
    <t>DY527873</t>
  </si>
  <si>
    <t>DY061150</t>
  </si>
  <si>
    <t>TEGAL-PENGAJUAN LMM FBI OKT 19</t>
  </si>
  <si>
    <t>DY527872</t>
  </si>
  <si>
    <t>DY061149</t>
  </si>
  <si>
    <t>MAGELANG-INCENTIVE YUPI JULI DAN AGUSTUS 19</t>
  </si>
  <si>
    <t>DY527871</t>
  </si>
  <si>
    <t>DY061148</t>
  </si>
  <si>
    <t>SOLO-GAJI HONORER</t>
  </si>
  <si>
    <t>DY527870</t>
  </si>
  <si>
    <t>DY061147</t>
  </si>
  <si>
    <t>SEMARANG-INCENTIVE YUPI JULI DAN AGUSTUS 19</t>
  </si>
  <si>
    <t>DY527869</t>
  </si>
  <si>
    <t>DY061146</t>
  </si>
  <si>
    <t>SALATIGA-INCENTIVE YUPI JULI DAN AGUSTUS 19</t>
  </si>
  <si>
    <t>DY527868</t>
  </si>
  <si>
    <t>DY061145</t>
  </si>
  <si>
    <t>PATI-INCENTIVE YUPI JULI DAN AGUSTUS 19</t>
  </si>
  <si>
    <t>DY527867</t>
  </si>
  <si>
    <t>DY061144</t>
  </si>
  <si>
    <t>BLORA- INCENTIVE YUPI JULI DAN AGUSTUS 19</t>
  </si>
  <si>
    <t>DY527866</t>
  </si>
  <si>
    <t>DY061143</t>
  </si>
  <si>
    <t>TEGAL-INCENTIVE YUPI JULI DAN AGUSTUS 19</t>
  </si>
  <si>
    <t>DY527865</t>
  </si>
  <si>
    <t>DY061142</t>
  </si>
  <si>
    <t>PEKALONGAN-INCENTIVE YUPI JULI DAN AGUSTUS 19</t>
  </si>
  <si>
    <t>DY527864</t>
  </si>
  <si>
    <t>DY061141</t>
  </si>
  <si>
    <t>YOGYA- INCENTIVE YUPI JULI DAN AGUSTUS 19</t>
  </si>
  <si>
    <t>DY527863</t>
  </si>
  <si>
    <t>METRIX - SEWA GEDUNG &amp; KENDARAAN SEPT 2019</t>
  </si>
  <si>
    <t>DY061140</t>
  </si>
  <si>
    <t>PURWOKERTO-INCENTIVE YUPI JULI DAN AGUSTUS 19</t>
  </si>
  <si>
    <t>DY527862</t>
  </si>
  <si>
    <t>DY061139</t>
  </si>
  <si>
    <t>KEBUMEN- INCENTIVE YUPI JULI DAN AGUSTUS 19</t>
  </si>
  <si>
    <t>DY527861</t>
  </si>
  <si>
    <t>DY061138</t>
  </si>
  <si>
    <t>CILACAP-INCENTIVE YUPI JULI DAN AGUSTUS 19</t>
  </si>
  <si>
    <t>DY527860</t>
  </si>
  <si>
    <t>DY061137</t>
  </si>
  <si>
    <t>WONOGIRI-INCENTIVE JULI DAN AGUSTUS 19</t>
  </si>
  <si>
    <t>DY527859</t>
  </si>
  <si>
    <t>DY061136</t>
  </si>
  <si>
    <t>SOLO-INCENTIVE YUPI JULI</t>
  </si>
  <si>
    <t>DY527858</t>
  </si>
  <si>
    <t>DY061135</t>
  </si>
  <si>
    <t>PINJAMAN KARYAWAN</t>
  </si>
  <si>
    <t>DY527857</t>
  </si>
  <si>
    <t>DY061134</t>
  </si>
  <si>
    <t>IT-SUPPLY CALLBACK</t>
  </si>
  <si>
    <t>DY527856</t>
  </si>
  <si>
    <t>DY061133</t>
  </si>
  <si>
    <t>IT-UPS KASIR</t>
  </si>
  <si>
    <t>DY527855</t>
  </si>
  <si>
    <t>DY061132</t>
  </si>
  <si>
    <t>ARIF NUR MAULIARDI - BIAYA STICKER DEPO</t>
  </si>
  <si>
    <t>DY527854</t>
  </si>
  <si>
    <t>BCA-HUTANG METRIX</t>
  </si>
  <si>
    <t>DY061131</t>
  </si>
  <si>
    <t>USAHA DIGDAYA MUNCUL</t>
  </si>
  <si>
    <t>DY527853</t>
  </si>
  <si>
    <t>DY061130</t>
  </si>
  <si>
    <t>SOLO-PENGGANTIAN BO,INCENTIVE YUPI,PROGRAM ARNOTT</t>
  </si>
  <si>
    <t>DY527852</t>
  </si>
  <si>
    <t>DY061129</t>
  </si>
  <si>
    <t>WONOGIRI-PENGGANTIAN BO,DANA SEKAT GUDANG BS</t>
  </si>
  <si>
    <t>DY527851</t>
  </si>
  <si>
    <t>DY061128</t>
  </si>
  <si>
    <t>CILACAP-INCENTIVE BR YUPI TOPLES</t>
  </si>
  <si>
    <t>DY527825</t>
  </si>
  <si>
    <t>DY061127</t>
  </si>
  <si>
    <t xml:space="preserve">KEBUMEN-INCENTIVE BR YUPI TOPLES </t>
  </si>
  <si>
    <t>DY527824</t>
  </si>
  <si>
    <t>DY061126</t>
  </si>
  <si>
    <t>PURWOKERTO-INCENTIVE BR YUPI TOPLES</t>
  </si>
  <si>
    <t>DY527823</t>
  </si>
  <si>
    <t>BIAYA NOTARIS GUDANG TAMBAK AJI</t>
  </si>
  <si>
    <t>DY061125</t>
  </si>
  <si>
    <t>BLORA-BIAYA SEWA MUARA BERKAT</t>
  </si>
  <si>
    <t>DY527822</t>
  </si>
  <si>
    <t>DY061124</t>
  </si>
  <si>
    <t>SALATIGA-GAJI KANVAS JPA</t>
  </si>
  <si>
    <t>DY527821</t>
  </si>
  <si>
    <t>DY061123</t>
  </si>
  <si>
    <t>PATI-BIAYA PENGIRIMAN KIMBO</t>
  </si>
  <si>
    <t>DY527820</t>
  </si>
  <si>
    <t>DY061122</t>
  </si>
  <si>
    <t>YOGYA-PENGGANTIAN BO.INCENTIVE BR YUPI TOPLES</t>
  </si>
  <si>
    <t>DY527819</t>
  </si>
  <si>
    <t>DY061121</t>
  </si>
  <si>
    <t>BIAYA EXPEDISI</t>
  </si>
  <si>
    <t>DY527818</t>
  </si>
  <si>
    <t>DY061120</t>
  </si>
  <si>
    <t>DY527817</t>
  </si>
  <si>
    <t>METRIX - SEWA GEDUNG &amp; KENDARAAN SEPT 2019(TOLAKAN)</t>
  </si>
  <si>
    <t>DY061119</t>
  </si>
  <si>
    <t>DY527816</t>
  </si>
  <si>
    <t>DY061118</t>
  </si>
  <si>
    <t>DY527815</t>
  </si>
  <si>
    <t>DY061117</t>
  </si>
  <si>
    <t>TEGAL-INCENTIVE DROPPING WEEK 1 DAN 2 SEPT 2019,BO</t>
  </si>
  <si>
    <t>DY527814</t>
  </si>
  <si>
    <t>DY061116</t>
  </si>
  <si>
    <t>DY527813</t>
  </si>
  <si>
    <t>EIT- BAYAR HUTANG</t>
  </si>
  <si>
    <t>DY061115</t>
  </si>
  <si>
    <t>ARIF NUR MAULIARDI - BIAYA CETAKAN</t>
  </si>
  <si>
    <t>DY527812</t>
  </si>
  <si>
    <t>DY061114</t>
  </si>
  <si>
    <t>YOGYA-POTONGAN KARYAWAN SEPT 19</t>
  </si>
  <si>
    <t>DY527811</t>
  </si>
  <si>
    <t>DY061113</t>
  </si>
  <si>
    <t>TEGAL-POTONGAN KARYAWAN SEPT 19</t>
  </si>
  <si>
    <t>DY527810</t>
  </si>
  <si>
    <t>DY061112</t>
  </si>
  <si>
    <t>MAGELANG-GAJI KARYAWAN TUNAI</t>
  </si>
  <si>
    <t>DY527809</t>
  </si>
  <si>
    <t>DY061111</t>
  </si>
  <si>
    <t>JAMSOSTEK BULAN SEPT 19</t>
  </si>
  <si>
    <t>DY527808</t>
  </si>
  <si>
    <t>DY061110</t>
  </si>
  <si>
    <t>PEKALONGAN-POTONGAN KARYAWAN SEPT 19</t>
  </si>
  <si>
    <t>DY527807</t>
  </si>
  <si>
    <t>DY061109</t>
  </si>
  <si>
    <t>RONNY HINDARTA - CONTINOUS FORM</t>
  </si>
  <si>
    <t>DY527806</t>
  </si>
  <si>
    <t>DY061108</t>
  </si>
  <si>
    <t>DY527805</t>
  </si>
  <si>
    <t>DY061107</t>
  </si>
  <si>
    <t>BLORA-PENGAJUAN  BO</t>
  </si>
  <si>
    <t>DY527804</t>
  </si>
  <si>
    <t>DY061106</t>
  </si>
  <si>
    <t>PEKALONGAN-GAJI MOTORIS YUPI DAN INCENTIVE SEPT 19</t>
  </si>
  <si>
    <t>DY527803</t>
  </si>
  <si>
    <t>SARI ENESIS INDAH-REFUND DANA</t>
  </si>
  <si>
    <t>DY061105</t>
  </si>
  <si>
    <t>TEGAL-GAJI TL FOYU SEPT 19</t>
  </si>
  <si>
    <t>DY527802</t>
  </si>
  <si>
    <t>SAS INDO-BIAYA AUDIT</t>
  </si>
  <si>
    <t>DY061104</t>
  </si>
  <si>
    <t>PATI-GAJI YUPI SEPT 19,GOON SEPT 19,EVER SEPT 19</t>
  </si>
  <si>
    <t>DY527801</t>
  </si>
  <si>
    <t>DY061103</t>
  </si>
  <si>
    <t>DY061875</t>
  </si>
  <si>
    <t>DY061102</t>
  </si>
  <si>
    <t>SALATIGA-INCENTIVE REGULER JULI 19</t>
  </si>
  <si>
    <t>DY061874</t>
  </si>
  <si>
    <t>DY061101</t>
  </si>
  <si>
    <t>KEBUMEN-GAJI GOON,INCENTIF DROPPING SEPT 19</t>
  </si>
  <si>
    <t>DY061873</t>
  </si>
  <si>
    <t>DY060850</t>
  </si>
  <si>
    <t>MAGELANG-GAJI MOTORIS EVER,INCENTIF DROPPING SEPT 19</t>
  </si>
  <si>
    <t>DY061872</t>
  </si>
  <si>
    <t>DY060849</t>
  </si>
  <si>
    <t>PURWOKERTO-GAJI MOTORIS EVER,INCENTIF DROPPING SEPT 19</t>
  </si>
  <si>
    <t>DY061871</t>
  </si>
  <si>
    <t>DY060848</t>
  </si>
  <si>
    <t>DY061870</t>
  </si>
  <si>
    <t>DY060847</t>
  </si>
  <si>
    <t>SOLO-PENGGANTIAN BO</t>
  </si>
  <si>
    <t>DY061869</t>
  </si>
  <si>
    <t>DY060846</t>
  </si>
  <si>
    <t>DY061868</t>
  </si>
  <si>
    <t>DY060845</t>
  </si>
  <si>
    <t>YOGYA-PENGGANTIAN BO</t>
  </si>
  <si>
    <t>DY061867</t>
  </si>
  <si>
    <t>DY060844</t>
  </si>
  <si>
    <t>DY061866</t>
  </si>
  <si>
    <t>DY060843</t>
  </si>
  <si>
    <t>DY061865</t>
  </si>
  <si>
    <t>DY060842</t>
  </si>
  <si>
    <t>DY061864</t>
  </si>
  <si>
    <t>DY060841</t>
  </si>
  <si>
    <t>DY061863</t>
  </si>
  <si>
    <t>DY060840</t>
  </si>
  <si>
    <t>DY061862</t>
  </si>
  <si>
    <t>DY060839</t>
  </si>
  <si>
    <t>DY061861</t>
  </si>
  <si>
    <t>DY060838</t>
  </si>
  <si>
    <t>CV UTAMA SEJAHTERA - SEWA KENDARAAN</t>
  </si>
  <si>
    <t>DY061860</t>
  </si>
  <si>
    <t>DY060837</t>
  </si>
  <si>
    <t>BLORA-NSENTIF RDSI JULI 19,GAJI MNP SEPT 19</t>
  </si>
  <si>
    <t>DY061859</t>
  </si>
  <si>
    <t>DY060836</t>
  </si>
  <si>
    <t>TEGAL-GAJI MNP SEPT 19</t>
  </si>
  <si>
    <t>DY061858</t>
  </si>
  <si>
    <t>DY060835</t>
  </si>
  <si>
    <t>PEKALONGAN-GAJI MNP SEPT 19</t>
  </si>
  <si>
    <t>DY061857</t>
  </si>
  <si>
    <t>DY060834</t>
  </si>
  <si>
    <t>MAGELANG-INSENTIF RDSI JULI 19,GAJI MNP SEPT 19</t>
  </si>
  <si>
    <t>DY061856</t>
  </si>
  <si>
    <t>DY060833</t>
  </si>
  <si>
    <t>YOGYA-INSENTIF RDSI JULI 19,GAJI MNP SEPT 19</t>
  </si>
  <si>
    <t>DY061855</t>
  </si>
  <si>
    <t>DY060832</t>
  </si>
  <si>
    <t>PATI-INSENTIF RDSI JULI 19,GAJI MNP SEPT 19</t>
  </si>
  <si>
    <t>DY061854</t>
  </si>
  <si>
    <t>DY060831</t>
  </si>
  <si>
    <t>SEMARANG-INSENTIF RDSI JULI 19,GAJI MNP SEPT 19</t>
  </si>
  <si>
    <t>DY061853</t>
  </si>
  <si>
    <t>DY060830</t>
  </si>
  <si>
    <t>SALATIGA-INSENTIF RDSI JULI 19</t>
  </si>
  <si>
    <t>DY061852</t>
  </si>
  <si>
    <t>DY060829</t>
  </si>
  <si>
    <t>WONOGIRI-INSENTIF RDSI JULI 19</t>
  </si>
  <si>
    <t>DY061851</t>
  </si>
  <si>
    <t>DY060828</t>
  </si>
  <si>
    <t>SOLO-INSENTIF RDSI JULI 19,GAJI MNP SEPT 19</t>
  </si>
  <si>
    <t>DY061175</t>
  </si>
  <si>
    <t>DY060827</t>
  </si>
  <si>
    <t>KEBUMEN-INSENTIF RDSI JULI 19</t>
  </si>
  <si>
    <t>DY061174</t>
  </si>
  <si>
    <t>DY060826</t>
  </si>
  <si>
    <t>PURWOKERTO-INSENTIF RDSI JULI 19,GAJI MNP SEPT 19</t>
  </si>
  <si>
    <t>DY061173</t>
  </si>
  <si>
    <t>DY060825</t>
  </si>
  <si>
    <t>CILACAP-INSENTIF RDSI JULI 19</t>
  </si>
  <si>
    <t>DY061172</t>
  </si>
  <si>
    <t>DY060824</t>
  </si>
  <si>
    <t>DY061171</t>
  </si>
  <si>
    <t>DY060823</t>
  </si>
  <si>
    <t>INCENTIVE FOYU GM,RSM</t>
  </si>
  <si>
    <t>DY061170</t>
  </si>
  <si>
    <t>DY060822</t>
  </si>
  <si>
    <t>WONOGIRI-</t>
  </si>
  <si>
    <t>DY061169</t>
  </si>
  <si>
    <t>DY060821</t>
  </si>
  <si>
    <t>PATI-PROGRAM MTI FBI SEPT 19</t>
  </si>
  <si>
    <t>DY061168</t>
  </si>
  <si>
    <t>DY060820</t>
  </si>
  <si>
    <t>TEGAL-PENGGANTIAN BO,KIMBO OTAK OTAK APRIL,MEI 19</t>
  </si>
  <si>
    <t>DY061167</t>
  </si>
  <si>
    <t>DY060819</t>
  </si>
  <si>
    <t>SOLO-PENGGANTIAN BO,KIMBO OTAK OTAK APRIL,MEI 19</t>
  </si>
  <si>
    <t>DY061166</t>
  </si>
  <si>
    <t>DY060818</t>
  </si>
  <si>
    <t>PURWOKERTO-PENGGANTIAN BO,KIMBO OTAK OTAK APRIL,MEI 19</t>
  </si>
  <si>
    <t>DY061165</t>
  </si>
  <si>
    <t>DY060817</t>
  </si>
  <si>
    <t>DY061164</t>
  </si>
  <si>
    <t>DY060816</t>
  </si>
  <si>
    <t>WONOGIRI-PENGGANTIAN BO,KIMBO OTAK OTAK APRIL,MEI 19</t>
  </si>
  <si>
    <t>DY061163</t>
  </si>
  <si>
    <t>DY060815</t>
  </si>
  <si>
    <t>CILACAP-PENGGANTIAN BO,KIMBO OTAK OTAK APRIL,MEI 19</t>
  </si>
  <si>
    <t>DY061162</t>
  </si>
  <si>
    <t>DY060814</t>
  </si>
  <si>
    <t>YOGYAKARTA- PENGGANTIAN BO,KIMBO OTAK OTAK APRIL,MEI 19</t>
  </si>
  <si>
    <t>DY061161</t>
  </si>
  <si>
    <t>DY060813</t>
  </si>
  <si>
    <t>KEBUMEN-PENGGANTIAN BO,KIMBO OTAK OTAK APRIL,MEI 19</t>
  </si>
  <si>
    <t>DY061160</t>
  </si>
  <si>
    <t>DY060812</t>
  </si>
  <si>
    <t>MAGELANG-PENGGANTIAN BO,KIMBO OTAK OTAK APRIL,MEI 19</t>
  </si>
  <si>
    <t>DY061159</t>
  </si>
  <si>
    <t>DY060811</t>
  </si>
  <si>
    <t>SEMARANG-PENGGANTIAN BO,KIMBO OTAK OTAK APRIL,MEI 19</t>
  </si>
  <si>
    <t>DY061158</t>
  </si>
  <si>
    <t>DY060810</t>
  </si>
  <si>
    <t>PT.JEMBATAN CITRA NUSANTARA-BIAYA INTERNET BLN SEPT 19</t>
  </si>
  <si>
    <t>DY061157</t>
  </si>
  <si>
    <t>DY060809</t>
  </si>
  <si>
    <t>DY061156</t>
  </si>
  <si>
    <t>DY060808</t>
  </si>
  <si>
    <t>ABDA - ASURANSI</t>
  </si>
  <si>
    <t>DY061155</t>
  </si>
  <si>
    <t>DY060807</t>
  </si>
  <si>
    <t>ANDRY SYAUKANI-BIAYA SEWA RUMAH RSM PANTURA PER 20/9/19-20/9/21</t>
  </si>
  <si>
    <t>DY061154</t>
  </si>
  <si>
    <t>DY060806</t>
  </si>
  <si>
    <t>DY061153</t>
  </si>
  <si>
    <t>DY060805</t>
  </si>
  <si>
    <t>PEKALONGAN-PENGGANTIAN BO,KIMBO OTAK OTAK APRIL,MEI 19</t>
  </si>
  <si>
    <t>DY061152</t>
  </si>
  <si>
    <t>DY060804</t>
  </si>
  <si>
    <t>PATI-PENGGANTIAN BO,KIMBO OTAK OTAK APRIL,MEI 19</t>
  </si>
  <si>
    <t>DY061151</t>
  </si>
  <si>
    <t>DY060803</t>
  </si>
  <si>
    <t>BLORA- PENGGANTIAN BO,KIMBO OTAK OTAK APRIL,MEI 19</t>
  </si>
  <si>
    <t>DY060950</t>
  </si>
  <si>
    <t>DY060802</t>
  </si>
  <si>
    <t>TEGAL- PENGGANTIAN BO,KIMBO OTAK OTAK APRIL,MEI 19</t>
  </si>
  <si>
    <t>DY060949</t>
  </si>
  <si>
    <t>DY060801</t>
  </si>
  <si>
    <t>SALATIGA- PENGGANTIAN BO,KIMBO OTAK OTAK APRIL,MEI 19</t>
  </si>
  <si>
    <t>DY060948</t>
  </si>
  <si>
    <t>DIFI MIN - BUNGA DIFI</t>
  </si>
  <si>
    <t>DY060500</t>
  </si>
  <si>
    <t>SEMARANG-INCENTIVE FOYU,KIMBO OTAK OTAK APRIL,MEI 19</t>
  </si>
  <si>
    <t>DY060947</t>
  </si>
  <si>
    <t>DY060499</t>
  </si>
  <si>
    <t>TEGAL-DANA TAMBAHAN 10% PROGRAM FBI</t>
  </si>
  <si>
    <t>DY060946</t>
  </si>
  <si>
    <t>BCA - BANK GARANSI ITF</t>
  </si>
  <si>
    <t>DY060498</t>
  </si>
  <si>
    <t>PEKALONGAN-BIAYA NOTARIS GUDANG BARU</t>
  </si>
  <si>
    <t>DY060945</t>
  </si>
  <si>
    <t>DY060497</t>
  </si>
  <si>
    <t>PATI-BIAYA LAS BOX</t>
  </si>
  <si>
    <t>DY060944</t>
  </si>
  <si>
    <t>DY060496</t>
  </si>
  <si>
    <t>PURWOKERTO-BIAYA PALLET</t>
  </si>
  <si>
    <t>DY060943</t>
  </si>
  <si>
    <t>DY060495</t>
  </si>
  <si>
    <t>TEGAL-BIAYA PERPANJANG STNK</t>
  </si>
  <si>
    <t>DY060942</t>
  </si>
  <si>
    <t>DY060494</t>
  </si>
  <si>
    <t>DY060941</t>
  </si>
  <si>
    <t>DY060493</t>
  </si>
  <si>
    <t>PATI-PERPANJANGAN STNK</t>
  </si>
  <si>
    <t>DY060940</t>
  </si>
  <si>
    <t>BCA - HUTANG METRIX</t>
  </si>
  <si>
    <t>DY060492</t>
  </si>
  <si>
    <t>FERRY ARIANTO - BAYAR KIER</t>
  </si>
  <si>
    <t>DY060939</t>
  </si>
  <si>
    <t>HSBC - HUTANG METRIX</t>
  </si>
  <si>
    <t>DY060491</t>
  </si>
  <si>
    <t>CILACAP-BIAYA BS FBI DAN PENGGANTIAN BO</t>
  </si>
  <si>
    <t>DY060938</t>
  </si>
  <si>
    <t>DY060490</t>
  </si>
  <si>
    <t>DY060937</t>
  </si>
  <si>
    <t>DY060489</t>
  </si>
  <si>
    <t>DENNY SUWANDI-DP SEWA GUDANG BARU PURWOKERTO</t>
  </si>
  <si>
    <t>DY060936</t>
  </si>
  <si>
    <t>DY060488</t>
  </si>
  <si>
    <t>DY060935</t>
  </si>
  <si>
    <t>DY060487</t>
  </si>
  <si>
    <t>DY060934</t>
  </si>
  <si>
    <t>DY060486</t>
  </si>
  <si>
    <t>TEGAL-NON BO</t>
  </si>
  <si>
    <t>DY060933</t>
  </si>
  <si>
    <t>DY060485</t>
  </si>
  <si>
    <t>PEKALONGAN-DANA SEWA SOUND SYSTEM</t>
  </si>
  <si>
    <t>DY060932</t>
  </si>
  <si>
    <t>DY060484</t>
  </si>
  <si>
    <t>DY060931</t>
  </si>
  <si>
    <t>DY060483</t>
  </si>
  <si>
    <t>DY060930</t>
  </si>
  <si>
    <t>DY060482</t>
  </si>
  <si>
    <t>WONOGIRI-PENGGANTIAN BO DAN BIAYA PEMBELIAN ACCU</t>
  </si>
  <si>
    <t>DY060929</t>
  </si>
  <si>
    <t>DY060481</t>
  </si>
  <si>
    <t>MAGELANG-PENGGANTIAN BO DAN PROGRAM ARNOTT</t>
  </si>
  <si>
    <t>DY060928</t>
  </si>
  <si>
    <t>DY060480</t>
  </si>
  <si>
    <t>YOGYAKARTA-PENGGANTIAN BO</t>
  </si>
  <si>
    <t>DY060927</t>
  </si>
  <si>
    <t>DY060479</t>
  </si>
  <si>
    <t>PURWOKERTO-PENGGANTIAN BO</t>
  </si>
  <si>
    <t>DY060926</t>
  </si>
  <si>
    <t>DY060478</t>
  </si>
  <si>
    <t>DY060925</t>
  </si>
  <si>
    <t>DY060477</t>
  </si>
  <si>
    <t>PENSIUN A.N SUTARNO</t>
  </si>
  <si>
    <t>DY060924</t>
  </si>
  <si>
    <t>DY060476</t>
  </si>
  <si>
    <t>DY060923</t>
  </si>
  <si>
    <t>DY060050</t>
  </si>
  <si>
    <t>DY060922</t>
  </si>
  <si>
    <t>DY060049</t>
  </si>
  <si>
    <t>DY060921</t>
  </si>
  <si>
    <t>DY060048</t>
  </si>
  <si>
    <t>DY060920</t>
  </si>
  <si>
    <t>DY060047</t>
  </si>
  <si>
    <t>SALATIGA- PENGGANTIAN BO</t>
  </si>
  <si>
    <t>DY060919</t>
  </si>
  <si>
    <t>DY060046</t>
  </si>
  <si>
    <t>DY060918</t>
  </si>
  <si>
    <t>DY060045</t>
  </si>
  <si>
    <t>DY060917</t>
  </si>
  <si>
    <t>DY060044</t>
  </si>
  <si>
    <t>SALATIGA-INCENTIVE DROPPING &amp;GUDANG WEEK 1,2,3,4 JULI DAN REG MEI 19</t>
  </si>
  <si>
    <t>DY060916</t>
  </si>
  <si>
    <t>DY060043</t>
  </si>
  <si>
    <t>BAJOE MEGANANDA-TABUNG APAR</t>
  </si>
  <si>
    <t>DY060915</t>
  </si>
  <si>
    <t>PT. MATAHARI PUTRA PRIMA</t>
  </si>
  <si>
    <t>DY060042</t>
  </si>
  <si>
    <t>SEMARANG-INCENTIVE DROPPING WEEK 1-2 AGST 19</t>
  </si>
  <si>
    <t>DY060914</t>
  </si>
  <si>
    <t>DY060041</t>
  </si>
  <si>
    <t>SOLO-PROGRAM FBI DAN NON BO</t>
  </si>
  <si>
    <t>DY060913</t>
  </si>
  <si>
    <t>DY060040</t>
  </si>
  <si>
    <t>PURWOKERTO-INCENTIVE DROPPING WEEK 1-2 AGST 19</t>
  </si>
  <si>
    <t>DY060912</t>
  </si>
  <si>
    <t>DY060039</t>
  </si>
  <si>
    <t>DY060911</t>
  </si>
  <si>
    <t>DY060038</t>
  </si>
  <si>
    <t>PURWOKERTO-PENGGANTIAN BO DAN INCENTIVE FBI JUNI 2019</t>
  </si>
  <si>
    <t>DY060910</t>
  </si>
  <si>
    <t>DY060037</t>
  </si>
  <si>
    <t>BENGAWAN BARU-VULKANISIR BAN</t>
  </si>
  <si>
    <t>DY060909</t>
  </si>
  <si>
    <t>DY060036</t>
  </si>
  <si>
    <t>BLORA-INCENTIVE DROPPING JULI WEEK 1,2,3,4</t>
  </si>
  <si>
    <t>DY060908</t>
  </si>
  <si>
    <t>DY060035</t>
  </si>
  <si>
    <t>PEKALONGAN-INCENTIVE DROPPING WEEK 1 DAN 2 AGUSTUS 2019</t>
  </si>
  <si>
    <t>DY060907</t>
  </si>
  <si>
    <t>DY060034</t>
  </si>
  <si>
    <t>PATI-INCENTIVE DROPPING WEEK 1 DAN 2 AGUSTUS 2019</t>
  </si>
  <si>
    <t>DY060906</t>
  </si>
  <si>
    <t>DY060033</t>
  </si>
  <si>
    <t>TEGAL-INCENTIVE DROPPING WEEK 1 DAN 2 AGUSTUS 2019</t>
  </si>
  <si>
    <t>DY060905</t>
  </si>
  <si>
    <t>DY060032</t>
  </si>
  <si>
    <t>PATI-PENGGANTIAN BO DAN INCENTIVE FBI JUNI 2019</t>
  </si>
  <si>
    <t>DY060904</t>
  </si>
  <si>
    <t>DY060031</t>
  </si>
  <si>
    <t>PEKALONGAN-PENGGANTIAN BO DAN INCENTIVE FBI JUNI 2019</t>
  </si>
  <si>
    <t>DY060903</t>
  </si>
  <si>
    <t>DY060030</t>
  </si>
  <si>
    <t>TEGAL- PENGGANTIAN BO DAN INCENTIVE FBI JUNI 2019</t>
  </si>
  <si>
    <t>DY060902</t>
  </si>
  <si>
    <t>DY060029</t>
  </si>
  <si>
    <t>DY060901</t>
  </si>
  <si>
    <t>DY060028</t>
  </si>
  <si>
    <t>CILACAP-PENGGANTIAN BO DAN INCENTIVE FBI JUNI 2019</t>
  </si>
  <si>
    <t>DY060800</t>
  </si>
  <si>
    <t>DIFI GFI SEASONAL - BAYAR HUTANG BUNGA</t>
  </si>
  <si>
    <t>DY060027</t>
  </si>
  <si>
    <t>KEBUMEN-PENGGANTIAN BO DAN INCENTIVE FBI JUNI 2019</t>
  </si>
  <si>
    <t>DY060799</t>
  </si>
  <si>
    <t>DY060026</t>
  </si>
  <si>
    <t>DY060798</t>
  </si>
  <si>
    <t>BCA -  HUTANG BUNGA</t>
  </si>
  <si>
    <t>DY060025</t>
  </si>
  <si>
    <t>DY060797</t>
  </si>
  <si>
    <t>DY060024</t>
  </si>
  <si>
    <t>DY060796</t>
  </si>
  <si>
    <t>DY060023</t>
  </si>
  <si>
    <t>DY060795</t>
  </si>
  <si>
    <t>DY060022</t>
  </si>
  <si>
    <t>DY060794</t>
  </si>
  <si>
    <t>DY060021</t>
  </si>
  <si>
    <t>SOLO-PENGGANTIAN BO DAN INCENTIVE FBI JUNI 2019</t>
  </si>
  <si>
    <t>DY060793</t>
  </si>
  <si>
    <t>DY060020</t>
  </si>
  <si>
    <t>DY060792</t>
  </si>
  <si>
    <t>DY060019</t>
  </si>
  <si>
    <t>DY060791</t>
  </si>
  <si>
    <t>DY060018</t>
  </si>
  <si>
    <t>MAGELANG-PENGGANTIAN BO DAN INCENTIVE FOYU JULI 2019</t>
  </si>
  <si>
    <t>DY060790</t>
  </si>
  <si>
    <t>DY060017</t>
  </si>
  <si>
    <t>GM, RSM - INSENTIF FOYU JULI 2019</t>
  </si>
  <si>
    <t>DY060789</t>
  </si>
  <si>
    <t>DY060016</t>
  </si>
  <si>
    <t>PT.PILAR PRIMA NUSANTARA-EKSPEDISI JULI 2019</t>
  </si>
  <si>
    <t>DY060788</t>
  </si>
  <si>
    <t>DY060015</t>
  </si>
  <si>
    <t>PURWOKERTO-DANA TUKAR LABEL FOYU</t>
  </si>
  <si>
    <t>DY060787</t>
  </si>
  <si>
    <t>DY060014</t>
  </si>
  <si>
    <t>BUDI GUNARSO - VULKANISIR BAN</t>
  </si>
  <si>
    <t>DY060786</t>
  </si>
  <si>
    <t>DY060013</t>
  </si>
  <si>
    <t>SEMARANG-BIAYA PERPANJANGAN STNK RSM PANSEL</t>
  </si>
  <si>
    <t>DY060785</t>
  </si>
  <si>
    <t>DY060012</t>
  </si>
  <si>
    <t>CIPTA ABADI TRANS</t>
  </si>
  <si>
    <t>DY060784</t>
  </si>
  <si>
    <t>DY060011</t>
  </si>
  <si>
    <t>SOLO-PENGGANTIAN BO DAN INCENTIVE FOYU JULI 2019</t>
  </si>
  <si>
    <t>DY060783</t>
  </si>
  <si>
    <t>DY060010</t>
  </si>
  <si>
    <t>DY060782</t>
  </si>
  <si>
    <t>DY060009</t>
  </si>
  <si>
    <t>YOGYA-PENGGANTIAN BO DAN INCENTIVE FOYU JULI 2019</t>
  </si>
  <si>
    <t>DY060781</t>
  </si>
  <si>
    <t>DY060008</t>
  </si>
  <si>
    <t>PURWOKERTO-PENGGANTIAN BO DAN INCENTIVE FOYU JULI 2019</t>
  </si>
  <si>
    <t>DY060780</t>
  </si>
  <si>
    <t>DY060007</t>
  </si>
  <si>
    <t xml:space="preserve">WONOGIRI-PENGGANTIAN BO DEPO </t>
  </si>
  <si>
    <t>DY060779</t>
  </si>
  <si>
    <t>DY060006</t>
  </si>
  <si>
    <t>DY060778</t>
  </si>
  <si>
    <t>DY060005</t>
  </si>
  <si>
    <t>KEBUMEN-PENGGANTIAN BO DAN INCENTIVE FOYU JULI 2019</t>
  </si>
  <si>
    <t>DY060777</t>
  </si>
  <si>
    <t>BCA - BANK GARANSI FNP &amp; SSS</t>
  </si>
  <si>
    <t>DY060004</t>
  </si>
  <si>
    <t>DY060776</t>
  </si>
  <si>
    <t>DY060003</t>
  </si>
  <si>
    <t>DY060525</t>
  </si>
  <si>
    <t>DY060002</t>
  </si>
  <si>
    <t>PATI-GAJI MANUAL KARYAWAN RESIGN</t>
  </si>
  <si>
    <t>DY060524</t>
  </si>
  <si>
    <t>DY060001</t>
  </si>
  <si>
    <t>DY060523</t>
  </si>
  <si>
    <t>DY059700</t>
  </si>
  <si>
    <t>YOGYA-PENGGANTIAN BO DAN INCENTIVE FBI JUNI 2019</t>
  </si>
  <si>
    <t>DY060522</t>
  </si>
  <si>
    <t>DY059699</t>
  </si>
  <si>
    <t>PEKALONGAN-POTONGAN KARYAWAN DAN BIAYA PINDAH GUDANG AGUSTUS 19</t>
  </si>
  <si>
    <t>DY060521</t>
  </si>
  <si>
    <t>DY059698</t>
  </si>
  <si>
    <t>DY060520</t>
  </si>
  <si>
    <t>DY059697</t>
  </si>
  <si>
    <t>TEGAL - GAJI MANUAL AGUSTUS 2019</t>
  </si>
  <si>
    <t>DY060519</t>
  </si>
  <si>
    <t>DY059696</t>
  </si>
  <si>
    <t>BLORA-GAJI MANUAL AGUSTUS 2019</t>
  </si>
  <si>
    <t>DY060518</t>
  </si>
  <si>
    <t>DY059695</t>
  </si>
  <si>
    <t>SEMARANG-PROMO EVER</t>
  </si>
  <si>
    <t>DY060517</t>
  </si>
  <si>
    <t>DY059694</t>
  </si>
  <si>
    <t>BPJS TENAGA KERJA AGUSTUS 2019</t>
  </si>
  <si>
    <t>DY060516</t>
  </si>
  <si>
    <t>DY059693</t>
  </si>
  <si>
    <t>DY060515</t>
  </si>
  <si>
    <t>DY059692</t>
  </si>
  <si>
    <t>DY060514</t>
  </si>
  <si>
    <t>DY059691</t>
  </si>
  <si>
    <t>PENGGANTIAN BO DAN INCENTIVE FOYU JULI 2019</t>
  </si>
  <si>
    <t>DY060513</t>
  </si>
  <si>
    <t>DY059690</t>
  </si>
  <si>
    <t>DY060512</t>
  </si>
  <si>
    <t>DY059689</t>
  </si>
  <si>
    <t>PATI-PENGGANTIAN BO DAN INCENTIVE FOYU JULI 2019</t>
  </si>
  <si>
    <t>DY060511</t>
  </si>
  <si>
    <t>DY059688</t>
  </si>
  <si>
    <t>DY060510</t>
  </si>
  <si>
    <t>DY059687</t>
  </si>
  <si>
    <t>DY060509</t>
  </si>
  <si>
    <t>DY059686</t>
  </si>
  <si>
    <t>DY060508</t>
  </si>
  <si>
    <t>DY059685</t>
  </si>
  <si>
    <t>SEMARANG-PENGGANTIAN BO,INCENTIVE REGULER DAN FOYU JULI 2019</t>
  </si>
  <si>
    <t>DY060507</t>
  </si>
  <si>
    <t>DIFI PIC SEASONAL - BUNGA DIFI</t>
  </si>
  <si>
    <t>DY059684</t>
  </si>
  <si>
    <t>SOLO-PROGRAM FBI DAN INCENTIVE FOYU JULI 2019</t>
  </si>
  <si>
    <t>DY060506</t>
  </si>
  <si>
    <t>DY059683</t>
  </si>
  <si>
    <t>PURWOKERTO-PENGGANTIAN BO DEPO</t>
  </si>
  <si>
    <t>DY060505</t>
  </si>
  <si>
    <t xml:space="preserve">PT. SAS INDO - BAYAR ADM BANK </t>
  </si>
  <si>
    <t>DY059682</t>
  </si>
  <si>
    <t>DY060504</t>
  </si>
  <si>
    <t>DY059681</t>
  </si>
  <si>
    <t>RENTOKIL</t>
  </si>
  <si>
    <t>DY060503</t>
  </si>
  <si>
    <t>DY059680</t>
  </si>
  <si>
    <t>TOHARI-BIAYA SEWA GUDANG PEKALONGAN 3 THN</t>
  </si>
  <si>
    <t>DY060502</t>
  </si>
  <si>
    <t>DY059679</t>
  </si>
  <si>
    <t>DY060501</t>
  </si>
  <si>
    <t>DY059678</t>
  </si>
  <si>
    <t>PEKALONGAN - BIAYA PEMINDAHAN CCTV</t>
  </si>
  <si>
    <t>DY060075</t>
  </si>
  <si>
    <t>DY059677</t>
  </si>
  <si>
    <t>PATI - GAJI EIT , YUPI EVER AGUSTUS 2019</t>
  </si>
  <si>
    <t>DY060074</t>
  </si>
  <si>
    <t>DY059676</t>
  </si>
  <si>
    <t>KEBUMEN - GAJI SMD EIT AGUSTUS 2019</t>
  </si>
  <si>
    <t>DY060073</t>
  </si>
  <si>
    <t>DY059675</t>
  </si>
  <si>
    <t>MAGELANG - GAJI MOTORIS TL DAN SMD AGUSTUS 2019</t>
  </si>
  <si>
    <t>DY060072</t>
  </si>
  <si>
    <t>DY059674</t>
  </si>
  <si>
    <t>SOLO - GAJI MOTORIS TL DAN SMD AGUSTUS 2019</t>
  </si>
  <si>
    <t>DY060071</t>
  </si>
  <si>
    <t>DY059673</t>
  </si>
  <si>
    <t>YOGYA - GAJI MD EIT GOON , MOTORIS YUPI &amp; EVER AGUSTUS 2019</t>
  </si>
  <si>
    <t>DY060070</t>
  </si>
  <si>
    <t>DY059672</t>
  </si>
  <si>
    <t xml:space="preserve"> TEGAL  - GAJI TL FOYU AGUSTUS 2019</t>
  </si>
  <si>
    <t>DY060069</t>
  </si>
  <si>
    <t>DY059671</t>
  </si>
  <si>
    <t>DY060068</t>
  </si>
  <si>
    <t>DIFI GFI SEASONAL - BAYAR HUTANG</t>
  </si>
  <si>
    <t>DY059670</t>
  </si>
  <si>
    <t>SEMARANG - GAJI TL EVER &amp; SMD  MOTORIS GOON AGUSTUS 2019</t>
  </si>
  <si>
    <t>DY060067</t>
  </si>
  <si>
    <t>DY059669</t>
  </si>
  <si>
    <t>DY060066</t>
  </si>
  <si>
    <t>DY059668</t>
  </si>
  <si>
    <t>TEGAL - BIAYA BONGKAR SEKAT GUDANG</t>
  </si>
  <si>
    <t>DY060065</t>
  </si>
  <si>
    <t>DY059667</t>
  </si>
  <si>
    <t>PEKALONGAN - BIAYA PEMINDAHAN AC</t>
  </si>
  <si>
    <t>DY060064</t>
  </si>
  <si>
    <t>DY059666</t>
  </si>
  <si>
    <t>SEMARANG - PROMO HADIAH FOYU</t>
  </si>
  <si>
    <t>DY060063</t>
  </si>
  <si>
    <t>DY059665</t>
  </si>
  <si>
    <t>DY060062</t>
  </si>
  <si>
    <t>DY059664</t>
  </si>
  <si>
    <t>WINDA HAPSARI - INSENTIF MBR Q2 &amp; MIN Q4 2019</t>
  </si>
  <si>
    <t>DY060061</t>
  </si>
  <si>
    <t>DY059663</t>
  </si>
  <si>
    <t>DY060060</t>
  </si>
  <si>
    <t>DY059662</t>
  </si>
  <si>
    <t>DY060059</t>
  </si>
  <si>
    <t>DY059661</t>
  </si>
  <si>
    <t>PEKALONGAN - GAJI MNP AGUSTUS 2019</t>
  </si>
  <si>
    <t>DY060058</t>
  </si>
  <si>
    <t>DY059660</t>
  </si>
  <si>
    <t>PATI - GAJI MNP AGUSTUS 2019</t>
  </si>
  <si>
    <t>DY060057</t>
  </si>
  <si>
    <t>DY059659</t>
  </si>
  <si>
    <t>BLORA - GAJI MNP AGUSTUS 2019</t>
  </si>
  <si>
    <t>DY060056</t>
  </si>
  <si>
    <t>DY059658</t>
  </si>
  <si>
    <t>TEGAL - GAJI MNP AGUSTUS 2019</t>
  </si>
  <si>
    <t>DY060055</t>
  </si>
  <si>
    <t>DY059657</t>
  </si>
  <si>
    <t>DY060054</t>
  </si>
  <si>
    <t>DY059656</t>
  </si>
  <si>
    <t>DY060053</t>
  </si>
  <si>
    <t>DY059655</t>
  </si>
  <si>
    <t>DY060052</t>
  </si>
  <si>
    <t>DY059654</t>
  </si>
  <si>
    <t>CILACAP - PENGGANTIAN BO DEPO</t>
  </si>
  <si>
    <t>DY060051</t>
  </si>
  <si>
    <t>DY059653</t>
  </si>
  <si>
    <t xml:space="preserve">WONOGIRI - PENGGANTIAN BO DEPO </t>
  </si>
  <si>
    <t>DY059750</t>
  </si>
  <si>
    <t>DY059652</t>
  </si>
  <si>
    <t>DY059749</t>
  </si>
  <si>
    <t>AMP - BAYAR HUTANG</t>
  </si>
  <si>
    <t>DY059651</t>
  </si>
  <si>
    <t>KEBUMEN - PENGGANTIAN BO DEPO</t>
  </si>
  <si>
    <t>DY059748</t>
  </si>
  <si>
    <t>DY059375</t>
  </si>
  <si>
    <t>MAGELANG - PENGGANTIAN BO DEPO</t>
  </si>
  <si>
    <t>DY059747</t>
  </si>
  <si>
    <t>DY059374</t>
  </si>
  <si>
    <t>SOLO - PENGGANTIAN BO DEPO</t>
  </si>
  <si>
    <t>DY059746</t>
  </si>
  <si>
    <t>DY059373</t>
  </si>
  <si>
    <t>DY059745</t>
  </si>
  <si>
    <t>DY059372</t>
  </si>
  <si>
    <t>SEMARANG - PENGGANTIAN BO DEPO</t>
  </si>
  <si>
    <t>DY059744</t>
  </si>
  <si>
    <t>DY059371</t>
  </si>
  <si>
    <t>BLORA - PENGGANTIAN BO DEPO</t>
  </si>
  <si>
    <t>DY059743</t>
  </si>
  <si>
    <t>DY059370</t>
  </si>
  <si>
    <t>PEKALONGAN - PENGGANTIAN BO DEPO</t>
  </si>
  <si>
    <t>DY059742</t>
  </si>
  <si>
    <t>DY059369</t>
  </si>
  <si>
    <t>PATI - PENGGANTIAN BO DEPO</t>
  </si>
  <si>
    <t>DY059741</t>
  </si>
  <si>
    <t>DY059368</t>
  </si>
  <si>
    <t>TEGAL - PENGGANTIAN BO DEPO</t>
  </si>
  <si>
    <t>DY059740</t>
  </si>
  <si>
    <t>DY059367</t>
  </si>
  <si>
    <t>SALATIGA - PENGGANTIAN BO DEPO</t>
  </si>
  <si>
    <t>DY059739</t>
  </si>
  <si>
    <t>DY059366</t>
  </si>
  <si>
    <t>DY059738</t>
  </si>
  <si>
    <t>DY059365</t>
  </si>
  <si>
    <t>SARTON SIANIPAR - PEMBELIAN BRANKAS</t>
  </si>
  <si>
    <t>DY059737</t>
  </si>
  <si>
    <t>DY059364</t>
  </si>
  <si>
    <t xml:space="preserve">PURWOKERTO - PENGAJUAN INVENTARIS </t>
  </si>
  <si>
    <t>DY059736</t>
  </si>
  <si>
    <t>DY059363</t>
  </si>
  <si>
    <t>SEMARANG - DANA TAGIHAN LISTRIK DAN AIR</t>
  </si>
  <si>
    <t>DY059735</t>
  </si>
  <si>
    <t>HSBC - HUTANG BUNGA</t>
  </si>
  <si>
    <t>DY059362</t>
  </si>
  <si>
    <t>SEMARANG - DANA PROMO FBI &amp; MNP</t>
  </si>
  <si>
    <t>DY059734</t>
  </si>
  <si>
    <t>UOB - HUTANG METRIX</t>
  </si>
  <si>
    <t>DY059361</t>
  </si>
  <si>
    <t>PATI - PEMBELIAN MONITOR</t>
  </si>
  <si>
    <t>DY059733</t>
  </si>
  <si>
    <t>YIJG - BAYAR HUTANG</t>
  </si>
  <si>
    <t>DY059360</t>
  </si>
  <si>
    <t>DY059732</t>
  </si>
  <si>
    <t>METRIX - SEWA GEDUNG &amp; KENDARAAN JULI 2019</t>
  </si>
  <si>
    <t>DY059359</t>
  </si>
  <si>
    <t>DY059731</t>
  </si>
  <si>
    <t>DY059358</t>
  </si>
  <si>
    <t>DY059730</t>
  </si>
  <si>
    <t>DY059357</t>
  </si>
  <si>
    <t>DY059729</t>
  </si>
  <si>
    <t>DY059356</t>
  </si>
  <si>
    <t>DY059728</t>
  </si>
  <si>
    <t>DY059355</t>
  </si>
  <si>
    <t>DY059727</t>
  </si>
  <si>
    <t>DY059354</t>
  </si>
  <si>
    <t>DY059726</t>
  </si>
  <si>
    <t>DY059353</t>
  </si>
  <si>
    <t>DY059550</t>
  </si>
  <si>
    <t>DY059352</t>
  </si>
  <si>
    <t>DY059549</t>
  </si>
  <si>
    <t>DY059351</t>
  </si>
  <si>
    <t>DY059548</t>
  </si>
  <si>
    <t>DY059350</t>
  </si>
  <si>
    <t>DY059547</t>
  </si>
  <si>
    <t>DY059349</t>
  </si>
  <si>
    <t>DY059546</t>
  </si>
  <si>
    <t>DY059348</t>
  </si>
  <si>
    <t>DY059545</t>
  </si>
  <si>
    <t>DY059347</t>
  </si>
  <si>
    <t>DY059544</t>
  </si>
  <si>
    <t>DY059346</t>
  </si>
  <si>
    <t>DY059543</t>
  </si>
  <si>
    <t>DY059345</t>
  </si>
  <si>
    <t>DY059542</t>
  </si>
  <si>
    <t>DY059344</t>
  </si>
  <si>
    <t>DY059541</t>
  </si>
  <si>
    <t>DY059343</t>
  </si>
  <si>
    <t>DY059540</t>
  </si>
  <si>
    <t>DY059342</t>
  </si>
  <si>
    <t>SRI MULYANA - SELISIH GT MT MNP</t>
  </si>
  <si>
    <t>DY059539</t>
  </si>
  <si>
    <t>DY059341</t>
  </si>
  <si>
    <t>WONOGIRI - INSENTIF</t>
  </si>
  <si>
    <t>DY059538</t>
  </si>
  <si>
    <t>DY059340</t>
  </si>
  <si>
    <t>PEKALONGAN - INSENTIF</t>
  </si>
  <si>
    <t>DY059537</t>
  </si>
  <si>
    <t>DY059339</t>
  </si>
  <si>
    <t>GM, RSM - INSENTIF</t>
  </si>
  <si>
    <t>DY059536</t>
  </si>
  <si>
    <t>DY059338</t>
  </si>
  <si>
    <t>BLORA - INSENTIF</t>
  </si>
  <si>
    <t>DY059535</t>
  </si>
  <si>
    <t>DY059337</t>
  </si>
  <si>
    <t>DY059534</t>
  </si>
  <si>
    <t>UCI - BUNGA DIFI</t>
  </si>
  <si>
    <t>DY059336</t>
  </si>
  <si>
    <t>SEMARANG - INSENTIF</t>
  </si>
  <si>
    <t>DY059533</t>
  </si>
  <si>
    <t>DY059335</t>
  </si>
  <si>
    <t>TEGAL - INSENTIF</t>
  </si>
  <si>
    <t>DY059532</t>
  </si>
  <si>
    <t>DY059334</t>
  </si>
  <si>
    <t>PATI - INSENTIF</t>
  </si>
  <si>
    <t>DY059531</t>
  </si>
  <si>
    <t>DY059333</t>
  </si>
  <si>
    <t>CILACAP - INSENTIF</t>
  </si>
  <si>
    <t>DY059530</t>
  </si>
  <si>
    <t>PT. MATAHARI PUTRA PRIMA - BIAYA PERPINDAHAN VENDOR</t>
  </si>
  <si>
    <t>DY059332</t>
  </si>
  <si>
    <t>PURWOKERTO - INSENTIF</t>
  </si>
  <si>
    <t>DY059529</t>
  </si>
  <si>
    <t>DY059331</t>
  </si>
  <si>
    <t>PEKALONGAN - DANA SKAT GUDANG &amp; PEMBELIAN HAND PALLET</t>
  </si>
  <si>
    <t>DY059528</t>
  </si>
  <si>
    <t>DY059330</t>
  </si>
  <si>
    <t>KEBUMEN - INSENTIF</t>
  </si>
  <si>
    <t>DY059527</t>
  </si>
  <si>
    <t>DY059329</t>
  </si>
  <si>
    <t xml:space="preserve">MAGELANG - INSENTIF </t>
  </si>
  <si>
    <t>DY059526</t>
  </si>
  <si>
    <t>DY059328</t>
  </si>
  <si>
    <t>SALATIGA - INSENTIF</t>
  </si>
  <si>
    <t>DY059525</t>
  </si>
  <si>
    <t>DY059327</t>
  </si>
  <si>
    <t>SOLO - INSENTIF</t>
  </si>
  <si>
    <t>DY059524</t>
  </si>
  <si>
    <t>DY059326</t>
  </si>
  <si>
    <t xml:space="preserve">SOLO -  SERVICE RUTIN KENDARAAN </t>
  </si>
  <si>
    <t>DY059523</t>
  </si>
  <si>
    <t>DY059275</t>
  </si>
  <si>
    <t>YOGYA - INSENTIF</t>
  </si>
  <si>
    <t>DY059522</t>
  </si>
  <si>
    <t>DY059274</t>
  </si>
  <si>
    <t>YOGYA - INSENTIF SALESMAN FBI MEI</t>
  </si>
  <si>
    <t>DY059521</t>
  </si>
  <si>
    <t>DY059273</t>
  </si>
  <si>
    <t>MAGELANG - INSENTIF SALESMAN FBI MEI</t>
  </si>
  <si>
    <t>DY059520</t>
  </si>
  <si>
    <t>DY059272</t>
  </si>
  <si>
    <t>KEBUMEN - INSENTIF SALESMAN FBI MEI</t>
  </si>
  <si>
    <t>DY059519</t>
  </si>
  <si>
    <t>DY059271</t>
  </si>
  <si>
    <t>PURWOKERTO - INSENTIF SALESMAN FBI MEI</t>
  </si>
  <si>
    <t>DY059518</t>
  </si>
  <si>
    <t>DY059270</t>
  </si>
  <si>
    <t>CILACAP - INSENTIF SALESMAN FBI MEI</t>
  </si>
  <si>
    <t>DY059517</t>
  </si>
  <si>
    <t>DY059269</t>
  </si>
  <si>
    <t>SEMARANG - INSENTIF SALESMAN FBI MEI</t>
  </si>
  <si>
    <t>DY059516</t>
  </si>
  <si>
    <t>DY059268</t>
  </si>
  <si>
    <t>SOLO - INSENTIF SALESMAN FBI MEI</t>
  </si>
  <si>
    <t>DY059515</t>
  </si>
  <si>
    <t>DY059267</t>
  </si>
  <si>
    <t>TEGAL - INSENTIF SALESMAN FBI MEI</t>
  </si>
  <si>
    <t>DY059514</t>
  </si>
  <si>
    <t>DY059266</t>
  </si>
  <si>
    <t>PEKALONGAN - INSENTIF SALESMAN FBI MEI</t>
  </si>
  <si>
    <t>DY059513</t>
  </si>
  <si>
    <t>DY059265</t>
  </si>
  <si>
    <t>PATI - INSENTIF SALESMAN FBI MEI</t>
  </si>
  <si>
    <t>DY059512</t>
  </si>
  <si>
    <t>DY059264</t>
  </si>
  <si>
    <t>PT JEMBATAN CITRA NUSANTARA - BIAYA INTERNET JULI</t>
  </si>
  <si>
    <t>DY059511</t>
  </si>
  <si>
    <t>DY059263</t>
  </si>
  <si>
    <t>DY059510</t>
  </si>
  <si>
    <t>DY059262</t>
  </si>
  <si>
    <t>DY059509</t>
  </si>
  <si>
    <t>DY059261</t>
  </si>
  <si>
    <t>DY059508</t>
  </si>
  <si>
    <t>DY059260</t>
  </si>
  <si>
    <t>DY059507</t>
  </si>
  <si>
    <t>DY059259</t>
  </si>
  <si>
    <t>DY059506</t>
  </si>
  <si>
    <t>DY059258</t>
  </si>
  <si>
    <t>DY059505</t>
  </si>
  <si>
    <t>DY059257</t>
  </si>
  <si>
    <t>DY059504</t>
  </si>
  <si>
    <t xml:space="preserve">HSBC - HUTANG METRIX &amp; HUTANG BUNGA </t>
  </si>
  <si>
    <t>DY059256</t>
  </si>
  <si>
    <t>DY059503</t>
  </si>
  <si>
    <t>DY059255</t>
  </si>
  <si>
    <t>DY059502</t>
  </si>
  <si>
    <t>DY059254</t>
  </si>
  <si>
    <t>DY059501</t>
  </si>
  <si>
    <t>DY059253</t>
  </si>
  <si>
    <t>DY059250</t>
  </si>
  <si>
    <t>DY059252</t>
  </si>
  <si>
    <t>DY059249</t>
  </si>
  <si>
    <t>DY059251</t>
  </si>
  <si>
    <t>DY059248</t>
  </si>
  <si>
    <t>DY059000</t>
  </si>
  <si>
    <t>DY059247</t>
  </si>
  <si>
    <t>DY058999</t>
  </si>
  <si>
    <t>DY059246</t>
  </si>
  <si>
    <t>DY058998</t>
  </si>
  <si>
    <t>DY059245</t>
  </si>
  <si>
    <t>DY058997</t>
  </si>
  <si>
    <t>DY059244</t>
  </si>
  <si>
    <t>DY058996</t>
  </si>
  <si>
    <t>TEGAL - PROMO MTI FBI BLN AGUSTUS</t>
  </si>
  <si>
    <t>DY059243</t>
  </si>
  <si>
    <t>DY058995</t>
  </si>
  <si>
    <t>SOLO - PROGRAM AI &amp; FBI</t>
  </si>
  <si>
    <t>DY059242</t>
  </si>
  <si>
    <t>DY058994</t>
  </si>
  <si>
    <t>KOPERASI HO &amp; ANITA - UANG PISAH</t>
  </si>
  <si>
    <t>DY059241</t>
  </si>
  <si>
    <t>DY058993</t>
  </si>
  <si>
    <t>YOGYA - INCENTIVE YUPI</t>
  </si>
  <si>
    <t>DY059240</t>
  </si>
  <si>
    <t>DY058992</t>
  </si>
  <si>
    <t>DY059239</t>
  </si>
  <si>
    <t>DY058991</t>
  </si>
  <si>
    <t>DY059238</t>
  </si>
  <si>
    <t>DY058990</t>
  </si>
  <si>
    <t>DY059237</t>
  </si>
  <si>
    <t>DY058989</t>
  </si>
  <si>
    <t>DY059236</t>
  </si>
  <si>
    <t>DY058988</t>
  </si>
  <si>
    <t>DY059235</t>
  </si>
  <si>
    <t>DY058987</t>
  </si>
  <si>
    <t>DY059234</t>
  </si>
  <si>
    <t>DY058986</t>
  </si>
  <si>
    <t>DY059233</t>
  </si>
  <si>
    <t>DY058985</t>
  </si>
  <si>
    <t>DY059232</t>
  </si>
  <si>
    <t>DY058984</t>
  </si>
  <si>
    <t>DY059231</t>
  </si>
  <si>
    <t>OCBC - HUTANG BUNGA</t>
  </si>
  <si>
    <t>DY058983</t>
  </si>
  <si>
    <t>DY059230</t>
  </si>
  <si>
    <t>DY058982</t>
  </si>
  <si>
    <t>DY059229</t>
  </si>
  <si>
    <t>DY058981</t>
  </si>
  <si>
    <t>DY059228</t>
  </si>
  <si>
    <t>DY058980</t>
  </si>
  <si>
    <t>DY059227</t>
  </si>
  <si>
    <t>DY058979</t>
  </si>
  <si>
    <t>DY059226</t>
  </si>
  <si>
    <t>DY058978</t>
  </si>
  <si>
    <t>KOPERASI HO &amp; PAK KARNO - UANG PISAH</t>
  </si>
  <si>
    <t>DY059025</t>
  </si>
  <si>
    <t>DY058977</t>
  </si>
  <si>
    <t>DY059024</t>
  </si>
  <si>
    <t>DY058976</t>
  </si>
  <si>
    <t>DY059023</t>
  </si>
  <si>
    <t>DY058850</t>
  </si>
  <si>
    <t>SOLO - INCENTIVE YUPI</t>
  </si>
  <si>
    <t>DY059022</t>
  </si>
  <si>
    <t>DY058849</t>
  </si>
  <si>
    <t>CILACAP - INCENTIVE YUPI</t>
  </si>
  <si>
    <t>DY059021</t>
  </si>
  <si>
    <t>DIFI GFI - HUTANG BUNGA</t>
  </si>
  <si>
    <t>DY058848</t>
  </si>
  <si>
    <t>BLORA - INCENTIVE YUPI</t>
  </si>
  <si>
    <t>DY059020</t>
  </si>
  <si>
    <t>UOB - HUTANG BUNGA</t>
  </si>
  <si>
    <t>DY058847</t>
  </si>
  <si>
    <t>SALATIGA - INCENTIVE YUPI</t>
  </si>
  <si>
    <t>DY059019</t>
  </si>
  <si>
    <t>DY058846</t>
  </si>
  <si>
    <t>PEKALONGAN - INCENTIVE YUPI</t>
  </si>
  <si>
    <t>DY059018</t>
  </si>
  <si>
    <t>DY058845</t>
  </si>
  <si>
    <t>TEGAL - INCENTIVE YUPI</t>
  </si>
  <si>
    <t>DY059017</t>
  </si>
  <si>
    <t>DY058844</t>
  </si>
  <si>
    <t>SEMARANG - INCENTIVE YUPI</t>
  </si>
  <si>
    <t>DY059016</t>
  </si>
  <si>
    <t>DY058843</t>
  </si>
  <si>
    <t>SEMARANG - GAJI  TUNAI</t>
  </si>
  <si>
    <t>DY059015</t>
  </si>
  <si>
    <t>DY058842</t>
  </si>
  <si>
    <t>TEGAL - GAJI TUNAI KARYAWAN DEPO</t>
  </si>
  <si>
    <t>DY059014</t>
  </si>
  <si>
    <t>DY058841</t>
  </si>
  <si>
    <t>BPJS KETENAGAKERJAAN</t>
  </si>
  <si>
    <t>DY059013</t>
  </si>
  <si>
    <t>DY058840</t>
  </si>
  <si>
    <t>DY059012</t>
  </si>
  <si>
    <t>DY058839</t>
  </si>
  <si>
    <t>PEKALONGAN - BAYAR POTONGAN KARYAWAN JULI 2019</t>
  </si>
  <si>
    <t>DY059011</t>
  </si>
  <si>
    <t>DY058838</t>
  </si>
  <si>
    <t>An. Zaenal Arifin ( Belum Dipakai)</t>
  </si>
  <si>
    <t>DY059010</t>
  </si>
  <si>
    <t>DY058837</t>
  </si>
  <si>
    <t>An. Dian Adipratama (Belum dipakai)</t>
  </si>
  <si>
    <t>DY059009</t>
  </si>
  <si>
    <t>DY058836</t>
  </si>
  <si>
    <t>LASMIYATI - BAYAR KOST CA</t>
  </si>
  <si>
    <t>DY059008</t>
  </si>
  <si>
    <t>DY058835</t>
  </si>
  <si>
    <t>CILACAP - GAJI MOTORIS</t>
  </si>
  <si>
    <t>DY059007</t>
  </si>
  <si>
    <t>DY058834</t>
  </si>
  <si>
    <t>An. Rahayu Wiyono (Belum Dipakai)</t>
  </si>
  <si>
    <t>DY059006</t>
  </si>
  <si>
    <t>DY058833</t>
  </si>
  <si>
    <t>YOGYA - BAYAR POTONGAN KARYAWAN JULI 2019</t>
  </si>
  <si>
    <t>DY059005</t>
  </si>
  <si>
    <t>DY058832</t>
  </si>
  <si>
    <t>An. Nia Andriyanti (Belum Dipakai)</t>
  </si>
  <si>
    <t>DY059004</t>
  </si>
  <si>
    <t>DY058831</t>
  </si>
  <si>
    <t>SOLO - GAJI MOTORIS</t>
  </si>
  <si>
    <t>DY059003</t>
  </si>
  <si>
    <t>DY058830</t>
  </si>
  <si>
    <t>PURWOKERTO - GAJI MOTORIS</t>
  </si>
  <si>
    <t>DY059002</t>
  </si>
  <si>
    <t>DY058829</t>
  </si>
  <si>
    <t>MAGELANG - DANA GAJI SMD EIT DAN SEWA DISPLAY GOON &amp; GAJI MOTORIS YUPI</t>
  </si>
  <si>
    <t>DY059001</t>
  </si>
  <si>
    <t>DY058828</t>
  </si>
  <si>
    <t>SALATIGA - GAJI TUNAI KARYAWAN DEPO</t>
  </si>
  <si>
    <t>DY058900</t>
  </si>
  <si>
    <t>DY058827</t>
  </si>
  <si>
    <t>DY058899</t>
  </si>
  <si>
    <t>DY058826</t>
  </si>
  <si>
    <t>PEKALONGAN - GAJI MOTORIS YUPI</t>
  </si>
  <si>
    <t>DY058898</t>
  </si>
  <si>
    <t>OCBC - HUTANG METRIX</t>
  </si>
  <si>
    <t>DY058625</t>
  </si>
  <si>
    <t>TEGAL - SERVIS KENDARAAN BR</t>
  </si>
  <si>
    <t>DY058897</t>
  </si>
  <si>
    <t>DY058624</t>
  </si>
  <si>
    <t>An. Surya Dewi Totalia (Belum Dipakai)</t>
  </si>
  <si>
    <t>DY058896</t>
  </si>
  <si>
    <t>DY058623</t>
  </si>
  <si>
    <t>BLORA - GAJI TUNAI KARYAWAN DEPO</t>
  </si>
  <si>
    <t>DY058895</t>
  </si>
  <si>
    <t>DY058622</t>
  </si>
  <si>
    <t>DY058894</t>
  </si>
  <si>
    <t>DY058621</t>
  </si>
  <si>
    <t>DY058893</t>
  </si>
  <si>
    <t>DY058620</t>
  </si>
  <si>
    <t>DY058892</t>
  </si>
  <si>
    <t>DY058619</t>
  </si>
  <si>
    <t>DY058891</t>
  </si>
  <si>
    <t>DY058618</t>
  </si>
  <si>
    <t>DY058890</t>
  </si>
  <si>
    <t>DY058617</t>
  </si>
  <si>
    <t>DY058889</t>
  </si>
  <si>
    <t>DY058616</t>
  </si>
  <si>
    <t>DY058888</t>
  </si>
  <si>
    <t>DY058615</t>
  </si>
  <si>
    <t>DY058887</t>
  </si>
  <si>
    <t>DY058614</t>
  </si>
  <si>
    <t>DY058886</t>
  </si>
  <si>
    <t>DY058613</t>
  </si>
  <si>
    <t>DY058885</t>
  </si>
  <si>
    <t>DY058612</t>
  </si>
  <si>
    <t>DY058884</t>
  </si>
  <si>
    <t>DY058611</t>
  </si>
  <si>
    <t>DY058883</t>
  </si>
  <si>
    <t>DY058610</t>
  </si>
  <si>
    <t>DY058882</t>
  </si>
  <si>
    <t>DY058609</t>
  </si>
  <si>
    <t>DY058881</t>
  </si>
  <si>
    <t>DY058608</t>
  </si>
  <si>
    <t>DY058880</t>
  </si>
  <si>
    <t>DY058607</t>
  </si>
  <si>
    <t>DY058879</t>
  </si>
  <si>
    <t>DY058606</t>
  </si>
  <si>
    <t>DY058878</t>
  </si>
  <si>
    <t>DY058605</t>
  </si>
  <si>
    <t>DY058877</t>
  </si>
  <si>
    <t>DY058604</t>
  </si>
  <si>
    <t>MAGELANG - INCENTIVE SALESMAN</t>
  </si>
  <si>
    <t>DY058876</t>
  </si>
  <si>
    <t>DY058603</t>
  </si>
  <si>
    <t>BLORA - INCENTIVE SALESMAN</t>
  </si>
  <si>
    <t>DY058875</t>
  </si>
  <si>
    <t>DY058602</t>
  </si>
  <si>
    <t>PATI - INCENTIVE SALESMAN</t>
  </si>
  <si>
    <t>DY058874</t>
  </si>
  <si>
    <t>DY058601</t>
  </si>
  <si>
    <t>PEKALONGAN - INCENTIVE SALESMAN</t>
  </si>
  <si>
    <t>DY058873</t>
  </si>
  <si>
    <t>DY058586</t>
  </si>
  <si>
    <t>TEGAL - INCENTIVE SALESMAN</t>
  </si>
  <si>
    <t>DY058872</t>
  </si>
  <si>
    <t>DY058585</t>
  </si>
  <si>
    <t>SEMARANG - INCENTIVE SALESMAN</t>
  </si>
  <si>
    <t>DY058871</t>
  </si>
  <si>
    <t>DY058584</t>
  </si>
  <si>
    <t>PURWOKERTO - INCENTIVE SALESMAN</t>
  </si>
  <si>
    <t>DY058870</t>
  </si>
  <si>
    <t>DY058583</t>
  </si>
  <si>
    <t>CILACAP - INCENTIVE SALESMAN</t>
  </si>
  <si>
    <t>DY058869</t>
  </si>
  <si>
    <t>DY058582</t>
  </si>
  <si>
    <t>KEBUMEN - INCENTIVE SALESMAN</t>
  </si>
  <si>
    <t>DY058868</t>
  </si>
  <si>
    <t>DY058581</t>
  </si>
  <si>
    <t>SOLO - INCENTIVE SALESMAN</t>
  </si>
  <si>
    <t>DY058867</t>
  </si>
  <si>
    <t>DY058580</t>
  </si>
  <si>
    <t>WONOGIRI - INCENTIVE SALESMAN</t>
  </si>
  <si>
    <t>DY058866</t>
  </si>
  <si>
    <t>DY058579</t>
  </si>
  <si>
    <t>SALATIGA - INCENTIVE SALESMAN</t>
  </si>
  <si>
    <t>DY058865</t>
  </si>
  <si>
    <t>DY058578</t>
  </si>
  <si>
    <t>DY058864</t>
  </si>
  <si>
    <t>DY058577</t>
  </si>
  <si>
    <t>YOGYA - INCENTIVE SALESMAN</t>
  </si>
  <si>
    <t>DY058863</t>
  </si>
  <si>
    <t>DY058576</t>
  </si>
  <si>
    <t>DY058862</t>
  </si>
  <si>
    <t>DY058425</t>
  </si>
  <si>
    <t>SOLO -  DANA PAJAK MOBIL &amp; MOTOR</t>
  </si>
  <si>
    <t>DY058861</t>
  </si>
  <si>
    <t>DY058424</t>
  </si>
  <si>
    <t>DY058860</t>
  </si>
  <si>
    <t>DY058423</t>
  </si>
  <si>
    <t>DY058859</t>
  </si>
  <si>
    <t>DY058422</t>
  </si>
  <si>
    <t>DY058858</t>
  </si>
  <si>
    <t>DY058421</t>
  </si>
  <si>
    <t>DY058857</t>
  </si>
  <si>
    <t>DY058420</t>
  </si>
  <si>
    <t>DY058856</t>
  </si>
  <si>
    <t>DY058419</t>
  </si>
  <si>
    <t>DY058855</t>
  </si>
  <si>
    <t>DY058418</t>
  </si>
  <si>
    <t>DY058854</t>
  </si>
  <si>
    <t>DY058417</t>
  </si>
  <si>
    <t>DY058853</t>
  </si>
  <si>
    <t>DY058416</t>
  </si>
  <si>
    <t>DY058852</t>
  </si>
  <si>
    <t>DY058415</t>
  </si>
  <si>
    <t>PATI - BIAYA NON BO STNK &amp; SEWA DISPLAY GOON</t>
  </si>
  <si>
    <t>DY058851</t>
  </si>
  <si>
    <t>DY058414</t>
  </si>
  <si>
    <t>DY058400</t>
  </si>
  <si>
    <t>DY058413</t>
  </si>
  <si>
    <t>PT PILAR - BAYAR PENGIRIMAN DOKUMEN</t>
  </si>
  <si>
    <t>DY058399</t>
  </si>
  <si>
    <t>DY058412</t>
  </si>
  <si>
    <t>DY058398</t>
  </si>
  <si>
    <t>DY058411</t>
  </si>
  <si>
    <t>DY058397</t>
  </si>
  <si>
    <t>DY058410</t>
  </si>
  <si>
    <t>DY058396</t>
  </si>
  <si>
    <t>DY058409</t>
  </si>
  <si>
    <t>DY058395</t>
  </si>
  <si>
    <t>DY058408</t>
  </si>
  <si>
    <t>DY058394</t>
  </si>
  <si>
    <t>DY058407</t>
  </si>
  <si>
    <t>DY058393</t>
  </si>
  <si>
    <t>DY058406</t>
  </si>
  <si>
    <t>DY058392</t>
  </si>
  <si>
    <t>DY058405</t>
  </si>
  <si>
    <t>DY058391</t>
  </si>
  <si>
    <t>DY058404</t>
  </si>
  <si>
    <t>DY058390</t>
  </si>
  <si>
    <t>DY058403</t>
  </si>
  <si>
    <t>DY058389</t>
  </si>
  <si>
    <t>DY058402</t>
  </si>
  <si>
    <t>JEMBATAN CITRA NUSANTARA - BAYAR INTERNET</t>
  </si>
  <si>
    <t>DY058388</t>
  </si>
  <si>
    <t>DY058401</t>
  </si>
  <si>
    <t>PATI - INCENTIVE Q3</t>
  </si>
  <si>
    <t>DY058387</t>
  </si>
  <si>
    <t>DY058225</t>
  </si>
  <si>
    <t>PEKALONGAN - INCENTIVE Q3 &amp; DANA SKAT GUDANG</t>
  </si>
  <si>
    <t>DY058386</t>
  </si>
  <si>
    <t>DY058224</t>
  </si>
  <si>
    <t>TEGAL - INCENTIVE Q3</t>
  </si>
  <si>
    <t>DY058385</t>
  </si>
  <si>
    <t>DY058223</t>
  </si>
  <si>
    <t>SOLO - INCENTIVE Q3</t>
  </si>
  <si>
    <t>DY058384</t>
  </si>
  <si>
    <t>DY058222</t>
  </si>
  <si>
    <t>DY058383</t>
  </si>
  <si>
    <t>FJF - BAYAR HUTANG</t>
  </si>
  <si>
    <t>DY058221</t>
  </si>
  <si>
    <t>CILACAP - INCENTIVE Q3</t>
  </si>
  <si>
    <t>DY058382</t>
  </si>
  <si>
    <t>UOB - BUNGA PINJAMAN</t>
  </si>
  <si>
    <t>DY058220</t>
  </si>
  <si>
    <t>PURWOKERTO - INCENTIVE Q3</t>
  </si>
  <si>
    <t>DY058381</t>
  </si>
  <si>
    <t>DY058219</t>
  </si>
  <si>
    <t>KEBUMEN - INCENTIVE Q3</t>
  </si>
  <si>
    <t>DY058380</t>
  </si>
  <si>
    <t>DY058218</t>
  </si>
  <si>
    <t>MAGELANG - INCENTIVE Q3</t>
  </si>
  <si>
    <t>DY058379</t>
  </si>
  <si>
    <t>DY058217</t>
  </si>
  <si>
    <t>YOGYA - INCENTIVE Q3</t>
  </si>
  <si>
    <t>DY058378</t>
  </si>
  <si>
    <t>DY058216</t>
  </si>
  <si>
    <t>DY058377</t>
  </si>
  <si>
    <t>DY058215</t>
  </si>
  <si>
    <t>PURWOKERTO - PENGAJUAN DANA NON BO SEWA KENDARAAN</t>
  </si>
  <si>
    <t>DY058376</t>
  </si>
  <si>
    <t>DY058214</t>
  </si>
  <si>
    <t xml:space="preserve">SALATIGA - PENGAJUAN DANA NON BO   </t>
  </si>
  <si>
    <t>DY058200</t>
  </si>
  <si>
    <t>DY058213</t>
  </si>
  <si>
    <t>SOLO - PENGAJUAN DANA NON BO</t>
  </si>
  <si>
    <t>DY058199</t>
  </si>
  <si>
    <t>DY058212</t>
  </si>
  <si>
    <t>SEMARANG - PENGAJUAN DANA NON BO</t>
  </si>
  <si>
    <t>DY058198</t>
  </si>
  <si>
    <t>DY058211</t>
  </si>
  <si>
    <t>MAGELANG - DANA TALANGAN</t>
  </si>
  <si>
    <t>DY058197</t>
  </si>
  <si>
    <t>DY058210</t>
  </si>
  <si>
    <t>YOGYA - PEMBELIAN SADLE BSG YUPI</t>
  </si>
  <si>
    <t>DY058196</t>
  </si>
  <si>
    <t>DY058209</t>
  </si>
  <si>
    <t>DY058195</t>
  </si>
  <si>
    <t>DY058208</t>
  </si>
  <si>
    <t>TEGAL - PENGAJUAN DANA VULKANISIR</t>
  </si>
  <si>
    <t>DY058194</t>
  </si>
  <si>
    <t>DY058207</t>
  </si>
  <si>
    <t>SOLO - PENGAJUAN NON BO PERBAIKAN PAGAR LAHAN BOLON</t>
  </si>
  <si>
    <t>DY058193</t>
  </si>
  <si>
    <t>DY058206</t>
  </si>
  <si>
    <t>DY058192</t>
  </si>
  <si>
    <t>DY058205</t>
  </si>
  <si>
    <t>HERU SUPRIYADI - SEWA RUMAH HOC</t>
  </si>
  <si>
    <t>DY058191</t>
  </si>
  <si>
    <t>DY058204</t>
  </si>
  <si>
    <t>DY058190</t>
  </si>
  <si>
    <t>DY058203</t>
  </si>
  <si>
    <t>DY058189</t>
  </si>
  <si>
    <t>DY058202</t>
  </si>
  <si>
    <t>DY058188</t>
  </si>
  <si>
    <t>DY058201</t>
  </si>
  <si>
    <t>DY058187</t>
  </si>
  <si>
    <t>DY057875</t>
  </si>
  <si>
    <t>DY058186</t>
  </si>
  <si>
    <t>DY057874</t>
  </si>
  <si>
    <t>DY058185</t>
  </si>
  <si>
    <t>DY057873</t>
  </si>
  <si>
    <t>DY058184</t>
  </si>
  <si>
    <t>DY057872</t>
  </si>
  <si>
    <t>DY058183</t>
  </si>
  <si>
    <t>DY057871</t>
  </si>
  <si>
    <t>DY058182</t>
  </si>
  <si>
    <t>DY057870</t>
  </si>
  <si>
    <t>DY058181</t>
  </si>
  <si>
    <t>DY057869</t>
  </si>
  <si>
    <t>DY058180</t>
  </si>
  <si>
    <t>DY057868</t>
  </si>
  <si>
    <t>DY058179</t>
  </si>
  <si>
    <t>DY057867</t>
  </si>
  <si>
    <t>DY058178</t>
  </si>
  <si>
    <t>DY057866</t>
  </si>
  <si>
    <t>DY058177</t>
  </si>
  <si>
    <t>DY057865</t>
  </si>
  <si>
    <t>SEMARANG - BIAYA PEMBELIAN BAN LUAR BR RAKHMAT XENIA H8972JY</t>
  </si>
  <si>
    <t>DY058176</t>
  </si>
  <si>
    <t>DY057864</t>
  </si>
  <si>
    <t>PATI - PROGRAM MTO LOKAL SUPERMARKET JULI 2019</t>
  </si>
  <si>
    <t>DY057850</t>
  </si>
  <si>
    <t>DY057863</t>
  </si>
  <si>
    <t>TEGAL - PENGAJUAN BUDGET PROMO LMM DAN LSM FBI JULI 2019</t>
  </si>
  <si>
    <t>DY057849</t>
  </si>
  <si>
    <t>DY057862</t>
  </si>
  <si>
    <t>ANGSURAN MOBIL SIGRA &amp; XENIA</t>
  </si>
  <si>
    <t>DY057848</t>
  </si>
  <si>
    <t>DY057861</t>
  </si>
  <si>
    <t>WONOGIRI - PERPANJANGAN STNK</t>
  </si>
  <si>
    <t>DY057847</t>
  </si>
  <si>
    <t>DY057860</t>
  </si>
  <si>
    <t>DY057846</t>
  </si>
  <si>
    <t>DY057859</t>
  </si>
  <si>
    <t>DY057845</t>
  </si>
  <si>
    <t>DY057858</t>
  </si>
  <si>
    <t>DY057844</t>
  </si>
  <si>
    <t>DY057857</t>
  </si>
  <si>
    <t>DY057843</t>
  </si>
  <si>
    <t>DY057856</t>
  </si>
  <si>
    <t>DY057842</t>
  </si>
  <si>
    <t>DY057855</t>
  </si>
  <si>
    <t>DY057841</t>
  </si>
  <si>
    <t>DY057854</t>
  </si>
  <si>
    <t>DY057840</t>
  </si>
  <si>
    <t>DY057853</t>
  </si>
  <si>
    <t>DY057839</t>
  </si>
  <si>
    <t>UCI - BAYAR HUTANG</t>
  </si>
  <si>
    <t>DY057852</t>
  </si>
  <si>
    <t>DY057838</t>
  </si>
  <si>
    <t>DY057851</t>
  </si>
  <si>
    <t>DY057837</t>
  </si>
  <si>
    <t>DY057500</t>
  </si>
  <si>
    <t>DY057836</t>
  </si>
  <si>
    <t>DY057499</t>
  </si>
  <si>
    <t>DY057835</t>
  </si>
  <si>
    <t>DY057498</t>
  </si>
  <si>
    <t>DY057834</t>
  </si>
  <si>
    <t>DY057497</t>
  </si>
  <si>
    <t>DY057833</t>
  </si>
  <si>
    <t>DY057496</t>
  </si>
  <si>
    <t>DY057832</t>
  </si>
  <si>
    <t>DY057495</t>
  </si>
  <si>
    <t>DY057831</t>
  </si>
  <si>
    <t>DY057494</t>
  </si>
  <si>
    <t>INSENTIVE FOYU GM, RSM</t>
  </si>
  <si>
    <t>DY057830</t>
  </si>
  <si>
    <t>DY057493</t>
  </si>
  <si>
    <t>YOGYA - POTONGAN GAJI KARYAWAN</t>
  </si>
  <si>
    <t>DY057829</t>
  </si>
  <si>
    <t>DY057492</t>
  </si>
  <si>
    <t>PEKALONGAN - POTONGAN GAJI KARYAWAN</t>
  </si>
  <si>
    <t>DY057828</t>
  </si>
  <si>
    <t>DY057491</t>
  </si>
  <si>
    <t>TEGAL - POTONGAN GAJI KARYAWAN</t>
  </si>
  <si>
    <t>DY057827</t>
  </si>
  <si>
    <t>DY057490</t>
  </si>
  <si>
    <t>DY057826</t>
  </si>
  <si>
    <t>DY057489</t>
  </si>
  <si>
    <t>JAMSOSTEK BULAN JUNI</t>
  </si>
  <si>
    <t>DY057526</t>
  </si>
  <si>
    <t>DY057488</t>
  </si>
  <si>
    <t>BLORA -  POTONGAN GAJI KARYAWAN</t>
  </si>
  <si>
    <t>DY057525</t>
  </si>
  <si>
    <t>DY057487</t>
  </si>
  <si>
    <t>SOLO - PENGGANTIAN NON BO DEPO</t>
  </si>
  <si>
    <t>DY057524</t>
  </si>
  <si>
    <t>DY057486</t>
  </si>
  <si>
    <t>DY057523</t>
  </si>
  <si>
    <t>DY057485</t>
  </si>
  <si>
    <t>DY057522</t>
  </si>
  <si>
    <t>DY057484</t>
  </si>
  <si>
    <t>DY057521</t>
  </si>
  <si>
    <t>DY057483</t>
  </si>
  <si>
    <t>SEMARANG - GAJI TUNAI KARYAWAN DEPO</t>
  </si>
  <si>
    <t>DY057520</t>
  </si>
  <si>
    <t>PT. SAS INDO - BAYAR HUTANG</t>
  </si>
  <si>
    <t>DY057482</t>
  </si>
  <si>
    <t>DF596625</t>
  </si>
  <si>
    <t>SOLO - GGAJI MOTORIS</t>
  </si>
  <si>
    <t>DY057519</t>
  </si>
  <si>
    <t>DY057481</t>
  </si>
  <si>
    <t>DF596624</t>
  </si>
  <si>
    <t>SEMARANG - KEKURANGAN GAJI TIM MNP BULAN JUNI</t>
  </si>
  <si>
    <t>DY057518</t>
  </si>
  <si>
    <t>DY057480</t>
  </si>
  <si>
    <t>DF596623</t>
  </si>
  <si>
    <t>DY057517</t>
  </si>
  <si>
    <t>DY057479</t>
  </si>
  <si>
    <t>DF596622</t>
  </si>
  <si>
    <t>DY057516</t>
  </si>
  <si>
    <t>DY057478</t>
  </si>
  <si>
    <t>DF596621</t>
  </si>
  <si>
    <t>DY057515</t>
  </si>
  <si>
    <t>DY057477</t>
  </si>
  <si>
    <t>DF596620</t>
  </si>
  <si>
    <t>PEMBAYARAN KERTAS CONTINOUS FORM</t>
  </si>
  <si>
    <t>DY057514</t>
  </si>
  <si>
    <t>DY057476</t>
  </si>
  <si>
    <t>DF596619</t>
  </si>
  <si>
    <t>DY057513</t>
  </si>
  <si>
    <t>DY057350</t>
  </si>
  <si>
    <t>DF596618</t>
  </si>
  <si>
    <t>DY057512</t>
  </si>
  <si>
    <t>DY057349</t>
  </si>
  <si>
    <t>DF596617</t>
  </si>
  <si>
    <t>DY057511</t>
  </si>
  <si>
    <t>DY057348</t>
  </si>
  <si>
    <t>DF596616</t>
  </si>
  <si>
    <t>DY057510</t>
  </si>
  <si>
    <t>DY057347</t>
  </si>
  <si>
    <t>DF596615</t>
  </si>
  <si>
    <t>DY057509</t>
  </si>
  <si>
    <t>DY057346</t>
  </si>
  <si>
    <t>DF596614</t>
  </si>
  <si>
    <t>DY057508</t>
  </si>
  <si>
    <t>DY057345</t>
  </si>
  <si>
    <t>DF596613</t>
  </si>
  <si>
    <t>DY057507</t>
  </si>
  <si>
    <t>DY057344</t>
  </si>
  <si>
    <t>DF596612</t>
  </si>
  <si>
    <t>DY057506</t>
  </si>
  <si>
    <t>DY057343</t>
  </si>
  <si>
    <t>DF596611</t>
  </si>
  <si>
    <t>DY057505</t>
  </si>
  <si>
    <t>DY057342</t>
  </si>
  <si>
    <t>DF596610</t>
  </si>
  <si>
    <t>DY057504</t>
  </si>
  <si>
    <t>DY057341</t>
  </si>
  <si>
    <t>PEMINDAHAN DANA KE BANK BCA OPR</t>
  </si>
  <si>
    <t>DF596609</t>
  </si>
  <si>
    <t>DY057503</t>
  </si>
  <si>
    <t>DY057340</t>
  </si>
  <si>
    <t>DF596608</t>
  </si>
  <si>
    <t>DY057502</t>
  </si>
  <si>
    <t>DY057339</t>
  </si>
  <si>
    <t>DF596607</t>
  </si>
  <si>
    <t>HO - PEMBELIAN MONITOR IT</t>
  </si>
  <si>
    <t>DY057501</t>
  </si>
  <si>
    <t>DY057338</t>
  </si>
  <si>
    <t>DF596606</t>
  </si>
  <si>
    <t>YOGYA - GAJI TIM MNP BULAN JUNI</t>
  </si>
  <si>
    <t>DY057325</t>
  </si>
  <si>
    <t>DY057337</t>
  </si>
  <si>
    <t>DF596605</t>
  </si>
  <si>
    <t>MAGELANG - GAJI TIM MNP BULAN JUNI</t>
  </si>
  <si>
    <t>DY057324</t>
  </si>
  <si>
    <t>DY057336</t>
  </si>
  <si>
    <t>DF596604</t>
  </si>
  <si>
    <t>PEKALONGAN - GAJI TIM MNP BULAN JUNI</t>
  </si>
  <si>
    <t>DY057323</t>
  </si>
  <si>
    <t>DY057335</t>
  </si>
  <si>
    <t>DF596603</t>
  </si>
  <si>
    <t>CILACAP - GAJI TIM MNP BULAN JUNI</t>
  </si>
  <si>
    <t>DY057322</t>
  </si>
  <si>
    <t>DY057334</t>
  </si>
  <si>
    <t>DF596602</t>
  </si>
  <si>
    <t>SEMARANG - GAJI TIM MNP BULAN JUNI</t>
  </si>
  <si>
    <t>DY057321</t>
  </si>
  <si>
    <t>DY057333</t>
  </si>
  <si>
    <t>DF596601</t>
  </si>
  <si>
    <t>DY057320</t>
  </si>
  <si>
    <t>BAYAR HUTANG PT.MNP</t>
  </si>
  <si>
    <t>DY057332</t>
  </si>
  <si>
    <t>DF595875</t>
  </si>
  <si>
    <t>DY057319</t>
  </si>
  <si>
    <t>HUTANG BANK JPA</t>
  </si>
  <si>
    <t>DY057331</t>
  </si>
  <si>
    <t>DF595874</t>
  </si>
  <si>
    <t>DY057318</t>
  </si>
  <si>
    <t>DY057330</t>
  </si>
  <si>
    <t>DF595873</t>
  </si>
  <si>
    <t>DY057317</t>
  </si>
  <si>
    <t>BAYAR HUTANG PT.ITF</t>
  </si>
  <si>
    <t>DY057329</t>
  </si>
  <si>
    <t>DF595872</t>
  </si>
  <si>
    <t>DY057316</t>
  </si>
  <si>
    <t>DY057328</t>
  </si>
  <si>
    <t>DF595871</t>
  </si>
  <si>
    <t>DY057315</t>
  </si>
  <si>
    <t>BAYAR BUNGA PINJAMAN UOB W 3</t>
  </si>
  <si>
    <t>DY057327</t>
  </si>
  <si>
    <t>DF595870</t>
  </si>
  <si>
    <t>DY057314</t>
  </si>
  <si>
    <t>DY057326</t>
  </si>
  <si>
    <t>PT. SWADHARMA BHAKTI SEDAYA FINANCE - ANGSURAN XENIA &amp; SIGRA KE 2</t>
  </si>
  <si>
    <t>DF595869</t>
  </si>
  <si>
    <t>DY057313</t>
  </si>
  <si>
    <t>DY057100</t>
  </si>
  <si>
    <t>DF595868</t>
  </si>
  <si>
    <t>JOBSTREET</t>
  </si>
  <si>
    <t>DY057312</t>
  </si>
  <si>
    <t>BAYAR HUTANG DAGANG JPA SLTIGA</t>
  </si>
  <si>
    <t>DY057099</t>
  </si>
  <si>
    <t>DF595867</t>
  </si>
  <si>
    <t>DY057311</t>
  </si>
  <si>
    <t>DY057098</t>
  </si>
  <si>
    <t>DF595866</t>
  </si>
  <si>
    <t>DY057310</t>
  </si>
  <si>
    <t>BAYAR HUTANG BANK UOB</t>
  </si>
  <si>
    <t>DY057097</t>
  </si>
  <si>
    <t>DF595865</t>
  </si>
  <si>
    <t>DY057309</t>
  </si>
  <si>
    <t>DY057096</t>
  </si>
  <si>
    <t>DF595864</t>
  </si>
  <si>
    <t>BIAYA SEWA GRAND MAX PER 19/05/19 S.D 18/6/19</t>
  </si>
  <si>
    <t>DY057308</t>
  </si>
  <si>
    <t>BAYAR HUTANG BANK DF MIN</t>
  </si>
  <si>
    <t>DY057095</t>
  </si>
  <si>
    <t>DF595863</t>
  </si>
  <si>
    <t>BIAYA CETAKAN BULAN JUNI 19</t>
  </si>
  <si>
    <t>DY057307</t>
  </si>
  <si>
    <t>BAYAR HUTANG BUNGA DF MIN</t>
  </si>
  <si>
    <t>DY057094</t>
  </si>
  <si>
    <t>DF595862</t>
  </si>
  <si>
    <t>PENGGANTIAN BO DEPO BLORA</t>
  </si>
  <si>
    <t>DY057306</t>
  </si>
  <si>
    <t>BAYAR HUTANG DAGANG NLS</t>
  </si>
  <si>
    <t>DY057093</t>
  </si>
  <si>
    <t>DF595861</t>
  </si>
  <si>
    <t>PENGGANTIAN BO DEPO PEKALONGAN</t>
  </si>
  <si>
    <t>DY057305</t>
  </si>
  <si>
    <t>DY057092</t>
  </si>
  <si>
    <t>DF595860</t>
  </si>
  <si>
    <t>PENGGANTIAN BO DEPO PATI</t>
  </si>
  <si>
    <t>DY057304</t>
  </si>
  <si>
    <t>DY057091</t>
  </si>
  <si>
    <t>DF595859</t>
  </si>
  <si>
    <t>PENGGANTIAN BO DEPO TEGAL</t>
  </si>
  <si>
    <t>DY057303</t>
  </si>
  <si>
    <t>DY057090</t>
  </si>
  <si>
    <t>DF595858</t>
  </si>
  <si>
    <t>PENGGANTIAN BO DEPO SEMARANG</t>
  </si>
  <si>
    <t>DY057302</t>
  </si>
  <si>
    <t>DY057089</t>
  </si>
  <si>
    <t>DF595857</t>
  </si>
  <si>
    <t>PENGGANTIAN BO DEPO CILACAP</t>
  </si>
  <si>
    <t>DY057301</t>
  </si>
  <si>
    <t>BAYAR HUTANG RDSI</t>
  </si>
  <si>
    <t>DY057088</t>
  </si>
  <si>
    <t>DF595856</t>
  </si>
  <si>
    <t>PENGGANTIAN BO DEPO KEBUMEN</t>
  </si>
  <si>
    <t>DY057050</t>
  </si>
  <si>
    <t>BAYAR SEWA GUDANG DAN KENDARAAN BLN MEI 19</t>
  </si>
  <si>
    <t>DY057087</t>
  </si>
  <si>
    <t>DF595855</t>
  </si>
  <si>
    <t>PENGGANTIAN BO DEPO PURWOKERTO</t>
  </si>
  <si>
    <t>DY057049</t>
  </si>
  <si>
    <t>DY057086</t>
  </si>
  <si>
    <t>DF595854</t>
  </si>
  <si>
    <t>PENGGANTIAN BO DEPO SOLO</t>
  </si>
  <si>
    <t>DY057048</t>
  </si>
  <si>
    <t>BAYAR HUTANG DAGANG DBW</t>
  </si>
  <si>
    <t>DY057085</t>
  </si>
  <si>
    <t>DF595853</t>
  </si>
  <si>
    <t>PENGGANTIAN BO DEPO WONOGIRI</t>
  </si>
  <si>
    <t>DY057047</t>
  </si>
  <si>
    <t>DY057084</t>
  </si>
  <si>
    <t>DF595852</t>
  </si>
  <si>
    <t>PENGGANTIAN BO DEPO SALATIGA</t>
  </si>
  <si>
    <t>DY057046</t>
  </si>
  <si>
    <t>BAYAR HUTANG BUNGA PINJAMAN UOB</t>
  </si>
  <si>
    <t>DY057083</t>
  </si>
  <si>
    <t>DF595851</t>
  </si>
  <si>
    <t>PENGGANTIAN BO DEPO MAGELANG</t>
  </si>
  <si>
    <t>DY057045</t>
  </si>
  <si>
    <t>DY057082</t>
  </si>
  <si>
    <t>DK065575</t>
  </si>
  <si>
    <t>PENGGANTIAN BO DEPO YOGYAKARTA</t>
  </si>
  <si>
    <t>DY057044</t>
  </si>
  <si>
    <t>DY057081</t>
  </si>
  <si>
    <t>DK065574</t>
  </si>
  <si>
    <t>BIAYA EKSPEDISI FOYU DARI MJP KE MSS YOGYA(YOGYAKARTA)</t>
  </si>
  <si>
    <t>DY057043</t>
  </si>
  <si>
    <t>DY057080</t>
  </si>
  <si>
    <t>DK065573</t>
  </si>
  <si>
    <t>PENGAJUAN DANA PROMO MTI DI LSM DAN BIAYA PIKET LIBUR(SOLO)</t>
  </si>
  <si>
    <t>DY057042</t>
  </si>
  <si>
    <t>BAYAR KAS NEGARA</t>
  </si>
  <si>
    <t>DY057079</t>
  </si>
  <si>
    <t>DK065572</t>
  </si>
  <si>
    <t>BIAYA EKSPEDISI PRODUCT EVERBRIGHT(PWT)</t>
  </si>
  <si>
    <t>DY057041</t>
  </si>
  <si>
    <t>DY057075</t>
  </si>
  <si>
    <t>DK065571</t>
  </si>
  <si>
    <t>PENGAJUAN DANA PROMO FBI MTI JUNI 2019 (SALATIGA)</t>
  </si>
  <si>
    <t>DY057040</t>
  </si>
  <si>
    <t>BAYAR HUTANG DIFI DANAMON FBI</t>
  </si>
  <si>
    <t>DY057074</t>
  </si>
  <si>
    <t>DK065570</t>
  </si>
  <si>
    <t>PROGRAM MTI LOKAL SUPERMARKET ( PATI)</t>
  </si>
  <si>
    <t>DY057039</t>
  </si>
  <si>
    <t>BAYAR HUTANG DIFI MIN</t>
  </si>
  <si>
    <t>DY057073</t>
  </si>
  <si>
    <t>DK065569</t>
  </si>
  <si>
    <t>BIAYA EKSPEDISI BIAYA ANGKUT PENGIRIMAN (CILACAP)</t>
  </si>
  <si>
    <t>DY057038</t>
  </si>
  <si>
    <t>DY057072</t>
  </si>
  <si>
    <t>DK065568</t>
  </si>
  <si>
    <t>BIAYA KARYAWAN PIKET LIBUR LEBARAN (KEBUMEN)</t>
  </si>
  <si>
    <t>DY057037</t>
  </si>
  <si>
    <t>DY057071</t>
  </si>
  <si>
    <t>DK065567</t>
  </si>
  <si>
    <t>BIAYA PEMBELIAN BAN DEPO JOGJA (H1433MW,H1353SW)</t>
  </si>
  <si>
    <t>DY057036</t>
  </si>
  <si>
    <t>BAYAR E-CHAIN DANAMON</t>
  </si>
  <si>
    <t>DY057070</t>
  </si>
  <si>
    <t>DK065566</t>
  </si>
  <si>
    <t>BIAYA DANA PROMO FBI MTI DI LSM JUNI 19 &amp; BIAYA EKSPEDISI FOYU</t>
  </si>
  <si>
    <t>DY057035</t>
  </si>
  <si>
    <t>BAYAR HUTANG MULIA BOGA RAYA KONSINYASI</t>
  </si>
  <si>
    <t>DY057068</t>
  </si>
  <si>
    <t>DK065565</t>
  </si>
  <si>
    <t>BIAYA PERPANJANGAN STNK H 1598 UW DEPO KEBUMEN</t>
  </si>
  <si>
    <t>DY057034</t>
  </si>
  <si>
    <t>BAYAR HUTANG PT.GIM</t>
  </si>
  <si>
    <t>DY057067</t>
  </si>
  <si>
    <t>DK065564</t>
  </si>
  <si>
    <t>BIAYA PIKET LEBARAN DEPO WONOGIRI</t>
  </si>
  <si>
    <t>DY057033</t>
  </si>
  <si>
    <t>BAYAR HUTANG PT.GFI</t>
  </si>
  <si>
    <t>DY057066</t>
  </si>
  <si>
    <t>DK065563</t>
  </si>
  <si>
    <t>BIAYA TAGIHAN INTERNET BULAN MEI 19</t>
  </si>
  <si>
    <t>DY057032</t>
  </si>
  <si>
    <t>PT. Forisa Nusa Perdana</t>
  </si>
  <si>
    <t>DY057065</t>
  </si>
  <si>
    <t>DK065562</t>
  </si>
  <si>
    <t>BAYAR BPJS KESEHATAN</t>
  </si>
  <si>
    <t>DY057031</t>
  </si>
  <si>
    <t>favourite jaya food</t>
  </si>
  <si>
    <t>DY057064</t>
  </si>
  <si>
    <t>DK065561</t>
  </si>
  <si>
    <t>PENGGANTIAN BO,NON BO DEPO PEKALONGAN</t>
  </si>
  <si>
    <t>DY057030</t>
  </si>
  <si>
    <t>BAYAR HUTANG PT.DUNIA BINTANG WALET</t>
  </si>
  <si>
    <t>DY057063</t>
  </si>
  <si>
    <t>DK065560</t>
  </si>
  <si>
    <t>PENGGANTIAN BO,NON BO DEPO SMG</t>
  </si>
  <si>
    <t>DY057029</t>
  </si>
  <si>
    <t>BAYAR HUTANG PT.ARNOTTS</t>
  </si>
  <si>
    <t>DY057062</t>
  </si>
  <si>
    <t>DK065559</t>
  </si>
  <si>
    <t>DY057028</t>
  </si>
  <si>
    <t>BAYAR HUTANG BUNGA PINJAMAN OCBC</t>
  </si>
  <si>
    <t>DY057061</t>
  </si>
  <si>
    <t>DK065558</t>
  </si>
  <si>
    <t>DY057027</t>
  </si>
  <si>
    <t>BAYAR HUTANG BUNGA PINJAMN UOB</t>
  </si>
  <si>
    <t>DY057060</t>
  </si>
  <si>
    <t>DK065557</t>
  </si>
  <si>
    <t>wonogiri-PENGGANTIAN BO DEPO WONOGIRI</t>
  </si>
  <si>
    <t>DY057026</t>
  </si>
  <si>
    <t>BAYAR HUTANG BUNGA PINJAMAN HSBC</t>
  </si>
  <si>
    <t>DY057059</t>
  </si>
  <si>
    <t>DK065556</t>
  </si>
  <si>
    <t>DY056800</t>
  </si>
  <si>
    <t>BAYAR HUTANG NLS</t>
  </si>
  <si>
    <t>DY057058</t>
  </si>
  <si>
    <t>DK065555</t>
  </si>
  <si>
    <t>PENGGANTIAN BO DEPO JOGJA</t>
  </si>
  <si>
    <t>DY056799</t>
  </si>
  <si>
    <t>DY057057</t>
  </si>
  <si>
    <t>DK065554</t>
  </si>
  <si>
    <t>DY056798</t>
  </si>
  <si>
    <t>DY057056</t>
  </si>
  <si>
    <t>DK065553</t>
  </si>
  <si>
    <t>DY056788</t>
  </si>
  <si>
    <t>DY057055</t>
  </si>
  <si>
    <t>DK065552</t>
  </si>
  <si>
    <t>PENGGANTIAN BO DEPO MGL</t>
  </si>
  <si>
    <t>DY056787</t>
  </si>
  <si>
    <t>BAYAR HUTANG BUNGA BANK UOB</t>
  </si>
  <si>
    <t>DY057054</t>
  </si>
  <si>
    <t>DK065551</t>
  </si>
  <si>
    <t>DY056783</t>
  </si>
  <si>
    <t>DY057053</t>
  </si>
  <si>
    <t>DK063871</t>
  </si>
  <si>
    <t>PENGGANTIAN BO,NON DEPO PURWOKERTO</t>
  </si>
  <si>
    <t>DY056781</t>
  </si>
  <si>
    <t>BAYAR HUTANG DAGANG YIJG</t>
  </si>
  <si>
    <t>DY057052</t>
  </si>
  <si>
    <t>DK063869</t>
  </si>
  <si>
    <t>PENGGANTIAN BO,NON BO DEPO SOLO</t>
  </si>
  <si>
    <t>DY056780</t>
  </si>
  <si>
    <t>BAYAR HUTANG DAGANG EVER</t>
  </si>
  <si>
    <t>DY057051</t>
  </si>
  <si>
    <t>DK063868</t>
  </si>
  <si>
    <t>DY056779</t>
  </si>
  <si>
    <t>BAYAR HUTANG PT.RDSI</t>
  </si>
  <si>
    <t>DY055291</t>
  </si>
  <si>
    <t>Tanggal penggunaan</t>
  </si>
  <si>
    <t>Jumlah</t>
  </si>
  <si>
    <t>Keperluan</t>
  </si>
  <si>
    <t>NO BG</t>
  </si>
  <si>
    <t xml:space="preserve">NO </t>
  </si>
  <si>
    <t xml:space="preserve">NO CEK </t>
  </si>
  <si>
    <t>JENIS REK -COLLECTION</t>
  </si>
  <si>
    <t>JENIS REK :OPERATIONAL</t>
  </si>
  <si>
    <t>NO REK :445-126-3999</t>
  </si>
  <si>
    <t>NO REK :445 1267889</t>
  </si>
  <si>
    <t xml:space="preserve">NAMA BANK : BCA </t>
  </si>
  <si>
    <t>NAMA BANK :BCA</t>
  </si>
  <si>
    <t>DAFTAR NO BG</t>
  </si>
  <si>
    <t>DAFTAR NO CEK</t>
  </si>
  <si>
    <t>PAID</t>
  </si>
  <si>
    <t>BULAN LALU YANG BLM DIBAYAR</t>
  </si>
  <si>
    <t>MANAGEMENT FEE</t>
  </si>
  <si>
    <t>DBW-HUTANG DAGANG</t>
  </si>
  <si>
    <t>HSBC - HUTANG BANK DAN BUNGA</t>
  </si>
  <si>
    <t>EIT - HUTANG DAGANG</t>
  </si>
  <si>
    <t xml:space="preserve">ITF - HUTANG DAGANG </t>
  </si>
  <si>
    <t>YTI - HUTANG DAGANG</t>
  </si>
  <si>
    <t>HSBC - HUTANG BANK</t>
  </si>
  <si>
    <t>AI - HUTANG DAGANG</t>
  </si>
  <si>
    <t>EIT-HUTANG DAGANG</t>
  </si>
  <si>
    <t>DY 531651</t>
  </si>
  <si>
    <t>DY 531652</t>
  </si>
  <si>
    <t>DY 531653</t>
  </si>
  <si>
    <t>DY 531654</t>
  </si>
  <si>
    <t>DY 531655</t>
  </si>
  <si>
    <t>DY 531656</t>
  </si>
  <si>
    <t>DY 531657</t>
  </si>
  <si>
    <t>DY 531658</t>
  </si>
  <si>
    <t>DY 531659</t>
  </si>
  <si>
    <t>DY 531660</t>
  </si>
  <si>
    <t>DY 531661</t>
  </si>
  <si>
    <t>DY 531662</t>
  </si>
  <si>
    <t>DY 531663</t>
  </si>
  <si>
    <t>DY 531664</t>
  </si>
  <si>
    <t>DY 531665</t>
  </si>
  <si>
    <t>DY 531666</t>
  </si>
  <si>
    <t>DY 531667</t>
  </si>
  <si>
    <t>DY 531668</t>
  </si>
  <si>
    <t>DY 531669</t>
  </si>
  <si>
    <t>DY 531670</t>
  </si>
  <si>
    <t>DY 531671</t>
  </si>
  <si>
    <t>DY 531672</t>
  </si>
  <si>
    <t>DY 531673</t>
  </si>
  <si>
    <t>DY 531674</t>
  </si>
  <si>
    <t>DY 531675</t>
  </si>
  <si>
    <t>DY 531676</t>
  </si>
  <si>
    <t>DY 531677</t>
  </si>
  <si>
    <t>DY 531678</t>
  </si>
  <si>
    <t>DY 531679</t>
  </si>
  <si>
    <t>DY 531680</t>
  </si>
  <si>
    <t>DY 531681</t>
  </si>
  <si>
    <t>DY 531682</t>
  </si>
  <si>
    <t>DY 531683</t>
  </si>
  <si>
    <t>DY 531684</t>
  </si>
  <si>
    <t>DY 531685</t>
  </si>
  <si>
    <t>DY 531686</t>
  </si>
  <si>
    <t>DY 531687</t>
  </si>
  <si>
    <t>DY 531688</t>
  </si>
  <si>
    <t>DY 531689</t>
  </si>
  <si>
    <t>DY 531690</t>
  </si>
  <si>
    <t>DY 531691</t>
  </si>
  <si>
    <t>DY 531692</t>
  </si>
  <si>
    <t>DY 531693</t>
  </si>
  <si>
    <t>DY 531694</t>
  </si>
  <si>
    <t>DY 531695</t>
  </si>
  <si>
    <t>DY 531696</t>
  </si>
  <si>
    <t>DY 531697</t>
  </si>
  <si>
    <t>DY 531698</t>
  </si>
  <si>
    <t>DY 531699</t>
  </si>
  <si>
    <t>DY 531700</t>
  </si>
  <si>
    <t>PENGGANTIAN BO NON BO MSS MGL</t>
  </si>
  <si>
    <t>PENGGANTIAN BO NON BO MSS JGJ</t>
  </si>
  <si>
    <t>PENGGANTIAN BO NON BO MSS PWT</t>
  </si>
  <si>
    <t>PENGGANTIAN BO NON BO MSS CILA</t>
  </si>
  <si>
    <t>PENGGANTIAN BO DAN NON BO MSS KBM</t>
  </si>
  <si>
    <t>PENGGANTIAN BO DAN NON BO MSS SOLO</t>
  </si>
  <si>
    <t>PENGGANTIAN BO DAN NON BO MSS SMG</t>
  </si>
  <si>
    <t>PENGGANTIAN BO DAN NON BO MSS PATI</t>
  </si>
  <si>
    <t>PENGGANTIAN BO DAN NON BO MSS PKL</t>
  </si>
  <si>
    <t>INSENTIF JPA Q4 LILI JAJULI</t>
  </si>
  <si>
    <t>FAUJI-MEETING BANDUNG</t>
  </si>
  <si>
    <t>PENGGANTIAN BO DAN NON BO MSS CILA</t>
  </si>
  <si>
    <t>PENGGANTIAN BO MSS PWT</t>
  </si>
  <si>
    <t>PENGGANTIAN BO MSS WGR</t>
  </si>
  <si>
    <t>PENGGANTIAN BO MSS KBM</t>
  </si>
  <si>
    <t>PENGGANTIAN BO MSS JGJ</t>
  </si>
  <si>
    <t>PENGGANTIAN BO MSS SOL</t>
  </si>
  <si>
    <t>PENGGANTIAN BO DAN NON BO MSS TEGAL</t>
  </si>
  <si>
    <t>PENGGANTIAN BO DAN NON BO MSS SLT</t>
  </si>
  <si>
    <t>PENGGANTIAN BO DAN NON BO MSS BLO</t>
  </si>
  <si>
    <t>PENGGANTIAN BO WGR</t>
  </si>
  <si>
    <t xml:space="preserve">PT SERASI AUTO RAYA-SEWA KENDARAAN JPA </t>
  </si>
  <si>
    <t xml:space="preserve">CV ABADI TRANS-BIAYA PENGANGUKAT </t>
  </si>
  <si>
    <t xml:space="preserve">CETAKAN </t>
  </si>
  <si>
    <t>PENGGANTIAN BO DAN NON BO SMG</t>
  </si>
  <si>
    <t xml:space="preserve">LKP LAKSITA PSIKOTEST </t>
  </si>
  <si>
    <t>FILING KABINET-CV MANDIRI</t>
  </si>
  <si>
    <t>PENGGANTIAN BO MSS PATI</t>
  </si>
  <si>
    <t>PENGGANTIAN BO DAN NON BO MSS TGL</t>
  </si>
  <si>
    <t xml:space="preserve">PILKAR PRIMA </t>
  </si>
  <si>
    <t>DY 531826</t>
  </si>
  <si>
    <t>DY 531827</t>
  </si>
  <si>
    <t>DY 531828</t>
  </si>
  <si>
    <t>DY 531829</t>
  </si>
  <si>
    <t>DY 531830</t>
  </si>
  <si>
    <t>DY 531831</t>
  </si>
  <si>
    <t>DY 531832</t>
  </si>
  <si>
    <t>DY 531833</t>
  </si>
  <si>
    <t>DY 531834</t>
  </si>
  <si>
    <t>DY 531835</t>
  </si>
  <si>
    <t>DY 531836</t>
  </si>
  <si>
    <t>DY 531837</t>
  </si>
  <si>
    <t>DY 531838</t>
  </si>
  <si>
    <t>DY 531839</t>
  </si>
  <si>
    <t>DY 531840</t>
  </si>
  <si>
    <t>DY 531841</t>
  </si>
  <si>
    <t>DY 531842</t>
  </si>
  <si>
    <t>DY 531843</t>
  </si>
  <si>
    <t>DY 531844</t>
  </si>
  <si>
    <t>DY 531845</t>
  </si>
  <si>
    <t>DY 531846</t>
  </si>
  <si>
    <t>PENGGANTIAN NON BO-JOGJA</t>
  </si>
  <si>
    <t>PENGGANTIAN NON BO-PKL</t>
  </si>
  <si>
    <t>PENGGANTIAN NON BO-PWT</t>
  </si>
  <si>
    <t>PENGGANTIAN NON BO-PATI</t>
  </si>
  <si>
    <t>SUMBERHARPINDO</t>
  </si>
  <si>
    <t>PENGANTIAN NON BO-SOLO</t>
  </si>
  <si>
    <t>PENGGANTIAN NON BO-MGL</t>
  </si>
  <si>
    <t>PENGGANTIAN NON BO-TGL</t>
  </si>
  <si>
    <t>PENGGANTIAN NON BO-BLO</t>
  </si>
  <si>
    <t>CF DEPAPER</t>
  </si>
  <si>
    <t>PENGGANTIAN BO-SMG</t>
  </si>
  <si>
    <t>PENGGANTIAN BO DAN NON BO -BLO</t>
  </si>
  <si>
    <t>PENGGANTIAN BO SLT</t>
  </si>
  <si>
    <t>PENGGANTIAN BO DAN NON BO -PATI</t>
  </si>
  <si>
    <t>DY 531847</t>
  </si>
  <si>
    <t>DY 531848</t>
  </si>
  <si>
    <t>DY 531849</t>
  </si>
  <si>
    <t>DY 531850</t>
  </si>
  <si>
    <t>PENG BO DAN NON BO -PATI</t>
  </si>
  <si>
    <t>JOKO -SEWA MOBIL AVANZA</t>
  </si>
  <si>
    <t>DY 532676</t>
  </si>
  <si>
    <t>DY 532677</t>
  </si>
  <si>
    <t>DY 532678</t>
  </si>
  <si>
    <t>DY 532679</t>
  </si>
  <si>
    <t>DY 532680</t>
  </si>
  <si>
    <t>DY 532681</t>
  </si>
  <si>
    <t>DY 532682</t>
  </si>
  <si>
    <t>DY 532683</t>
  </si>
  <si>
    <t>DY 532684</t>
  </si>
  <si>
    <t>DY 532685</t>
  </si>
  <si>
    <t>DY 532686</t>
  </si>
  <si>
    <t>DY 532687</t>
  </si>
  <si>
    <t>DY 532688</t>
  </si>
  <si>
    <t>DY 532689</t>
  </si>
  <si>
    <t>DY 532690</t>
  </si>
  <si>
    <t>DY 532691</t>
  </si>
  <si>
    <t>DY 532692</t>
  </si>
  <si>
    <t>DY 532693</t>
  </si>
  <si>
    <t>DY 532694</t>
  </si>
  <si>
    <t>DY 532695</t>
  </si>
  <si>
    <t>DY 532696</t>
  </si>
  <si>
    <t>DY 532697</t>
  </si>
  <si>
    <t>DY 532698</t>
  </si>
  <si>
    <t>DY 532699</t>
  </si>
  <si>
    <t>DY 532700</t>
  </si>
  <si>
    <t>DY 532701</t>
  </si>
  <si>
    <t>DY 532702</t>
  </si>
  <si>
    <t>DY 532703</t>
  </si>
  <si>
    <t>DY 532704</t>
  </si>
  <si>
    <t>DY 532705</t>
  </si>
  <si>
    <t>DY 532706</t>
  </si>
  <si>
    <t>DY 532707</t>
  </si>
  <si>
    <t>DY 532708</t>
  </si>
  <si>
    <t>DY 532709</t>
  </si>
  <si>
    <t>DY 532710</t>
  </si>
  <si>
    <t>DY 532711</t>
  </si>
  <si>
    <t>DY 532712</t>
  </si>
  <si>
    <t>DY 532713</t>
  </si>
  <si>
    <t>DY 532714</t>
  </si>
  <si>
    <t>DY 532715</t>
  </si>
  <si>
    <t>DY 532716</t>
  </si>
  <si>
    <t>DY 532717</t>
  </si>
  <si>
    <t>DY 532718</t>
  </si>
  <si>
    <t>DY 532719</t>
  </si>
  <si>
    <t>DY 532720</t>
  </si>
  <si>
    <t>DY 532721</t>
  </si>
  <si>
    <t>DY 532722</t>
  </si>
  <si>
    <t>DY 532723</t>
  </si>
  <si>
    <t>DY 532724</t>
  </si>
  <si>
    <t>DY 532725</t>
  </si>
  <si>
    <t>DY 532826</t>
  </si>
  <si>
    <t>DY 532827</t>
  </si>
  <si>
    <t>DY 532828</t>
  </si>
  <si>
    <t>DY 532829</t>
  </si>
  <si>
    <t>DY 532830</t>
  </si>
  <si>
    <t>DY 532831</t>
  </si>
  <si>
    <t>DY 532832</t>
  </si>
  <si>
    <t>DY 532833</t>
  </si>
  <si>
    <t>DY 532834</t>
  </si>
  <si>
    <t>DY 532835</t>
  </si>
  <si>
    <t>DY 532836</t>
  </si>
  <si>
    <t>DY 532837</t>
  </si>
  <si>
    <t>DY 532838</t>
  </si>
  <si>
    <t>DY 532839</t>
  </si>
  <si>
    <t>DY 532840</t>
  </si>
  <si>
    <t>DY 532841</t>
  </si>
  <si>
    <t>DY 532842</t>
  </si>
  <si>
    <t>DY 532843</t>
  </si>
  <si>
    <t>DY 532844</t>
  </si>
  <si>
    <t>DY 532845</t>
  </si>
  <si>
    <t>DY 532846</t>
  </si>
  <si>
    <t>DY 532847</t>
  </si>
  <si>
    <t>DY 532848</t>
  </si>
  <si>
    <t>DY 532849</t>
  </si>
  <si>
    <t>DY 532850</t>
  </si>
  <si>
    <t>DY 532926</t>
  </si>
  <si>
    <t>DY 532927</t>
  </si>
  <si>
    <t>DY 532928</t>
  </si>
  <si>
    <t>DY 532929</t>
  </si>
  <si>
    <t>DY 532930</t>
  </si>
  <si>
    <t>DY 532931</t>
  </si>
  <si>
    <t>DY 532932</t>
  </si>
  <si>
    <t>DY 532933</t>
  </si>
  <si>
    <t>DY 532934</t>
  </si>
  <si>
    <t>DY 532935</t>
  </si>
  <si>
    <t>DY 532936</t>
  </si>
  <si>
    <t>DY 532937</t>
  </si>
  <si>
    <t>DY 532938</t>
  </si>
  <si>
    <t>DY 532939</t>
  </si>
  <si>
    <t>DY 532940</t>
  </si>
  <si>
    <t>DY 532941</t>
  </si>
  <si>
    <t>DY 532942</t>
  </si>
  <si>
    <t>DY 532943</t>
  </si>
  <si>
    <t>DY 532944</t>
  </si>
  <si>
    <t>DY 532945</t>
  </si>
  <si>
    <t>DY 532946</t>
  </si>
  <si>
    <t>DY 532947</t>
  </si>
  <si>
    <t>DY 532948</t>
  </si>
  <si>
    <t>DY 532949</t>
  </si>
  <si>
    <t>DY 532950</t>
  </si>
  <si>
    <t>DY 532951</t>
  </si>
  <si>
    <t>PENGGANTIAN BO DAN NON BO JOGJA</t>
  </si>
  <si>
    <t>DY 532952</t>
  </si>
  <si>
    <t>DY 532953</t>
  </si>
  <si>
    <t>DY 532954</t>
  </si>
  <si>
    <t>DY 532955</t>
  </si>
  <si>
    <t>DY 532956</t>
  </si>
  <si>
    <t>DY 532957</t>
  </si>
  <si>
    <t>DY 532958</t>
  </si>
  <si>
    <t>DY 532959</t>
  </si>
  <si>
    <t>PENGGANTIAN BO DAN NON BO WGR</t>
  </si>
  <si>
    <t>PENGGANTIAN BO DAN NON BO SOLO</t>
  </si>
  <si>
    <t>PENGGANTIAN NON BO WGR</t>
  </si>
  <si>
    <t>PENGGANTIAN NON BO KBM</t>
  </si>
  <si>
    <t>PENGGANTIAN NON BO CILA</t>
  </si>
  <si>
    <t>DY 532960</t>
  </si>
  <si>
    <t>DY 532961</t>
  </si>
  <si>
    <t>DY 532962</t>
  </si>
  <si>
    <t>DY 532963</t>
  </si>
  <si>
    <t>DY 532964</t>
  </si>
  <si>
    <t>DY 532965</t>
  </si>
  <si>
    <t>DY 532966</t>
  </si>
  <si>
    <t>DY 532967</t>
  </si>
  <si>
    <t>DY 532968</t>
  </si>
  <si>
    <t>MAN FEE - SAS INDO</t>
  </si>
  <si>
    <t>PENGGANTIAN NON BO MSS SOLO</t>
  </si>
  <si>
    <t>PENGGANTIAN NON BO MSS JGJ</t>
  </si>
  <si>
    <t>PENGGANTIAN NON BO MSS CILA</t>
  </si>
  <si>
    <t>PENGGANTIAN NON BO MSS MGL</t>
  </si>
  <si>
    <t>PENGGANTIAN NON BO MSS PWT</t>
  </si>
  <si>
    <t>PENGGANTIAN NON BO MSS TGL</t>
  </si>
  <si>
    <t>PENGGANTIAN NON BO MSS SMG</t>
  </si>
  <si>
    <t>DY 532969</t>
  </si>
  <si>
    <t>DY 532970</t>
  </si>
  <si>
    <t>DY 532971</t>
  </si>
  <si>
    <t>DY 532972</t>
  </si>
  <si>
    <t>DY 532973</t>
  </si>
  <si>
    <t>DY 532974</t>
  </si>
  <si>
    <t>PENGGANTIAN NON BO MSS SLT</t>
  </si>
  <si>
    <t>PENGGANTIAN BO MSS BLO</t>
  </si>
  <si>
    <t>PENGGANTIAN  BO MSS SMG</t>
  </si>
  <si>
    <t>PENGGANTIAN BO MSS SLT</t>
  </si>
  <si>
    <t>PENGGANTIAN BO MSS SMG</t>
  </si>
  <si>
    <t>PENGGANTIAN BO MSS PKL</t>
  </si>
  <si>
    <t>PENGGANTIAN BO MSS PAT</t>
  </si>
  <si>
    <t>PENGGANTIAN BO MSS TGL</t>
  </si>
  <si>
    <t>DY 532975</t>
  </si>
  <si>
    <t>PENGGANTIAN NON BO JGJ</t>
  </si>
  <si>
    <t>PENGGANTIAN BO DAN NON BO MSS WGR</t>
  </si>
  <si>
    <t>PENGGANTIAN BO DAN NON BO MSS JGJ</t>
  </si>
  <si>
    <t>PENGGANTIAN BO DAN NON BO MSS MGL</t>
  </si>
  <si>
    <t>PENGGANTIAN BO DAN NON BO MSS PWT</t>
  </si>
  <si>
    <t>PENGGANTIAN BO MSS CILA</t>
  </si>
  <si>
    <t>PENGGANTIAN NON BO MSS PATI</t>
  </si>
  <si>
    <t>PENGGANTIAN NON BO MSS KBM</t>
  </si>
  <si>
    <t>PENGGANTIAN BO MSS MGL</t>
  </si>
  <si>
    <t>PENGGANTIAN BO MSS JOG</t>
  </si>
  <si>
    <t>YURIKA TOU-TIKET PESWAT</t>
  </si>
  <si>
    <t>PENG BO DAN NON BO MSS PWT</t>
  </si>
  <si>
    <t>INTERNET</t>
  </si>
  <si>
    <t>DY 533176</t>
  </si>
  <si>
    <t>DY 533177</t>
  </si>
  <si>
    <t>DY 533178</t>
  </si>
  <si>
    <t>DY 533179</t>
  </si>
  <si>
    <t>DY 533180</t>
  </si>
  <si>
    <t>DY 533181</t>
  </si>
  <si>
    <t>DY 533182</t>
  </si>
  <si>
    <t>DY 533183</t>
  </si>
  <si>
    <t>DY 533184</t>
  </si>
  <si>
    <t>DY 533185</t>
  </si>
  <si>
    <t>DY 533186</t>
  </si>
  <si>
    <t>DY 533187</t>
  </si>
  <si>
    <t>DY 533188</t>
  </si>
  <si>
    <t>DY 533189</t>
  </si>
  <si>
    <t>JEPARA</t>
  </si>
  <si>
    <t>URAIAN PEMBAYARAN</t>
  </si>
  <si>
    <t>LEASING MBL DROPPPING</t>
  </si>
  <si>
    <t>LEASING MBL DINAS</t>
  </si>
  <si>
    <t>RENTAL MOBIL (TRI)</t>
  </si>
  <si>
    <t>RENTAL MOBIL (LILY)</t>
  </si>
  <si>
    <t>PPH 21</t>
  </si>
  <si>
    <t>BPJS NAKER</t>
  </si>
  <si>
    <t>BULAN</t>
  </si>
  <si>
    <t>JMLH</t>
  </si>
  <si>
    <t>FEB</t>
  </si>
  <si>
    <t>MAR</t>
  </si>
  <si>
    <t>APR</t>
  </si>
  <si>
    <t>MEI</t>
  </si>
  <si>
    <t>JUNI</t>
  </si>
  <si>
    <t>JULI</t>
  </si>
  <si>
    <t>AUG</t>
  </si>
  <si>
    <t>SEPT</t>
  </si>
  <si>
    <t>OKT</t>
  </si>
  <si>
    <t>NOV</t>
  </si>
  <si>
    <t>DES</t>
  </si>
  <si>
    <t>JAN</t>
  </si>
  <si>
    <t>STATIONARIES HO</t>
  </si>
  <si>
    <t>STATIONARIES DEPO</t>
  </si>
  <si>
    <t>CETAKAN DEPO</t>
  </si>
  <si>
    <t>GAJI MNP</t>
  </si>
  <si>
    <t>GAJI YUPI</t>
  </si>
  <si>
    <t>GAJI EVER</t>
  </si>
  <si>
    <t>GAJI MIN</t>
  </si>
  <si>
    <t>GAJI FBI</t>
  </si>
  <si>
    <t>GAJI CERES</t>
  </si>
  <si>
    <t>INSENTIF REGULER</t>
  </si>
  <si>
    <t>INSENTIF YUPI</t>
  </si>
  <si>
    <t>INSENTIF MNP</t>
  </si>
  <si>
    <t>INSENTIF FONTERA</t>
  </si>
  <si>
    <t>INSENTIF MIN</t>
  </si>
  <si>
    <t>INSENTIF EVER</t>
  </si>
  <si>
    <t>CONTROL INSENTIF DROPPING</t>
  </si>
  <si>
    <t>JANUARI</t>
  </si>
  <si>
    <t>WEEK-1</t>
  </si>
  <si>
    <t>WEEK-2</t>
  </si>
  <si>
    <t>WEEK-3</t>
  </si>
  <si>
    <t>WEEK-4</t>
  </si>
  <si>
    <t>WEEK-5</t>
  </si>
  <si>
    <t>TAGGAL/RP</t>
  </si>
  <si>
    <t>RUPIAH</t>
  </si>
  <si>
    <t>UANG KOST</t>
  </si>
  <si>
    <t>FEBRUARI</t>
  </si>
  <si>
    <t>MARET</t>
  </si>
  <si>
    <t>TAHUN 2020</t>
  </si>
  <si>
    <t>APRIL</t>
  </si>
  <si>
    <t>OKTOBER</t>
  </si>
  <si>
    <t>SEPTEMBER</t>
  </si>
  <si>
    <t>AGUSTUS</t>
  </si>
  <si>
    <t>DY 533190</t>
  </si>
  <si>
    <t>DY 533191</t>
  </si>
  <si>
    <t>DY 533192</t>
  </si>
  <si>
    <t>DY 533193</t>
  </si>
  <si>
    <t>DY 533194</t>
  </si>
  <si>
    <t>DY 533195</t>
  </si>
  <si>
    <t>DY 533196</t>
  </si>
  <si>
    <t>DY 533197</t>
  </si>
  <si>
    <t>DY 533198</t>
  </si>
  <si>
    <t>DY 533199</t>
  </si>
  <si>
    <t>DY 533200</t>
  </si>
  <si>
    <t>DY 533201</t>
  </si>
  <si>
    <t>DY 533202</t>
  </si>
  <si>
    <t>DY 533203</t>
  </si>
  <si>
    <t>DY 533204</t>
  </si>
  <si>
    <t>DY 533205</t>
  </si>
  <si>
    <t>DY 533206</t>
  </si>
  <si>
    <t>DY 533207</t>
  </si>
  <si>
    <t>DY 533208</t>
  </si>
  <si>
    <t>DY 533209</t>
  </si>
  <si>
    <t>DY 533210</t>
  </si>
  <si>
    <t>DY 533211</t>
  </si>
  <si>
    <t>DY 533212</t>
  </si>
  <si>
    <t>DY 533213</t>
  </si>
  <si>
    <t>DY 533214</t>
  </si>
  <si>
    <t>DY 533215</t>
  </si>
  <si>
    <t>DY 533216</t>
  </si>
  <si>
    <t>DY 533217</t>
  </si>
  <si>
    <t>DY 533218</t>
  </si>
  <si>
    <t>DY 533219</t>
  </si>
  <si>
    <t>DY 533220</t>
  </si>
  <si>
    <t>DY 533221</t>
  </si>
  <si>
    <t>DY 533222</t>
  </si>
  <si>
    <t>MSS MAGELANG - BO NON BO</t>
  </si>
  <si>
    <t>MSS JOGJA - BO NON BO</t>
  </si>
  <si>
    <t xml:space="preserve">DANA KOPERASI </t>
  </si>
  <si>
    <t>GM PT MSS - INSENTIF FOYU JAN '20</t>
  </si>
  <si>
    <t>RSM PANSEL - INSENTIF FIYU JAN '20</t>
  </si>
  <si>
    <t>MPP - PAJAKK MOBIL GM</t>
  </si>
  <si>
    <t>JOKO R - MOBIL PAK TRI</t>
  </si>
  <si>
    <t>PT PILAR PRIMA - JNT</t>
  </si>
  <si>
    <t xml:space="preserve">MSS PATI - NON BO </t>
  </si>
  <si>
    <t xml:space="preserve">MSS SLT- NON BO </t>
  </si>
  <si>
    <t xml:space="preserve">MSS SMG - NON BO </t>
  </si>
  <si>
    <t>MSS BLORA - NON BO</t>
  </si>
  <si>
    <t>MSS TGL - NON BO</t>
  </si>
  <si>
    <t xml:space="preserve">MSS PKL - NON BO </t>
  </si>
  <si>
    <t xml:space="preserve">HAPSARA - GENSET MOBIL </t>
  </si>
  <si>
    <t>CV ABADI TRANS - ANGKUT JGJ</t>
  </si>
  <si>
    <t>QUEST HOTEL</t>
  </si>
  <si>
    <t>MSS CILA - NON BO</t>
  </si>
  <si>
    <t xml:space="preserve">MSS WGR - NON BO </t>
  </si>
  <si>
    <t xml:space="preserve">MSS PWT - NON BO </t>
  </si>
  <si>
    <t xml:space="preserve">MSS KBM - NON BO </t>
  </si>
  <si>
    <t xml:space="preserve">MSS MGL - NON BO </t>
  </si>
  <si>
    <t>DY 533223</t>
  </si>
  <si>
    <t>DY 533224</t>
  </si>
  <si>
    <t>DY 533225</t>
  </si>
  <si>
    <t xml:space="preserve">MSS SOLO - NON BO </t>
  </si>
  <si>
    <t xml:space="preserve">MSS JOGJA - NON BO </t>
  </si>
  <si>
    <t>DY 533251</t>
  </si>
  <si>
    <t>DY 533252</t>
  </si>
  <si>
    <t>DY 533253</t>
  </si>
  <si>
    <t>DY 533254</t>
  </si>
  <si>
    <t>DY 533255</t>
  </si>
  <si>
    <t>DY 533256</t>
  </si>
  <si>
    <t>DY 533257</t>
  </si>
  <si>
    <t>DY 533258</t>
  </si>
  <si>
    <t>DY 533259</t>
  </si>
  <si>
    <t>DY 533260</t>
  </si>
  <si>
    <t>DY 533261</t>
  </si>
  <si>
    <t>DY 533262</t>
  </si>
  <si>
    <t>DY 533263</t>
  </si>
  <si>
    <t>DY 533264</t>
  </si>
  <si>
    <t>DY 533265</t>
  </si>
  <si>
    <t>DY 533266</t>
  </si>
  <si>
    <t>DY 533267</t>
  </si>
  <si>
    <t>DY 533268</t>
  </si>
  <si>
    <t>DY 533269</t>
  </si>
  <si>
    <t>DY 533270</t>
  </si>
  <si>
    <t>DY 533271</t>
  </si>
  <si>
    <t>DY 533272</t>
  </si>
  <si>
    <t>DY 533273</t>
  </si>
  <si>
    <t>DY 533274</t>
  </si>
  <si>
    <t>DY 533275</t>
  </si>
  <si>
    <t>DY 533526</t>
  </si>
  <si>
    <t>DY 533527</t>
  </si>
  <si>
    <t>DY 533528</t>
  </si>
  <si>
    <t>DY 533529</t>
  </si>
  <si>
    <t>DY 533530</t>
  </si>
  <si>
    <t>DY 533531</t>
  </si>
  <si>
    <t>DY 533532</t>
  </si>
  <si>
    <t>DY 533533</t>
  </si>
  <si>
    <t>DY 533534</t>
  </si>
  <si>
    <t>DY 533535</t>
  </si>
  <si>
    <t>DY 533536</t>
  </si>
  <si>
    <t>DY 533537</t>
  </si>
  <si>
    <t>DY 533538</t>
  </si>
  <si>
    <t>DY 533539</t>
  </si>
  <si>
    <t>DY 533540</t>
  </si>
  <si>
    <t>DY 533541</t>
  </si>
  <si>
    <t>DY 533542</t>
  </si>
  <si>
    <t>DY 533543</t>
  </si>
  <si>
    <t>DY 533544</t>
  </si>
  <si>
    <t>DY 533545</t>
  </si>
  <si>
    <t>DY 533546</t>
  </si>
  <si>
    <t>DY 533547</t>
  </si>
  <si>
    <t>DY 533548</t>
  </si>
  <si>
    <t>DY 533549</t>
  </si>
  <si>
    <t>DY 533550</t>
  </si>
  <si>
    <t>DY 533551</t>
  </si>
  <si>
    <t>DY 533552</t>
  </si>
  <si>
    <t>DY 533553</t>
  </si>
  <si>
    <t>DY 533554</t>
  </si>
  <si>
    <t>DY 533555</t>
  </si>
  <si>
    <t>DY 533556</t>
  </si>
  <si>
    <t>DY 533557</t>
  </si>
  <si>
    <t>DY 533558</t>
  </si>
  <si>
    <t>DY 533559</t>
  </si>
  <si>
    <t>DY 533560</t>
  </si>
  <si>
    <t>DY 533561</t>
  </si>
  <si>
    <t>DY 533562</t>
  </si>
  <si>
    <t>DY 533563</t>
  </si>
  <si>
    <t>DY 533564</t>
  </si>
  <si>
    <t>DY 533565</t>
  </si>
  <si>
    <t>DY 533566</t>
  </si>
  <si>
    <t>DY 533567</t>
  </si>
  <si>
    <t>DY 533568</t>
  </si>
  <si>
    <t>DY 533569</t>
  </si>
  <si>
    <t>DY 533570</t>
  </si>
  <si>
    <t>DY 533571</t>
  </si>
  <si>
    <t>DY 533572</t>
  </si>
  <si>
    <t>DY 533573</t>
  </si>
  <si>
    <t>DY 533574</t>
  </si>
  <si>
    <t>DY 533575</t>
  </si>
  <si>
    <t>DY 533576</t>
  </si>
  <si>
    <t>DY 533577</t>
  </si>
  <si>
    <t>DY 533578</t>
  </si>
  <si>
    <t>DY 533579</t>
  </si>
  <si>
    <t>DY 533580</t>
  </si>
  <si>
    <t>DY 533581</t>
  </si>
  <si>
    <t>DY 533582</t>
  </si>
  <si>
    <t>DY 533583</t>
  </si>
  <si>
    <t>DY 533584</t>
  </si>
  <si>
    <t>DY 533585</t>
  </si>
  <si>
    <t>DY 533586</t>
  </si>
  <si>
    <t>DY 533587</t>
  </si>
  <si>
    <t>DY 533588</t>
  </si>
  <si>
    <t>DY 533589</t>
  </si>
  <si>
    <t>DY 533590</t>
  </si>
  <si>
    <t>DY 533591</t>
  </si>
  <si>
    <t>DY 533592</t>
  </si>
  <si>
    <t>DY 533593</t>
  </si>
  <si>
    <t>DY 533594</t>
  </si>
  <si>
    <t>DY 533595</t>
  </si>
  <si>
    <t>DY 533596</t>
  </si>
  <si>
    <t>DY 533597</t>
  </si>
  <si>
    <t>DY 533598</t>
  </si>
  <si>
    <t>DY 533599</t>
  </si>
  <si>
    <t>DY 533600</t>
  </si>
  <si>
    <t>DY 533601</t>
  </si>
  <si>
    <t>DY 533602</t>
  </si>
  <si>
    <t>DY 533603</t>
  </si>
  <si>
    <t>DY 533604</t>
  </si>
  <si>
    <t>DY 533605</t>
  </si>
  <si>
    <t>DY 533606</t>
  </si>
  <si>
    <t>DY 533607</t>
  </si>
  <si>
    <t>DY 533608</t>
  </si>
  <si>
    <t>DY 533609</t>
  </si>
  <si>
    <t>DY 533610</t>
  </si>
  <si>
    <t>DY 533611</t>
  </si>
  <si>
    <t>DY 533612</t>
  </si>
  <si>
    <t>DY 533613</t>
  </si>
  <si>
    <t>DY 533614</t>
  </si>
  <si>
    <t>DY 533615</t>
  </si>
  <si>
    <t>DY 533616</t>
  </si>
  <si>
    <t>DY 533617</t>
  </si>
  <si>
    <t>DY 533618</t>
  </si>
  <si>
    <t>DY 533619</t>
  </si>
  <si>
    <t>DY 533620</t>
  </si>
  <si>
    <t>DY 533621</t>
  </si>
  <si>
    <t>DY 533622</t>
  </si>
  <si>
    <t>DY 533623</t>
  </si>
  <si>
    <t>DY 533624</t>
  </si>
  <si>
    <t>DY 533625</t>
  </si>
  <si>
    <t>DY 533651</t>
  </si>
  <si>
    <t>DY 533652</t>
  </si>
  <si>
    <t>DY 533653</t>
  </si>
  <si>
    <t>DY 533654</t>
  </si>
  <si>
    <t>DY 533655</t>
  </si>
  <si>
    <t>DY 533656</t>
  </si>
  <si>
    <t>DY 533657</t>
  </si>
  <si>
    <t>DY 533658</t>
  </si>
  <si>
    <t>DY 533659</t>
  </si>
  <si>
    <t>DY 533660</t>
  </si>
  <si>
    <t>DY 533661</t>
  </si>
  <si>
    <t>DY 533662</t>
  </si>
  <si>
    <t>DY 533663</t>
  </si>
  <si>
    <t>DY 533664</t>
  </si>
  <si>
    <t>DY 533665</t>
  </si>
  <si>
    <t>DY 533666</t>
  </si>
  <si>
    <t>DY 533667</t>
  </si>
  <si>
    <t>DY 533668</t>
  </si>
  <si>
    <t>DY 533669</t>
  </si>
  <si>
    <t>DY 533670</t>
  </si>
  <si>
    <t>DY 533671</t>
  </si>
  <si>
    <t>DY 533672</t>
  </si>
  <si>
    <t>DY 533673</t>
  </si>
  <si>
    <t>DY 533674</t>
  </si>
  <si>
    <t>DY 533675</t>
  </si>
  <si>
    <t>DY 533826</t>
  </si>
  <si>
    <t>DY 533827</t>
  </si>
  <si>
    <t>DY 533828</t>
  </si>
  <si>
    <t>DY 533829</t>
  </si>
  <si>
    <t>DY 533830</t>
  </si>
  <si>
    <t>DY 533831</t>
  </si>
  <si>
    <t>DY 533832</t>
  </si>
  <si>
    <t>DY 533833</t>
  </si>
  <si>
    <t>DY 533834</t>
  </si>
  <si>
    <t>DY 533835</t>
  </si>
  <si>
    <t>DY 533836</t>
  </si>
  <si>
    <t>DY 533837</t>
  </si>
  <si>
    <t>DY 533838</t>
  </si>
  <si>
    <t>DY 533839</t>
  </si>
  <si>
    <t>DY 533840</t>
  </si>
  <si>
    <t>DY 533841</t>
  </si>
  <si>
    <t>DY 533842</t>
  </si>
  <si>
    <t>DY 533843</t>
  </si>
  <si>
    <t>DY 533844</t>
  </si>
  <si>
    <t>DY 533845</t>
  </si>
  <si>
    <t>DY 533846</t>
  </si>
  <si>
    <t>DY 533847</t>
  </si>
  <si>
    <t>DY 533848</t>
  </si>
  <si>
    <t>DY 533849</t>
  </si>
  <si>
    <t>DY 533850</t>
  </si>
  <si>
    <t>DY 533851</t>
  </si>
  <si>
    <t>DY 533852</t>
  </si>
  <si>
    <t>DY 533853</t>
  </si>
  <si>
    <t>DY 533854</t>
  </si>
  <si>
    <t>DY 533855</t>
  </si>
  <si>
    <t>DY 533856</t>
  </si>
  <si>
    <t>DY 533857</t>
  </si>
  <si>
    <t>DY 533858</t>
  </si>
  <si>
    <t>DY 533859</t>
  </si>
  <si>
    <t>DY 533860</t>
  </si>
  <si>
    <t>DY 533861</t>
  </si>
  <si>
    <t>DY 533862</t>
  </si>
  <si>
    <t>DY 533863</t>
  </si>
  <si>
    <t>DY 533864</t>
  </si>
  <si>
    <t>DY 533865</t>
  </si>
  <si>
    <t>DY 533866</t>
  </si>
  <si>
    <t>DY 533867</t>
  </si>
  <si>
    <t>DY 533868</t>
  </si>
  <si>
    <t>DY 533869</t>
  </si>
  <si>
    <t>DY 533870</t>
  </si>
  <si>
    <t>DY 533871</t>
  </si>
  <si>
    <t>DY 533872</t>
  </si>
  <si>
    <t>DY 533873</t>
  </si>
  <si>
    <t>DY 533874</t>
  </si>
  <si>
    <t>DY 533875</t>
  </si>
  <si>
    <t>DY 533876</t>
  </si>
  <si>
    <t>DY 533877</t>
  </si>
  <si>
    <t>DY 533878</t>
  </si>
  <si>
    <t>DY 533879</t>
  </si>
  <si>
    <t>DY 533880</t>
  </si>
  <si>
    <t>DY 533881</t>
  </si>
  <si>
    <t>DY 533882</t>
  </si>
  <si>
    <t>DY 533883</t>
  </si>
  <si>
    <t>DY 533884</t>
  </si>
  <si>
    <t>DY 533885</t>
  </si>
  <si>
    <t>DY 533886</t>
  </si>
  <si>
    <t>DY 533887</t>
  </si>
  <si>
    <t>DY 533888</t>
  </si>
  <si>
    <t>DY 533889</t>
  </si>
  <si>
    <t>DY 533890</t>
  </si>
  <si>
    <t>DY 533891</t>
  </si>
  <si>
    <t>DY 533892</t>
  </si>
  <si>
    <t>DY 533893</t>
  </si>
  <si>
    <t>DY 533894</t>
  </si>
  <si>
    <t>DY 533895</t>
  </si>
  <si>
    <t>DY 533896</t>
  </si>
  <si>
    <t>DY 533897</t>
  </si>
  <si>
    <t>DY 533898</t>
  </si>
  <si>
    <t>DY 533899</t>
  </si>
  <si>
    <t>DY 533900</t>
  </si>
  <si>
    <t>DY 533901</t>
  </si>
  <si>
    <t>DY 533902</t>
  </si>
  <si>
    <t>DY 533903</t>
  </si>
  <si>
    <t>DY 533904</t>
  </si>
  <si>
    <t>DY 533905</t>
  </si>
  <si>
    <t>DY 533906</t>
  </si>
  <si>
    <t>DY 533907</t>
  </si>
  <si>
    <t>DY 533908</t>
  </si>
  <si>
    <t>DY 533909</t>
  </si>
  <si>
    <t>DY 533910</t>
  </si>
  <si>
    <t>DY 533911</t>
  </si>
  <si>
    <t>DY 533912</t>
  </si>
  <si>
    <t>DY 533913</t>
  </si>
  <si>
    <t>DY 533914</t>
  </si>
  <si>
    <t>DY 533915</t>
  </si>
  <si>
    <t>DY 533916</t>
  </si>
  <si>
    <t>DY 533917</t>
  </si>
  <si>
    <t>DY 533918</t>
  </si>
  <si>
    <t>DY 533919</t>
  </si>
  <si>
    <t>DY 533920</t>
  </si>
  <si>
    <t>DY 533921</t>
  </si>
  <si>
    <t>DY 533922</t>
  </si>
  <si>
    <t>DY 533923</t>
  </si>
  <si>
    <t>DY 533924</t>
  </si>
  <si>
    <t>DY 533925</t>
  </si>
  <si>
    <t>FNP - H DAGANG</t>
  </si>
  <si>
    <t xml:space="preserve">EIT - H DAGANG </t>
  </si>
  <si>
    <t xml:space="preserve">GIM - H DAGANG </t>
  </si>
  <si>
    <t>DIFI FBI - H BANK DANAMON</t>
  </si>
  <si>
    <t>DIFI MIN - H BANK NIAGA</t>
  </si>
  <si>
    <t>DIFI NLS - H BANK DANAMON</t>
  </si>
  <si>
    <t>DIFI YIJG - H BANK NIAGA</t>
  </si>
  <si>
    <t xml:space="preserve">DIFI FBI - H BANK DANAMON </t>
  </si>
  <si>
    <t xml:space="preserve">MBR FD - H DAGANG </t>
  </si>
  <si>
    <t xml:space="preserve">JPA - H DAGANG </t>
  </si>
  <si>
    <t xml:space="preserve">MBR - H DAGANG </t>
  </si>
  <si>
    <t xml:space="preserve">ITF - H DAGANG </t>
  </si>
  <si>
    <t xml:space="preserve">DIFI PIC - H BANK DANAMON </t>
  </si>
  <si>
    <t xml:space="preserve">VOID </t>
  </si>
  <si>
    <t xml:space="preserve">RDSI - H DAGANG </t>
  </si>
  <si>
    <t>BCA - H BANK + BUNGA</t>
  </si>
  <si>
    <t xml:space="preserve">OCBC - H BANK </t>
  </si>
  <si>
    <t>HSBC - H BANK + BUNGA</t>
  </si>
  <si>
    <t xml:space="preserve">BCA - H BANK </t>
  </si>
  <si>
    <t xml:space="preserve">HSBC - H BANK </t>
  </si>
  <si>
    <t xml:space="preserve">AI - H DAGANG </t>
  </si>
  <si>
    <t xml:space="preserve">SAS INDO - MAN FEE </t>
  </si>
  <si>
    <t>DIFI YIJG - BUNGA JAN '20</t>
  </si>
  <si>
    <t>DIFI PIC - BUNGA JAN '20</t>
  </si>
  <si>
    <t>DIFI NLS - BUNGA JAN '20</t>
  </si>
  <si>
    <t>DIFI GFI - BUNGA JAN '20</t>
  </si>
  <si>
    <t>DIFI MIN - H BANK + BUNGA JAN '20</t>
  </si>
  <si>
    <t xml:space="preserve">SPB - H DAGANG </t>
  </si>
  <si>
    <t>DG 186976</t>
  </si>
  <si>
    <t>DG 186977</t>
  </si>
  <si>
    <t>DG 186978</t>
  </si>
  <si>
    <t>DG 186979</t>
  </si>
  <si>
    <t>DG 186980</t>
  </si>
  <si>
    <t>DG 186981</t>
  </si>
  <si>
    <t>DG 186982</t>
  </si>
  <si>
    <t>DG 186983</t>
  </si>
  <si>
    <t>DG 186984</t>
  </si>
  <si>
    <t>DG 186985</t>
  </si>
  <si>
    <t>DG 186986</t>
  </si>
  <si>
    <t>DG 186987</t>
  </si>
  <si>
    <t>DG 186988</t>
  </si>
  <si>
    <t>DG 186989</t>
  </si>
  <si>
    <t>DG 186990</t>
  </si>
  <si>
    <t>DG 186991</t>
  </si>
  <si>
    <t>DG 186992</t>
  </si>
  <si>
    <t>DG 186993</t>
  </si>
  <si>
    <t>DG 186994</t>
  </si>
  <si>
    <t>DG 186995</t>
  </si>
  <si>
    <t>DG 186996</t>
  </si>
  <si>
    <t>DG 186997</t>
  </si>
  <si>
    <t>DG 186998</t>
  </si>
  <si>
    <t>DG 186999</t>
  </si>
  <si>
    <t>DG 187000</t>
  </si>
  <si>
    <t>27/12/'2019</t>
  </si>
  <si>
    <t xml:space="preserve">SWADHARMA FINANCE </t>
  </si>
  <si>
    <t>DY 534001</t>
  </si>
  <si>
    <t>DY 534002</t>
  </si>
  <si>
    <t>DY 534003</t>
  </si>
  <si>
    <t>DY 534004</t>
  </si>
  <si>
    <t>DY 534005</t>
  </si>
  <si>
    <t>DY 534006</t>
  </si>
  <si>
    <t>DY 534007</t>
  </si>
  <si>
    <t>DY 534008</t>
  </si>
  <si>
    <t>DY 534009</t>
  </si>
  <si>
    <t>DY 534010</t>
  </si>
  <si>
    <t>DY 534011</t>
  </si>
  <si>
    <t>DY 534012</t>
  </si>
  <si>
    <t>DY 534013</t>
  </si>
  <si>
    <t>DY 534014</t>
  </si>
  <si>
    <t>DY 534015</t>
  </si>
  <si>
    <t>DY 534016</t>
  </si>
  <si>
    <t>DY 534017</t>
  </si>
  <si>
    <t>DY 534018</t>
  </si>
  <si>
    <t>DY 534019</t>
  </si>
  <si>
    <t>DY 534020</t>
  </si>
  <si>
    <t>DY 534021</t>
  </si>
  <si>
    <t>DY 534022</t>
  </si>
  <si>
    <t>DY 534023</t>
  </si>
  <si>
    <t>DY 534024</t>
  </si>
  <si>
    <t>DY 534025</t>
  </si>
  <si>
    <t>DY 534026</t>
  </si>
  <si>
    <t>DY 534027</t>
  </si>
  <si>
    <t>DY 534028</t>
  </si>
  <si>
    <t>DY 534029</t>
  </si>
  <si>
    <t>DY 534030</t>
  </si>
  <si>
    <t>DY 534031</t>
  </si>
  <si>
    <t>DY 534032</t>
  </si>
  <si>
    <t>DY 534033</t>
  </si>
  <si>
    <t>DY 534034</t>
  </si>
  <si>
    <t>DY 534035</t>
  </si>
  <si>
    <t>DY 534036</t>
  </si>
  <si>
    <t>DY 534037</t>
  </si>
  <si>
    <t>DY 534038</t>
  </si>
  <si>
    <t>DY 534039</t>
  </si>
  <si>
    <t>DY 534040</t>
  </si>
  <si>
    <t>DY 534041</t>
  </si>
  <si>
    <t>DY 534042</t>
  </si>
  <si>
    <t>DY 534043</t>
  </si>
  <si>
    <t>DY 534044</t>
  </si>
  <si>
    <t>DY 534045</t>
  </si>
  <si>
    <t>DY 534046</t>
  </si>
  <si>
    <t>SAS INDO - MAN FEE CICIL AGT '19</t>
  </si>
  <si>
    <t xml:space="preserve">OCBC - BUNGA PEMBY 21 FEB </t>
  </si>
  <si>
    <t xml:space="preserve">HSBC - H BANK + BUNGA </t>
  </si>
  <si>
    <t xml:space="preserve">MIN DIFI - H BANK </t>
  </si>
  <si>
    <t xml:space="preserve">DIFI PIC </t>
  </si>
  <si>
    <t>SAS INDO - PLNSN AGT '19</t>
  </si>
  <si>
    <t>SAS INDO - CICIL SEPT '19</t>
  </si>
  <si>
    <t>SAS INDO - PLNSN SEPT '19 &amp; MAN FEE OKT '19</t>
  </si>
  <si>
    <t xml:space="preserve">EIT - BANK GARANSI </t>
  </si>
  <si>
    <t xml:space="preserve">METRIX - SEWA GEDUNG KENDRAAN </t>
  </si>
  <si>
    <t xml:space="preserve">DIPO STAR - ANSURAN KE 6 </t>
  </si>
  <si>
    <t xml:space="preserve">DIFI MIN - H BANK </t>
  </si>
  <si>
    <t xml:space="preserve">MSS TGL - NON BO </t>
  </si>
  <si>
    <t xml:space="preserve">MSS TGL - BO </t>
  </si>
  <si>
    <t>MSS SLT - BO</t>
  </si>
  <si>
    <t xml:space="preserve">MSS SMG - BO NON BO </t>
  </si>
  <si>
    <t xml:space="preserve">MSS PATI - BO </t>
  </si>
  <si>
    <t>MSS PKL - BO</t>
  </si>
  <si>
    <t xml:space="preserve">MSS BLORA - BO </t>
  </si>
  <si>
    <t xml:space="preserve">MSS SOLO - BO </t>
  </si>
  <si>
    <t xml:space="preserve">MSS WGR - BO </t>
  </si>
  <si>
    <t xml:space="preserve">MSS KBM - BO </t>
  </si>
  <si>
    <t xml:space="preserve">MSS MGL - BO </t>
  </si>
  <si>
    <t xml:space="preserve">MSS PWT - BO </t>
  </si>
  <si>
    <t xml:space="preserve">MSS CILA - BO </t>
  </si>
  <si>
    <t>SERASI AUTO RAYA - KENDR JPA</t>
  </si>
  <si>
    <t xml:space="preserve">MSS SLT - NON BO </t>
  </si>
  <si>
    <t xml:space="preserve">MSS SMG -  NON BO </t>
  </si>
  <si>
    <t xml:space="preserve">MSS JOGJ - NON BO </t>
  </si>
  <si>
    <t>JAMSOSTEK FEB '20</t>
  </si>
  <si>
    <t xml:space="preserve">VC ANDALAN - FORKLIF </t>
  </si>
  <si>
    <t xml:space="preserve">CV ALVINDO - BAN ORI </t>
  </si>
  <si>
    <t>DIGDAYA MUNCUL - FC FEB '20</t>
  </si>
  <si>
    <t xml:space="preserve">MSS TGL -  BO NON BO </t>
  </si>
  <si>
    <t xml:space="preserve">MSS BLORA - BO NON BO </t>
  </si>
  <si>
    <t xml:space="preserve">MSS PATI - BO NON BO </t>
  </si>
  <si>
    <t xml:space="preserve">MSS PKL - BO NON BO </t>
  </si>
  <si>
    <t xml:space="preserve">FAUJI - PEMB BATEERAI UOS </t>
  </si>
  <si>
    <t xml:space="preserve">BENGAWAN SUMBER BARU - VULKANISIR PANTURA </t>
  </si>
  <si>
    <t xml:space="preserve">MSS MGL - BO NON BO </t>
  </si>
  <si>
    <t xml:space="preserve">MSS KBM - BO NO BO </t>
  </si>
  <si>
    <t xml:space="preserve">MSS WGR - BO NO BO </t>
  </si>
  <si>
    <t xml:space="preserve">MSS SOLO - BO NON BO </t>
  </si>
  <si>
    <t xml:space="preserve">MSS CILA - BO NON BO </t>
  </si>
  <si>
    <t xml:space="preserve">MSS PWT - BO NON BO </t>
  </si>
  <si>
    <t>BSB - VULKANISIR BAN PANSEL</t>
  </si>
  <si>
    <t xml:space="preserve">FAUJI - PEMBL MESIN ABSENSI &amp; PRINTER MSS PATI PWT </t>
  </si>
  <si>
    <t>FOTO COPY</t>
  </si>
  <si>
    <t>SEWA GEDUNG &amp; KENDARAAN METRIX</t>
  </si>
  <si>
    <t>GAJI EIT</t>
  </si>
  <si>
    <t>INSENTIF MIKAKO</t>
  </si>
  <si>
    <t>INSENTIF CERES</t>
  </si>
  <si>
    <t xml:space="preserve">INSENTIF JPA </t>
  </si>
  <si>
    <t>KOPERASI DEPO</t>
  </si>
  <si>
    <t>GAJI TUNAI</t>
  </si>
  <si>
    <t>CONTROL PEMBAYARAN RUTIN PER 2020</t>
  </si>
  <si>
    <t>DY 534876</t>
  </si>
  <si>
    <t>HUTANG DAGANG - MBR FD</t>
  </si>
  <si>
    <t>DY 534877</t>
  </si>
  <si>
    <t>HUTANG DAGANG - AI</t>
  </si>
  <si>
    <t>DY 534878</t>
  </si>
  <si>
    <t>HUTANG DAGANG - ITF</t>
  </si>
  <si>
    <t>DY 534879</t>
  </si>
  <si>
    <t>H DAGANG - GIM</t>
  </si>
  <si>
    <t>DY 534880</t>
  </si>
  <si>
    <t>H BANK - DIFI NLS</t>
  </si>
  <si>
    <t>DY 534881</t>
  </si>
  <si>
    <t>H BANK - OCBC</t>
  </si>
  <si>
    <t>DY 534882</t>
  </si>
  <si>
    <t>H BANK + BUNGA - HSBC</t>
  </si>
  <si>
    <t>DY 534883</t>
  </si>
  <si>
    <t>H BUNGA - OCBC</t>
  </si>
  <si>
    <t>DY 534884</t>
  </si>
  <si>
    <t>DY 534885</t>
  </si>
  <si>
    <t xml:space="preserve">H DAGANG - MBR </t>
  </si>
  <si>
    <t>DY 534886</t>
  </si>
  <si>
    <t>H BANK - DIFI FBI</t>
  </si>
  <si>
    <t>DY 534887</t>
  </si>
  <si>
    <t>H DAGANG - DBW</t>
  </si>
  <si>
    <t>DY 534888</t>
  </si>
  <si>
    <t>H DAGANG - ITF</t>
  </si>
  <si>
    <t>DY 534889</t>
  </si>
  <si>
    <t>H BANK - DIFI YIJG</t>
  </si>
  <si>
    <t>DY 534890</t>
  </si>
  <si>
    <t>DY 534891</t>
  </si>
  <si>
    <t>H BANK - DIFI MIN</t>
  </si>
  <si>
    <t>DY 534892</t>
  </si>
  <si>
    <t>DIPO STAR - ANG KE 7</t>
  </si>
  <si>
    <t>DY 534893</t>
  </si>
  <si>
    <t>DY 534894</t>
  </si>
  <si>
    <t>DY 534895</t>
  </si>
  <si>
    <t xml:space="preserve">METROX - GEDUNG KENDR </t>
  </si>
  <si>
    <t>DY 534896</t>
  </si>
  <si>
    <t>ITF - H DAGANG</t>
  </si>
  <si>
    <t>DY 534897</t>
  </si>
  <si>
    <t>H BANK - DIFFI YIJG</t>
  </si>
  <si>
    <t>DY 534898</t>
  </si>
  <si>
    <t>DY 534899</t>
  </si>
  <si>
    <t>H BANK + BUNGA - DIFI PIC</t>
  </si>
  <si>
    <t>DY 534900</t>
  </si>
  <si>
    <t>CONTROL PEMBAYARAN RUTIN PER 2019 PEMBAYARAN DI 2020</t>
  </si>
  <si>
    <t>INSENTIF EIT</t>
  </si>
  <si>
    <t>TUNJANGAN UANG KOST</t>
  </si>
  <si>
    <t xml:space="preserve">ITF </t>
  </si>
  <si>
    <t>DK 640726</t>
  </si>
  <si>
    <t>PEMINDAHAN DANA BCA COLL KE BCA OPR</t>
  </si>
  <si>
    <t>DK 640727</t>
  </si>
  <si>
    <t xml:space="preserve">PT SWADHAMA - ANGS KE 8 </t>
  </si>
  <si>
    <t>DK 640728</t>
  </si>
  <si>
    <t>DK 640729</t>
  </si>
  <si>
    <t>DK 640730</t>
  </si>
  <si>
    <t>DK 640731</t>
  </si>
  <si>
    <t>DK 640732</t>
  </si>
  <si>
    <t>DK 640733</t>
  </si>
  <si>
    <t>DK 640734</t>
  </si>
  <si>
    <t>DK 640735</t>
  </si>
  <si>
    <t>DK 640736</t>
  </si>
  <si>
    <t>DK 640737</t>
  </si>
  <si>
    <t>DK 640738</t>
  </si>
  <si>
    <t>DK 640739</t>
  </si>
  <si>
    <t>DK 640740</t>
  </si>
  <si>
    <t>DK 640741</t>
  </si>
  <si>
    <t>DK 640742</t>
  </si>
  <si>
    <t>DK 640743</t>
  </si>
  <si>
    <t>DK 640744</t>
  </si>
  <si>
    <t>DK 640745</t>
  </si>
  <si>
    <t>DK 640746</t>
  </si>
  <si>
    <t>DK 640747</t>
  </si>
  <si>
    <t>DK 640748</t>
  </si>
  <si>
    <t>PT SWADHAMA - ANGS KE 9</t>
  </si>
  <si>
    <t>DK 640749</t>
  </si>
  <si>
    <t>DK 640750</t>
  </si>
  <si>
    <t>DY 534851</t>
  </si>
  <si>
    <t>H BANK - DIFI PIC</t>
  </si>
  <si>
    <t>DY 534852</t>
  </si>
  <si>
    <t>DY 534853</t>
  </si>
  <si>
    <t xml:space="preserve">H BANK - DIFI FBI </t>
  </si>
  <si>
    <t>DY 534854</t>
  </si>
  <si>
    <t>DY 534855</t>
  </si>
  <si>
    <t xml:space="preserve">H DAGANG - PT GIM </t>
  </si>
  <si>
    <t>DY 534856</t>
  </si>
  <si>
    <t>H DAGANG - PT ITF</t>
  </si>
  <si>
    <t>DY 534857</t>
  </si>
  <si>
    <t xml:space="preserve">H BANK - DIFI PIC </t>
  </si>
  <si>
    <t>DY 534858</t>
  </si>
  <si>
    <t xml:space="preserve">H DAGANG - PT MBR </t>
  </si>
  <si>
    <t>DY 534859</t>
  </si>
  <si>
    <t>H DAGANG - PT JPA</t>
  </si>
  <si>
    <t>DY 534860</t>
  </si>
  <si>
    <t>DY 534861</t>
  </si>
  <si>
    <t>H DAGANG - PT EB</t>
  </si>
  <si>
    <t>DY 534862</t>
  </si>
  <si>
    <t>DY 534863</t>
  </si>
  <si>
    <t xml:space="preserve">H DAGANG - ITF </t>
  </si>
  <si>
    <t>DY 534864</t>
  </si>
  <si>
    <t xml:space="preserve">H BANK - DIFI MIN </t>
  </si>
  <si>
    <t>DY 534865</t>
  </si>
  <si>
    <t xml:space="preserve">H DAGANG - JPA </t>
  </si>
  <si>
    <t>DY 534866</t>
  </si>
  <si>
    <t>DY 534867</t>
  </si>
  <si>
    <t>H BANK - DIFI GFI</t>
  </si>
  <si>
    <t>DY 534868</t>
  </si>
  <si>
    <t xml:space="preserve">H DAGANG - MPT MI </t>
  </si>
  <si>
    <t>DY 534869</t>
  </si>
  <si>
    <t xml:space="preserve">H DAGANG - MBR FD </t>
  </si>
  <si>
    <t>DY 534870</t>
  </si>
  <si>
    <t xml:space="preserve">H DAGANG - AI </t>
  </si>
  <si>
    <t>DY 534871</t>
  </si>
  <si>
    <t xml:space="preserve">H BANK + BUNGA - HSBC </t>
  </si>
  <si>
    <t>DY 534872</t>
  </si>
  <si>
    <t>H DAGANG - YTI</t>
  </si>
  <si>
    <t>DY 534873</t>
  </si>
  <si>
    <t>DY 534874</t>
  </si>
  <si>
    <t xml:space="preserve">H DAGANG - PT MI </t>
  </si>
  <si>
    <t>DY 534875</t>
  </si>
  <si>
    <t xml:space="preserve">H BANK - DIFI YIJG </t>
  </si>
  <si>
    <t>DY 534651</t>
  </si>
  <si>
    <t>DY 534652</t>
  </si>
  <si>
    <t xml:space="preserve">H DAGANG - EIT </t>
  </si>
  <si>
    <t>DY 534653</t>
  </si>
  <si>
    <t>DY 534654</t>
  </si>
  <si>
    <t>DY 534655</t>
  </si>
  <si>
    <t xml:space="preserve">BANK GARANSI - ITF </t>
  </si>
  <si>
    <t>DY 534656</t>
  </si>
  <si>
    <t>DY 534657</t>
  </si>
  <si>
    <t xml:space="preserve">H DAGANG - RDSI </t>
  </si>
  <si>
    <t>DY 534658</t>
  </si>
  <si>
    <t xml:space="preserve">H DAGANG - CFA </t>
  </si>
  <si>
    <t>DY 534659</t>
  </si>
  <si>
    <t>DY 534660</t>
  </si>
  <si>
    <t>DY 534661</t>
  </si>
  <si>
    <t>DY 534662</t>
  </si>
  <si>
    <t>DY 534663</t>
  </si>
  <si>
    <t>DY 534664</t>
  </si>
  <si>
    <t xml:space="preserve">H DAGANG - DIFI MIN </t>
  </si>
  <si>
    <t>DY 534665</t>
  </si>
  <si>
    <t>DY 534666</t>
  </si>
  <si>
    <t>DY 534667</t>
  </si>
  <si>
    <t xml:space="preserve">BANK GARANSI - SAN </t>
  </si>
  <si>
    <t>DY 534668</t>
  </si>
  <si>
    <t>DY 534669</t>
  </si>
  <si>
    <t>DY 534670</t>
  </si>
  <si>
    <t>DY 534671</t>
  </si>
  <si>
    <t xml:space="preserve">H BANK - DIFI  YIJG </t>
  </si>
  <si>
    <t>DY 534672</t>
  </si>
  <si>
    <t xml:space="preserve">H DAGANG - SAN </t>
  </si>
  <si>
    <t>DY 534673</t>
  </si>
  <si>
    <t>DY 534674</t>
  </si>
  <si>
    <t>DY 534675</t>
  </si>
  <si>
    <t xml:space="preserve">H BANK - DIFI GFI </t>
  </si>
  <si>
    <t>DY 534151</t>
  </si>
  <si>
    <t xml:space="preserve">SAS INDO - PLNS MAN FEE NOV '19 </t>
  </si>
  <si>
    <t>DY 534152</t>
  </si>
  <si>
    <t>DY 534153</t>
  </si>
  <si>
    <t xml:space="preserve">H BUNGA - HSBC </t>
  </si>
  <si>
    <t>DY 534154</t>
  </si>
  <si>
    <t>DY 534155</t>
  </si>
  <si>
    <t xml:space="preserve">H DAGANG - GIM </t>
  </si>
  <si>
    <t>DY 534156</t>
  </si>
  <si>
    <t xml:space="preserve">H DAGANG - EVER </t>
  </si>
  <si>
    <t>DY 534157</t>
  </si>
  <si>
    <t>DY 534158</t>
  </si>
  <si>
    <t>DY 534159</t>
  </si>
  <si>
    <t>DY 534160</t>
  </si>
  <si>
    <t>DY 534161</t>
  </si>
  <si>
    <t xml:space="preserve">H GBANK - DIFI NLS </t>
  </si>
  <si>
    <t>DY 534162</t>
  </si>
  <si>
    <t>DY 534163</t>
  </si>
  <si>
    <t>DY 534164</t>
  </si>
  <si>
    <t>DY 534165</t>
  </si>
  <si>
    <t>DY 534166</t>
  </si>
  <si>
    <t>DY 534167</t>
  </si>
  <si>
    <t>DY 534168</t>
  </si>
  <si>
    <t>DY 534169</t>
  </si>
  <si>
    <t>DY 534170</t>
  </si>
  <si>
    <t>DY 534171</t>
  </si>
  <si>
    <t>H BANK - DIF MIN</t>
  </si>
  <si>
    <t>DY 534172</t>
  </si>
  <si>
    <t>DY 534173</t>
  </si>
  <si>
    <t>KAS NEGARA - PPH 25 21 23</t>
  </si>
  <si>
    <t>DY 534174</t>
  </si>
  <si>
    <t>DY 534175</t>
  </si>
  <si>
    <t xml:space="preserve">H BANK+BUNGA - HSBC </t>
  </si>
  <si>
    <t>H DAGANG - RDSI</t>
  </si>
  <si>
    <t>H DAGANG - SPB</t>
  </si>
  <si>
    <t xml:space="preserve">H DAGANG - EB </t>
  </si>
  <si>
    <t>SAS INDO - CICIL MAN FEE NOV '19</t>
  </si>
  <si>
    <t>DY 534047</t>
  </si>
  <si>
    <t>DY 534048</t>
  </si>
  <si>
    <t>DY 534049</t>
  </si>
  <si>
    <t>DY 534050</t>
  </si>
  <si>
    <t>DY 534126</t>
  </si>
  <si>
    <t>H DAGANG - AI</t>
  </si>
  <si>
    <t>DY 534127</t>
  </si>
  <si>
    <t>DY 534128</t>
  </si>
  <si>
    <t>H DAGANG - FNP</t>
  </si>
  <si>
    <t>DY 534129</t>
  </si>
  <si>
    <t>DY 534130</t>
  </si>
  <si>
    <t>DY 534131</t>
  </si>
  <si>
    <t>DY 534132</t>
  </si>
  <si>
    <t>DY 534133</t>
  </si>
  <si>
    <t xml:space="preserve">H DAGANG - MI </t>
  </si>
  <si>
    <t>DY 534134</t>
  </si>
  <si>
    <t>H DAGANG - EIT</t>
  </si>
  <si>
    <t>DY 534135</t>
  </si>
  <si>
    <t>H DAGANG - DIFI YIJG</t>
  </si>
  <si>
    <t>DY 534136</t>
  </si>
  <si>
    <t>DY 534137</t>
  </si>
  <si>
    <t>DY 534138</t>
  </si>
  <si>
    <t>H DAGANG - JPA</t>
  </si>
  <si>
    <t>DY 534139</t>
  </si>
  <si>
    <t>DY 534140</t>
  </si>
  <si>
    <t>DY 534141</t>
  </si>
  <si>
    <t>DY 534142</t>
  </si>
  <si>
    <t>DY 534143</t>
  </si>
  <si>
    <t>DY 534144</t>
  </si>
  <si>
    <t>DY 534145</t>
  </si>
  <si>
    <t>DY 534146</t>
  </si>
  <si>
    <t>DY 534147</t>
  </si>
  <si>
    <t xml:space="preserve">H BANK - DIFI NLS </t>
  </si>
  <si>
    <t>DY 534148</t>
  </si>
  <si>
    <t>DY 534149</t>
  </si>
  <si>
    <t>DY 534150</t>
  </si>
  <si>
    <t xml:space="preserve"> H DAGANG - RDSI </t>
  </si>
  <si>
    <t>SAS INDO - MAN FEE JUN '19</t>
  </si>
  <si>
    <t xml:space="preserve">H DAGANG - SPB </t>
  </si>
  <si>
    <t>H DAGANG - BJS</t>
  </si>
  <si>
    <t>H DAGANG - CFA</t>
  </si>
  <si>
    <t xml:space="preserve">H BANK - HSBC </t>
  </si>
  <si>
    <t xml:space="preserve">H BANK - OCBC </t>
  </si>
  <si>
    <t xml:space="preserve">H DAGANG - FNP </t>
  </si>
  <si>
    <t>TALI ASIH ERNA</t>
  </si>
  <si>
    <t>H DAGANG - MBR</t>
  </si>
  <si>
    <t xml:space="preserve">H BANK - PIC </t>
  </si>
  <si>
    <t>BANK GARANSI - FNP</t>
  </si>
  <si>
    <t xml:space="preserve">H DAGANG - BJS </t>
  </si>
  <si>
    <t xml:space="preserve">H DAGANG - DIFI PIC </t>
  </si>
  <si>
    <t xml:space="preserve">H DAGANK - DIFI NLS </t>
  </si>
  <si>
    <t>H DAGANG - EVER</t>
  </si>
  <si>
    <t xml:space="preserve">H DAGANG - YTI </t>
  </si>
  <si>
    <t>H BANK+BUNGA BCA</t>
  </si>
  <si>
    <t xml:space="preserve">H BANK+BUNGA HSBC </t>
  </si>
  <si>
    <t xml:space="preserve">H DAGANG - PT EB </t>
  </si>
  <si>
    <t xml:space="preserve">KAP - AUDIT LAP KEU PER 31 DES </t>
  </si>
  <si>
    <t xml:space="preserve">H BANK +BUNGA - HSBC </t>
  </si>
  <si>
    <t xml:space="preserve">H BANK - NDIFI YIJG </t>
  </si>
  <si>
    <t xml:space="preserve">H BUNGA - DIFI GFI </t>
  </si>
  <si>
    <t xml:space="preserve">H BANK - BCA </t>
  </si>
  <si>
    <t>DY 534176</t>
  </si>
  <si>
    <t>DY 534177</t>
  </si>
  <si>
    <t xml:space="preserve">MSS KBM - BO NON BO </t>
  </si>
  <si>
    <t>DY 534178</t>
  </si>
  <si>
    <t>DY 534179</t>
  </si>
  <si>
    <t xml:space="preserve">MSS JOGJA - BO NON BO </t>
  </si>
  <si>
    <t>DY 534180</t>
  </si>
  <si>
    <t xml:space="preserve">MSS WGR - BO NON BO </t>
  </si>
  <si>
    <t>DY 534181</t>
  </si>
  <si>
    <t>DY 534182</t>
  </si>
  <si>
    <t>BUDI GUNARSO - BAN PANSEL</t>
  </si>
  <si>
    <t>DY 534183</t>
  </si>
  <si>
    <t xml:space="preserve">SUMBERHARPINDO - BAN PANSEL </t>
  </si>
  <si>
    <t>DY 534184</t>
  </si>
  <si>
    <t>ARIF NUR MAULIARDI - HIPERLINK FEB '20</t>
  </si>
  <si>
    <t>DY 534185</t>
  </si>
  <si>
    <t xml:space="preserve">GM PT MSS - INC FOYU FEB '20 </t>
  </si>
  <si>
    <t>DY 534186</t>
  </si>
  <si>
    <t>DY 534187</t>
  </si>
  <si>
    <t>DY 534188</t>
  </si>
  <si>
    <t>DY 534189</t>
  </si>
  <si>
    <t>DY 534190</t>
  </si>
  <si>
    <t>DY 534191</t>
  </si>
  <si>
    <t xml:space="preserve">MSS PAT - NON BO </t>
  </si>
  <si>
    <t>DY 534192</t>
  </si>
  <si>
    <t>FAUJI - PEMBL PRINTER &amp; MONITOR LED MSS TEGAL</t>
  </si>
  <si>
    <t>DY 534193</t>
  </si>
  <si>
    <t>DY 534194</t>
  </si>
  <si>
    <t>DY 534195</t>
  </si>
  <si>
    <t>DY 534196</t>
  </si>
  <si>
    <t xml:space="preserve">MSS TEGAL - BO NON BO </t>
  </si>
  <si>
    <t>DY 534197</t>
  </si>
  <si>
    <t xml:space="preserve">MSS SLT - BO NON BO </t>
  </si>
  <si>
    <t>DY 534198</t>
  </si>
  <si>
    <t>DY 534199</t>
  </si>
  <si>
    <t>DY 534200</t>
  </si>
  <si>
    <t>DY 534601</t>
  </si>
  <si>
    <t>GRIFFIN TEKNIK - AC</t>
  </si>
  <si>
    <t>DY 534602</t>
  </si>
  <si>
    <t xml:space="preserve">MSS TEGAL - NON BO </t>
  </si>
  <si>
    <t>DY 534603</t>
  </si>
  <si>
    <t xml:space="preserve">MSS BLORA - NON BO </t>
  </si>
  <si>
    <t>DY 534604</t>
  </si>
  <si>
    <t>DY 534605</t>
  </si>
  <si>
    <t>DY 534606</t>
  </si>
  <si>
    <t xml:space="preserve">MELVY - CF DEPAPER </t>
  </si>
  <si>
    <t>DY 534607</t>
  </si>
  <si>
    <t xml:space="preserve">CITRANET </t>
  </si>
  <si>
    <t>DY 534608</t>
  </si>
  <si>
    <t>DY 534609</t>
  </si>
  <si>
    <t xml:space="preserve">CV CONCEAL  - KABINET PATI </t>
  </si>
  <si>
    <t>DY 534610</t>
  </si>
  <si>
    <t xml:space="preserve">EKO K - PERKAP SECURITY </t>
  </si>
  <si>
    <t>DY 534611</t>
  </si>
  <si>
    <t>DY 534612</t>
  </si>
  <si>
    <t xml:space="preserve">MSS TEGal - bo non bo </t>
  </si>
  <si>
    <t>DY 534613</t>
  </si>
  <si>
    <t>DY 534614</t>
  </si>
  <si>
    <t>DY 534615</t>
  </si>
  <si>
    <t>DY 534616</t>
  </si>
  <si>
    <t>DY 534617</t>
  </si>
  <si>
    <t>DY 534618</t>
  </si>
  <si>
    <t xml:space="preserve">RSM PANTURA - INC FOYU </t>
  </si>
  <si>
    <t>DY 534619</t>
  </si>
  <si>
    <t xml:space="preserve">JOKO R - MOBIL PAK TRI </t>
  </si>
  <si>
    <t>DY 534620</t>
  </si>
  <si>
    <t>PBB 2020</t>
  </si>
  <si>
    <t>DY 534621</t>
  </si>
  <si>
    <t>DY 534622</t>
  </si>
  <si>
    <t>DY 534623</t>
  </si>
  <si>
    <t xml:space="preserve">LILI J - INC FOYU FEB '20 </t>
  </si>
  <si>
    <t>DY 534624</t>
  </si>
  <si>
    <t>DY 534625</t>
  </si>
  <si>
    <t xml:space="preserve">MSS CILA - NON BO </t>
  </si>
  <si>
    <t xml:space="preserve">MSS TGL - BO NON BO </t>
  </si>
  <si>
    <t xml:space="preserve">BPJS KESEHATN </t>
  </si>
  <si>
    <t xml:space="preserve">RSM PANTASEL - INC </t>
  </si>
  <si>
    <t xml:space="preserve">BPJS KESEHATAN </t>
  </si>
  <si>
    <t xml:space="preserve">MSS PWT </t>
  </si>
  <si>
    <t xml:space="preserve">TATA DIYANTO </t>
  </si>
  <si>
    <t>LILI - SEWA RUMAH</t>
  </si>
  <si>
    <t>MEBEL</t>
  </si>
  <si>
    <t xml:space="preserve">CV ALVINDO - BAN </t>
  </si>
  <si>
    <t xml:space="preserve">HIPERLINK </t>
  </si>
  <si>
    <t>MELVY - CF DEPAPER</t>
  </si>
  <si>
    <t>MSS PKL - BO NON BO</t>
  </si>
  <si>
    <t xml:space="preserve">MSS PATI - NON  BO </t>
  </si>
  <si>
    <t xml:space="preserve">JAMSOSTEK </t>
  </si>
  <si>
    <t xml:space="preserve">MSS SOLO -BO NON BO </t>
  </si>
  <si>
    <t>MSS JGJ - BO NON BO</t>
  </si>
  <si>
    <t xml:space="preserve">LEDOK SAMBI - OUTBOND </t>
  </si>
  <si>
    <t xml:space="preserve">ABDA ASURANSI </t>
  </si>
  <si>
    <t>DANA TAKTIS</t>
  </si>
  <si>
    <t xml:space="preserve">SEVICE TAB - FAUJI </t>
  </si>
  <si>
    <t xml:space="preserve">CV ABADI TRANS </t>
  </si>
  <si>
    <t xml:space="preserve">MSS SMG - BO </t>
  </si>
  <si>
    <t xml:space="preserve">BENGAWAN SUMBER BARU </t>
  </si>
  <si>
    <t>TRANSFER ATS</t>
  </si>
  <si>
    <t>TRANSFER LAINNYA</t>
  </si>
  <si>
    <t>Week5  (27-3)</t>
  </si>
  <si>
    <t>Week  (30-5)</t>
  </si>
  <si>
    <t>Week  2 (6-12)</t>
  </si>
  <si>
    <t>Week 3 (13-19)</t>
  </si>
  <si>
    <t>Week4  (20-26)</t>
  </si>
  <si>
    <t xml:space="preserve">PULSA </t>
  </si>
  <si>
    <t>DZ 049926</t>
  </si>
  <si>
    <t>DZ 049927</t>
  </si>
  <si>
    <t>DZ 049928</t>
  </si>
  <si>
    <t>DZ 049929</t>
  </si>
  <si>
    <t>DZ 049930</t>
  </si>
  <si>
    <t>DZ 049931</t>
  </si>
  <si>
    <t>DZ 049932</t>
  </si>
  <si>
    <t>DZ 049933</t>
  </si>
  <si>
    <t>DZ 049934</t>
  </si>
  <si>
    <t>DZ 049935</t>
  </si>
  <si>
    <t>DZ 049936</t>
  </si>
  <si>
    <t>DZ 049937</t>
  </si>
  <si>
    <t>DZ 049938</t>
  </si>
  <si>
    <t>DZ 049939</t>
  </si>
  <si>
    <t>DZ 049940</t>
  </si>
  <si>
    <t>DZ 049941</t>
  </si>
  <si>
    <t>DZ 049942</t>
  </si>
  <si>
    <t>DZ 049943</t>
  </si>
  <si>
    <t>DZ 049944</t>
  </si>
  <si>
    <t>DZ 049945</t>
  </si>
  <si>
    <t>DZ 049946</t>
  </si>
  <si>
    <t>DZ 049947</t>
  </si>
  <si>
    <t>DZ 049948</t>
  </si>
  <si>
    <t>DZ 049949</t>
  </si>
  <si>
    <t>DZ 049950</t>
  </si>
  <si>
    <t>DZ 049901</t>
  </si>
  <si>
    <t>DZ 049902</t>
  </si>
  <si>
    <t>DZ 049903</t>
  </si>
  <si>
    <t>DZ 049904</t>
  </si>
  <si>
    <t>H BANK+BUNGA - BCA</t>
  </si>
  <si>
    <t>DZ 049905</t>
  </si>
  <si>
    <t>DZ 049906</t>
  </si>
  <si>
    <t>DZ 049907</t>
  </si>
  <si>
    <t xml:space="preserve">H BANK + DIFI YIJG </t>
  </si>
  <si>
    <t>DZ 049908</t>
  </si>
  <si>
    <t>DZ 049909</t>
  </si>
  <si>
    <t>DZ 049910</t>
  </si>
  <si>
    <t>DZ 049911</t>
  </si>
  <si>
    <t xml:space="preserve">KAS NEGARA - PPH 29 </t>
  </si>
  <si>
    <t>DZ 049912</t>
  </si>
  <si>
    <t xml:space="preserve">BANK GARANSI - MBR </t>
  </si>
  <si>
    <t>DZ 049913</t>
  </si>
  <si>
    <t xml:space="preserve">KAS NEGARA - PPH 21 KAP </t>
  </si>
  <si>
    <t>DZ 049914</t>
  </si>
  <si>
    <t>DZ 049915</t>
  </si>
  <si>
    <t>DZ 049916</t>
  </si>
  <si>
    <t>DZ 049917</t>
  </si>
  <si>
    <t>H BANK - DIFI PIC &amp;SEASONAL</t>
  </si>
  <si>
    <t>DZ 049918</t>
  </si>
  <si>
    <t>DZ 049919</t>
  </si>
  <si>
    <t>DZ 049920</t>
  </si>
  <si>
    <t>DZ 049921</t>
  </si>
  <si>
    <t>DZ 049922</t>
  </si>
  <si>
    <t>DZ 049923</t>
  </si>
  <si>
    <t xml:space="preserve">DANA TITIPAN FBI - MPP </t>
  </si>
  <si>
    <t>DZ 049924</t>
  </si>
  <si>
    <t xml:space="preserve">AXA ASURANSI COLOMADU </t>
  </si>
  <si>
    <t>DZ 049925</t>
  </si>
  <si>
    <t>DZ 049876</t>
  </si>
  <si>
    <t>DZ 049877</t>
  </si>
  <si>
    <t>DZ 049878</t>
  </si>
  <si>
    <t>DZ 049879</t>
  </si>
  <si>
    <t>DZ 049880</t>
  </si>
  <si>
    <t>DZ 049881</t>
  </si>
  <si>
    <t>DZ 049882</t>
  </si>
  <si>
    <t>DZ 049883</t>
  </si>
  <si>
    <t>H DAGANG - MI</t>
  </si>
  <si>
    <t>DZ 049884</t>
  </si>
  <si>
    <t>DZ 049885</t>
  </si>
  <si>
    <t>DZ 049886</t>
  </si>
  <si>
    <t>DZ 049887</t>
  </si>
  <si>
    <t>DZ 049888</t>
  </si>
  <si>
    <t>DZ 049889</t>
  </si>
  <si>
    <t>DZ 049890</t>
  </si>
  <si>
    <t>DZ 049891</t>
  </si>
  <si>
    <t>DZ 049892</t>
  </si>
  <si>
    <t>DZ 049893</t>
  </si>
  <si>
    <t>DZ 049894</t>
  </si>
  <si>
    <t>KAS NEGARA -NPPH 23</t>
  </si>
  <si>
    <t>DZ 049895</t>
  </si>
  <si>
    <t xml:space="preserve">H BANK=BUNGA - HSBC </t>
  </si>
  <si>
    <t>DZ 049896</t>
  </si>
  <si>
    <t xml:space="preserve">H BANK - PIC SEASONAL </t>
  </si>
  <si>
    <t>DZ 049897</t>
  </si>
  <si>
    <t>DZ 049898</t>
  </si>
  <si>
    <t>DZ 049899</t>
  </si>
  <si>
    <t>DZ 049900</t>
  </si>
  <si>
    <t>DY 532976</t>
  </si>
  <si>
    <t>H BANK+BUNGA - HSBC</t>
  </si>
  <si>
    <t>DY 532977</t>
  </si>
  <si>
    <t>DY 532978</t>
  </si>
  <si>
    <t>DY 532979</t>
  </si>
  <si>
    <t>DY 532980</t>
  </si>
  <si>
    <t>DY 532981</t>
  </si>
  <si>
    <t>DY 532982</t>
  </si>
  <si>
    <t>DY 532983</t>
  </si>
  <si>
    <t xml:space="preserve">H BUNGA- OCBC </t>
  </si>
  <si>
    <t>DY 532984</t>
  </si>
  <si>
    <t>DY 532985</t>
  </si>
  <si>
    <t>DY 532986</t>
  </si>
  <si>
    <t>DY 532987</t>
  </si>
  <si>
    <t>DY 532988</t>
  </si>
  <si>
    <t>DY 532989</t>
  </si>
  <si>
    <t>DY 532990</t>
  </si>
  <si>
    <t xml:space="preserve">SAS INDO - ASURANSI </t>
  </si>
  <si>
    <t>DY 532991</t>
  </si>
  <si>
    <t>SAS INDO - MAN FEE</t>
  </si>
  <si>
    <t>DY 532992</t>
  </si>
  <si>
    <t>DY 532993</t>
  </si>
  <si>
    <t xml:space="preserve">NIAGA OPR - PINDAH DANA </t>
  </si>
  <si>
    <t>DY 532994</t>
  </si>
  <si>
    <t>DY 532995</t>
  </si>
  <si>
    <t xml:space="preserve">H BANK+BUNGA - BCA </t>
  </si>
  <si>
    <t>DY 532996</t>
  </si>
  <si>
    <t>DY 532997</t>
  </si>
  <si>
    <t>DY 532998</t>
  </si>
  <si>
    <t>DY 532999</t>
  </si>
  <si>
    <t>DY 533000</t>
  </si>
  <si>
    <t>KAS NEGARA - PPH PS 21 23 25</t>
  </si>
  <si>
    <t>DY 533226</t>
  </si>
  <si>
    <t>DY 533227</t>
  </si>
  <si>
    <t>DY 533228</t>
  </si>
  <si>
    <t>DY 533229</t>
  </si>
  <si>
    <t>DY 533230</t>
  </si>
  <si>
    <t>DY 533231</t>
  </si>
  <si>
    <t>H DAGANG - ARNOTTS</t>
  </si>
  <si>
    <t>DY 533232</t>
  </si>
  <si>
    <t xml:space="preserve">METRIX - SEWA GEDUNG&amp;KENDR </t>
  </si>
  <si>
    <t>DY 533233</t>
  </si>
  <si>
    <t xml:space="preserve">H DAGANG - SBM </t>
  </si>
  <si>
    <t>DY 533234</t>
  </si>
  <si>
    <t>DY 533235</t>
  </si>
  <si>
    <t xml:space="preserve">KAS NEGARA - PPN PPH </t>
  </si>
  <si>
    <t>DY 533236</t>
  </si>
  <si>
    <t xml:space="preserve">H BUNGA - OCBC </t>
  </si>
  <si>
    <t>DY 533237</t>
  </si>
  <si>
    <t>DY 533238</t>
  </si>
  <si>
    <t>DY 533239</t>
  </si>
  <si>
    <t>DY 533240</t>
  </si>
  <si>
    <t xml:space="preserve">H DAGANG - ARNOTTS </t>
  </si>
  <si>
    <t>DY 533241</t>
  </si>
  <si>
    <t>DY 533242</t>
  </si>
  <si>
    <t>DY 533243</t>
  </si>
  <si>
    <t>DY 533244</t>
  </si>
  <si>
    <t xml:space="preserve">H BANK - DIFU MIN </t>
  </si>
  <si>
    <t>DY 533245</t>
  </si>
  <si>
    <t>DY 533246</t>
  </si>
  <si>
    <t>DY 533247</t>
  </si>
  <si>
    <t>DY 533248</t>
  </si>
  <si>
    <t>DY 533249</t>
  </si>
  <si>
    <t>DY 533250</t>
  </si>
  <si>
    <t>DY 532901</t>
  </si>
  <si>
    <t>DY 532902</t>
  </si>
  <si>
    <t>DY 532903</t>
  </si>
  <si>
    <t>DY 532904</t>
  </si>
  <si>
    <t>DY 532905</t>
  </si>
  <si>
    <t>DY 532906</t>
  </si>
  <si>
    <t>DY 532907</t>
  </si>
  <si>
    <t xml:space="preserve">H BUNGA - BCA </t>
  </si>
  <si>
    <t>DY 532908</t>
  </si>
  <si>
    <t>DY 532909</t>
  </si>
  <si>
    <t xml:space="preserve">H DAGANG - 3S </t>
  </si>
  <si>
    <t>DY 532910</t>
  </si>
  <si>
    <t>DY 532911</t>
  </si>
  <si>
    <t>DY 532912</t>
  </si>
  <si>
    <t>DY 532913</t>
  </si>
  <si>
    <t>DY 532914</t>
  </si>
  <si>
    <t>DY 532915</t>
  </si>
  <si>
    <t>DY 532916</t>
  </si>
  <si>
    <t>DY 532917</t>
  </si>
  <si>
    <t>DY 532918</t>
  </si>
  <si>
    <t xml:space="preserve">DIPO STAR - ANGS KE 5 </t>
  </si>
  <si>
    <t>DY 532919</t>
  </si>
  <si>
    <t>DY 532920</t>
  </si>
  <si>
    <t>DY 532921</t>
  </si>
  <si>
    <t>DY 532922</t>
  </si>
  <si>
    <t>DY 532923</t>
  </si>
  <si>
    <t>DY 532924</t>
  </si>
  <si>
    <t>DY 532925</t>
  </si>
  <si>
    <t>DZ 049376</t>
  </si>
  <si>
    <t xml:space="preserve">BO NON BO - MSS SOLO </t>
  </si>
  <si>
    <t>DZ 049377</t>
  </si>
  <si>
    <t xml:space="preserve">BO NON BO - MSS JOGJA </t>
  </si>
  <si>
    <t>DZ 049378</t>
  </si>
  <si>
    <t>INC FOYU MAR - GM MSS</t>
  </si>
  <si>
    <t>DZ 049379</t>
  </si>
  <si>
    <t xml:space="preserve">INC FOYU MAR - RSM PANSEL </t>
  </si>
  <si>
    <t>DZ 049380</t>
  </si>
  <si>
    <t xml:space="preserve">MOBIL PAK TRI - JOKO R </t>
  </si>
  <si>
    <t>DZ 049381</t>
  </si>
  <si>
    <t>DZ 049382</t>
  </si>
  <si>
    <t xml:space="preserve">NON BO - MSS PWT </t>
  </si>
  <si>
    <t>DZ 049383</t>
  </si>
  <si>
    <t xml:space="preserve">NON BO - MSS TEGAL </t>
  </si>
  <si>
    <t>DZ 049384</t>
  </si>
  <si>
    <t xml:space="preserve">NON BO - MSS SMG </t>
  </si>
  <si>
    <t>DZ 049385</t>
  </si>
  <si>
    <t xml:space="preserve">BUDI GUNARSO - BAN </t>
  </si>
  <si>
    <t>DZ 049386</t>
  </si>
  <si>
    <t xml:space="preserve">JOBSTREET </t>
  </si>
  <si>
    <t>DZ 049387</t>
  </si>
  <si>
    <t>JNT MAR '20</t>
  </si>
  <si>
    <t>DZ 049388</t>
  </si>
  <si>
    <t xml:space="preserve">BUDIAWAN  MASKER </t>
  </si>
  <si>
    <t>DZ 049389</t>
  </si>
  <si>
    <t xml:space="preserve">BO NON BO - MSS TEGAL </t>
  </si>
  <si>
    <t>DZ 049390</t>
  </si>
  <si>
    <t xml:space="preserve">BO NON BO - MSS SLT </t>
  </si>
  <si>
    <t>DZ 049391</t>
  </si>
  <si>
    <t>DZ 049392</t>
  </si>
  <si>
    <t xml:space="preserve">BO NON BO - MSS BLORA </t>
  </si>
  <si>
    <t>DZ 049393</t>
  </si>
  <si>
    <t>BO NON BO - MSS PATI</t>
  </si>
  <si>
    <t>DZ 049394</t>
  </si>
  <si>
    <t xml:space="preserve">BO NON BO - MSS PKL </t>
  </si>
  <si>
    <t>DZ 049395</t>
  </si>
  <si>
    <t xml:space="preserve">INTERNET APR </t>
  </si>
  <si>
    <t>DZ 049396</t>
  </si>
  <si>
    <t xml:space="preserve">NON BO - MSS TGL </t>
  </si>
  <si>
    <t>DZ 049397</t>
  </si>
  <si>
    <t>DZ 049398</t>
  </si>
  <si>
    <t>DZ 049399</t>
  </si>
  <si>
    <t>DZ 049400</t>
  </si>
  <si>
    <t xml:space="preserve">NON BO - MSS PKL </t>
  </si>
  <si>
    <t>DZ 050101</t>
  </si>
  <si>
    <t>DZ 050102</t>
  </si>
  <si>
    <t>DZ 050103</t>
  </si>
  <si>
    <t>DZ 050104</t>
  </si>
  <si>
    <t>DZ 050105</t>
  </si>
  <si>
    <t>DZ 050106</t>
  </si>
  <si>
    <t>DZ 050107</t>
  </si>
  <si>
    <t>DZ 050108</t>
  </si>
  <si>
    <t>DZ 050109</t>
  </si>
  <si>
    <t>DZ 050110</t>
  </si>
  <si>
    <t>DZ 050111</t>
  </si>
  <si>
    <t>DZ 050112</t>
  </si>
  <si>
    <t>DZ 050113</t>
  </si>
  <si>
    <t>DZ 050114</t>
  </si>
  <si>
    <t>DZ 050115</t>
  </si>
  <si>
    <t>DZ 050116</t>
  </si>
  <si>
    <t>DZ 050117</t>
  </si>
  <si>
    <t>DZ 050118</t>
  </si>
  <si>
    <t>DZ 050119</t>
  </si>
  <si>
    <t>DZ 050120</t>
  </si>
  <si>
    <t>DZ 050121</t>
  </si>
  <si>
    <t>DZ 050122</t>
  </si>
  <si>
    <t>DZ 050123</t>
  </si>
  <si>
    <t>DZ 050124</t>
  </si>
  <si>
    <t>DZ 050125</t>
  </si>
  <si>
    <t xml:space="preserve">METRIX - GEDUNG&amp;KENDRAAN </t>
  </si>
  <si>
    <t xml:space="preserve">BG MIN </t>
  </si>
  <si>
    <t xml:space="preserve">H BANK - EVER </t>
  </si>
  <si>
    <t>DZ 049776</t>
  </si>
  <si>
    <t xml:space="preserve">NON BO - MSS PATI </t>
  </si>
  <si>
    <t xml:space="preserve">BO NON BO - MSS CILA </t>
  </si>
  <si>
    <t>DZ 049777</t>
  </si>
  <si>
    <t>DZ 049778</t>
  </si>
  <si>
    <t>DZ 049779</t>
  </si>
  <si>
    <t>DZ 049780</t>
  </si>
  <si>
    <t>DZ 049781</t>
  </si>
  <si>
    <t>DZ 049782</t>
  </si>
  <si>
    <t>DZ 049783</t>
  </si>
  <si>
    <t>DZ 049784</t>
  </si>
  <si>
    <t>DZ 049785</t>
  </si>
  <si>
    <t>DZ 049786</t>
  </si>
  <si>
    <t>DZ 049787</t>
  </si>
  <si>
    <t>DZ 049788</t>
  </si>
  <si>
    <t>DZ 049789</t>
  </si>
  <si>
    <t>DZ 049790</t>
  </si>
  <si>
    <t>DZ 049791</t>
  </si>
  <si>
    <t>DZ 049792</t>
  </si>
  <si>
    <t>DZ 049793</t>
  </si>
  <si>
    <t>DZ 049794</t>
  </si>
  <si>
    <t>DZ 049795</t>
  </si>
  <si>
    <t>DZ 049796</t>
  </si>
  <si>
    <t>DZ 049797</t>
  </si>
  <si>
    <t>DZ 049798</t>
  </si>
  <si>
    <t>DZ 049799</t>
  </si>
  <si>
    <t>DZ 049800</t>
  </si>
  <si>
    <t>BO NON BO - MSS JOGJA</t>
  </si>
  <si>
    <t xml:space="preserve">BO NON BO - MSS MGL </t>
  </si>
  <si>
    <t xml:space="preserve">BO NON BO - MSS KBM </t>
  </si>
  <si>
    <t xml:space="preserve">BO - MSS WGR </t>
  </si>
  <si>
    <t>NON BO - MSS CILA</t>
  </si>
  <si>
    <t xml:space="preserve">NON BO - MSS JOGJA </t>
  </si>
  <si>
    <t xml:space="preserve">NON BO - SOLO </t>
  </si>
  <si>
    <t>HOTEL INDAH PALACE - LILI DONI RAKHMT</t>
  </si>
  <si>
    <t xml:space="preserve">NON BO - SMG </t>
  </si>
  <si>
    <t xml:space="preserve">SERVICE TAB SMG - FAUJI </t>
  </si>
  <si>
    <t>HIPERLINK - CETAKAN MAR '20</t>
  </si>
  <si>
    <t xml:space="preserve">NON BO - MSS SOLO </t>
  </si>
  <si>
    <t xml:space="preserve">BO NON BO - SMG </t>
  </si>
  <si>
    <t xml:space="preserve">BO NON BO - BLORA </t>
  </si>
  <si>
    <t xml:space="preserve">PINDAH DANA </t>
  </si>
  <si>
    <t>NIAGA COLL KE BCA COLL / BCA OPR</t>
  </si>
  <si>
    <t xml:space="preserve">BCA COLL KE BCA OPR </t>
  </si>
  <si>
    <t>DY 531151</t>
  </si>
  <si>
    <t>DY 531152</t>
  </si>
  <si>
    <t>DY 531153</t>
  </si>
  <si>
    <t>DY 531154</t>
  </si>
  <si>
    <t>DY 531155</t>
  </si>
  <si>
    <t>DY 531156</t>
  </si>
  <si>
    <t>DY 531157</t>
  </si>
  <si>
    <t>DY 531158</t>
  </si>
  <si>
    <t>DY 531159</t>
  </si>
  <si>
    <t>DY 531160</t>
  </si>
  <si>
    <t>DY 531161</t>
  </si>
  <si>
    <t>DY 531162</t>
  </si>
  <si>
    <t>DY 531163</t>
  </si>
  <si>
    <t>DY 531164</t>
  </si>
  <si>
    <t>DY 531165</t>
  </si>
  <si>
    <t>DY 531166</t>
  </si>
  <si>
    <t>DY 531167</t>
  </si>
  <si>
    <t>DY 531168</t>
  </si>
  <si>
    <t>DY 531169</t>
  </si>
  <si>
    <t>DY 531170</t>
  </si>
  <si>
    <t>DY 531171</t>
  </si>
  <si>
    <t>DY 531172</t>
  </si>
  <si>
    <t>DY 531173</t>
  </si>
  <si>
    <t>DY 531174</t>
  </si>
  <si>
    <t>DY 531175</t>
  </si>
  <si>
    <t xml:space="preserve">H BANK - FNP </t>
  </si>
  <si>
    <t>DY 531626</t>
  </si>
  <si>
    <t>DY 531627</t>
  </si>
  <si>
    <t>DY 531628</t>
  </si>
  <si>
    <t>DY 531629</t>
  </si>
  <si>
    <t>DY 531630</t>
  </si>
  <si>
    <t>DY 531631</t>
  </si>
  <si>
    <t>DY 531632</t>
  </si>
  <si>
    <t>DY 531633</t>
  </si>
  <si>
    <t>DY 531634</t>
  </si>
  <si>
    <t>DY 531635</t>
  </si>
  <si>
    <t>DY 531636</t>
  </si>
  <si>
    <t>DY 531637</t>
  </si>
  <si>
    <t>DY 531638</t>
  </si>
  <si>
    <t>DY 531639</t>
  </si>
  <si>
    <t>DY 531640</t>
  </si>
  <si>
    <t>DY 531641</t>
  </si>
  <si>
    <t>DY 531642</t>
  </si>
  <si>
    <t>DY 531643</t>
  </si>
  <si>
    <t>DY 531644</t>
  </si>
  <si>
    <t>DY 531645</t>
  </si>
  <si>
    <t>DY 531646</t>
  </si>
  <si>
    <t>DY 531647</t>
  </si>
  <si>
    <t>DY 531648</t>
  </si>
  <si>
    <t>DY 531649</t>
  </si>
  <si>
    <t>DY 531650</t>
  </si>
  <si>
    <t xml:space="preserve">H BANK - MIN DIFI </t>
  </si>
  <si>
    <t>H BUNGA - BCA</t>
  </si>
  <si>
    <t>DY 531876</t>
  </si>
  <si>
    <t>DY 531877</t>
  </si>
  <si>
    <t>H BANK - BCA</t>
  </si>
  <si>
    <t>DY 531878</t>
  </si>
  <si>
    <t>DY 531879</t>
  </si>
  <si>
    <t>DY 531880</t>
  </si>
  <si>
    <t>DY 531881</t>
  </si>
  <si>
    <t>DY 531882</t>
  </si>
  <si>
    <t>DY 531883</t>
  </si>
  <si>
    <t>DY 531884</t>
  </si>
  <si>
    <t>DY 531885</t>
  </si>
  <si>
    <t>DY 531886</t>
  </si>
  <si>
    <t>DY 531887</t>
  </si>
  <si>
    <t>DY 531888</t>
  </si>
  <si>
    <t>DY 531889</t>
  </si>
  <si>
    <t>DY 531890</t>
  </si>
  <si>
    <t>DY 531891</t>
  </si>
  <si>
    <t>DY 531892</t>
  </si>
  <si>
    <t>DY 531893</t>
  </si>
  <si>
    <t>DY 531894</t>
  </si>
  <si>
    <t>DY 531895</t>
  </si>
  <si>
    <t xml:space="preserve">H BANK- OCBC </t>
  </si>
  <si>
    <t>DY 531896</t>
  </si>
  <si>
    <t>DY 531897</t>
  </si>
  <si>
    <t>DY 531898</t>
  </si>
  <si>
    <t xml:space="preserve">H BANK+BUNGA - DIFI FBI </t>
  </si>
  <si>
    <t>DY 531899</t>
  </si>
  <si>
    <t xml:space="preserve">H DAGANG  ITF </t>
  </si>
  <si>
    <t>DY 531900</t>
  </si>
  <si>
    <t>DZ 049701</t>
  </si>
  <si>
    <t>DZ 049702</t>
  </si>
  <si>
    <t>DZ 049703</t>
  </si>
  <si>
    <t>DZ 049704</t>
  </si>
  <si>
    <t>DZ 049705</t>
  </si>
  <si>
    <t>DZ 049706</t>
  </si>
  <si>
    <t>DZ 049707</t>
  </si>
  <si>
    <t>DZ 049708</t>
  </si>
  <si>
    <t>DZ 049709</t>
  </si>
  <si>
    <t>DZ 049710</t>
  </si>
  <si>
    <t>DZ 049711</t>
  </si>
  <si>
    <t>DZ 049712</t>
  </si>
  <si>
    <t>DZ 049713</t>
  </si>
  <si>
    <t>DZ 049714</t>
  </si>
  <si>
    <t xml:space="preserve">H BANK + DIFI GFI </t>
  </si>
  <si>
    <t>DZ 049715</t>
  </si>
  <si>
    <t>H BANK + DIFI PIC SEAS</t>
  </si>
  <si>
    <t>DZ 049716</t>
  </si>
  <si>
    <t>DZ 049717</t>
  </si>
  <si>
    <t>DZ 049718</t>
  </si>
  <si>
    <t>DZ 049719</t>
  </si>
  <si>
    <t>DZ 049720</t>
  </si>
  <si>
    <t>DZ 049721</t>
  </si>
  <si>
    <t>DZ 049722</t>
  </si>
  <si>
    <t>DZ 049723</t>
  </si>
  <si>
    <t xml:space="preserve">H DAGANG  - JPA </t>
  </si>
  <si>
    <t>DZ 049724</t>
  </si>
  <si>
    <t>DZ 049725</t>
  </si>
  <si>
    <t>DZ 049251</t>
  </si>
  <si>
    <t>DZ 049252</t>
  </si>
  <si>
    <t>DZ 049253</t>
  </si>
  <si>
    <t xml:space="preserve">H BANK-BUNGA - HSBC </t>
  </si>
  <si>
    <t>DZ 049254</t>
  </si>
  <si>
    <t>DZ 049255</t>
  </si>
  <si>
    <t>DZ 049256</t>
  </si>
  <si>
    <t>DZ 049257</t>
  </si>
  <si>
    <t>DZ 049258</t>
  </si>
  <si>
    <t>DZ 049259</t>
  </si>
  <si>
    <t>SAS INDO - CICIL DES '19</t>
  </si>
  <si>
    <t>DZ 049260</t>
  </si>
  <si>
    <t>DZ 049261</t>
  </si>
  <si>
    <t>DZ 049262</t>
  </si>
  <si>
    <t>DZ 049263</t>
  </si>
  <si>
    <t>DZ 049264</t>
  </si>
  <si>
    <t>DZ 049265</t>
  </si>
  <si>
    <t>DZ 049266</t>
  </si>
  <si>
    <t>H DAGANG - EB</t>
  </si>
  <si>
    <t>DZ 049267</t>
  </si>
  <si>
    <t>SAS INDO - DES '19</t>
  </si>
  <si>
    <t>DZ 049268</t>
  </si>
  <si>
    <t>DZ 049269</t>
  </si>
  <si>
    <t>DZ 049270</t>
  </si>
  <si>
    <t>DZ 049271</t>
  </si>
  <si>
    <t>DZ 049272</t>
  </si>
  <si>
    <t>DZ 049273</t>
  </si>
  <si>
    <t>DZ 049274</t>
  </si>
  <si>
    <t>DZ 049275</t>
  </si>
  <si>
    <t>PENILAIAN ASET</t>
  </si>
  <si>
    <t xml:space="preserve">PICKUP </t>
  </si>
  <si>
    <t xml:space="preserve">SELISIH </t>
  </si>
  <si>
    <t>YOGYAKARTA</t>
  </si>
  <si>
    <t>CASHFLOW STATEMENT</t>
  </si>
  <si>
    <t>COLLECTION INCOME</t>
  </si>
  <si>
    <t>KLAIM INCOME</t>
  </si>
  <si>
    <t>INTEREST INCOME &amp; OTHERS</t>
  </si>
  <si>
    <t>PAYMENT TO DIFI</t>
  </si>
  <si>
    <t>OPERATION DEPO (KK01)</t>
  </si>
  <si>
    <t>OPERATION DEPO (KK02)</t>
  </si>
  <si>
    <t>OTHERS (SALARY, TAX,INTEREST)</t>
  </si>
  <si>
    <t>TOTAL  INCOME</t>
  </si>
  <si>
    <t>TOTAL PAYMENT</t>
  </si>
  <si>
    <t>SALDO CASH</t>
  </si>
  <si>
    <t>INTEREST &amp; OTHERS</t>
  </si>
  <si>
    <t>CASH</t>
  </si>
  <si>
    <t>COD/MOTORIS/DROPING</t>
  </si>
  <si>
    <t>SETORAN LAPH MONITORING</t>
  </si>
  <si>
    <t>DY 534626</t>
  </si>
  <si>
    <t>DY 534627</t>
  </si>
  <si>
    <t>DY 534628</t>
  </si>
  <si>
    <t>DY 534629</t>
  </si>
  <si>
    <t>DY 534630</t>
  </si>
  <si>
    <t>DY 534631</t>
  </si>
  <si>
    <t>DY 534632</t>
  </si>
  <si>
    <t>DY 534633</t>
  </si>
  <si>
    <t>DY 534634</t>
  </si>
  <si>
    <t>DY 534635</t>
  </si>
  <si>
    <t>DY 534636</t>
  </si>
  <si>
    <t>DY 534637</t>
  </si>
  <si>
    <t>DY 534638</t>
  </si>
  <si>
    <t>DY 534639</t>
  </si>
  <si>
    <t>DY 534640</t>
  </si>
  <si>
    <t>DY 534641</t>
  </si>
  <si>
    <t>DY 534642</t>
  </si>
  <si>
    <t>DY 534643</t>
  </si>
  <si>
    <t>DY 534644</t>
  </si>
  <si>
    <t>DY 534645</t>
  </si>
  <si>
    <t>DY 534646</t>
  </si>
  <si>
    <t>DY 534647</t>
  </si>
  <si>
    <t>DY 534648</t>
  </si>
  <si>
    <t>DY 534649</t>
  </si>
  <si>
    <t>DY 534650</t>
  </si>
  <si>
    <t>H DAGANG - MBR L</t>
  </si>
  <si>
    <t>DZ 049276</t>
  </si>
  <si>
    <t>DZ 049277</t>
  </si>
  <si>
    <t>H DAGANG - MBR LS</t>
  </si>
  <si>
    <t>DZ 049278</t>
  </si>
  <si>
    <t>DZ 049279</t>
  </si>
  <si>
    <t>DZ 049280</t>
  </si>
  <si>
    <t>DZ 049281</t>
  </si>
  <si>
    <t>DZ 049282</t>
  </si>
  <si>
    <t>DZ 049283</t>
  </si>
  <si>
    <t>DZ 049284</t>
  </si>
  <si>
    <t>DZ 049285</t>
  </si>
  <si>
    <t>DZ 049286</t>
  </si>
  <si>
    <t>H BANK - DFI NLS</t>
  </si>
  <si>
    <t>DZ 049287</t>
  </si>
  <si>
    <t>DZ 049288</t>
  </si>
  <si>
    <t xml:space="preserve">JASA PENILAIAN ASET </t>
  </si>
  <si>
    <t>DZ 049289</t>
  </si>
  <si>
    <t>H DAGANG - MBR FD</t>
  </si>
  <si>
    <t>DZ 049290</t>
  </si>
  <si>
    <t>DZ 049291</t>
  </si>
  <si>
    <t>DZ 049292</t>
  </si>
  <si>
    <t>H BUNGA - DIFI GFI</t>
  </si>
  <si>
    <t>DZ 049293</t>
  </si>
  <si>
    <t>DZ 049294</t>
  </si>
  <si>
    <t>H BANK - HSBC</t>
  </si>
  <si>
    <t>DZ 049295</t>
  </si>
  <si>
    <t>DZ 049296</t>
  </si>
  <si>
    <t>DZ 049297</t>
  </si>
  <si>
    <t>DZ 049298</t>
  </si>
  <si>
    <t>DZ 049299</t>
  </si>
  <si>
    <t>DZ 049300</t>
  </si>
  <si>
    <t xml:space="preserve">SAN </t>
  </si>
  <si>
    <t>SINAR ANUGGERAH NIAGA</t>
  </si>
  <si>
    <t>DZ 049301</t>
  </si>
  <si>
    <t>DZ 049302</t>
  </si>
  <si>
    <t>UANG PESANGON - TAUFIK</t>
  </si>
  <si>
    <t>DZ 049303</t>
  </si>
  <si>
    <t>DZ 049304</t>
  </si>
  <si>
    <t>DZ 049305</t>
  </si>
  <si>
    <t>DZ 049306</t>
  </si>
  <si>
    <t>DZ 049307</t>
  </si>
  <si>
    <t>DZ 049308</t>
  </si>
  <si>
    <t>DZ 049309</t>
  </si>
  <si>
    <t>DZ 049310</t>
  </si>
  <si>
    <t>DZ 049311</t>
  </si>
  <si>
    <t>DZ 049312</t>
  </si>
  <si>
    <t>DZ 049313</t>
  </si>
  <si>
    <t>DZ 049314</t>
  </si>
  <si>
    <t>DZ 049315</t>
  </si>
  <si>
    <t>DZ 049316</t>
  </si>
  <si>
    <t>DZ 049317</t>
  </si>
  <si>
    <t>DZ 049318</t>
  </si>
  <si>
    <t xml:space="preserve">HDAGANG - ITF </t>
  </si>
  <si>
    <t>DZ 049319</t>
  </si>
  <si>
    <t>DZ 049320</t>
  </si>
  <si>
    <t>DZ 049321</t>
  </si>
  <si>
    <t>DZ 049322</t>
  </si>
  <si>
    <t>DZ 049323</t>
  </si>
  <si>
    <t>DZ 049324</t>
  </si>
  <si>
    <t>H BANK - YIJG</t>
  </si>
  <si>
    <t>DZ 049325</t>
  </si>
  <si>
    <t>DZ 050501</t>
  </si>
  <si>
    <t>DZ 050502</t>
  </si>
  <si>
    <t>DZ 050503</t>
  </si>
  <si>
    <t>DZ 050504</t>
  </si>
  <si>
    <t>H BANK-BUNGA - HSBC</t>
  </si>
  <si>
    <t>DZ 050505</t>
  </si>
  <si>
    <t>DZ 050506</t>
  </si>
  <si>
    <t>DZ 050507</t>
  </si>
  <si>
    <t>DZ 050508</t>
  </si>
  <si>
    <t>DZ 050509</t>
  </si>
  <si>
    <t>DZ 050510</t>
  </si>
  <si>
    <t>DZ 050511</t>
  </si>
  <si>
    <t>DZ 050512</t>
  </si>
  <si>
    <t>DZ 050513</t>
  </si>
  <si>
    <t>DZ 050514</t>
  </si>
  <si>
    <t>DZ 050515</t>
  </si>
  <si>
    <t>DZ 050516</t>
  </si>
  <si>
    <t>DZ 050517</t>
  </si>
  <si>
    <t>DZ 050518</t>
  </si>
  <si>
    <t>DZ 050519</t>
  </si>
  <si>
    <t>DZ 050520</t>
  </si>
  <si>
    <t>DZ 050521</t>
  </si>
  <si>
    <t>DZ 050522</t>
  </si>
  <si>
    <t>DZ 050523</t>
  </si>
  <si>
    <t>DZ 050524</t>
  </si>
  <si>
    <t>DZ 050525</t>
  </si>
  <si>
    <t>ASURANSI DAYIN</t>
  </si>
  <si>
    <t>SAN</t>
  </si>
  <si>
    <t>INSENTIF MOTORIS YUPI</t>
  </si>
  <si>
    <t>DZ 050526</t>
  </si>
  <si>
    <t>DZ 050527</t>
  </si>
  <si>
    <t>DZ 050528</t>
  </si>
  <si>
    <t xml:space="preserve">H BANK  DIFI GFI </t>
  </si>
  <si>
    <t>DZ 050529</t>
  </si>
  <si>
    <t>DZ 050530</t>
  </si>
  <si>
    <t>DZ 050531</t>
  </si>
  <si>
    <t>DZ 050532</t>
  </si>
  <si>
    <t>DZ 050533</t>
  </si>
  <si>
    <t>DZ 050534</t>
  </si>
  <si>
    <t>DZ 050535</t>
  </si>
  <si>
    <t>DZ 050536</t>
  </si>
  <si>
    <t>DZ 050537</t>
  </si>
  <si>
    <t>DZ 050538</t>
  </si>
  <si>
    <t>DZ 050539</t>
  </si>
  <si>
    <t>DZ 050540</t>
  </si>
  <si>
    <t>DZ 050541</t>
  </si>
  <si>
    <t>DZ 050542</t>
  </si>
  <si>
    <t>DZ 050543</t>
  </si>
  <si>
    <t>DZ 050544</t>
  </si>
  <si>
    <t>DZ 050545</t>
  </si>
  <si>
    <t>DZ 050546</t>
  </si>
  <si>
    <t>DZ 050547</t>
  </si>
  <si>
    <t>DZ 050548</t>
  </si>
  <si>
    <t>H BANK - PIC SEAS</t>
  </si>
  <si>
    <t>DZ 050549</t>
  </si>
  <si>
    <t>DZ 050550</t>
  </si>
  <si>
    <t>UCI</t>
  </si>
  <si>
    <t xml:space="preserve">INSENTIF YUPI </t>
  </si>
  <si>
    <t xml:space="preserve"> DIFI FBI</t>
  </si>
  <si>
    <t xml:space="preserve"> DIFI GFI </t>
  </si>
  <si>
    <t xml:space="preserve"> DIFI MIN</t>
  </si>
  <si>
    <t xml:space="preserve"> DIFI NLS </t>
  </si>
  <si>
    <t xml:space="preserve"> DIFI NLS SEASONAL</t>
  </si>
  <si>
    <t xml:space="preserve"> DIFI PIC</t>
  </si>
  <si>
    <t xml:space="preserve"> DIFI PIC SEASONAL</t>
  </si>
  <si>
    <t xml:space="preserve"> DIFI YIJG</t>
  </si>
  <si>
    <t>DIFI FBI</t>
  </si>
  <si>
    <t>DIFI GFI</t>
  </si>
  <si>
    <t xml:space="preserve">DIFI NLS </t>
  </si>
  <si>
    <t>DIFI PIC</t>
  </si>
  <si>
    <t>DIFI NLS SEASONAL</t>
  </si>
  <si>
    <t>DIFI PIC SEASONAL</t>
  </si>
  <si>
    <t>DIFI YIJG</t>
  </si>
  <si>
    <t>GAJI motoris YUPI</t>
  </si>
  <si>
    <t>DZ 050476</t>
  </si>
  <si>
    <t>DZ 050477</t>
  </si>
  <si>
    <t>DZ 050478</t>
  </si>
  <si>
    <t>DZ 050479</t>
  </si>
  <si>
    <t>DZ 050480</t>
  </si>
  <si>
    <t>DZ 050481</t>
  </si>
  <si>
    <t>DZ 050482</t>
  </si>
  <si>
    <t>DZ 050483</t>
  </si>
  <si>
    <t>DZ 050484</t>
  </si>
  <si>
    <t>DZ 050485</t>
  </si>
  <si>
    <t>DZ 050486</t>
  </si>
  <si>
    <t>DZ 050487</t>
  </si>
  <si>
    <t>DZ 050488</t>
  </si>
  <si>
    <t>DZ 050489</t>
  </si>
  <si>
    <t>DZ 050490</t>
  </si>
  <si>
    <t>DZ 050491</t>
  </si>
  <si>
    <t>DZ 050492</t>
  </si>
  <si>
    <t>DZ 050493</t>
  </si>
  <si>
    <t>DZ 050494</t>
  </si>
  <si>
    <t>DZ 050495</t>
  </si>
  <si>
    <t>DZ 050496</t>
  </si>
  <si>
    <t>DZ 050497</t>
  </si>
  <si>
    <t>DZ 050498</t>
  </si>
  <si>
    <t>DZ 050499</t>
  </si>
  <si>
    <t>DZ 050500</t>
  </si>
  <si>
    <t xml:space="preserve">BO NON BO - CILA </t>
  </si>
  <si>
    <t>BO NON BO - PWT</t>
  </si>
  <si>
    <t>BO NON BO - SOL</t>
  </si>
  <si>
    <t>BO NON BO - JOG</t>
  </si>
  <si>
    <t>ABDA - PROPERTY &amp;MOTOR VEH</t>
  </si>
  <si>
    <t>GM&amp;RSM PANSEL - INC FOYU</t>
  </si>
  <si>
    <t>NON BO - TGL</t>
  </si>
  <si>
    <t>NON BO - MGL</t>
  </si>
  <si>
    <t xml:space="preserve">NON BO - KBM </t>
  </si>
  <si>
    <t xml:space="preserve">NON BO - CILA </t>
  </si>
  <si>
    <t>NON BO - PWT</t>
  </si>
  <si>
    <t xml:space="preserve">NON BO - JGJ </t>
  </si>
  <si>
    <t>NON BO - BLOR</t>
  </si>
  <si>
    <t xml:space="preserve">NON BO - PAT </t>
  </si>
  <si>
    <t>NON BO - PKL</t>
  </si>
  <si>
    <t>MARDIANTO - PEMBL MONITOR</t>
  </si>
  <si>
    <t>JOGJ SPEED- BAN ASEP</t>
  </si>
  <si>
    <t>BO NON BO - MGL</t>
  </si>
  <si>
    <t>BO NON BO - KBM</t>
  </si>
  <si>
    <t xml:space="preserve">AI SEASONAL </t>
  </si>
  <si>
    <t>ISI</t>
  </si>
  <si>
    <t>DZ 050776</t>
  </si>
  <si>
    <t>DZ 050777</t>
  </si>
  <si>
    <t>DZ 050778</t>
  </si>
  <si>
    <t>DZ 050779</t>
  </si>
  <si>
    <t>DZ 050780</t>
  </si>
  <si>
    <t>DZ 050781</t>
  </si>
  <si>
    <t>DZ 050782</t>
  </si>
  <si>
    <t>DZ 050783</t>
  </si>
  <si>
    <t>DZ 050784</t>
  </si>
  <si>
    <t>DZ 050785</t>
  </si>
  <si>
    <t>DZ 050786</t>
  </si>
  <si>
    <t>DZ 050787</t>
  </si>
  <si>
    <t>DZ 050788</t>
  </si>
  <si>
    <t>DZ 050789</t>
  </si>
  <si>
    <t>DZ 050790</t>
  </si>
  <si>
    <t>DZ 050791</t>
  </si>
  <si>
    <t>DZ 050792</t>
  </si>
  <si>
    <t>DZ 050793</t>
  </si>
  <si>
    <t>DZ 050794</t>
  </si>
  <si>
    <t>DZ 050795</t>
  </si>
  <si>
    <t>DZ 050796</t>
  </si>
  <si>
    <t>DZ 050797</t>
  </si>
  <si>
    <t>DZ 050798</t>
  </si>
  <si>
    <t>DZ 050799</t>
  </si>
  <si>
    <t>DZ 050800</t>
  </si>
  <si>
    <t>H DAGANG - UCI</t>
  </si>
  <si>
    <t>DZ 050126</t>
  </si>
  <si>
    <t>DZ 050127</t>
  </si>
  <si>
    <t>DZ 050128</t>
  </si>
  <si>
    <t>DZ 050129</t>
  </si>
  <si>
    <t>DZ 050130</t>
  </si>
  <si>
    <t>DZ 050131</t>
  </si>
  <si>
    <t>DZ 050132</t>
  </si>
  <si>
    <t>DZ 050133</t>
  </si>
  <si>
    <t>DZ 050134</t>
  </si>
  <si>
    <t>DZ 050135</t>
  </si>
  <si>
    <t>DZ 050136</t>
  </si>
  <si>
    <t>DZ 050137</t>
  </si>
  <si>
    <t>DZ 050138</t>
  </si>
  <si>
    <t>DZ 050139</t>
  </si>
  <si>
    <t>DZ 050140</t>
  </si>
  <si>
    <t>DZ 050141</t>
  </si>
  <si>
    <t>DZ 050142</t>
  </si>
  <si>
    <t>DZ 050143</t>
  </si>
  <si>
    <t>DZ 050144</t>
  </si>
  <si>
    <t>DZ 050145</t>
  </si>
  <si>
    <t>DZ 050146</t>
  </si>
  <si>
    <t>DZ 050147</t>
  </si>
  <si>
    <t>DZ 050148</t>
  </si>
  <si>
    <t>DZ 050149</t>
  </si>
  <si>
    <t>DZ 050150</t>
  </si>
  <si>
    <t xml:space="preserve">B PROV DANAMON </t>
  </si>
  <si>
    <t xml:space="preserve">DIPO STAR ANG KE 8 </t>
  </si>
  <si>
    <t>DIPO STAR ANG KE 9</t>
  </si>
  <si>
    <t>DIPO STAR ANG KE 10</t>
  </si>
  <si>
    <t xml:space="preserve">KULKAS </t>
  </si>
  <si>
    <t>PPN MAR '20</t>
  </si>
  <si>
    <t>DG 854901</t>
  </si>
  <si>
    <t>DG 854902</t>
  </si>
  <si>
    <t>DG 854903</t>
  </si>
  <si>
    <t>DG 854904</t>
  </si>
  <si>
    <t>DG 854905</t>
  </si>
  <si>
    <t>DG 854906</t>
  </si>
  <si>
    <t>DG 854907</t>
  </si>
  <si>
    <t>DG 854908</t>
  </si>
  <si>
    <t>DG 854909</t>
  </si>
  <si>
    <t>DG 854910</t>
  </si>
  <si>
    <t>DG 854911</t>
  </si>
  <si>
    <t>DG 854912</t>
  </si>
  <si>
    <t>DG 854913</t>
  </si>
  <si>
    <t>DG 854914</t>
  </si>
  <si>
    <t>DG 854915</t>
  </si>
  <si>
    <t>DG 854916</t>
  </si>
  <si>
    <t>DG 854917</t>
  </si>
  <si>
    <t>DG 854918</t>
  </si>
  <si>
    <t>DG 854919</t>
  </si>
  <si>
    <t>DG 854920</t>
  </si>
  <si>
    <t>DG 854921</t>
  </si>
  <si>
    <t>DG 854922</t>
  </si>
  <si>
    <t>DG 854923</t>
  </si>
  <si>
    <t>DG 854924</t>
  </si>
  <si>
    <t>DG 854925</t>
  </si>
  <si>
    <t>DZ 050751</t>
  </si>
  <si>
    <t>DZ 050752</t>
  </si>
  <si>
    <t>DZ 050753</t>
  </si>
  <si>
    <t>DZ 050754</t>
  </si>
  <si>
    <t>DZ 050755</t>
  </si>
  <si>
    <t>DZ 050756</t>
  </si>
  <si>
    <t>DZ 050757</t>
  </si>
  <si>
    <t>DZ 050758</t>
  </si>
  <si>
    <t>DZ 050759</t>
  </si>
  <si>
    <t>DZ 050760</t>
  </si>
  <si>
    <t>DZ 050761</t>
  </si>
  <si>
    <t>DZ 050762</t>
  </si>
  <si>
    <t>DZ 050763</t>
  </si>
  <si>
    <t>DZ 050764</t>
  </si>
  <si>
    <t>DZ 050765</t>
  </si>
  <si>
    <t>DZ 050766</t>
  </si>
  <si>
    <t>DZ 050767</t>
  </si>
  <si>
    <t>DZ 050768</t>
  </si>
  <si>
    <t>DZ 050769</t>
  </si>
  <si>
    <t>DZ 050770</t>
  </si>
  <si>
    <t>DZ 050771</t>
  </si>
  <si>
    <t>DZ 050772</t>
  </si>
  <si>
    <t>DZ 050773</t>
  </si>
  <si>
    <t>DZ 050774</t>
  </si>
  <si>
    <t>DZ 050775</t>
  </si>
  <si>
    <t xml:space="preserve">H DAGANG - MBR LS </t>
  </si>
  <si>
    <t xml:space="preserve">H DAGANG -0 MBR FD </t>
  </si>
  <si>
    <t>DZ 050176</t>
  </si>
  <si>
    <t>DZ 050177</t>
  </si>
  <si>
    <t>DZ 050178</t>
  </si>
  <si>
    <t>DZ 050179</t>
  </si>
  <si>
    <t>DZ 050180</t>
  </si>
  <si>
    <t>DZ 050181</t>
  </si>
  <si>
    <t>DZ 050182</t>
  </si>
  <si>
    <t>DZ 050183</t>
  </si>
  <si>
    <t>DZ 050184</t>
  </si>
  <si>
    <t>DZ 050185</t>
  </si>
  <si>
    <t>DZ 050186</t>
  </si>
  <si>
    <t>DZ 050187</t>
  </si>
  <si>
    <t>DZ 050188</t>
  </si>
  <si>
    <t>DZ 050189</t>
  </si>
  <si>
    <t>DZ 050190</t>
  </si>
  <si>
    <t>DZ 050191</t>
  </si>
  <si>
    <t>DZ 050192</t>
  </si>
  <si>
    <t>DZ 050193</t>
  </si>
  <si>
    <t>DZ 050194</t>
  </si>
  <si>
    <t>DZ 050195</t>
  </si>
  <si>
    <t>DZ 050196</t>
  </si>
  <si>
    <t>DZ 050197</t>
  </si>
  <si>
    <t>DZ 050198</t>
  </si>
  <si>
    <t>DZ 050199</t>
  </si>
  <si>
    <t>DZ 050200</t>
  </si>
  <si>
    <t xml:space="preserve">BO NON BO - WGR </t>
  </si>
  <si>
    <t xml:space="preserve">BO NON BO - PWT </t>
  </si>
  <si>
    <t>BO NON BO - SOLO</t>
  </si>
  <si>
    <t xml:space="preserve">BO NON BO - JOG </t>
  </si>
  <si>
    <t xml:space="preserve">NON BO - SLT </t>
  </si>
  <si>
    <t xml:space="preserve">CF DEPAPER - MEI </t>
  </si>
  <si>
    <t xml:space="preserve">JNT APR </t>
  </si>
  <si>
    <t xml:space="preserve">JOGJA SPEED- PWT WGR </t>
  </si>
  <si>
    <t xml:space="preserve">NON BO - PWT </t>
  </si>
  <si>
    <t xml:space="preserve">INTERNET MEI </t>
  </si>
  <si>
    <t xml:space="preserve">BO NON BO - TGL </t>
  </si>
  <si>
    <t xml:space="preserve">BO NON BO - SLT </t>
  </si>
  <si>
    <t xml:space="preserve">BO NON BO - PAT </t>
  </si>
  <si>
    <t xml:space="preserve">BO NON BO - PKL </t>
  </si>
  <si>
    <t xml:space="preserve">BO NON BO - MGL </t>
  </si>
  <si>
    <t xml:space="preserve">BO NON BO - KBM </t>
  </si>
  <si>
    <t>DK 642576</t>
  </si>
  <si>
    <t>DK 642577</t>
  </si>
  <si>
    <t>DK 642578</t>
  </si>
  <si>
    <t>DK 642579</t>
  </si>
  <si>
    <t>DK 642580</t>
  </si>
  <si>
    <t>DK 642581</t>
  </si>
  <si>
    <t>DK 642582</t>
  </si>
  <si>
    <t>DK 642583</t>
  </si>
  <si>
    <t>DK 642584</t>
  </si>
  <si>
    <t>DK 642585</t>
  </si>
  <si>
    <t>DK 642586</t>
  </si>
  <si>
    <t>DK 642587</t>
  </si>
  <si>
    <t>DK 642588</t>
  </si>
  <si>
    <t>DK 642589</t>
  </si>
  <si>
    <t>DK 642590</t>
  </si>
  <si>
    <t>DK 642591</t>
  </si>
  <si>
    <t>DK 642592</t>
  </si>
  <si>
    <t>DK 642593</t>
  </si>
  <si>
    <t>DK 642594</t>
  </si>
  <si>
    <t>DK 642595</t>
  </si>
  <si>
    <t>DK 642596</t>
  </si>
  <si>
    <t>DK 642597</t>
  </si>
  <si>
    <t>DK 642598</t>
  </si>
  <si>
    <t>DK 642599</t>
  </si>
  <si>
    <t>DK 642600</t>
  </si>
  <si>
    <t>DZ 049726</t>
  </si>
  <si>
    <t>DZ 049727</t>
  </si>
  <si>
    <t>DZ 049728</t>
  </si>
  <si>
    <t>DZ 049729</t>
  </si>
  <si>
    <t>DZ 049730</t>
  </si>
  <si>
    <t>DZ 049731</t>
  </si>
  <si>
    <t>DZ 049732</t>
  </si>
  <si>
    <t>DZ 049733</t>
  </si>
  <si>
    <t>DZ 049734</t>
  </si>
  <si>
    <t>DZ 049735</t>
  </si>
  <si>
    <t>DZ 049736</t>
  </si>
  <si>
    <t>DZ 049737</t>
  </si>
  <si>
    <t>DZ 049738</t>
  </si>
  <si>
    <t>DZ 049739</t>
  </si>
  <si>
    <t>DZ 049740</t>
  </si>
  <si>
    <t>DZ 049741</t>
  </si>
  <si>
    <t>DZ 049742</t>
  </si>
  <si>
    <t>DZ 049743</t>
  </si>
  <si>
    <t>DZ 049744</t>
  </si>
  <si>
    <t>DZ 049745</t>
  </si>
  <si>
    <t>DZ 049746</t>
  </si>
  <si>
    <t>DZ 049747</t>
  </si>
  <si>
    <t>DZ 049748</t>
  </si>
  <si>
    <t>DZ 049749</t>
  </si>
  <si>
    <t>DZ 049750</t>
  </si>
  <si>
    <t xml:space="preserve">H DAGANG - ISI </t>
  </si>
  <si>
    <t xml:space="preserve">H BDAGANG - RDSI </t>
  </si>
  <si>
    <t xml:space="preserve">void </t>
  </si>
  <si>
    <t xml:space="preserve">RDSI - ISWAHYUDI </t>
  </si>
  <si>
    <t>DITOLAK</t>
  </si>
  <si>
    <t>TIDAK ADA DI MAS CANDRA</t>
  </si>
  <si>
    <t>TIDAK ADA DIMAS CANDRA</t>
  </si>
  <si>
    <t>DZ 049326</t>
  </si>
  <si>
    <t>DZ 049327</t>
  </si>
  <si>
    <t>DZ 049328</t>
  </si>
  <si>
    <t>DZ 049329</t>
  </si>
  <si>
    <t>DZ 049330</t>
  </si>
  <si>
    <t>DZ 049331</t>
  </si>
  <si>
    <t>DZ 049332</t>
  </si>
  <si>
    <t>DZ 049333</t>
  </si>
  <si>
    <t>DZ 049334</t>
  </si>
  <si>
    <t>DZ 049335</t>
  </si>
  <si>
    <t>DZ 049336</t>
  </si>
  <si>
    <t>DZ 049337</t>
  </si>
  <si>
    <t>DZ 049338</t>
  </si>
  <si>
    <t>DZ 049339</t>
  </si>
  <si>
    <t>DZ 049340</t>
  </si>
  <si>
    <t>DZ 049341</t>
  </si>
  <si>
    <t>DZ 049342</t>
  </si>
  <si>
    <t>DZ 049343</t>
  </si>
  <si>
    <t>DZ 049344</t>
  </si>
  <si>
    <t>DZ 049345</t>
  </si>
  <si>
    <t>DZ 049346</t>
  </si>
  <si>
    <t>DZ 049347</t>
  </si>
  <si>
    <t>DZ 049348</t>
  </si>
  <si>
    <t>DZ 049349</t>
  </si>
  <si>
    <t>DZ 049350</t>
  </si>
  <si>
    <t>FAUJI - PROJECTOR&amp;PRINTER BLO</t>
  </si>
  <si>
    <t xml:space="preserve">KOPR DEPO </t>
  </si>
  <si>
    <t xml:space="preserve">NON BO - TGL </t>
  </si>
  <si>
    <t xml:space="preserve">BUDI GUNARSO </t>
  </si>
  <si>
    <t xml:space="preserve">BO NON BO - PATI </t>
  </si>
  <si>
    <t xml:space="preserve">CF DEPAPER APR </t>
  </si>
  <si>
    <t xml:space="preserve">NON BO - PKL </t>
  </si>
  <si>
    <t xml:space="preserve">BO NON BO - YK </t>
  </si>
  <si>
    <t xml:space="preserve">BO - PWT </t>
  </si>
  <si>
    <t xml:space="preserve">BO - MGL </t>
  </si>
  <si>
    <t>DY 534826</t>
  </si>
  <si>
    <t>DY 534827</t>
  </si>
  <si>
    <t>DY 534828</t>
  </si>
  <si>
    <t>DY 534829</t>
  </si>
  <si>
    <t>DY 534830</t>
  </si>
  <si>
    <t>DY 534831</t>
  </si>
  <si>
    <t>DY 534832</t>
  </si>
  <si>
    <t>DY 534833</t>
  </si>
  <si>
    <t>DY 534834</t>
  </si>
  <si>
    <t>DY 534835</t>
  </si>
  <si>
    <t>DY 534836</t>
  </si>
  <si>
    <t>DY 534837</t>
  </si>
  <si>
    <t>DY 534838</t>
  </si>
  <si>
    <t>DY 534839</t>
  </si>
  <si>
    <t>DY 534840</t>
  </si>
  <si>
    <t>DY 534841</t>
  </si>
  <si>
    <t>DY 534842</t>
  </si>
  <si>
    <t>DY 534843</t>
  </si>
  <si>
    <t>DY 534844</t>
  </si>
  <si>
    <t>DY 534845</t>
  </si>
  <si>
    <t>DY 534846</t>
  </si>
  <si>
    <t>DY 534847</t>
  </si>
  <si>
    <t>DY 534848</t>
  </si>
  <si>
    <t>DY 534849</t>
  </si>
  <si>
    <t>DY 534850</t>
  </si>
  <si>
    <t xml:space="preserve">BO NON BO - SOLO </t>
  </si>
  <si>
    <t xml:space="preserve">BO NON BO - JGJ </t>
  </si>
  <si>
    <t xml:space="preserve">RAKHMAT - RSM PANTURA </t>
  </si>
  <si>
    <t xml:space="preserve">JOKO - MOBIL PAK TRI </t>
  </si>
  <si>
    <t xml:space="preserve">JAMSOSTEK MAR </t>
  </si>
  <si>
    <t xml:space="preserve">NON BO  - PKL </t>
  </si>
  <si>
    <t xml:space="preserve">NON BO - PATI </t>
  </si>
  <si>
    <t xml:space="preserve">BO NON BO PKL </t>
  </si>
  <si>
    <t>DZ 050151</t>
  </si>
  <si>
    <t>DZ 050152</t>
  </si>
  <si>
    <t>DZ 050153</t>
  </si>
  <si>
    <t>DZ 050154</t>
  </si>
  <si>
    <t>DZ 050155</t>
  </si>
  <si>
    <t>DZ 050156</t>
  </si>
  <si>
    <t>DZ 050157</t>
  </si>
  <si>
    <t>DZ 050158</t>
  </si>
  <si>
    <t>DZ 050159</t>
  </si>
  <si>
    <t>DZ 050160</t>
  </si>
  <si>
    <t>DZ 050161</t>
  </si>
  <si>
    <t>DZ 050162</t>
  </si>
  <si>
    <t>DZ 050163</t>
  </si>
  <si>
    <t>DZ 050164</t>
  </si>
  <si>
    <t>DZ 050165</t>
  </si>
  <si>
    <t>DZ 050166</t>
  </si>
  <si>
    <t>DZ 050167</t>
  </si>
  <si>
    <t>DZ 050168</t>
  </si>
  <si>
    <t>DZ 050169</t>
  </si>
  <si>
    <t>DZ 050170</t>
  </si>
  <si>
    <t>DZ 050171</t>
  </si>
  <si>
    <t>DZ 050172</t>
  </si>
  <si>
    <t>DZ 050173</t>
  </si>
  <si>
    <t>DZ 050174</t>
  </si>
  <si>
    <t>DZ 050175</t>
  </si>
  <si>
    <t>SINAR BAKTI - ID CARD</t>
  </si>
  <si>
    <t xml:space="preserve">HIPERLINK - ID CARD </t>
  </si>
  <si>
    <t xml:space="preserve">BO NONBO - KBM </t>
  </si>
  <si>
    <t>BO NON BO SOLO]</t>
  </si>
  <si>
    <t>JAMSOSTEK APR '20</t>
  </si>
  <si>
    <t>NO NON BO - SLT</t>
  </si>
  <si>
    <t>DZ 050451</t>
  </si>
  <si>
    <t>DZ 050452</t>
  </si>
  <si>
    <t>DZ 050453</t>
  </si>
  <si>
    <t>DZ 050454</t>
  </si>
  <si>
    <t>DZ 050455</t>
  </si>
  <si>
    <t>DZ 050456</t>
  </si>
  <si>
    <t>DZ 050457</t>
  </si>
  <si>
    <t>DZ 050458</t>
  </si>
  <si>
    <t>DZ 050459</t>
  </si>
  <si>
    <t>DZ 050460</t>
  </si>
  <si>
    <t>DZ 050461</t>
  </si>
  <si>
    <t>DZ 050462</t>
  </si>
  <si>
    <t>DZ 050463</t>
  </si>
  <si>
    <t>DZ 050464</t>
  </si>
  <si>
    <t>DZ 050465</t>
  </si>
  <si>
    <t>DZ 050466</t>
  </si>
  <si>
    <t>DZ 050467</t>
  </si>
  <si>
    <t>DZ 050468</t>
  </si>
  <si>
    <t>DZ 050469</t>
  </si>
  <si>
    <t>DZ 050470</t>
  </si>
  <si>
    <t>DZ 050471</t>
  </si>
  <si>
    <t>DZ 050472</t>
  </si>
  <si>
    <t>DZ 050473</t>
  </si>
  <si>
    <t>DZ 050474</t>
  </si>
  <si>
    <t>DZ 050475</t>
  </si>
  <si>
    <t xml:space="preserve">BUDI SANTOSO </t>
  </si>
  <si>
    <t xml:space="preserve">FAUJI - ABSENSI HO </t>
  </si>
  <si>
    <t>SINAR BAKTI - ID CARD ATK</t>
  </si>
  <si>
    <t>FAUJI - PRITER BLO</t>
  </si>
  <si>
    <t>DZ 049351</t>
  </si>
  <si>
    <t>DZ 049352</t>
  </si>
  <si>
    <t>DZ 049353</t>
  </si>
  <si>
    <t>DZ 049354</t>
  </si>
  <si>
    <t>DZ 049355</t>
  </si>
  <si>
    <t>DZ 049356</t>
  </si>
  <si>
    <t>DZ 049357</t>
  </si>
  <si>
    <t>DZ 049358</t>
  </si>
  <si>
    <t>DZ 049359</t>
  </si>
  <si>
    <t>DZ 049360</t>
  </si>
  <si>
    <t>DZ 049361</t>
  </si>
  <si>
    <t>DZ 049362</t>
  </si>
  <si>
    <t>DZ 049363</t>
  </si>
  <si>
    <t>DZ 049364</t>
  </si>
  <si>
    <t>DZ 049365</t>
  </si>
  <si>
    <t>DZ 049366</t>
  </si>
  <si>
    <t>DZ 049367</t>
  </si>
  <si>
    <t>DZ 049368</t>
  </si>
  <si>
    <t>DZ 049369</t>
  </si>
  <si>
    <t>DZ 049370</t>
  </si>
  <si>
    <t>DZ 049371</t>
  </si>
  <si>
    <t>DZ 049372</t>
  </si>
  <si>
    <t>DZ 049373</t>
  </si>
  <si>
    <t>DZ 049374</t>
  </si>
  <si>
    <t>DZ 049375</t>
  </si>
  <si>
    <t xml:space="preserve">BO - KBM </t>
  </si>
  <si>
    <t xml:space="preserve">JOGJ SPEED - </t>
  </si>
  <si>
    <t xml:space="preserve">FAUJI - KOMP M ARIEF </t>
  </si>
  <si>
    <t xml:space="preserve">ABDA - MOBIL </t>
  </si>
  <si>
    <t xml:space="preserve">TERMOMETER </t>
  </si>
  <si>
    <t>REKAP TAGIHAN RENTOKIL</t>
  </si>
  <si>
    <t xml:space="preserve">NO FAKTUR PENJUALAN </t>
  </si>
  <si>
    <t>PERIODE</t>
  </si>
  <si>
    <t>NOMINAL</t>
  </si>
  <si>
    <t>TTD</t>
  </si>
  <si>
    <t xml:space="preserve">DIBAYAR </t>
  </si>
  <si>
    <t>BAYAR</t>
  </si>
  <si>
    <t>DIBAYAR</t>
  </si>
  <si>
    <t>DPP</t>
  </si>
  <si>
    <t>MANUAL</t>
  </si>
  <si>
    <t>MESIN</t>
  </si>
  <si>
    <t>19,61754750</t>
  </si>
  <si>
    <t>20,75689820</t>
  </si>
  <si>
    <t>20,75710060</t>
  </si>
  <si>
    <t>BULAN JUNI 2020</t>
  </si>
  <si>
    <t>BULAN MEI 2020</t>
  </si>
  <si>
    <t>PBB JOGJA</t>
  </si>
  <si>
    <t>PBB SEMARANG</t>
  </si>
  <si>
    <t>PBB SOLO</t>
  </si>
  <si>
    <t xml:space="preserve">SALDO KAS KECIL SISTEM </t>
  </si>
  <si>
    <t>SALDO KAS KECIL MANUAL</t>
  </si>
  <si>
    <t>SELISIH SALDO KAS KECIL</t>
  </si>
  <si>
    <t>DZ 051076</t>
  </si>
  <si>
    <t>DZ 051077</t>
  </si>
  <si>
    <t>DZ 051078</t>
  </si>
  <si>
    <t xml:space="preserve">DIPO STAR - ANGS KE </t>
  </si>
  <si>
    <t>DZ 051079</t>
  </si>
  <si>
    <t>DZ 051080</t>
  </si>
  <si>
    <t>DZ 051081</t>
  </si>
  <si>
    <t>KAS NEGARA - PPN</t>
  </si>
  <si>
    <t>DZ 051082</t>
  </si>
  <si>
    <t>DZ 051083</t>
  </si>
  <si>
    <t>DZ 051084</t>
  </si>
  <si>
    <t>DZ 051085</t>
  </si>
  <si>
    <t>DZ 051086</t>
  </si>
  <si>
    <t>DZ 051087</t>
  </si>
  <si>
    <t>DZ 051088</t>
  </si>
  <si>
    <t>DZ 051089</t>
  </si>
  <si>
    <t>DZ 051090</t>
  </si>
  <si>
    <t>DZ 051091</t>
  </si>
  <si>
    <t>DZ 051092</t>
  </si>
  <si>
    <t>DZ 051093</t>
  </si>
  <si>
    <t>DZ 051094</t>
  </si>
  <si>
    <t>DZ 051095</t>
  </si>
  <si>
    <t>DZ 051096</t>
  </si>
  <si>
    <t>DZ 051097</t>
  </si>
  <si>
    <t>DZ 051098</t>
  </si>
  <si>
    <t>DZ 051099</t>
  </si>
  <si>
    <t>DZ 051100</t>
  </si>
  <si>
    <t>GAJI AI</t>
  </si>
  <si>
    <t>DZ 051101</t>
  </si>
  <si>
    <t>DZ 051102</t>
  </si>
  <si>
    <t>DZ 051103</t>
  </si>
  <si>
    <t>DZ 051104</t>
  </si>
  <si>
    <t>DZ 051105</t>
  </si>
  <si>
    <t>DZ 051106</t>
  </si>
  <si>
    <t>DZ 051107</t>
  </si>
  <si>
    <t>DZ 051108</t>
  </si>
  <si>
    <t>DZ 051109</t>
  </si>
  <si>
    <t>DZ 051110</t>
  </si>
  <si>
    <t>DZ 051111</t>
  </si>
  <si>
    <t>DZ 051112</t>
  </si>
  <si>
    <t>DZ 051113</t>
  </si>
  <si>
    <t>DZ 051114</t>
  </si>
  <si>
    <t>DZ 051115</t>
  </si>
  <si>
    <t>DZ 051116</t>
  </si>
  <si>
    <t>DZ 051117</t>
  </si>
  <si>
    <t>DZ 051118</t>
  </si>
  <si>
    <t>DZ 051119</t>
  </si>
  <si>
    <t>DZ 051120</t>
  </si>
  <si>
    <t>DZ 051121</t>
  </si>
  <si>
    <t>DZ 051122</t>
  </si>
  <si>
    <t>DZ 051123</t>
  </si>
  <si>
    <t>DZ 051124</t>
  </si>
  <si>
    <t>DZ 051125</t>
  </si>
  <si>
    <t>DZ 051476</t>
  </si>
  <si>
    <t>DZ 051477</t>
  </si>
  <si>
    <t>DZ 051478</t>
  </si>
  <si>
    <t>DZ 051479</t>
  </si>
  <si>
    <t>DZ 051480</t>
  </si>
  <si>
    <t>DZ 051481</t>
  </si>
  <si>
    <t>DZ 051482</t>
  </si>
  <si>
    <t>DZ 051483</t>
  </si>
  <si>
    <t>DZ 051484</t>
  </si>
  <si>
    <t>DZ 051485</t>
  </si>
  <si>
    <t>DZ 051486</t>
  </si>
  <si>
    <t>DZ 051487</t>
  </si>
  <si>
    <t>DZ 051488</t>
  </si>
  <si>
    <t>DZ 051489</t>
  </si>
  <si>
    <t>DZ 051490</t>
  </si>
  <si>
    <t>DZ 051491</t>
  </si>
  <si>
    <t>DZ 051492</t>
  </si>
  <si>
    <t>DZ 051493</t>
  </si>
  <si>
    <t>DZ 051494</t>
  </si>
  <si>
    <t>DZ 051495</t>
  </si>
  <si>
    <t>DZ 051496</t>
  </si>
  <si>
    <t>DZ 051497</t>
  </si>
  <si>
    <t>DZ 051498</t>
  </si>
  <si>
    <t>DZ 051499</t>
  </si>
  <si>
    <t>DZ 051500</t>
  </si>
  <si>
    <t xml:space="preserve">H DAGANG - DBW </t>
  </si>
  <si>
    <t>DZ 051451</t>
  </si>
  <si>
    <t>DZ 051452</t>
  </si>
  <si>
    <t>DZ 051453</t>
  </si>
  <si>
    <t>DZ 051454</t>
  </si>
  <si>
    <t>DZ 051455</t>
  </si>
  <si>
    <t>DZ 051456</t>
  </si>
  <si>
    <t>DZ 051457</t>
  </si>
  <si>
    <t>DZ 051458</t>
  </si>
  <si>
    <t>DZ 051459</t>
  </si>
  <si>
    <t>DZ 051460</t>
  </si>
  <si>
    <t>DZ 051461</t>
  </si>
  <si>
    <t>DZ 051462</t>
  </si>
  <si>
    <t>DZ 051463</t>
  </si>
  <si>
    <t>DZ 051464</t>
  </si>
  <si>
    <t>DZ 051465</t>
  </si>
  <si>
    <t>DZ 051466</t>
  </si>
  <si>
    <t>DZ 051467</t>
  </si>
  <si>
    <t>DZ 051468</t>
  </si>
  <si>
    <t>DZ 051469</t>
  </si>
  <si>
    <t>DZ 051470</t>
  </si>
  <si>
    <t>DZ 051471</t>
  </si>
  <si>
    <t>DZ 051472</t>
  </si>
  <si>
    <t>DZ 051473</t>
  </si>
  <si>
    <t>DZ 051474</t>
  </si>
  <si>
    <t>DZ 051475</t>
  </si>
  <si>
    <t>KAS NEGARA - PPH 25,23,21</t>
  </si>
  <si>
    <t xml:space="preserve">HY BANK - DIFI YIJG </t>
  </si>
  <si>
    <t>VOOID</t>
  </si>
  <si>
    <t>Notes : Kolom Pembayaran diisi sesuai periode dokumen</t>
  </si>
  <si>
    <t>DZ 051051</t>
  </si>
  <si>
    <t>DZ 051052</t>
  </si>
  <si>
    <t>DZ 051053</t>
  </si>
  <si>
    <t>DZ 051054</t>
  </si>
  <si>
    <t>DZ 051055</t>
  </si>
  <si>
    <t>DZ 051056</t>
  </si>
  <si>
    <t>DZ 051057</t>
  </si>
  <si>
    <t>DZ 051058</t>
  </si>
  <si>
    <t>DZ 051059</t>
  </si>
  <si>
    <t>DZ 051060</t>
  </si>
  <si>
    <t>DZ 051061</t>
  </si>
  <si>
    <t>DZ 051062</t>
  </si>
  <si>
    <t>DZ 051063</t>
  </si>
  <si>
    <t>DZ 051064</t>
  </si>
  <si>
    <t>DZ 051065</t>
  </si>
  <si>
    <t>DZ 051066</t>
  </si>
  <si>
    <t>DZ 051067</t>
  </si>
  <si>
    <t>DZ 051068</t>
  </si>
  <si>
    <t>DZ 051069</t>
  </si>
  <si>
    <t>DZ 051070</t>
  </si>
  <si>
    <t>DZ 051071</t>
  </si>
  <si>
    <t>DZ 051072</t>
  </si>
  <si>
    <t>DZ 051073</t>
  </si>
  <si>
    <t>DZ 051074</t>
  </si>
  <si>
    <t>DZ 051075</t>
  </si>
  <si>
    <t xml:space="preserve">GEDUNG &amp; KENDR METRIX </t>
  </si>
  <si>
    <t>BAYAR SENDIRI (DIFI)</t>
  </si>
  <si>
    <t xml:space="preserve">TOTAL BAYAR DIFI </t>
  </si>
  <si>
    <t>DZ 051126</t>
  </si>
  <si>
    <t>DZ 051127</t>
  </si>
  <si>
    <t>DZ 051128</t>
  </si>
  <si>
    <t>DZ 051129</t>
  </si>
  <si>
    <t>DZ 051130</t>
  </si>
  <si>
    <t>DZ 051131</t>
  </si>
  <si>
    <t>DZ 051132</t>
  </si>
  <si>
    <t>DZ 051133</t>
  </si>
  <si>
    <t>DZ 051134</t>
  </si>
  <si>
    <t>DZ 051135</t>
  </si>
  <si>
    <t>DZ 051136</t>
  </si>
  <si>
    <t>DZ 051137</t>
  </si>
  <si>
    <t>DZ 051138</t>
  </si>
  <si>
    <t>DZ 051139</t>
  </si>
  <si>
    <t>DZ 051140</t>
  </si>
  <si>
    <t>DZ 051141</t>
  </si>
  <si>
    <t>DZ 051142</t>
  </si>
  <si>
    <t>DZ 051143</t>
  </si>
  <si>
    <t>DZ 051144</t>
  </si>
  <si>
    <t>DZ 051145</t>
  </si>
  <si>
    <t>DZ 051146</t>
  </si>
  <si>
    <t>DZ 051147</t>
  </si>
  <si>
    <t>DZ 051148</t>
  </si>
  <si>
    <t>DZ 051149</t>
  </si>
  <si>
    <t>DZ 051150</t>
  </si>
  <si>
    <t xml:space="preserve">BO NONBO - SMG </t>
  </si>
  <si>
    <t xml:space="preserve">BO - JGJ </t>
  </si>
  <si>
    <t xml:space="preserve">BO NON BO - SOL </t>
  </si>
  <si>
    <t xml:space="preserve">BO NON BO - CIL </t>
  </si>
  <si>
    <t>MARDIANTO - LAPTOP</t>
  </si>
  <si>
    <t xml:space="preserve">TRIYANTO - SERVICE BR MGL </t>
  </si>
  <si>
    <t>BPJS KESEHATAN - JUN '2</t>
  </si>
  <si>
    <t xml:space="preserve">JGJ SPEED - BAN JGJ </t>
  </si>
  <si>
    <t xml:space="preserve">NON BO - WGR </t>
  </si>
  <si>
    <t xml:space="preserve">NON BO - SOL </t>
  </si>
  <si>
    <t xml:space="preserve">GM&amp;RSM PANSEL - INC FOYU </t>
  </si>
  <si>
    <t>SINAR BAKTI - ATK HO MEI '20</t>
  </si>
  <si>
    <t xml:space="preserve">SINAR BAKTI - KERTAS DEPO </t>
  </si>
  <si>
    <t>DZ 051651</t>
  </si>
  <si>
    <t>DZ 051652</t>
  </si>
  <si>
    <t>DZ 051653</t>
  </si>
  <si>
    <t>DZ 051654</t>
  </si>
  <si>
    <t>DZ 051655</t>
  </si>
  <si>
    <t>DZ 051656</t>
  </si>
  <si>
    <t>DZ 051657</t>
  </si>
  <si>
    <t>DZ 051658</t>
  </si>
  <si>
    <t>DZ 051659</t>
  </si>
  <si>
    <t>DZ 051660</t>
  </si>
  <si>
    <t>DZ 051661</t>
  </si>
  <si>
    <t>DZ 051662</t>
  </si>
  <si>
    <t>DZ 051663</t>
  </si>
  <si>
    <t>DZ 051664</t>
  </si>
  <si>
    <t>DZ 051665</t>
  </si>
  <si>
    <t>DZ 051666</t>
  </si>
  <si>
    <t>DZ 051667</t>
  </si>
  <si>
    <t>DZ 051668</t>
  </si>
  <si>
    <t>DZ 051669</t>
  </si>
  <si>
    <t>DZ 051670</t>
  </si>
  <si>
    <t>DZ 051671</t>
  </si>
  <si>
    <t>DZ 051672</t>
  </si>
  <si>
    <t>DZ 051673</t>
  </si>
  <si>
    <t>DZ 051674</t>
  </si>
  <si>
    <t>DZ 051675</t>
  </si>
  <si>
    <t>DZ 050801</t>
  </si>
  <si>
    <t>DZ 050802</t>
  </si>
  <si>
    <t>DZ 050803</t>
  </si>
  <si>
    <t>DZ 050804</t>
  </si>
  <si>
    <t>DZ 050805</t>
  </si>
  <si>
    <t>DZ 050806</t>
  </si>
  <si>
    <t>DZ 050807</t>
  </si>
  <si>
    <t>DZ 050808</t>
  </si>
  <si>
    <t>DZ 050809</t>
  </si>
  <si>
    <t>DZ 050810</t>
  </si>
  <si>
    <t>DZ 050811</t>
  </si>
  <si>
    <t>DZ 050812</t>
  </si>
  <si>
    <t>DZ 050813</t>
  </si>
  <si>
    <t>DZ 050814</t>
  </si>
  <si>
    <t>DZ 050815</t>
  </si>
  <si>
    <t>DZ 050816</t>
  </si>
  <si>
    <t>DZ 050817</t>
  </si>
  <si>
    <t>DZ 050818</t>
  </si>
  <si>
    <t>DZ 050819</t>
  </si>
  <si>
    <t>DZ 050820</t>
  </si>
  <si>
    <t>DZ 050821</t>
  </si>
  <si>
    <t>DZ 050822</t>
  </si>
  <si>
    <t>DZ 050823</t>
  </si>
  <si>
    <t>DZ 050824</t>
  </si>
  <si>
    <t>DZ 050825</t>
  </si>
  <si>
    <t xml:space="preserve">BO - WGR </t>
  </si>
  <si>
    <t>BO - CIL</t>
  </si>
  <si>
    <t xml:space="preserve">BO -NON BO - PWT </t>
  </si>
  <si>
    <t xml:space="preserve">BO - TGL </t>
  </si>
  <si>
    <t xml:space="preserve">BO - SLT </t>
  </si>
  <si>
    <t>BO - BLO</t>
  </si>
  <si>
    <t>BPJS KETNG - MEI '20</t>
  </si>
  <si>
    <t xml:space="preserve">BO - PKL </t>
  </si>
  <si>
    <t xml:space="preserve">JNT - MEI </t>
  </si>
  <si>
    <t>DZ 051426</t>
  </si>
  <si>
    <t xml:space="preserve">NON BO - CIL </t>
  </si>
  <si>
    <t xml:space="preserve">NON BO - MGL </t>
  </si>
  <si>
    <t>BO NON BO - BLO</t>
  </si>
  <si>
    <t xml:space="preserve">PT PANDU - PLKSANAAN MERCHNDISE </t>
  </si>
  <si>
    <t xml:space="preserve">ABDA </t>
  </si>
  <si>
    <t>MELVY - CF DEPAPER JUN '20</t>
  </si>
  <si>
    <t>INTERNET JUN '20</t>
  </si>
  <si>
    <t xml:space="preserve">HERWANTO </t>
  </si>
  <si>
    <t xml:space="preserve">JOKO R - TRI </t>
  </si>
  <si>
    <t>DZ 051427</t>
  </si>
  <si>
    <t>DZ 051428</t>
  </si>
  <si>
    <t>DZ 051429</t>
  </si>
  <si>
    <t>DZ 051430</t>
  </si>
  <si>
    <t>DZ 051431</t>
  </si>
  <si>
    <t>DZ 051432</t>
  </si>
  <si>
    <t>DZ 051433</t>
  </si>
  <si>
    <t>DZ 051434</t>
  </si>
  <si>
    <t>DZ 051435</t>
  </si>
  <si>
    <t>DZ 051436</t>
  </si>
  <si>
    <t>DZ 051437</t>
  </si>
  <si>
    <t>DZ 051438</t>
  </si>
  <si>
    <t>DZ 051439</t>
  </si>
  <si>
    <t>DZ 051440</t>
  </si>
  <si>
    <t>DZ 051441</t>
  </si>
  <si>
    <t>DZ 051442</t>
  </si>
  <si>
    <t>DZ 051443</t>
  </si>
  <si>
    <t>DZ 051444</t>
  </si>
  <si>
    <t>DZ 051445</t>
  </si>
  <si>
    <t>DZ 051446</t>
  </si>
  <si>
    <t>DZ 051447</t>
  </si>
  <si>
    <t>DZ 051448</t>
  </si>
  <si>
    <t>DZ 051449</t>
  </si>
  <si>
    <t>DZ 051450</t>
  </si>
  <si>
    <t>DZ 051401</t>
  </si>
  <si>
    <t>DZ 051402</t>
  </si>
  <si>
    <t>DZ 051403</t>
  </si>
  <si>
    <t>DZ 051404</t>
  </si>
  <si>
    <t>DZ 051405</t>
  </si>
  <si>
    <t>DZ 051406</t>
  </si>
  <si>
    <t>DZ 051407</t>
  </si>
  <si>
    <t>DZ 051408</t>
  </si>
  <si>
    <t>DZ 051409</t>
  </si>
  <si>
    <t>DZ 051410</t>
  </si>
  <si>
    <t>DZ 051411</t>
  </si>
  <si>
    <t>DZ 051412</t>
  </si>
  <si>
    <t>DZ 051413</t>
  </si>
  <si>
    <t>DZ 051414</t>
  </si>
  <si>
    <t>DZ 051415</t>
  </si>
  <si>
    <t>DZ 051416</t>
  </si>
  <si>
    <t>DZ 051417</t>
  </si>
  <si>
    <t>DZ 051418</t>
  </si>
  <si>
    <t>DZ 051419</t>
  </si>
  <si>
    <t>DZ 051420</t>
  </si>
  <si>
    <t>DZ 051421</t>
  </si>
  <si>
    <t>DZ 051422</t>
  </si>
  <si>
    <t>DZ 051423</t>
  </si>
  <si>
    <t>DZ 051424</t>
  </si>
  <si>
    <t>DZ 051425</t>
  </si>
  <si>
    <t xml:space="preserve">BO - CIL </t>
  </si>
  <si>
    <t xml:space="preserve">BO - SOL </t>
  </si>
  <si>
    <t xml:space="preserve">BO - YK </t>
  </si>
  <si>
    <t xml:space="preserve">BO - BLO </t>
  </si>
  <si>
    <t xml:space="preserve">ARIEF - FILLING KABINET </t>
  </si>
  <si>
    <t xml:space="preserve">DISASS COMP - PRINTER </t>
  </si>
  <si>
    <t xml:space="preserve">BUDI G - BAN MGL </t>
  </si>
  <si>
    <t xml:space="preserve">NON BO - LISTRIK KBM </t>
  </si>
  <si>
    <t xml:space="preserve">NON BO - YK </t>
  </si>
  <si>
    <t xml:space="preserve">SIGMA - AUDIT </t>
  </si>
  <si>
    <t xml:space="preserve">HIPERLINK MEI </t>
  </si>
  <si>
    <t>Q1</t>
  </si>
  <si>
    <t>Q2</t>
  </si>
  <si>
    <t>DZ 051901</t>
  </si>
  <si>
    <t>DZ 051902</t>
  </si>
  <si>
    <t>DZ 051903</t>
  </si>
  <si>
    <t>DZ 051904</t>
  </si>
  <si>
    <t>DZ 051905</t>
  </si>
  <si>
    <t>DZ 051906</t>
  </si>
  <si>
    <t>DZ 051907</t>
  </si>
  <si>
    <t>DZ 051908</t>
  </si>
  <si>
    <t>DZ 051909</t>
  </si>
  <si>
    <t>DZ 051910</t>
  </si>
  <si>
    <t>DZ 051911</t>
  </si>
  <si>
    <t>DZ 051912</t>
  </si>
  <si>
    <t>DZ 051913</t>
  </si>
  <si>
    <t>DZ 051914</t>
  </si>
  <si>
    <t>DZ 051915</t>
  </si>
  <si>
    <t>DZ 051916</t>
  </si>
  <si>
    <t>DZ 051917</t>
  </si>
  <si>
    <t>DZ 051918</t>
  </si>
  <si>
    <t>DZ 051919</t>
  </si>
  <si>
    <t>DZ 051920</t>
  </si>
  <si>
    <t>DZ 051921</t>
  </si>
  <si>
    <t>DZ 051922</t>
  </si>
  <si>
    <t>DZ 051923</t>
  </si>
  <si>
    <t>DZ 051924</t>
  </si>
  <si>
    <t>DZ 051925</t>
  </si>
  <si>
    <t xml:space="preserve">H DAGANG -EVER </t>
  </si>
  <si>
    <t>DZ 051676</t>
  </si>
  <si>
    <t>DZ 051677</t>
  </si>
  <si>
    <t>DZ 051678</t>
  </si>
  <si>
    <t>DZ 051679</t>
  </si>
  <si>
    <t>DZ 051680</t>
  </si>
  <si>
    <t>DZ 051681</t>
  </si>
  <si>
    <t>DZ 051682</t>
  </si>
  <si>
    <t>DZ 051683</t>
  </si>
  <si>
    <t>DZ 051684</t>
  </si>
  <si>
    <t>DZ 051685</t>
  </si>
  <si>
    <t>DZ 051686</t>
  </si>
  <si>
    <t>DZ 051687</t>
  </si>
  <si>
    <t>DZ 051688</t>
  </si>
  <si>
    <t>DZ 051689</t>
  </si>
  <si>
    <t>DZ 051690</t>
  </si>
  <si>
    <t>DZ 051691</t>
  </si>
  <si>
    <t>DZ 051692</t>
  </si>
  <si>
    <t>DZ 051693</t>
  </si>
  <si>
    <t>DZ 051694</t>
  </si>
  <si>
    <t>DZ 051695</t>
  </si>
  <si>
    <t>DZ 051696</t>
  </si>
  <si>
    <t>DZ 051697</t>
  </si>
  <si>
    <t>DZ 051698</t>
  </si>
  <si>
    <t>DZ 051699</t>
  </si>
  <si>
    <t>DZ 051700</t>
  </si>
  <si>
    <t xml:space="preserve">H DAGANG - MNP </t>
  </si>
  <si>
    <t>MONTH : JULI 2020</t>
  </si>
  <si>
    <t>MJB</t>
  </si>
  <si>
    <t xml:space="preserve">MATAHARI JAYA BERSAMA </t>
  </si>
  <si>
    <t>01034-0011-00272-4</t>
  </si>
  <si>
    <t>DG 855426</t>
  </si>
  <si>
    <t>DG 855427</t>
  </si>
  <si>
    <t>DG 855428</t>
  </si>
  <si>
    <t>DG 855429</t>
  </si>
  <si>
    <t>DG 855430</t>
  </si>
  <si>
    <t>DG 855431</t>
  </si>
  <si>
    <t>DG 855432</t>
  </si>
  <si>
    <t>DG 855433</t>
  </si>
  <si>
    <t>DG 855434</t>
  </si>
  <si>
    <t>DG 855435</t>
  </si>
  <si>
    <t>DG 855436</t>
  </si>
  <si>
    <t>DG 855437</t>
  </si>
  <si>
    <t>DG 855438</t>
  </si>
  <si>
    <t>DG 855439</t>
  </si>
  <si>
    <t>DG 855440</t>
  </si>
  <si>
    <t>DG 855441</t>
  </si>
  <si>
    <t>DG 855442</t>
  </si>
  <si>
    <t>DG 855443</t>
  </si>
  <si>
    <t>DG 855444</t>
  </si>
  <si>
    <t>DG 855445</t>
  </si>
  <si>
    <t>DG 855446</t>
  </si>
  <si>
    <t>DG 855447</t>
  </si>
  <si>
    <t>DG 855448</t>
  </si>
  <si>
    <t>DG 855449</t>
  </si>
  <si>
    <t>DG 855450</t>
  </si>
  <si>
    <t>DZ 051701</t>
  </si>
  <si>
    <t>DZ 051702</t>
  </si>
  <si>
    <t>DZ 051703</t>
  </si>
  <si>
    <t>DZ 051704</t>
  </si>
  <si>
    <t>DZ 051705</t>
  </si>
  <si>
    <t>DZ 051706</t>
  </si>
  <si>
    <t>DZ 051707</t>
  </si>
  <si>
    <t>DZ 051708</t>
  </si>
  <si>
    <t>DZ 051709</t>
  </si>
  <si>
    <t>DZ 051710</t>
  </si>
  <si>
    <t>DZ 051711</t>
  </si>
  <si>
    <t>DZ 051712</t>
  </si>
  <si>
    <t>DZ 051713</t>
  </si>
  <si>
    <t>DZ 051714</t>
  </si>
  <si>
    <t>DZ 051715</t>
  </si>
  <si>
    <t>DZ 051716</t>
  </si>
  <si>
    <t>DZ 051717</t>
  </si>
  <si>
    <t>DZ 051718</t>
  </si>
  <si>
    <t>DZ 051719</t>
  </si>
  <si>
    <t>DZ 051720</t>
  </si>
  <si>
    <t>DZ 051721</t>
  </si>
  <si>
    <t>DZ 051722</t>
  </si>
  <si>
    <t>DZ 051723</t>
  </si>
  <si>
    <t>DZ 051724</t>
  </si>
  <si>
    <t>DZ 051725</t>
  </si>
  <si>
    <t>ABDA ASURANSI - CISAVE JPR</t>
  </si>
  <si>
    <t xml:space="preserve">JOGJA SPEED - BAN JGJ </t>
  </si>
  <si>
    <t xml:space="preserve">HERWANTO - SERVICE TGL </t>
  </si>
  <si>
    <t>DARMAWAN - FINGER</t>
  </si>
  <si>
    <t xml:space="preserve">TEGAL - BO NON BO </t>
  </si>
  <si>
    <t xml:space="preserve">SLT - BO NON BO </t>
  </si>
  <si>
    <t xml:space="preserve">SMG - BO NON BO </t>
  </si>
  <si>
    <t xml:space="preserve">PATI - BO NON BO </t>
  </si>
  <si>
    <t xml:space="preserve">BLORA - BO NON BO </t>
  </si>
  <si>
    <t xml:space="preserve">PKL - BO NON BO </t>
  </si>
  <si>
    <t xml:space="preserve">TGL - BO NON BO </t>
  </si>
  <si>
    <t xml:space="preserve">KBM - BO NON BO </t>
  </si>
  <si>
    <t xml:space="preserve">MGL - BO NON BO </t>
  </si>
  <si>
    <t xml:space="preserve">JGJ - BO NON BO </t>
  </si>
  <si>
    <t xml:space="preserve">PWT - BO NON BO </t>
  </si>
  <si>
    <t xml:space="preserve">CIL - BO </t>
  </si>
  <si>
    <t xml:space="preserve">SOL - BO NON BO </t>
  </si>
  <si>
    <t xml:space="preserve">TGL - NON BO </t>
  </si>
  <si>
    <t xml:space="preserve">SLT - NON BO </t>
  </si>
  <si>
    <t xml:space="preserve">SMG - NON BO </t>
  </si>
  <si>
    <t xml:space="preserve">BLOR - NON BO </t>
  </si>
  <si>
    <t>DZ 051726</t>
  </si>
  <si>
    <t>DZ 051727</t>
  </si>
  <si>
    <t>DZ 051728</t>
  </si>
  <si>
    <t>DZ 051729</t>
  </si>
  <si>
    <t>DZ 051730</t>
  </si>
  <si>
    <t>DZ 051731</t>
  </si>
  <si>
    <t>DZ 051732</t>
  </si>
  <si>
    <t>DZ 051733</t>
  </si>
  <si>
    <t>DZ 051734</t>
  </si>
  <si>
    <t>DZ 051735</t>
  </si>
  <si>
    <t>DZ 051736</t>
  </si>
  <si>
    <t>DZ 051737</t>
  </si>
  <si>
    <t>DZ 051738</t>
  </si>
  <si>
    <t>DZ 051739</t>
  </si>
  <si>
    <t>DZ 051740</t>
  </si>
  <si>
    <t>DZ 051741</t>
  </si>
  <si>
    <t>DZ 051742</t>
  </si>
  <si>
    <t>DZ 051743</t>
  </si>
  <si>
    <t>DZ 051744</t>
  </si>
  <si>
    <t>DZ 051745</t>
  </si>
  <si>
    <t>DZ 051746</t>
  </si>
  <si>
    <t>DZ 051747</t>
  </si>
  <si>
    <t>DZ 051748</t>
  </si>
  <si>
    <t>DZ 051749</t>
  </si>
  <si>
    <t>DZ 051750</t>
  </si>
  <si>
    <t xml:space="preserve">PAT - NON BO </t>
  </si>
  <si>
    <t xml:space="preserve">PKL - NON BO </t>
  </si>
  <si>
    <t xml:space="preserve">JGJ - NON BO </t>
  </si>
  <si>
    <t xml:space="preserve">KBM - NON BO </t>
  </si>
  <si>
    <t xml:space="preserve">CIL - NON BO </t>
  </si>
  <si>
    <t xml:space="preserve">SOL - NON BO </t>
  </si>
  <si>
    <t xml:space="preserve">MGL - NON BO </t>
  </si>
  <si>
    <t xml:space="preserve">WGR - NON BO </t>
  </si>
  <si>
    <t>BSB - PANSEL JAN - APR '20</t>
  </si>
  <si>
    <t>SMG - BO</t>
  </si>
  <si>
    <t xml:space="preserve">BLO - BO </t>
  </si>
  <si>
    <t xml:space="preserve">SLT - BO </t>
  </si>
  <si>
    <t xml:space="preserve">PAT - BO </t>
  </si>
  <si>
    <t>BPJS KTNGKRJAAN JUN '20</t>
  </si>
  <si>
    <t>DZ 051926</t>
  </si>
  <si>
    <t>DZ 051927</t>
  </si>
  <si>
    <t>DZ 051928</t>
  </si>
  <si>
    <t>DZ 051929</t>
  </si>
  <si>
    <t>DZ 051930</t>
  </si>
  <si>
    <t>DZ 051931</t>
  </si>
  <si>
    <t>DZ 051932</t>
  </si>
  <si>
    <t>DZ 051933</t>
  </si>
  <si>
    <t>DZ 051934</t>
  </si>
  <si>
    <t>DZ 051935</t>
  </si>
  <si>
    <t>DZ 051936</t>
  </si>
  <si>
    <t>DZ 051937</t>
  </si>
  <si>
    <t>DZ 051938</t>
  </si>
  <si>
    <t>DZ 051939</t>
  </si>
  <si>
    <t>DZ 051940</t>
  </si>
  <si>
    <t>DZ 051941</t>
  </si>
  <si>
    <t>DZ 051942</t>
  </si>
  <si>
    <t>DZ 051943</t>
  </si>
  <si>
    <t>DZ 051944</t>
  </si>
  <si>
    <t>DZ 051945</t>
  </si>
  <si>
    <t>DZ 051946</t>
  </si>
  <si>
    <t>DZ 051947</t>
  </si>
  <si>
    <t>DZ 051948</t>
  </si>
  <si>
    <t>DZ 051949</t>
  </si>
  <si>
    <t>DZ 051950</t>
  </si>
  <si>
    <t xml:space="preserve">H BANK&amp; BUNGA - HSBC </t>
  </si>
  <si>
    <t xml:space="preserve">H DAGANBG - AI </t>
  </si>
  <si>
    <t>DIPO STAR - ANGS KE 10</t>
  </si>
  <si>
    <t xml:space="preserve">H BANK&amp;BUNGA - HSBC </t>
  </si>
  <si>
    <t>ISWAHYUDI - SEL MT GT RDSSI</t>
  </si>
  <si>
    <t>TGL BAYAR</t>
  </si>
  <si>
    <t>depo</t>
  </si>
  <si>
    <t>INSENTIF KISS JAR YUPI</t>
  </si>
  <si>
    <t>DZ 052276</t>
  </si>
  <si>
    <t>DZ 052277</t>
  </si>
  <si>
    <t>DZ 052278</t>
  </si>
  <si>
    <t>DZ 052279</t>
  </si>
  <si>
    <t>DZ 052280</t>
  </si>
  <si>
    <t>DZ 052281</t>
  </si>
  <si>
    <t>DZ 052282</t>
  </si>
  <si>
    <t>DZ 052283</t>
  </si>
  <si>
    <t>DZ 052284</t>
  </si>
  <si>
    <t>DZ 052285</t>
  </si>
  <si>
    <t>DZ 052286</t>
  </si>
  <si>
    <t>DZ 052287</t>
  </si>
  <si>
    <t>DZ 052288</t>
  </si>
  <si>
    <t>DZ 052289</t>
  </si>
  <si>
    <t>DZ 052290</t>
  </si>
  <si>
    <t>DZ 052291</t>
  </si>
  <si>
    <t>DZ 052292</t>
  </si>
  <si>
    <t>DZ 052293</t>
  </si>
  <si>
    <t>DZ 052294</t>
  </si>
  <si>
    <t>DZ 052295</t>
  </si>
  <si>
    <t>DZ 052296</t>
  </si>
  <si>
    <t>DZ 052297</t>
  </si>
  <si>
    <t>DZ 052298</t>
  </si>
  <si>
    <t>DZ 052299</t>
  </si>
  <si>
    <t>DZ 052300</t>
  </si>
  <si>
    <t xml:space="preserve">HIPERLINK JUN </t>
  </si>
  <si>
    <t>SEWA RUMAH P ASEP</t>
  </si>
  <si>
    <t>BPJS KETNGKTJN</t>
  </si>
  <si>
    <t xml:space="preserve">KOS PAK TRI </t>
  </si>
  <si>
    <t>SINAR BAKTI ATK HO</t>
  </si>
  <si>
    <t xml:space="preserve">BLO - BO NION BO </t>
  </si>
  <si>
    <t xml:space="preserve">PAT - BO NON BO </t>
  </si>
  <si>
    <t>HIPERLINK</t>
  </si>
  <si>
    <t xml:space="preserve">CIL - BO NON BO </t>
  </si>
  <si>
    <t xml:space="preserve">JOG - BO NON BO </t>
  </si>
  <si>
    <t xml:space="preserve">JOKO R </t>
  </si>
  <si>
    <t>DZ 052551</t>
  </si>
  <si>
    <t>DZ 052552</t>
  </si>
  <si>
    <t>DZ 052553</t>
  </si>
  <si>
    <t>DZ 052554</t>
  </si>
  <si>
    <t>DZ 052555</t>
  </si>
  <si>
    <t>DZ 052556</t>
  </si>
  <si>
    <t>DZ 052557</t>
  </si>
  <si>
    <t>DZ 052558</t>
  </si>
  <si>
    <t>DZ 052559</t>
  </si>
  <si>
    <t>DZ 052560</t>
  </si>
  <si>
    <t>DZ 052561</t>
  </si>
  <si>
    <t>DZ 052562</t>
  </si>
  <si>
    <t>DZ 052563</t>
  </si>
  <si>
    <t>DZ 052564</t>
  </si>
  <si>
    <t>DZ 052565</t>
  </si>
  <si>
    <t>DZ 052566</t>
  </si>
  <si>
    <t>DZ 052567</t>
  </si>
  <si>
    <t>DZ 052568</t>
  </si>
  <si>
    <t>DZ 052569</t>
  </si>
  <si>
    <t>DZ 052570</t>
  </si>
  <si>
    <t>DZ 052571</t>
  </si>
  <si>
    <t>DZ 052572</t>
  </si>
  <si>
    <t>DZ 052573</t>
  </si>
  <si>
    <t>DZ 052574</t>
  </si>
  <si>
    <t>DZ 052575</t>
  </si>
  <si>
    <t xml:space="preserve">H DAGANG - MJB </t>
  </si>
  <si>
    <t>LISTRIK JOGJA</t>
  </si>
  <si>
    <t xml:space="preserve">LISTRIK SMG </t>
  </si>
  <si>
    <t>FC SMG</t>
  </si>
  <si>
    <t xml:space="preserve">IPL SMG </t>
  </si>
  <si>
    <t xml:space="preserve">MANUAL </t>
  </si>
  <si>
    <t xml:space="preserve">ISI </t>
  </si>
  <si>
    <t xml:space="preserve">SINAR BAKTI </t>
  </si>
  <si>
    <t>PT POS IND</t>
  </si>
  <si>
    <t xml:space="preserve">BAN </t>
  </si>
  <si>
    <t xml:space="preserve">BY PICKUP </t>
  </si>
  <si>
    <t>IPL &amp; AIR SMG</t>
  </si>
  <si>
    <t>GEDUNG&amp;BY BBM KENDR MTX</t>
  </si>
  <si>
    <t xml:space="preserve">tdk bayar </t>
  </si>
  <si>
    <t xml:space="preserve">FC TGL </t>
  </si>
  <si>
    <t>INTERNET SMG</t>
  </si>
  <si>
    <t>tidak ada penjualan</t>
  </si>
  <si>
    <t>SINAR BAKTI</t>
  </si>
  <si>
    <t>SGI</t>
  </si>
  <si>
    <t>MSP</t>
  </si>
  <si>
    <t xml:space="preserve">GAJI JPA </t>
  </si>
  <si>
    <t xml:space="preserve">OKTOBER </t>
  </si>
  <si>
    <t>AGB</t>
  </si>
  <si>
    <t>Q3</t>
  </si>
  <si>
    <t>INTERNET HO</t>
  </si>
  <si>
    <t xml:space="preserve">INDOJAYA PAPER </t>
  </si>
  <si>
    <t>INSENTIF LUWAK GULA</t>
  </si>
  <si>
    <t>19&amp;20/10/2020</t>
  </si>
  <si>
    <t>PANTURA</t>
  </si>
  <si>
    <t>2&amp;3/11/20</t>
  </si>
  <si>
    <t>2&amp;3/11/2020</t>
  </si>
  <si>
    <t>FOTO COPY HO</t>
  </si>
  <si>
    <t>16&amp;17/11/20</t>
  </si>
  <si>
    <t>16&amp;17/11/2020</t>
  </si>
  <si>
    <t>AGING</t>
  </si>
  <si>
    <t xml:space="preserve">KETERANGAN </t>
  </si>
  <si>
    <t xml:space="preserve">TANGGAL </t>
  </si>
  <si>
    <t xml:space="preserve">JUMLAH </t>
  </si>
  <si>
    <t>PPH 23</t>
  </si>
  <si>
    <t>PPH 25</t>
  </si>
  <si>
    <t xml:space="preserve">PPN </t>
  </si>
  <si>
    <t xml:space="preserve">BAYAR NORMAL </t>
  </si>
  <si>
    <t>KB NORMAL</t>
  </si>
  <si>
    <t>SKP</t>
  </si>
  <si>
    <t>STP</t>
  </si>
  <si>
    <t>PPH 21 THR</t>
  </si>
  <si>
    <t>REKAP PAJAK</t>
  </si>
  <si>
    <t>PERIODE 2020</t>
  </si>
  <si>
    <t xml:space="preserve">MJB </t>
  </si>
  <si>
    <t>28/12/2020 + 29/12/2020</t>
  </si>
  <si>
    <t>28/12/2020&amp;29/12/2020</t>
  </si>
  <si>
    <t>28&amp;29/12/2020</t>
  </si>
  <si>
    <t xml:space="preserve">JPA 30 HARI </t>
  </si>
  <si>
    <t xml:space="preserve">JUMLAH  BG </t>
  </si>
  <si>
    <t xml:space="preserve">MATERAI </t>
  </si>
  <si>
    <t>PERIODE AWAL</t>
  </si>
  <si>
    <t>PERIODE AKHIR</t>
  </si>
  <si>
    <t>TOTAL BY</t>
  </si>
  <si>
    <t xml:space="preserve">GAJI MOTORIS EIT </t>
  </si>
  <si>
    <t>SEI</t>
  </si>
  <si>
    <t>HI</t>
  </si>
  <si>
    <t xml:space="preserve">UANG PISAH </t>
  </si>
  <si>
    <t xml:space="preserve">UANG PISAH/TALI ASIH </t>
  </si>
  <si>
    <t xml:space="preserve">PPH PS 4 AYT 2 </t>
  </si>
  <si>
    <t>PPH PASAL 4 AYAT 2</t>
  </si>
  <si>
    <t xml:space="preserve">BUNGA DIFI </t>
  </si>
  <si>
    <t>PERPANJANGAN STNK/GANTI PLAT</t>
  </si>
  <si>
    <t>JOKO RAHARJO</t>
  </si>
  <si>
    <t xml:space="preserve">INDOJAYA PAPER/MELVY </t>
  </si>
  <si>
    <t>KERTAS A4</t>
  </si>
  <si>
    <t>SMG</t>
  </si>
  <si>
    <t>PERPANJANGAN STNK/PLAT</t>
  </si>
  <si>
    <t xml:space="preserve">FOTO COPY </t>
  </si>
  <si>
    <t>TGL</t>
  </si>
  <si>
    <t>eds</t>
  </si>
  <si>
    <t xml:space="preserve">BG ISI </t>
  </si>
  <si>
    <t xml:space="preserve">BY ADMIN </t>
  </si>
  <si>
    <t>BANK</t>
  </si>
  <si>
    <t xml:space="preserve">GAJI MOTORIS YUPI </t>
  </si>
  <si>
    <t xml:space="preserve">GAJI EIT </t>
  </si>
  <si>
    <t xml:space="preserve">GAJI EVER </t>
  </si>
  <si>
    <t>BPJS</t>
  </si>
  <si>
    <t>KETENAGAKERJAAN</t>
  </si>
  <si>
    <t>25/01/2021+26/1/2021</t>
  </si>
  <si>
    <t>25/1/2021+26/1/2021</t>
  </si>
  <si>
    <t>SEWA GUDANG &amp; KANTOR MSS SOLO</t>
  </si>
  <si>
    <t>SEWA GUDANG &amp; KANTOR MSS SMG BSB</t>
  </si>
  <si>
    <t xml:space="preserve">SEWA GUDANG &amp; KANTOR MSS YK </t>
  </si>
  <si>
    <t xml:space="preserve">KOPERASI DEPO </t>
  </si>
  <si>
    <t>GAJI</t>
  </si>
  <si>
    <t xml:space="preserve">INSENTIF </t>
  </si>
  <si>
    <t>SEWA</t>
  </si>
  <si>
    <t>LAIN-LAIN</t>
  </si>
  <si>
    <t>SEWA RUMAH DINAS RSM PANSEL AN LILI J</t>
  </si>
  <si>
    <t>GEDUNG&amp;BY BBM KENDARAAN MTX</t>
  </si>
  <si>
    <t>DIFI FBI DANAMON</t>
  </si>
  <si>
    <t>DIFI MIN NIAGA</t>
  </si>
  <si>
    <t xml:space="preserve">DIFI YIJG NIAGA </t>
  </si>
  <si>
    <t xml:space="preserve">PT SWADHARMA </t>
  </si>
  <si>
    <t xml:space="preserve">INSENTIF BR </t>
  </si>
  <si>
    <t xml:space="preserve">PINJAMAN KARYAWAN </t>
  </si>
  <si>
    <t xml:space="preserve">BG MBR </t>
  </si>
  <si>
    <t xml:space="preserve">BG EIT </t>
  </si>
  <si>
    <t xml:space="preserve">BCA </t>
  </si>
  <si>
    <t xml:space="preserve">BG ITF </t>
  </si>
  <si>
    <t xml:space="preserve">BG GIM </t>
  </si>
  <si>
    <t xml:space="preserve">BG YIJG </t>
  </si>
  <si>
    <t xml:space="preserve">BG FBI </t>
  </si>
  <si>
    <t>BG MI</t>
  </si>
  <si>
    <t xml:space="preserve">BG MNP </t>
  </si>
  <si>
    <t xml:space="preserve">BG DBW </t>
  </si>
  <si>
    <t xml:space="preserve">BG AI </t>
  </si>
  <si>
    <t xml:space="preserve">BG SAN </t>
  </si>
  <si>
    <t xml:space="preserve">BG AGB </t>
  </si>
  <si>
    <t>TAHUN 2021</t>
  </si>
  <si>
    <t>DIBAYAR TGL</t>
  </si>
  <si>
    <t>PERIODE 2021</t>
  </si>
  <si>
    <t xml:space="preserve">KONTRAK RUMAH SP WGR </t>
  </si>
  <si>
    <t>KONTRAK RUMAH SP JPR</t>
  </si>
  <si>
    <t xml:space="preserve">INC JPA LUWAK GULA </t>
  </si>
  <si>
    <t xml:space="preserve">EKSPEDISI </t>
  </si>
  <si>
    <t>LISTRIK SMG</t>
  </si>
  <si>
    <t xml:space="preserve">LISTRIK YK </t>
  </si>
  <si>
    <t xml:space="preserve">BAYAR TGL </t>
  </si>
  <si>
    <t xml:space="preserve">INC SLM KIMBO </t>
  </si>
  <si>
    <t xml:space="preserve">INC FOYU </t>
  </si>
  <si>
    <t xml:space="preserve">INC SLM MIKAKO </t>
  </si>
  <si>
    <t>22&amp;23/02/2021</t>
  </si>
  <si>
    <t xml:space="preserve">INC MOTORIS PRODUCT YUPI </t>
  </si>
  <si>
    <t xml:space="preserve">NAMA </t>
  </si>
  <si>
    <t xml:space="preserve">JENIS </t>
  </si>
  <si>
    <t xml:space="preserve">22 UNIT TRUK </t>
  </si>
  <si>
    <t xml:space="preserve">MULAI </t>
  </si>
  <si>
    <t xml:space="preserve">AKHIR </t>
  </si>
  <si>
    <t>NILAI ANGSURAN / BULAN</t>
  </si>
  <si>
    <t>SWADHARMA FINANCE</t>
  </si>
  <si>
    <t xml:space="preserve">4 UNIT MOBIL </t>
  </si>
  <si>
    <t>REKAP LEASING MSS</t>
  </si>
  <si>
    <t>11 FE-71</t>
  </si>
  <si>
    <t>08 FE-73</t>
  </si>
  <si>
    <t>03 L-300</t>
  </si>
  <si>
    <t>1 XENIA 1.3R A/T</t>
  </si>
  <si>
    <t>3 SIGRA 1.2R M/T</t>
  </si>
  <si>
    <t>SISA HUTANG / DES '20</t>
  </si>
  <si>
    <t xml:space="preserve">SALDO AWAL </t>
  </si>
  <si>
    <t>1&amp;2 MAR '21</t>
  </si>
  <si>
    <t xml:space="preserve">GAJI BY BBM MOTORIS KIMBO </t>
  </si>
  <si>
    <t>SBG YK</t>
  </si>
  <si>
    <t xml:space="preserve">HIPERLINK / CETAKAN </t>
  </si>
  <si>
    <t>JPA 4 HARI</t>
  </si>
  <si>
    <t>SBG SMG</t>
  </si>
  <si>
    <t xml:space="preserve">INC REGULER SLM </t>
  </si>
  <si>
    <t>22&amp;23 MAR '21</t>
  </si>
  <si>
    <t xml:space="preserve">INC PRODUCT YUPI SLM </t>
  </si>
  <si>
    <t>26&amp;27/03/2021</t>
  </si>
  <si>
    <t xml:space="preserve">INC JPA REGULER </t>
  </si>
  <si>
    <t>21,20771530</t>
  </si>
  <si>
    <t>29&amp;30/03/2021</t>
  </si>
  <si>
    <t xml:space="preserve">SEWA GUDANG MSS TEGAL </t>
  </si>
  <si>
    <t xml:space="preserve">SBG CRB </t>
  </si>
  <si>
    <t>s</t>
  </si>
  <si>
    <t>PMU</t>
  </si>
  <si>
    <t>RAU</t>
  </si>
  <si>
    <t xml:space="preserve">INC MIN </t>
  </si>
  <si>
    <t>de</t>
  </si>
  <si>
    <t>UOB</t>
  </si>
  <si>
    <t>19&amp;20/04/21</t>
  </si>
  <si>
    <t>INC FBI DES</t>
  </si>
  <si>
    <t>INC FBI JAN</t>
  </si>
  <si>
    <t>INC LUWAK JPA</t>
  </si>
  <si>
    <t>INC REG JPA</t>
  </si>
  <si>
    <t>THR FOYU, YIJG, JPA</t>
  </si>
  <si>
    <t>GAJI PRINCIPLE</t>
  </si>
  <si>
    <t xml:space="preserve">BY BBM MOKIM KIMBO </t>
  </si>
  <si>
    <t>DS</t>
  </si>
  <si>
    <t>PPH 29</t>
  </si>
  <si>
    <t>PPH 29 TH 2020</t>
  </si>
  <si>
    <t>26&amp;27/04/2021</t>
  </si>
  <si>
    <t>DAILY REPORT SPENDING</t>
  </si>
  <si>
    <t xml:space="preserve">SEWA GUDANG MSS MGL </t>
  </si>
  <si>
    <t xml:space="preserve">BG SBG </t>
  </si>
  <si>
    <t>GAJI SMD MIS</t>
  </si>
  <si>
    <t>24&amp;25/05/2021</t>
  </si>
  <si>
    <t>PBB</t>
  </si>
  <si>
    <t>D</t>
  </si>
  <si>
    <t xml:space="preserve">BENGKEL </t>
  </si>
  <si>
    <t>JANUARI - DESEMBER 2020</t>
  </si>
  <si>
    <t xml:space="preserve">BULAN </t>
  </si>
  <si>
    <t>CICIL KE 1</t>
  </si>
  <si>
    <t>CICIL KE 2</t>
  </si>
  <si>
    <t>DIS COST</t>
  </si>
  <si>
    <t>JUMLAH</t>
  </si>
  <si>
    <t>PEMBAYARAN DISTRIBUTION COST PT MSS</t>
  </si>
  <si>
    <t>ASURANSI</t>
  </si>
  <si>
    <t xml:space="preserve">INC FBI </t>
  </si>
  <si>
    <t>MIS</t>
  </si>
  <si>
    <t>SALDO AKHIR BULAN LALU (MEI 2021)</t>
  </si>
  <si>
    <t>PPH PS 4 AYT 2</t>
  </si>
  <si>
    <t xml:space="preserve">YOGYAKARTA </t>
  </si>
  <si>
    <t>ACCU</t>
  </si>
  <si>
    <t>PANSEL</t>
  </si>
  <si>
    <t>SEWA GUDANG MSS BLORA</t>
  </si>
  <si>
    <t>BG ABC PI</t>
  </si>
  <si>
    <t xml:space="preserve">TUJUAN KE </t>
  </si>
  <si>
    <t>ABDA</t>
  </si>
  <si>
    <t>ASURANSI PROPERTY ALL RISK UTK GUDANG &amp; STOCK MSS SOLO</t>
  </si>
  <si>
    <t>ASURANSI PROPERTY ALL RISK UTK GUDANG &amp; STOCK MSS YK</t>
  </si>
  <si>
    <t>ASURANSI PROPERTY ALL RISK UTK GUDANG &amp; STOCK MSS SMG</t>
  </si>
  <si>
    <t>AWAL</t>
  </si>
  <si>
    <t>AKHIR</t>
  </si>
  <si>
    <t>REKAP ASURANSI</t>
  </si>
  <si>
    <t>VIA</t>
  </si>
  <si>
    <t>BCA COLL</t>
  </si>
  <si>
    <t xml:space="preserve">ASURANSI ALL RISK KENDARAAN H 9307 FY </t>
  </si>
  <si>
    <t>ASURANSI ALL RISK KENDARAAN H 8861 LY</t>
  </si>
  <si>
    <t>ASURANSI ALL RISK KENDARAAN H 9092 LY</t>
  </si>
  <si>
    <t>ASURANSI ALL RISK KENDARAAN H 8854 LY</t>
  </si>
  <si>
    <t>ASURANSI ALL RISK KENDARAAN H 9094 LY</t>
  </si>
  <si>
    <t>ASURANSI ALL RISK KENDARAAN H 8850 LY</t>
  </si>
  <si>
    <t>TOP 30 HARI KE 1</t>
  </si>
  <si>
    <t>TOP 30 HARI KE 2</t>
  </si>
  <si>
    <t>HO YK]</t>
  </si>
  <si>
    <t>MBR FS</t>
  </si>
  <si>
    <t>21,12163380</t>
  </si>
  <si>
    <t>21,20776880</t>
  </si>
  <si>
    <t>21,20798030</t>
  </si>
  <si>
    <t>21,12145700</t>
  </si>
  <si>
    <t>GAJI SLM B2B MIN</t>
  </si>
  <si>
    <t>?</t>
  </si>
  <si>
    <t>BY PROVISI</t>
  </si>
  <si>
    <t>BCA OPR</t>
  </si>
  <si>
    <t>ASURANSI PERPANJANGAN CASH IN SAFE MSS CIL</t>
  </si>
  <si>
    <t>ASURANSI PERPANJANGAN CASH IN SAFE MSS KBM</t>
  </si>
  <si>
    <t>ASURANSI PERPANJANGAN CASH IN SAFE MSS MGL</t>
  </si>
  <si>
    <t>ASURANSI PERPANJANGAN CASH IN SAFE MSS PAT</t>
  </si>
  <si>
    <t>ASURANSI PERPANJANGAN CASH IN SAFE MSS PKL</t>
  </si>
  <si>
    <t>ASURANSI PERPANJANGAN CASH IN SAFE MSS PWT</t>
  </si>
  <si>
    <t>ASURANSI PERPANJANGAN CASH IN SAFE MSS SLT</t>
  </si>
  <si>
    <t>ASURANSI PERPANJANGAN CASH IN SAFE MSS SMG</t>
  </si>
  <si>
    <t>ASURANSI PERPANJANGAN CASH IN SAFE MSS SOL</t>
  </si>
  <si>
    <t>ASURANSI PERPANJANGAN CASH IN SAFE MSS TGL</t>
  </si>
  <si>
    <t>ASURANSI PERPANJANGAN CASH IN SAFE MSS WGR</t>
  </si>
  <si>
    <t>ASURANSI PERPANJANGAN CASH IN SAFE MSS Y</t>
  </si>
  <si>
    <t>BY ADMIN PERPANJANGAN CIS 13 DEPO</t>
  </si>
  <si>
    <t xml:space="preserve">INC EIT </t>
  </si>
  <si>
    <t xml:space="preserve">MAN FEE JAN - MAR </t>
  </si>
  <si>
    <t xml:space="preserve">BANK NOBU </t>
  </si>
  <si>
    <t>102 30 3333 88</t>
  </si>
  <si>
    <t>NGADIMUN</t>
  </si>
  <si>
    <t>MNP 7 HR</t>
  </si>
  <si>
    <t>MNP 30 HR</t>
  </si>
  <si>
    <t>20/09/2021 &amp; 28/9/2021</t>
  </si>
  <si>
    <t>CONTROL PEMBAYARAN RUTIN PER 2021</t>
  </si>
  <si>
    <t>AGB CBD</t>
  </si>
  <si>
    <t>ABC PI</t>
  </si>
  <si>
    <t>SEWA GUDANG MSS PATI</t>
  </si>
  <si>
    <t>SEWA GUDANG MSS SALATIGA</t>
  </si>
  <si>
    <t>SEWA GUDANG MSS KEBUMEN</t>
  </si>
  <si>
    <t>manual</t>
  </si>
  <si>
    <t>MGL</t>
  </si>
  <si>
    <t>JANUARI - DESEMBER 2021</t>
  </si>
  <si>
    <t>BANK TUJUAN</t>
  </si>
  <si>
    <t>NAMA REKENING</t>
  </si>
  <si>
    <t>NOBU</t>
  </si>
  <si>
    <t>JANUARI 2021</t>
  </si>
  <si>
    <t>MARET 2021</t>
  </si>
  <si>
    <t>APRIL 2021</t>
  </si>
  <si>
    <t>MEI 2021</t>
  </si>
  <si>
    <t>JUNI 2021</t>
  </si>
  <si>
    <t>JULI 2021</t>
  </si>
  <si>
    <t>AGUSTUS 2021</t>
  </si>
  <si>
    <t>PT MJP</t>
  </si>
  <si>
    <t>SEPTEMBER 2021</t>
  </si>
  <si>
    <t>FEBRUARI 2021</t>
  </si>
  <si>
    <t>OKTOBER 2021</t>
  </si>
  <si>
    <t>h</t>
  </si>
  <si>
    <t xml:space="preserve">mie kuah </t>
  </si>
  <si>
    <t>d</t>
  </si>
  <si>
    <t>S</t>
  </si>
  <si>
    <t xml:space="preserve">PT DIPO STAR FINANCE 05 NOV '21 - 5 SEP '24 </t>
  </si>
  <si>
    <t>NOVEMBER 2021</t>
  </si>
  <si>
    <t>PPH PS 4 AYAT 2</t>
  </si>
  <si>
    <t>SEWA GUDANG BLORA</t>
  </si>
  <si>
    <t xml:space="preserve">SEWA GUDANG MSS PATI </t>
  </si>
  <si>
    <t xml:space="preserve">SEWA GUDANG MSS SLT </t>
  </si>
  <si>
    <t>PT DIPO STAR FINANCE 30 OKT - 30 AGT '22</t>
  </si>
  <si>
    <t>INC JPA LUWAK TARIK MALAKA</t>
  </si>
  <si>
    <t>21,55506460</t>
  </si>
  <si>
    <t>21,06182460</t>
  </si>
  <si>
    <t>RATE</t>
  </si>
  <si>
    <t xml:space="preserve">RATE </t>
  </si>
  <si>
    <t xml:space="preserve">RATE JPA </t>
  </si>
  <si>
    <t xml:space="preserve">RATE NON JPA </t>
  </si>
  <si>
    <t>DESEMBER 2021</t>
  </si>
  <si>
    <t>ABC</t>
  </si>
  <si>
    <t>EKSPEDISI</t>
  </si>
  <si>
    <t xml:space="preserve">INC GEBETAN GT </t>
  </si>
  <si>
    <t xml:space="preserve">INC GEBETAN MT </t>
  </si>
  <si>
    <t xml:space="preserve">INC KIMBO NPL </t>
  </si>
  <si>
    <t>SEWA GUDANG MSS CILACAP</t>
  </si>
  <si>
    <t>CONTROL PEMBAYARAN RUTIN PER 2022</t>
  </si>
  <si>
    <t xml:space="preserve">SEWA GUDANG KBM </t>
  </si>
  <si>
    <t xml:space="preserve">SOMPO </t>
  </si>
  <si>
    <t xml:space="preserve">ASURANSI SOMPO RENEWAL js-fp-2021-11-d0256341 no polis : JS-FCR-0000144-00016-2021-11 NOVEMBER </t>
  </si>
  <si>
    <t xml:space="preserve">ASURANSI SOMPO RENEWAL JS-FP-2021-11-D0256366 NO POLIS JS-FCE-0000071-00016-021-11-NOVEMBER </t>
  </si>
  <si>
    <t xml:space="preserve">ASURANSI SOMPO ENDORSEMENT 1 JS-FP-2021-11-D0255944 NO POLIS : JS-FCR-0000123-00016-2021-09 OKTOBER </t>
  </si>
  <si>
    <t>ASURANSI SOMPO ENDORSEMENT 1 JS-FP-2021-11-D0255947 NO POLIS JS-FCE-0000060-2021-09 OKTOBER</t>
  </si>
  <si>
    <t>21,51805250</t>
  </si>
  <si>
    <t>INC JPA LUWAK GULA TEAM PROMO JPA</t>
  </si>
  <si>
    <t>KESEHATAN HO</t>
  </si>
  <si>
    <t>KESEHATAN YK</t>
  </si>
  <si>
    <t xml:space="preserve">PPH 21 NOTARIS </t>
  </si>
  <si>
    <t>SEWA KEBUMEN NOV '21</t>
  </si>
  <si>
    <t>SEWA CILACAP DES '21</t>
  </si>
  <si>
    <t>FIDUSIA NOV '21</t>
  </si>
  <si>
    <t>SEWA GUDANG SMG DES '21</t>
  </si>
  <si>
    <t>SEWA GUDANG SOLO DES '21</t>
  </si>
  <si>
    <t>SEWA GUDANG MSS CILACAP DES '21</t>
  </si>
  <si>
    <t>KB SEWA GUDANG BLORA OKT '21</t>
  </si>
  <si>
    <t>KB SEWA GUDANG KBM OKT '21</t>
  </si>
  <si>
    <t>KB SEWA GUDANG SALATIGA OKT '21</t>
  </si>
  <si>
    <t xml:space="preserve">BCA FINANCE </t>
  </si>
  <si>
    <t>PANSEL + HO</t>
  </si>
  <si>
    <t>MBR FD</t>
  </si>
  <si>
    <t xml:space="preserve">BY STATEMENT </t>
  </si>
  <si>
    <t>21,51811110</t>
  </si>
  <si>
    <t>GAJI CLEANING SERVICE MGL</t>
  </si>
  <si>
    <t>GAJI JAGA SIANG MGL</t>
  </si>
  <si>
    <t>PERIODE 2022</t>
  </si>
  <si>
    <t>22,24380920</t>
  </si>
  <si>
    <t>SPJ</t>
  </si>
  <si>
    <t>MONTH: MARET 2022</t>
  </si>
  <si>
    <t>PT DIPO STAR FINANCE 30 OKT 2019 - 30 AGT '22</t>
  </si>
  <si>
    <t>TAHUN 2022</t>
  </si>
  <si>
    <t>22,24395450</t>
  </si>
  <si>
    <t xml:space="preserve">ASURANSI PERPANJANGAN CIS SMG 600 JT JADI 800 JT </t>
  </si>
  <si>
    <t>DAYS</t>
  </si>
  <si>
    <t>PER</t>
  </si>
  <si>
    <t>TGL BY</t>
  </si>
  <si>
    <t>TGL BYR</t>
  </si>
  <si>
    <t xml:space="preserve">DAYS </t>
  </si>
  <si>
    <t xml:space="preserve">PER </t>
  </si>
  <si>
    <t>INC JPA LUWAK GULA TEAM PROMO</t>
  </si>
  <si>
    <t>INC WAFER SPJ</t>
  </si>
  <si>
    <t>INC AO SPJ</t>
  </si>
  <si>
    <t>TOP 30 HARI I</t>
  </si>
  <si>
    <t>22,24436880</t>
  </si>
  <si>
    <t>EB</t>
  </si>
  <si>
    <t>DAYS]</t>
  </si>
  <si>
    <t>MAC</t>
  </si>
  <si>
    <t>MAS</t>
  </si>
  <si>
    <t>11, 14, 18 /04/2022</t>
  </si>
  <si>
    <t>30/03/2022 &amp; 19/05/2022</t>
  </si>
  <si>
    <t>CRV</t>
  </si>
  <si>
    <t>XXX</t>
  </si>
  <si>
    <t>22,37339530</t>
  </si>
  <si>
    <t>22,37359580</t>
  </si>
  <si>
    <t>22,37317960</t>
  </si>
  <si>
    <t>22,37367980</t>
  </si>
  <si>
    <t>BG MAS</t>
  </si>
  <si>
    <t xml:space="preserve">ASURANSI PERPANJANGAN 3 UNT DAIHATSU XENIA H 8972 JY, H 8974 JY, H 8970 JY </t>
  </si>
  <si>
    <t xml:space="preserve">ASURANSI PERPANJANGAN 1 UNT XENIA H 9406 RY , 1 UNT HONDA MOBILIO H 8401 BY </t>
  </si>
  <si>
    <t xml:space="preserve">ASURANSI PERPANJANGAN 1 UNT KIJANG INNOVA D 1553 BJ </t>
  </si>
  <si>
    <t>DAYIN MITRA</t>
  </si>
  <si>
    <t xml:space="preserve">ASURANSI GEDUNG MSS YK </t>
  </si>
  <si>
    <t xml:space="preserve">ASURANSI STOK FBI </t>
  </si>
  <si>
    <t>ASURANSI PERPANJANGAN ALL RISK KENDARAAN H 8836 GW, H 8840 GW, H 8859 GW, H 8852 GW</t>
  </si>
  <si>
    <t>PT MANDIRI AXA GENERAL INSURANCE</t>
  </si>
  <si>
    <t xml:space="preserve">ASURANSI STOCK SMG, TEGAL, PATI, PKL, MGL, PWT, SOL, BLR, YK  AXA MANDIRI </t>
  </si>
  <si>
    <t>SEWA RUMAH DEPUTY HOC</t>
  </si>
  <si>
    <t>ASURANSI PERPANJANGAN CASH IN SAFE MSS BLR 300 JADI 400 JT</t>
  </si>
  <si>
    <t>ASURANSI KENAIKAN CASH IN SAFE MSS JEPARA 150 JT JADI 250 JT</t>
  </si>
  <si>
    <t>ASURANSI KENAIKAN CASH IN SAFE MSS BANJARNEGARA 195 JT JADI 250 JT</t>
  </si>
  <si>
    <t>PURWODADI</t>
  </si>
  <si>
    <t>EITI</t>
  </si>
  <si>
    <t>WONOSOBO</t>
  </si>
  <si>
    <t>JANUARI - DESEMBER 2022</t>
  </si>
  <si>
    <t>PT SAS INDO</t>
  </si>
  <si>
    <t>KB JAN &amp; FEBRUARI</t>
  </si>
  <si>
    <t>KB FEB</t>
  </si>
  <si>
    <t xml:space="preserve">PT CARAKA TIRTA NUSANTARA </t>
  </si>
  <si>
    <t xml:space="preserve">MARET </t>
  </si>
  <si>
    <t>FESG</t>
  </si>
  <si>
    <t xml:space="preserve">COMPANY ID </t>
  </si>
  <si>
    <t>ID00675MISESE</t>
  </si>
  <si>
    <t>USER ID</t>
  </si>
  <si>
    <t>HOCMSS</t>
  </si>
  <si>
    <t>PASSWORD</t>
  </si>
  <si>
    <t>Msshoc1*</t>
  </si>
  <si>
    <t>SALDO AWAL BULAN OKTOBER</t>
  </si>
  <si>
    <t>TOTAL PENAMBAHAN BULAN OKTOBER</t>
  </si>
  <si>
    <t>TOTAL BAYAR BULAN OKTOBER</t>
  </si>
  <si>
    <t>SALDO AKHIR BULAN OKTOBER</t>
  </si>
  <si>
    <t>NGADIMUN NOBU</t>
  </si>
  <si>
    <t xml:space="preserve">SAS BCA </t>
  </si>
  <si>
    <t>069 3034 768</t>
  </si>
  <si>
    <t>102 303 333 88</t>
  </si>
  <si>
    <t>JUNI (CICIL)</t>
  </si>
  <si>
    <t>KB JUNI + CICIL JULI '22</t>
  </si>
  <si>
    <t>KB JULI '22 + CICIL AGT '22</t>
  </si>
  <si>
    <t xml:space="preserve">PENJUALAN NO ? </t>
  </si>
  <si>
    <t>YUPI ATAU FBI ? MIN ?</t>
  </si>
  <si>
    <t>PLAFON ?</t>
  </si>
  <si>
    <t>22 M</t>
  </si>
  <si>
    <t xml:space="preserve">bank ga mau dibayar spy dapat bunga lebih banyak </t>
  </si>
  <si>
    <t xml:space="preserve">bunganya makin kecil ketika cepat bayar </t>
  </si>
  <si>
    <t>AGT</t>
  </si>
  <si>
    <t>C</t>
  </si>
  <si>
    <t>MONTH: OKTOBER 2022</t>
  </si>
  <si>
    <t>MONTH : OKTOBER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</si>
</sst>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2" formatCode="_(&quot;Rp&quot;* #,##0_);_(&quot;Rp&quot;* \(#,##0\);_(&quot;Rp&quot;* &quot;-&quot;_);_(@_)"/>
    <numFmt numFmtId="41" formatCode="_(* #,##0_);_(* \(#,##0\);_(* &quot;-&quot;_);_(@_)"/>
    <numFmt numFmtId="43" formatCode="_(* #,##0.00_);_(* \(#,##0.00\);_(* &quot;-&quot;??_);_(@_)"/>
    <numFmt numFmtId="164" formatCode="_-&quot;Rp&quot;* #,##0_-;\-&quot;Rp&quot;* #,##0_-;_-&quot;Rp&quot;* &quot;-&quot;_-;_-@_-"/>
    <numFmt numFmtId="165" formatCode="_-* #,##0_-;\-* #,##0_-;_-* &quot;-&quot;_-;_-@_-"/>
    <numFmt numFmtId="166" formatCode="_-* #,##0.00_-;\-* #,##0.00_-;_-* &quot;-&quot;??_-;_-@_-"/>
    <numFmt numFmtId="167" formatCode="_(&quot;$&quot;* #,##0.00_);_(&quot;$&quot;* \(#,##0.00\);_(&quot;$&quot;* &quot;-&quot;??_);_(@_)"/>
    <numFmt numFmtId="168" formatCode="_ * #,##0_ ;_ * \-#,##0_ ;_ * &quot;-&quot;_ ;_ @_ "/>
    <numFmt numFmtId="169" formatCode="_ * #,##0.00_ ;_ * \-#,##0.00_ ;_ * &quot;-&quot;??_ ;_ @_ "/>
    <numFmt numFmtId="170" formatCode="_ * #,##0_ ;_ * \-#,##0_ ;_ * &quot;-&quot;??_ ;_ @_ "/>
    <numFmt numFmtId="171" formatCode="[$-409]d\-mmm\-yy;@"/>
    <numFmt numFmtId="172" formatCode="_(* #,##0_);_(* \(#,##0\);_(* &quot;-&quot;??_);_(@_)"/>
    <numFmt numFmtId="173" formatCode="d\-mmm\-yyyy;@"/>
    <numFmt numFmtId="174" formatCode="_([$Rp-421]* #,##0_);_([$Rp-421]* \(#,##0\);_([$Rp-421]* &quot;-&quot;_);_(@_)"/>
    <numFmt numFmtId="175" formatCode="_ * #,##0.0_ ;_ * \-#,##0.0_ ;_ * &quot;-&quot;??_ ;_ @_ "/>
    <numFmt numFmtId="176" formatCode="_(* #,##0.0_);_(* \(#,##0.0\);_(* &quot;-&quot;?_);_(@_)"/>
    <numFmt numFmtId="177" formatCode="[$-409]mmmm\-yy;@"/>
    <numFmt numFmtId="178" formatCode="[$-C09]dd\-mmm\-yy;@"/>
    <numFmt numFmtId="179" formatCode="[$-409]dd\-mmm\-yy;@"/>
    <numFmt numFmtId="180" formatCode="0.00000000"/>
    <numFmt numFmtId="181" formatCode="_-* #,##0.0_-;\-* #,##0.0_-;_-* &quot;-&quot;?_-;_-@_-"/>
    <numFmt numFmtId="182" formatCode="#,##0_ ;\-#,##0\ "/>
    <numFmt numFmtId="183" formatCode="_-[$Rp-421]* #,##0_-;\-[$Rp-421]* #,##0_-;_-[$Rp-421]* &quot;-&quot;_-;_-@_-"/>
    <numFmt numFmtId="184" formatCode="_ * #,##0.00_ ;_ * \-#,##0.00_ ;_ * &quot;-&quot;_ ;_ @_ "/>
    <numFmt numFmtId="185" formatCode="[$-409]mmm\-yy;@"/>
  </numFmts>
  <fonts count="117" x14ac:knownFonts="1">
    <font>
      <sz val="11"/>
      <color indexed="8"/>
      <name val="Calibri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name val="Calibri"/>
      <family val="2"/>
    </font>
    <font>
      <b/>
      <sz val="11"/>
      <color indexed="10"/>
      <name val="Calibri"/>
      <family val="2"/>
    </font>
    <font>
      <sz val="9"/>
      <color indexed="8"/>
      <name val="Calibri"/>
      <family val="2"/>
    </font>
    <font>
      <sz val="11"/>
      <name val="Tahoma"/>
      <family val="2"/>
    </font>
    <font>
      <sz val="9"/>
      <name val="Tahoma"/>
      <family val="2"/>
    </font>
    <font>
      <sz val="12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MS Sans Serif"/>
      <family val="2"/>
    </font>
    <font>
      <b/>
      <sz val="11"/>
      <name val="Calibri"/>
      <family val="2"/>
    </font>
    <font>
      <b/>
      <sz val="11"/>
      <color indexed="13"/>
      <name val="Calibri"/>
      <family val="2"/>
    </font>
    <font>
      <b/>
      <sz val="11"/>
      <color indexed="30"/>
      <name val="Calibri"/>
      <family val="2"/>
    </font>
    <font>
      <b/>
      <sz val="11"/>
      <color indexed="56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Tahoma"/>
      <family val="2"/>
    </font>
    <font>
      <b/>
      <sz val="10"/>
      <name val="Arial"/>
      <family val="2"/>
    </font>
    <font>
      <b/>
      <sz val="9"/>
      <name val="Tahoma"/>
      <family val="2"/>
    </font>
    <font>
      <sz val="8"/>
      <color indexed="8"/>
      <name val="Arial"/>
      <family val="2"/>
    </font>
    <font>
      <sz val="11"/>
      <color rgb="FF000000"/>
      <name val="Calibri"/>
      <family val="2"/>
    </font>
    <font>
      <u/>
      <sz val="11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indexed="8"/>
      <name val="Calibri"/>
      <family val="2"/>
    </font>
    <font>
      <b/>
      <sz val="12"/>
      <color indexed="8"/>
      <name val="Calibri"/>
      <family val="2"/>
    </font>
    <font>
      <b/>
      <sz val="16"/>
      <color rgb="FFFF0000"/>
      <name val="Calibri"/>
      <family val="2"/>
    </font>
    <font>
      <b/>
      <sz val="14"/>
      <color indexed="17"/>
      <name val="Calibri"/>
      <family val="2"/>
    </font>
    <font>
      <sz val="11"/>
      <color indexed="30"/>
      <name val="Calibri"/>
      <family val="2"/>
    </font>
    <font>
      <b/>
      <sz val="11"/>
      <color indexed="53"/>
      <name val="Calibri"/>
      <family val="2"/>
    </font>
    <font>
      <b/>
      <sz val="11"/>
      <color rgb="FFFFC000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0"/>
      <name val="Calibri"/>
      <family val="2"/>
      <scheme val="minor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8"/>
      <name val="Arial Narrow"/>
      <family val="2"/>
    </font>
    <font>
      <b/>
      <sz val="11"/>
      <color theme="0"/>
      <name val="Arial Narrow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11"/>
      <color theme="0"/>
      <name val="Arial Narrow"/>
      <family val="2"/>
    </font>
    <font>
      <sz val="9"/>
      <color theme="0"/>
      <name val="Arial Narrow"/>
      <family val="2"/>
    </font>
    <font>
      <sz val="11"/>
      <color indexed="8"/>
      <name val="Arial Narrow"/>
      <family val="2"/>
    </font>
    <font>
      <b/>
      <sz val="9"/>
      <color theme="1"/>
      <name val="Arial Narrow"/>
      <family val="2"/>
    </font>
    <font>
      <b/>
      <sz val="8"/>
      <name val="Tahoma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8"/>
      <name val="Arial Narrow"/>
      <family val="2"/>
    </font>
    <font>
      <sz val="8"/>
      <name val="Iskoola Pota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6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i/>
      <sz val="12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6"/>
      <name val="Calibri"/>
      <family val="2"/>
      <scheme val="minor"/>
    </font>
    <font>
      <b/>
      <sz val="12"/>
      <name val="Tahoma"/>
      <family val="2"/>
    </font>
    <font>
      <sz val="12"/>
      <name val="Tahoma"/>
      <family val="2"/>
    </font>
    <font>
      <b/>
      <sz val="11"/>
      <name val="Calibri"/>
      <family val="2"/>
      <scheme val="minor"/>
    </font>
    <font>
      <b/>
      <sz val="16"/>
      <name val="Tahoma"/>
      <family val="2"/>
    </font>
    <font>
      <sz val="11"/>
      <name val="Iskoola Pota"/>
      <family val="2"/>
    </font>
    <font>
      <b/>
      <sz val="11"/>
      <name val="Tahoma"/>
      <family val="2"/>
    </font>
    <font>
      <b/>
      <sz val="9"/>
      <name val="Iskoola Pota"/>
      <family val="2"/>
    </font>
    <font>
      <sz val="9"/>
      <name val="Iskoola Pota"/>
      <family val="2"/>
    </font>
    <font>
      <b/>
      <sz val="10"/>
      <name val="Tahoma"/>
      <family val="2"/>
    </font>
    <font>
      <b/>
      <sz val="14"/>
      <name val="Tahoma"/>
      <family val="2"/>
    </font>
    <font>
      <sz val="10"/>
      <name val="Tahoma"/>
      <family val="2"/>
    </font>
    <font>
      <sz val="8"/>
      <color indexed="8"/>
      <name val="Calibri"/>
      <family val="2"/>
    </font>
    <font>
      <sz val="8"/>
      <color rgb="FF92D050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</font>
    <font>
      <b/>
      <sz val="12"/>
      <color indexed="10"/>
      <name val="Calibri"/>
      <family val="2"/>
    </font>
    <font>
      <b/>
      <sz val="12"/>
      <color indexed="56"/>
      <name val="Calibri"/>
      <family val="2"/>
    </font>
    <font>
      <b/>
      <sz val="12"/>
      <name val="Calibri"/>
      <family val="2"/>
      <scheme val="minor"/>
    </font>
    <font>
      <b/>
      <sz val="12"/>
      <color indexed="13"/>
      <name val="Calibri"/>
      <family val="2"/>
    </font>
    <font>
      <sz val="12"/>
      <name val="Calibri"/>
      <family val="2"/>
    </font>
    <font>
      <b/>
      <sz val="11"/>
      <color indexed="8"/>
      <name val="Arial Unicode MS"/>
      <family val="2"/>
    </font>
    <font>
      <b/>
      <sz val="12"/>
      <color indexed="8"/>
      <name val="Calibri"/>
      <family val="2"/>
      <scheme val="minor"/>
    </font>
    <font>
      <sz val="8"/>
      <name val="Calibri"/>
      <family val="2"/>
    </font>
    <font>
      <b/>
      <sz val="12"/>
      <color indexed="10"/>
      <name val="Calibri"/>
      <family val="2"/>
      <scheme val="minor"/>
    </font>
    <font>
      <b/>
      <sz val="12"/>
      <color indexed="56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9"/>
      <color indexed="81"/>
      <name val="Tahoma"/>
      <family val="2"/>
    </font>
    <font>
      <b/>
      <sz val="20"/>
      <color indexed="8"/>
      <name val="Calibri"/>
      <family val="2"/>
    </font>
    <font>
      <sz val="10"/>
      <name val="MS Sans Serif"/>
      <family val="2"/>
    </font>
    <font>
      <sz val="10"/>
      <color theme="1"/>
      <name val="Calibri"/>
      <family val="2"/>
      <scheme val="minor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9"/>
      <color indexed="81"/>
      <name val="Tahoma"/>
      <family val="2"/>
    </font>
    <font>
      <b/>
      <i/>
      <sz val="12"/>
      <name val="Calibri"/>
      <family val="2"/>
      <scheme val="minor"/>
    </font>
    <font>
      <sz val="12"/>
      <color indexed="56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FB62A"/>
        <bgColor indexed="64"/>
      </patternFill>
    </fill>
    <fill>
      <patternFill patternType="solid">
        <fgColor rgb="FF1552D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/>
      <top style="medium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</borders>
  <cellStyleXfs count="211">
    <xf numFmtId="0" fontId="0" fillId="0" borderId="0">
      <alignment vertical="center"/>
    </xf>
    <xf numFmtId="0" fontId="24" fillId="0" borderId="0"/>
    <xf numFmtId="43" fontId="24" fillId="0" borderId="0" applyFont="0" applyFill="0" applyBorder="0" applyAlignment="0" applyProtection="0">
      <alignment vertical="center"/>
    </xf>
    <xf numFmtId="168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7" fillId="0" borderId="0" applyFill="0" applyBorder="0" applyAlignment="0" applyProtection="0">
      <alignment vertical="center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9" fontId="17" fillId="0" borderId="0" applyFont="0" applyFill="0" applyBorder="0" applyAlignment="0" applyProtection="0">
      <alignment vertical="center"/>
    </xf>
    <xf numFmtId="169" fontId="17" fillId="0" borderId="0" applyFont="0" applyFill="0" applyBorder="0" applyAlignment="0" applyProtection="0">
      <alignment vertical="center"/>
    </xf>
    <xf numFmtId="169" fontId="17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0" fillId="0" borderId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4" fontId="33" fillId="0" borderId="0">
      <alignment horizontal="right" vertical="top"/>
    </xf>
    <xf numFmtId="4" fontId="29" fillId="0" borderId="0">
      <alignment horizontal="right" vertical="top"/>
    </xf>
    <xf numFmtId="4" fontId="34" fillId="0" borderId="0">
      <alignment horizontal="left" vertical="top"/>
    </xf>
    <xf numFmtId="0" fontId="24" fillId="0" borderId="0" applyNumberFormat="0" applyFill="0" applyBorder="0" applyAlignment="0" applyProtection="0">
      <alignment vertical="center"/>
    </xf>
    <xf numFmtId="4" fontId="35" fillId="0" borderId="0">
      <alignment horizontal="left" vertical="top"/>
    </xf>
    <xf numFmtId="0" fontId="24" fillId="0" borderId="0" applyNumberFormat="0" applyFill="0" applyBorder="0" applyAlignment="0" applyProtection="0">
      <alignment vertical="center"/>
    </xf>
    <xf numFmtId="4" fontId="35" fillId="0" borderId="0">
      <alignment horizontal="right" vertical="top"/>
    </xf>
    <xf numFmtId="4" fontId="35" fillId="0" borderId="0">
      <alignment horizontal="right" vertical="top"/>
    </xf>
    <xf numFmtId="4" fontId="35" fillId="0" borderId="0">
      <alignment horizontal="right" vertical="top"/>
    </xf>
    <xf numFmtId="4" fontId="35" fillId="0" borderId="0">
      <alignment horizontal="right" vertical="top"/>
    </xf>
    <xf numFmtId="0" fontId="24" fillId="0" borderId="0" applyNumberFormat="0" applyFill="0" applyBorder="0" applyAlignment="0" applyProtection="0">
      <alignment vertical="center"/>
    </xf>
    <xf numFmtId="0" fontId="9" fillId="0" borderId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69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3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" fillId="0" borderId="0"/>
    <xf numFmtId="0" fontId="2" fillId="0" borderId="0"/>
    <xf numFmtId="41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669">
    <xf numFmtId="0" fontId="0" fillId="0" borderId="0" xfId="0" applyAlignment="1"/>
    <xf numFmtId="0" fontId="0" fillId="0" borderId="0" xfId="0" applyAlignment="1">
      <alignment horizontal="center"/>
    </xf>
    <xf numFmtId="0" fontId="20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20" fillId="0" borderId="0" xfId="82" applyFont="1" applyAlignment="1">
      <alignment horizontal="right"/>
    </xf>
    <xf numFmtId="0" fontId="20" fillId="0" borderId="0" xfId="82" applyFont="1" applyAlignment="1">
      <alignment horizontal="center"/>
    </xf>
    <xf numFmtId="171" fontId="20" fillId="0" borderId="0" xfId="82" applyNumberFormat="1" applyFont="1" applyAlignment="1">
      <alignment horizontal="center" vertical="center"/>
    </xf>
    <xf numFmtId="171" fontId="20" fillId="0" borderId="0" xfId="82" applyNumberFormat="1" applyFont="1" applyAlignment="1">
      <alignment horizontal="right" vertical="center"/>
    </xf>
    <xf numFmtId="3" fontId="21" fillId="3" borderId="30" xfId="64" applyNumberFormat="1" applyFont="1" applyFill="1" applyBorder="1" applyAlignment="1">
      <alignment horizontal="center" vertical="center"/>
    </xf>
    <xf numFmtId="172" fontId="21" fillId="3" borderId="29" xfId="15" applyNumberFormat="1" applyFont="1" applyFill="1" applyBorder="1" applyAlignment="1">
      <alignment horizontal="right" vertical="center"/>
    </xf>
    <xf numFmtId="172" fontId="21" fillId="3" borderId="32" xfId="15" applyNumberFormat="1" applyFont="1" applyFill="1" applyBorder="1" applyAlignment="1">
      <alignment horizontal="center" vertical="center"/>
    </xf>
    <xf numFmtId="172" fontId="21" fillId="3" borderId="33" xfId="15" applyNumberFormat="1" applyFont="1" applyFill="1" applyBorder="1" applyAlignment="1">
      <alignment horizontal="right" vertical="center"/>
    </xf>
    <xf numFmtId="172" fontId="21" fillId="3" borderId="31" xfId="15" applyNumberFormat="1" applyFont="1" applyFill="1" applyBorder="1" applyAlignment="1">
      <alignment horizontal="right" vertical="center"/>
    </xf>
    <xf numFmtId="171" fontId="20" fillId="6" borderId="0" xfId="0" applyNumberFormat="1" applyFont="1" applyFill="1" applyAlignment="1" applyProtection="1">
      <alignment horizontal="right"/>
    </xf>
    <xf numFmtId="0" fontId="20" fillId="6" borderId="0" xfId="0" applyFont="1" applyFill="1" applyAlignment="1" applyProtection="1">
      <alignment horizontal="center" vertical="center"/>
    </xf>
    <xf numFmtId="0" fontId="20" fillId="6" borderId="0" xfId="0" applyFont="1" applyFill="1" applyAlignment="1" applyProtection="1">
      <alignment horizontal="right"/>
    </xf>
    <xf numFmtId="0" fontId="20" fillId="6" borderId="0" xfId="0" applyFont="1" applyFill="1" applyAlignment="1" applyProtection="1">
      <alignment horizontal="center"/>
    </xf>
    <xf numFmtId="173" fontId="20" fillId="0" borderId="0" xfId="82" applyNumberFormat="1" applyFont="1" applyAlignment="1">
      <alignment horizontal="right"/>
    </xf>
    <xf numFmtId="9" fontId="20" fillId="0" borderId="0" xfId="82" applyNumberFormat="1" applyFont="1" applyAlignment="1">
      <alignment horizontal="right"/>
    </xf>
    <xf numFmtId="171" fontId="21" fillId="3" borderId="34" xfId="64" applyNumberFormat="1" applyFont="1" applyFill="1" applyBorder="1" applyAlignment="1">
      <alignment horizontal="right" vertical="center"/>
    </xf>
    <xf numFmtId="173" fontId="20" fillId="6" borderId="0" xfId="0" applyNumberFormat="1" applyFont="1" applyFill="1" applyAlignment="1" applyProtection="1">
      <alignment horizontal="right"/>
    </xf>
    <xf numFmtId="0" fontId="21" fillId="2" borderId="35" xfId="0" applyFont="1" applyFill="1" applyBorder="1" applyAlignment="1" applyProtection="1">
      <alignment horizontal="right"/>
    </xf>
    <xf numFmtId="0" fontId="21" fillId="2" borderId="19" xfId="0" applyFont="1" applyFill="1" applyBorder="1" applyAlignment="1" applyProtection="1">
      <alignment horizontal="right"/>
    </xf>
    <xf numFmtId="171" fontId="20" fillId="0" borderId="0" xfId="82" applyNumberFormat="1" applyFont="1" applyAlignment="1">
      <alignment horizontal="right"/>
    </xf>
    <xf numFmtId="172" fontId="20" fillId="0" borderId="4" xfId="2" applyNumberFormat="1" applyFont="1" applyBorder="1" applyAlignment="1">
      <alignment horizontal="right"/>
    </xf>
    <xf numFmtId="172" fontId="0" fillId="19" borderId="54" xfId="2" applyNumberFormat="1" applyFont="1" applyFill="1" applyBorder="1" applyAlignment="1"/>
    <xf numFmtId="172" fontId="0" fillId="19" borderId="1" xfId="2" applyNumberFormat="1" applyFont="1" applyFill="1" applyBorder="1" applyAlignment="1"/>
    <xf numFmtId="172" fontId="41" fillId="19" borderId="1" xfId="2" applyNumberFormat="1" applyFont="1" applyFill="1" applyBorder="1" applyAlignment="1"/>
    <xf numFmtId="172" fontId="39" fillId="19" borderId="1" xfId="2" applyNumberFormat="1" applyFont="1" applyFill="1" applyBorder="1" applyAlignment="1">
      <alignment horizontal="center"/>
    </xf>
    <xf numFmtId="172" fontId="41" fillId="19" borderId="0" xfId="2" applyNumberFormat="1" applyFont="1" applyFill="1" applyAlignment="1"/>
    <xf numFmtId="0" fontId="0" fillId="19" borderId="0" xfId="0" applyFont="1" applyFill="1" applyAlignment="1"/>
    <xf numFmtId="43" fontId="0" fillId="19" borderId="0" xfId="2" applyFont="1" applyFill="1" applyAlignment="1"/>
    <xf numFmtId="0" fontId="39" fillId="19" borderId="1" xfId="0" applyFont="1" applyFill="1" applyBorder="1" applyAlignment="1">
      <alignment horizontal="center"/>
    </xf>
    <xf numFmtId="172" fontId="37" fillId="19" borderId="1" xfId="2" applyNumberFormat="1" applyFont="1" applyFill="1" applyBorder="1" applyAlignment="1"/>
    <xf numFmtId="172" fontId="41" fillId="19" borderId="0" xfId="2" applyNumberFormat="1" applyFont="1" applyFill="1" applyBorder="1" applyAlignment="1"/>
    <xf numFmtId="0" fontId="40" fillId="19" borderId="0" xfId="79" applyFont="1" applyFill="1" applyBorder="1" applyAlignment="1">
      <alignment vertical="center"/>
    </xf>
    <xf numFmtId="3" fontId="18" fillId="19" borderId="13" xfId="0" applyNumberFormat="1" applyFont="1" applyFill="1" applyBorder="1" applyAlignment="1"/>
    <xf numFmtId="172" fontId="0" fillId="19" borderId="0" xfId="2" applyNumberFormat="1" applyFont="1" applyFill="1" applyBorder="1" applyAlignment="1"/>
    <xf numFmtId="0" fontId="18" fillId="19" borderId="0" xfId="0" applyFont="1" applyFill="1" applyAlignment="1"/>
    <xf numFmtId="43" fontId="18" fillId="19" borderId="0" xfId="2" applyFont="1" applyFill="1" applyAlignment="1"/>
    <xf numFmtId="0" fontId="0" fillId="19" borderId="11" xfId="0" applyFont="1" applyFill="1" applyBorder="1" applyAlignment="1"/>
    <xf numFmtId="0" fontId="0" fillId="19" borderId="4" xfId="0" applyFont="1" applyFill="1" applyBorder="1" applyAlignment="1"/>
    <xf numFmtId="172" fontId="0" fillId="19" borderId="4" xfId="2" applyNumberFormat="1" applyFont="1" applyFill="1" applyBorder="1" applyAlignment="1"/>
    <xf numFmtId="172" fontId="0" fillId="19" borderId="17" xfId="2" applyNumberFormat="1" applyFont="1" applyFill="1" applyBorder="1" applyAlignment="1"/>
    <xf numFmtId="172" fontId="0" fillId="19" borderId="0" xfId="2" applyNumberFormat="1" applyFont="1" applyFill="1" applyAlignment="1"/>
    <xf numFmtId="0" fontId="0" fillId="19" borderId="15" xfId="0" applyFont="1" applyFill="1" applyBorder="1" applyAlignment="1"/>
    <xf numFmtId="0" fontId="0" fillId="19" borderId="1" xfId="0" applyFont="1" applyFill="1" applyBorder="1" applyAlignment="1"/>
    <xf numFmtId="172" fontId="0" fillId="19" borderId="0" xfId="0" applyNumberFormat="1" applyFont="1" applyFill="1" applyAlignment="1"/>
    <xf numFmtId="0" fontId="0" fillId="19" borderId="24" xfId="0" applyFont="1" applyFill="1" applyBorder="1" applyAlignment="1"/>
    <xf numFmtId="0" fontId="0" fillId="19" borderId="2" xfId="0" applyFont="1" applyFill="1" applyBorder="1" applyAlignment="1"/>
    <xf numFmtId="172" fontId="0" fillId="19" borderId="2" xfId="2" applyNumberFormat="1" applyFont="1" applyFill="1" applyBorder="1" applyAlignment="1"/>
    <xf numFmtId="0" fontId="18" fillId="19" borderId="7" xfId="0" applyFont="1" applyFill="1" applyBorder="1" applyAlignment="1"/>
    <xf numFmtId="0" fontId="18" fillId="19" borderId="8" xfId="0" applyFont="1" applyFill="1" applyBorder="1" applyAlignment="1"/>
    <xf numFmtId="172" fontId="18" fillId="19" borderId="8" xfId="2" applyNumberFormat="1" applyFont="1" applyFill="1" applyBorder="1" applyAlignment="1"/>
    <xf numFmtId="172" fontId="18" fillId="19" borderId="0" xfId="2" applyNumberFormat="1" applyFont="1" applyFill="1" applyAlignment="1"/>
    <xf numFmtId="172" fontId="0" fillId="19" borderId="7" xfId="2" applyNumberFormat="1" applyFont="1" applyFill="1" applyBorder="1" applyAlignment="1"/>
    <xf numFmtId="172" fontId="0" fillId="19" borderId="16" xfId="2" applyNumberFormat="1" applyFont="1" applyFill="1" applyBorder="1" applyAlignment="1"/>
    <xf numFmtId="172" fontId="0" fillId="19" borderId="8" xfId="2" applyNumberFormat="1" applyFont="1" applyFill="1" applyBorder="1" applyAlignment="1"/>
    <xf numFmtId="172" fontId="18" fillId="19" borderId="0" xfId="2" applyNumberFormat="1" applyFont="1" applyFill="1" applyBorder="1" applyAlignment="1"/>
    <xf numFmtId="172" fontId="0" fillId="19" borderId="9" xfId="2" applyNumberFormat="1" applyFont="1" applyFill="1" applyBorder="1" applyAlignment="1"/>
    <xf numFmtId="0" fontId="18" fillId="19" borderId="39" xfId="0" applyFont="1" applyFill="1" applyBorder="1" applyAlignment="1"/>
    <xf numFmtId="0" fontId="0" fillId="19" borderId="3" xfId="0" applyFont="1" applyFill="1" applyBorder="1" applyAlignment="1"/>
    <xf numFmtId="172" fontId="18" fillId="19" borderId="2" xfId="2" applyNumberFormat="1" applyFont="1" applyFill="1" applyBorder="1" applyAlignment="1"/>
    <xf numFmtId="172" fontId="18" fillId="19" borderId="21" xfId="2" applyNumberFormat="1" applyFont="1" applyFill="1" applyBorder="1" applyAlignment="1"/>
    <xf numFmtId="172" fontId="18" fillId="19" borderId="9" xfId="2" applyNumberFormat="1" applyFont="1" applyFill="1" applyBorder="1" applyAlignment="1"/>
    <xf numFmtId="172" fontId="0" fillId="19" borderId="31" xfId="2" applyNumberFormat="1" applyFont="1" applyFill="1" applyBorder="1" applyAlignment="1"/>
    <xf numFmtId="172" fontId="0" fillId="19" borderId="18" xfId="2" applyNumberFormat="1" applyFont="1" applyFill="1" applyBorder="1" applyAlignment="1"/>
    <xf numFmtId="170" fontId="14" fillId="19" borderId="1" xfId="2" applyNumberFormat="1" applyFont="1" applyFill="1" applyBorder="1">
      <alignment vertical="center"/>
    </xf>
    <xf numFmtId="172" fontId="0" fillId="19" borderId="21" xfId="2" applyNumberFormat="1" applyFont="1" applyFill="1" applyBorder="1" applyAlignment="1"/>
    <xf numFmtId="0" fontId="0" fillId="19" borderId="39" xfId="0" applyFont="1" applyFill="1" applyBorder="1" applyAlignment="1"/>
    <xf numFmtId="0" fontId="18" fillId="19" borderId="3" xfId="0" applyFont="1" applyFill="1" applyBorder="1" applyAlignment="1"/>
    <xf numFmtId="172" fontId="0" fillId="19" borderId="3" xfId="2" applyNumberFormat="1" applyFont="1" applyFill="1" applyBorder="1" applyAlignment="1"/>
    <xf numFmtId="172" fontId="0" fillId="19" borderId="41" xfId="2" applyNumberFormat="1" applyFont="1" applyFill="1" applyBorder="1" applyAlignment="1"/>
    <xf numFmtId="0" fontId="47" fillId="19" borderId="7" xfId="0" applyFont="1" applyFill="1" applyBorder="1" applyAlignment="1"/>
    <xf numFmtId="0" fontId="47" fillId="19" borderId="8" xfId="0" applyFont="1" applyFill="1" applyBorder="1" applyAlignment="1"/>
    <xf numFmtId="172" fontId="47" fillId="19" borderId="8" xfId="2" applyNumberFormat="1" applyFont="1" applyFill="1" applyBorder="1" applyAlignment="1"/>
    <xf numFmtId="172" fontId="47" fillId="19" borderId="0" xfId="2" applyNumberFormat="1" applyFont="1" applyFill="1" applyAlignment="1"/>
    <xf numFmtId="0" fontId="47" fillId="19" borderId="0" xfId="0" applyFont="1" applyFill="1" applyAlignment="1"/>
    <xf numFmtId="43" fontId="47" fillId="19" borderId="0" xfId="2" applyFont="1" applyFill="1" applyAlignment="1"/>
    <xf numFmtId="0" fontId="22" fillId="19" borderId="15" xfId="0" applyFont="1" applyFill="1" applyBorder="1" applyAlignment="1"/>
    <xf numFmtId="0" fontId="22" fillId="19" borderId="1" xfId="0" applyFont="1" applyFill="1" applyBorder="1" applyAlignment="1"/>
    <xf numFmtId="172" fontId="22" fillId="19" borderId="1" xfId="2" applyNumberFormat="1" applyFont="1" applyFill="1" applyBorder="1" applyAlignment="1"/>
    <xf numFmtId="172" fontId="22" fillId="19" borderId="0" xfId="2" applyNumberFormat="1" applyFont="1" applyFill="1" applyAlignment="1"/>
    <xf numFmtId="0" fontId="22" fillId="19" borderId="0" xfId="0" applyFont="1" applyFill="1" applyAlignment="1"/>
    <xf numFmtId="43" fontId="22" fillId="19" borderId="0" xfId="2" applyFont="1" applyFill="1" applyAlignment="1"/>
    <xf numFmtId="172" fontId="50" fillId="29" borderId="40" xfId="2" applyNumberFormat="1" applyFont="1" applyFill="1" applyBorder="1" applyAlignment="1"/>
    <xf numFmtId="172" fontId="50" fillId="29" borderId="8" xfId="2" applyNumberFormat="1" applyFont="1" applyFill="1" applyBorder="1" applyAlignment="1"/>
    <xf numFmtId="0" fontId="0" fillId="19" borderId="37" xfId="0" applyFont="1" applyFill="1" applyBorder="1" applyAlignment="1"/>
    <xf numFmtId="172" fontId="10" fillId="19" borderId="8" xfId="2" applyNumberFormat="1" applyFont="1" applyFill="1" applyBorder="1" applyAlignment="1"/>
    <xf numFmtId="172" fontId="47" fillId="19" borderId="0" xfId="2" applyNumberFormat="1" applyFont="1" applyFill="1" applyBorder="1" applyAlignment="1"/>
    <xf numFmtId="172" fontId="0" fillId="19" borderId="19" xfId="2" applyNumberFormat="1" applyFont="1" applyFill="1" applyBorder="1" applyAlignment="1"/>
    <xf numFmtId="0" fontId="43" fillId="19" borderId="0" xfId="0" applyFont="1" applyFill="1" applyAlignment="1"/>
    <xf numFmtId="0" fontId="12" fillId="19" borderId="0" xfId="0" applyFont="1" applyFill="1" applyAlignment="1"/>
    <xf numFmtId="0" fontId="44" fillId="19" borderId="0" xfId="0" applyFont="1" applyFill="1" applyAlignment="1"/>
    <xf numFmtId="0" fontId="10" fillId="19" borderId="0" xfId="0" applyFont="1" applyFill="1" applyAlignment="1"/>
    <xf numFmtId="0" fontId="45" fillId="19" borderId="0" xfId="0" applyFont="1" applyFill="1" applyAlignment="1"/>
    <xf numFmtId="0" fontId="46" fillId="19" borderId="36" xfId="0" applyFont="1" applyFill="1" applyBorder="1" applyAlignment="1"/>
    <xf numFmtId="0" fontId="0" fillId="19" borderId="38" xfId="0" applyFont="1" applyFill="1" applyBorder="1" applyAlignment="1"/>
    <xf numFmtId="9" fontId="0" fillId="19" borderId="3" xfId="83" applyFont="1" applyFill="1" applyBorder="1" applyAlignment="1"/>
    <xf numFmtId="0" fontId="10" fillId="19" borderId="7" xfId="0" applyFont="1" applyFill="1" applyBorder="1" applyAlignment="1"/>
    <xf numFmtId="0" fontId="10" fillId="19" borderId="8" xfId="0" applyFont="1" applyFill="1" applyBorder="1" applyAlignment="1"/>
    <xf numFmtId="172" fontId="10" fillId="19" borderId="0" xfId="2" applyNumberFormat="1" applyFont="1" applyFill="1" applyAlignment="1"/>
    <xf numFmtId="43" fontId="10" fillId="19" borderId="0" xfId="2" applyFont="1" applyFill="1" applyAlignment="1"/>
    <xf numFmtId="0" fontId="47" fillId="19" borderId="0" xfId="0" applyFont="1" applyFill="1" applyBorder="1" applyAlignment="1"/>
    <xf numFmtId="0" fontId="47" fillId="19" borderId="5" xfId="0" applyFont="1" applyFill="1" applyBorder="1" applyAlignment="1"/>
    <xf numFmtId="0" fontId="51" fillId="19" borderId="0" xfId="0" applyFont="1" applyFill="1" applyAlignment="1"/>
    <xf numFmtId="43" fontId="51" fillId="19" borderId="0" xfId="2" applyFont="1" applyFill="1" applyAlignment="1"/>
    <xf numFmtId="43" fontId="0" fillId="19" borderId="0" xfId="2" quotePrefix="1" applyFont="1" applyFill="1" applyAlignment="1"/>
    <xf numFmtId="172" fontId="37" fillId="19" borderId="0" xfId="2" applyNumberFormat="1" applyFont="1" applyFill="1" applyAlignment="1"/>
    <xf numFmtId="43" fontId="12" fillId="19" borderId="0" xfId="2" applyFont="1" applyFill="1" applyAlignment="1"/>
    <xf numFmtId="0" fontId="0" fillId="19" borderId="35" xfId="0" applyFont="1" applyFill="1" applyBorder="1" applyAlignment="1"/>
    <xf numFmtId="0" fontId="0" fillId="19" borderId="19" xfId="0" applyFont="1" applyFill="1" applyBorder="1" applyAlignment="1"/>
    <xf numFmtId="172" fontId="0" fillId="19" borderId="43" xfId="2" applyNumberFormat="1" applyFont="1" applyFill="1" applyBorder="1" applyAlignment="1"/>
    <xf numFmtId="0" fontId="10" fillId="18" borderId="2" xfId="0" applyFont="1" applyFill="1" applyBorder="1" applyAlignment="1">
      <alignment horizontal="center"/>
    </xf>
    <xf numFmtId="0" fontId="10" fillId="18" borderId="21" xfId="0" applyFont="1" applyFill="1" applyBorder="1" applyAlignment="1">
      <alignment horizontal="center"/>
    </xf>
    <xf numFmtId="0" fontId="51" fillId="29" borderId="32" xfId="0" applyFont="1" applyFill="1" applyBorder="1" applyAlignment="1"/>
    <xf numFmtId="0" fontId="47" fillId="29" borderId="7" xfId="0" applyFont="1" applyFill="1" applyBorder="1" applyAlignment="1"/>
    <xf numFmtId="0" fontId="18" fillId="29" borderId="25" xfId="0" applyFont="1" applyFill="1" applyBorder="1" applyAlignment="1"/>
    <xf numFmtId="172" fontId="0" fillId="29" borderId="31" xfId="2" applyNumberFormat="1" applyFont="1" applyFill="1" applyBorder="1" applyAlignment="1"/>
    <xf numFmtId="172" fontId="51" fillId="19" borderId="49" xfId="2" applyNumberFormat="1" applyFont="1" applyFill="1" applyBorder="1" applyAlignment="1"/>
    <xf numFmtId="172" fontId="51" fillId="19" borderId="0" xfId="2" applyNumberFormat="1" applyFont="1" applyFill="1" applyBorder="1" applyAlignment="1"/>
    <xf numFmtId="172" fontId="0" fillId="19" borderId="59" xfId="2" applyNumberFormat="1" applyFont="1" applyFill="1" applyBorder="1" applyAlignment="1"/>
    <xf numFmtId="172" fontId="0" fillId="19" borderId="57" xfId="2" applyNumberFormat="1" applyFont="1" applyFill="1" applyBorder="1" applyAlignment="1"/>
    <xf numFmtId="172" fontId="51" fillId="29" borderId="31" xfId="2" applyNumberFormat="1" applyFont="1" applyFill="1" applyBorder="1" applyAlignment="1"/>
    <xf numFmtId="172" fontId="52" fillId="19" borderId="1" xfId="2" applyNumberFormat="1" applyFont="1" applyFill="1" applyBorder="1" applyAlignment="1">
      <alignment horizontal="center"/>
    </xf>
    <xf numFmtId="0" fontId="54" fillId="0" borderId="0" xfId="95" applyFont="1" applyAlignment="1">
      <alignment vertical="center"/>
    </xf>
    <xf numFmtId="170" fontId="62" fillId="0" borderId="0" xfId="96" applyNumberFormat="1" applyFont="1" applyAlignment="1">
      <alignment vertical="center"/>
    </xf>
    <xf numFmtId="0" fontId="63" fillId="0" borderId="0" xfId="95" applyFont="1" applyAlignment="1">
      <alignment vertical="center"/>
    </xf>
    <xf numFmtId="170" fontId="64" fillId="36" borderId="0" xfId="96" applyNumberFormat="1" applyFont="1" applyFill="1" applyAlignment="1">
      <alignment vertical="center"/>
    </xf>
    <xf numFmtId="0" fontId="63" fillId="36" borderId="0" xfId="95" applyFont="1" applyFill="1" applyAlignment="1">
      <alignment vertical="center"/>
    </xf>
    <xf numFmtId="170" fontId="62" fillId="11" borderId="66" xfId="96" applyNumberFormat="1" applyFont="1" applyFill="1" applyBorder="1" applyAlignment="1">
      <alignment vertical="center"/>
    </xf>
    <xf numFmtId="170" fontId="62" fillId="23" borderId="66" xfId="96" applyNumberFormat="1" applyFont="1" applyFill="1" applyBorder="1" applyAlignment="1">
      <alignment vertical="center"/>
    </xf>
    <xf numFmtId="0" fontId="54" fillId="11" borderId="66" xfId="95" applyFont="1" applyFill="1" applyBorder="1" applyAlignment="1">
      <alignment vertical="center"/>
    </xf>
    <xf numFmtId="0" fontId="57" fillId="11" borderId="66" xfId="95" applyFont="1" applyFill="1" applyBorder="1" applyAlignment="1">
      <alignment vertical="center"/>
    </xf>
    <xf numFmtId="170" fontId="62" fillId="0" borderId="54" xfId="96" applyNumberFormat="1" applyFont="1" applyBorder="1" applyAlignment="1">
      <alignment vertical="center"/>
    </xf>
    <xf numFmtId="170" fontId="62" fillId="0" borderId="54" xfId="96" applyNumberFormat="1" applyFont="1" applyBorder="1" applyAlignment="1" applyProtection="1">
      <alignment vertical="center"/>
      <protection locked="0"/>
    </xf>
    <xf numFmtId="0" fontId="65" fillId="0" borderId="54" xfId="95" quotePrefix="1" applyFont="1" applyBorder="1" applyAlignment="1">
      <alignment vertical="center"/>
    </xf>
    <xf numFmtId="0" fontId="54" fillId="0" borderId="54" xfId="95" applyFont="1" applyBorder="1" applyAlignment="1">
      <alignment vertical="center"/>
    </xf>
    <xf numFmtId="170" fontId="62" fillId="0" borderId="54" xfId="96" applyNumberFormat="1" applyFont="1" applyFill="1" applyBorder="1" applyAlignment="1" applyProtection="1">
      <alignment vertical="center"/>
      <protection locked="0"/>
    </xf>
    <xf numFmtId="0" fontId="60" fillId="13" borderId="0" xfId="95" applyFont="1" applyFill="1" applyAlignment="1">
      <alignment vertical="center"/>
    </xf>
    <xf numFmtId="0" fontId="57" fillId="7" borderId="0" xfId="95" applyFont="1" applyFill="1" applyAlignment="1">
      <alignment vertical="center"/>
    </xf>
    <xf numFmtId="170" fontId="66" fillId="7" borderId="66" xfId="96" applyNumberFormat="1" applyFont="1" applyFill="1" applyBorder="1" applyAlignment="1">
      <alignment vertical="center"/>
    </xf>
    <xf numFmtId="0" fontId="57" fillId="7" borderId="66" xfId="95" applyFont="1" applyFill="1" applyBorder="1" applyAlignment="1">
      <alignment vertical="center"/>
    </xf>
    <xf numFmtId="0" fontId="54" fillId="30" borderId="0" xfId="95" applyFont="1" applyFill="1" applyAlignment="1">
      <alignment vertical="center"/>
    </xf>
    <xf numFmtId="170" fontId="62" fillId="30" borderId="54" xfId="96" applyNumberFormat="1" applyFont="1" applyFill="1" applyBorder="1" applyAlignment="1">
      <alignment vertical="center"/>
    </xf>
    <xf numFmtId="170" fontId="62" fillId="30" borderId="66" xfId="96" applyNumberFormat="1" applyFont="1" applyFill="1" applyBorder="1" applyAlignment="1">
      <alignment vertical="center"/>
    </xf>
    <xf numFmtId="0" fontId="54" fillId="30" borderId="66" xfId="95" applyFont="1" applyFill="1" applyBorder="1" applyAlignment="1">
      <alignment vertical="center"/>
    </xf>
    <xf numFmtId="0" fontId="57" fillId="30" borderId="66" xfId="95" applyFont="1" applyFill="1" applyBorder="1" applyAlignment="1">
      <alignment vertical="center"/>
    </xf>
    <xf numFmtId="170" fontId="62" fillId="14" borderId="54" xfId="96" applyNumberFormat="1" applyFont="1" applyFill="1" applyBorder="1" applyAlignment="1">
      <alignment vertical="center"/>
    </xf>
    <xf numFmtId="0" fontId="54" fillId="25" borderId="54" xfId="95" applyFont="1" applyFill="1" applyBorder="1" applyAlignment="1">
      <alignment vertical="center"/>
    </xf>
    <xf numFmtId="170" fontId="62" fillId="19" borderId="0" xfId="96" applyNumberFormat="1" applyFont="1" applyFill="1" applyAlignment="1">
      <alignment vertical="center"/>
    </xf>
    <xf numFmtId="0" fontId="54" fillId="19" borderId="0" xfId="95" applyFont="1" applyFill="1" applyAlignment="1">
      <alignment vertical="center"/>
    </xf>
    <xf numFmtId="0" fontId="57" fillId="14" borderId="0" xfId="95" applyFont="1" applyFill="1" applyAlignment="1">
      <alignment vertical="center"/>
    </xf>
    <xf numFmtId="170" fontId="62" fillId="18" borderId="63" xfId="96" applyNumberFormat="1" applyFont="1" applyFill="1" applyBorder="1" applyAlignment="1">
      <alignment vertical="center"/>
    </xf>
    <xf numFmtId="0" fontId="54" fillId="18" borderId="63" xfId="95" applyFont="1" applyFill="1" applyBorder="1" applyAlignment="1">
      <alignment vertical="center"/>
    </xf>
    <xf numFmtId="0" fontId="57" fillId="18" borderId="63" xfId="95" applyFont="1" applyFill="1" applyBorder="1" applyAlignment="1">
      <alignment vertical="center"/>
    </xf>
    <xf numFmtId="170" fontId="62" fillId="14" borderId="63" xfId="96" applyNumberFormat="1" applyFont="1" applyFill="1" applyBorder="1" applyAlignment="1">
      <alignment vertical="center"/>
    </xf>
    <xf numFmtId="0" fontId="54" fillId="14" borderId="63" xfId="95" applyFont="1" applyFill="1" applyBorder="1" applyAlignment="1">
      <alignment vertical="center"/>
    </xf>
    <xf numFmtId="0" fontId="57" fillId="14" borderId="63" xfId="95" applyFont="1" applyFill="1" applyBorder="1" applyAlignment="1">
      <alignment vertical="center"/>
    </xf>
    <xf numFmtId="0" fontId="56" fillId="0" borderId="0" xfId="95" applyFont="1" applyAlignment="1">
      <alignment vertical="center"/>
    </xf>
    <xf numFmtId="0" fontId="55" fillId="0" borderId="0" xfId="95" applyFont="1" applyAlignment="1">
      <alignment vertical="center"/>
    </xf>
    <xf numFmtId="0" fontId="53" fillId="0" borderId="0" xfId="95" applyFont="1" applyAlignment="1">
      <alignment vertical="center"/>
    </xf>
    <xf numFmtId="0" fontId="9" fillId="0" borderId="54" xfId="95" applyBorder="1"/>
    <xf numFmtId="0" fontId="9" fillId="0" borderId="0" xfId="95"/>
    <xf numFmtId="41" fontId="9" fillId="0" borderId="0" xfId="95" applyNumberFormat="1"/>
    <xf numFmtId="14" fontId="9" fillId="0" borderId="54" xfId="95" applyNumberFormat="1" applyBorder="1"/>
    <xf numFmtId="41" fontId="9" fillId="0" borderId="54" xfId="95" applyNumberFormat="1" applyBorder="1"/>
    <xf numFmtId="41" fontId="9" fillId="0" borderId="54" xfId="96" applyNumberFormat="1" applyFont="1" applyBorder="1"/>
    <xf numFmtId="170" fontId="9" fillId="0" borderId="54" xfId="96" applyNumberFormat="1" applyFont="1" applyBorder="1" applyAlignment="1" applyProtection="1">
      <alignment vertical="center"/>
      <protection locked="0"/>
    </xf>
    <xf numFmtId="0" fontId="68" fillId="22" borderId="57" xfId="95" applyFont="1" applyFill="1" applyBorder="1" applyAlignment="1">
      <alignment horizontal="center" vertical="center" wrapText="1"/>
    </xf>
    <xf numFmtId="41" fontId="68" fillId="22" borderId="57" xfId="96" applyNumberFormat="1" applyFont="1" applyFill="1" applyBorder="1" applyAlignment="1">
      <alignment horizontal="center"/>
    </xf>
    <xf numFmtId="0" fontId="68" fillId="22" borderId="57" xfId="95" applyFont="1" applyFill="1" applyBorder="1" applyAlignment="1">
      <alignment horizontal="center"/>
    </xf>
    <xf numFmtId="0" fontId="68" fillId="22" borderId="54" xfId="95" applyFont="1" applyFill="1" applyBorder="1" applyAlignment="1">
      <alignment horizontal="center"/>
    </xf>
    <xf numFmtId="41" fontId="9" fillId="0" borderId="0" xfId="96" applyNumberFormat="1" applyFont="1" applyAlignment="1"/>
    <xf numFmtId="0" fontId="9" fillId="0" borderId="0" xfId="95" applyFont="1" applyFill="1" applyBorder="1" applyAlignment="1"/>
    <xf numFmtId="0" fontId="61" fillId="0" borderId="0" xfId="95" applyFont="1" applyFill="1" applyBorder="1" applyAlignment="1"/>
    <xf numFmtId="0" fontId="0" fillId="19" borderId="0" xfId="0" applyFont="1" applyFill="1" applyBorder="1" applyAlignment="1"/>
    <xf numFmtId="0" fontId="0" fillId="19" borderId="57" xfId="0" applyFont="1" applyFill="1" applyBorder="1" applyAlignment="1"/>
    <xf numFmtId="172" fontId="0" fillId="29" borderId="33" xfId="2" applyNumberFormat="1" applyFont="1" applyFill="1" applyBorder="1" applyAlignment="1"/>
    <xf numFmtId="172" fontId="0" fillId="19" borderId="69" xfId="2" applyNumberFormat="1" applyFont="1" applyFill="1" applyBorder="1" applyAlignment="1"/>
    <xf numFmtId="0" fontId="0" fillId="19" borderId="69" xfId="0" applyFont="1" applyFill="1" applyBorder="1" applyAlignment="1"/>
    <xf numFmtId="43" fontId="0" fillId="19" borderId="69" xfId="2" applyFont="1" applyFill="1" applyBorder="1" applyAlignment="1"/>
    <xf numFmtId="172" fontId="0" fillId="19" borderId="61" xfId="2" applyNumberFormat="1" applyFont="1" applyFill="1" applyBorder="1" applyAlignment="1"/>
    <xf numFmtId="43" fontId="0" fillId="19" borderId="0" xfId="2" quotePrefix="1" applyFont="1" applyFill="1" applyBorder="1" applyAlignment="1"/>
    <xf numFmtId="170" fontId="48" fillId="19" borderId="52" xfId="2" applyNumberFormat="1" applyFont="1" applyFill="1" applyBorder="1">
      <alignment vertical="center"/>
    </xf>
    <xf numFmtId="170" fontId="48" fillId="19" borderId="51" xfId="2" applyNumberFormat="1" applyFont="1" applyFill="1" applyBorder="1">
      <alignment vertical="center"/>
    </xf>
    <xf numFmtId="170" fontId="50" fillId="26" borderId="48" xfId="2" applyNumberFormat="1" applyFont="1" applyFill="1" applyBorder="1">
      <alignment vertical="center"/>
    </xf>
    <xf numFmtId="170" fontId="14" fillId="19" borderId="58" xfId="2" applyNumberFormat="1" applyFont="1" applyFill="1" applyBorder="1">
      <alignment vertical="center"/>
    </xf>
    <xf numFmtId="0" fontId="50" fillId="19" borderId="52" xfId="0" applyFont="1" applyFill="1" applyBorder="1" applyAlignment="1"/>
    <xf numFmtId="0" fontId="50" fillId="19" borderId="51" xfId="0" applyFont="1" applyFill="1" applyBorder="1" applyAlignment="1"/>
    <xf numFmtId="0" fontId="50" fillId="26" borderId="71" xfId="0" applyFont="1" applyFill="1" applyBorder="1" applyAlignment="1"/>
    <xf numFmtId="0" fontId="0" fillId="19" borderId="58" xfId="0" applyFont="1" applyFill="1" applyBorder="1" applyAlignment="1"/>
    <xf numFmtId="0" fontId="0" fillId="19" borderId="52" xfId="0" applyFont="1" applyFill="1" applyBorder="1" applyAlignment="1"/>
    <xf numFmtId="0" fontId="40" fillId="19" borderId="55" xfId="79" applyFont="1" applyFill="1" applyBorder="1" applyAlignment="1">
      <alignment vertical="center"/>
    </xf>
    <xf numFmtId="0" fontId="40" fillId="19" borderId="55" xfId="0" applyFont="1" applyFill="1" applyBorder="1">
      <alignment vertical="center"/>
    </xf>
    <xf numFmtId="0" fontId="40" fillId="19" borderId="62" xfId="79" applyFont="1" applyFill="1" applyBorder="1" applyAlignment="1">
      <alignment vertical="center"/>
    </xf>
    <xf numFmtId="0" fontId="40" fillId="19" borderId="52" xfId="79" applyFont="1" applyFill="1" applyBorder="1" applyAlignment="1">
      <alignment vertical="center"/>
    </xf>
    <xf numFmtId="0" fontId="39" fillId="19" borderId="52" xfId="79" applyFont="1" applyFill="1" applyBorder="1" applyAlignment="1">
      <alignment vertical="center"/>
    </xf>
    <xf numFmtId="0" fontId="49" fillId="26" borderId="72" xfId="0" applyFont="1" applyFill="1" applyBorder="1" applyAlignment="1"/>
    <xf numFmtId="172" fontId="0" fillId="19" borderId="53" xfId="2" applyNumberFormat="1" applyFont="1" applyFill="1" applyBorder="1" applyAlignment="1"/>
    <xf numFmtId="172" fontId="0" fillId="19" borderId="56" xfId="2" applyNumberFormat="1" applyFont="1" applyFill="1" applyBorder="1" applyAlignment="1"/>
    <xf numFmtId="172" fontId="0" fillId="19" borderId="60" xfId="2" applyNumberFormat="1" applyFont="1" applyFill="1" applyBorder="1" applyAlignment="1"/>
    <xf numFmtId="172" fontId="50" fillId="29" borderId="31" xfId="2" applyNumberFormat="1" applyFont="1" applyFill="1" applyBorder="1" applyAlignment="1"/>
    <xf numFmtId="0" fontId="0" fillId="19" borderId="47" xfId="0" applyFont="1" applyFill="1" applyBorder="1" applyAlignment="1"/>
    <xf numFmtId="0" fontId="0" fillId="19" borderId="74" xfId="0" applyFont="1" applyFill="1" applyBorder="1" applyAlignment="1"/>
    <xf numFmtId="0" fontId="0" fillId="19" borderId="75" xfId="0" applyFont="1" applyFill="1" applyBorder="1" applyAlignment="1"/>
    <xf numFmtId="3" fontId="13" fillId="29" borderId="30" xfId="0" applyNumberFormat="1" applyFont="1" applyFill="1" applyBorder="1" applyAlignment="1"/>
    <xf numFmtId="0" fontId="46" fillId="19" borderId="14" xfId="0" applyFont="1" applyFill="1" applyBorder="1" applyAlignment="1"/>
    <xf numFmtId="0" fontId="0" fillId="19" borderId="14" xfId="0" applyFont="1" applyFill="1" applyBorder="1" applyAlignment="1"/>
    <xf numFmtId="0" fontId="0" fillId="19" borderId="61" xfId="0" applyFont="1" applyFill="1" applyBorder="1" applyAlignment="1">
      <alignment horizontal="center" vertical="center" wrapText="1"/>
    </xf>
    <xf numFmtId="172" fontId="0" fillId="19" borderId="61" xfId="2" applyNumberFormat="1" applyFont="1" applyFill="1" applyBorder="1" applyAlignment="1">
      <alignment horizontal="center" vertical="center" wrapText="1"/>
    </xf>
    <xf numFmtId="0" fontId="0" fillId="19" borderId="0" xfId="0" applyFont="1" applyFill="1" applyBorder="1" applyAlignment="1">
      <alignment horizontal="center" vertical="center" wrapText="1"/>
    </xf>
    <xf numFmtId="172" fontId="0" fillId="19" borderId="0" xfId="2" applyNumberFormat="1" applyFont="1" applyFill="1" applyBorder="1" applyAlignment="1">
      <alignment horizontal="center" vertical="center" wrapText="1"/>
    </xf>
    <xf numFmtId="0" fontId="50" fillId="29" borderId="31" xfId="0" applyFont="1" applyFill="1" applyBorder="1" applyAlignment="1"/>
    <xf numFmtId="172" fontId="10" fillId="19" borderId="31" xfId="2" applyNumberFormat="1" applyFont="1" applyFill="1" applyBorder="1" applyAlignment="1"/>
    <xf numFmtId="171" fontId="20" fillId="0" borderId="0" xfId="0" applyNumberFormat="1" applyFont="1" applyAlignment="1">
      <alignment horizontal="center"/>
    </xf>
    <xf numFmtId="171" fontId="21" fillId="3" borderId="30" xfId="64" applyNumberFormat="1" applyFont="1" applyFill="1" applyBorder="1" applyAlignment="1">
      <alignment horizontal="center" vertical="center"/>
    </xf>
    <xf numFmtId="171" fontId="20" fillId="6" borderId="0" xfId="0" applyNumberFormat="1" applyFont="1" applyFill="1" applyAlignment="1" applyProtection="1">
      <alignment horizontal="center"/>
    </xf>
    <xf numFmtId="172" fontId="26" fillId="0" borderId="57" xfId="2" applyNumberFormat="1" applyFont="1" applyFill="1" applyBorder="1" applyAlignment="1"/>
    <xf numFmtId="43" fontId="26" fillId="19" borderId="0" xfId="2" applyFont="1" applyFill="1" applyAlignment="1">
      <alignment vertical="center"/>
    </xf>
    <xf numFmtId="3" fontId="37" fillId="0" borderId="1" xfId="79" applyNumberFormat="1" applyFont="1" applyFill="1" applyBorder="1" applyAlignment="1">
      <alignment vertical="center"/>
    </xf>
    <xf numFmtId="41" fontId="37" fillId="0" borderId="1" xfId="79" applyNumberFormat="1" applyFont="1" applyFill="1" applyBorder="1" applyAlignment="1">
      <alignment vertical="center"/>
    </xf>
    <xf numFmtId="0" fontId="37" fillId="0" borderId="1" xfId="79" applyFont="1" applyFill="1" applyBorder="1" applyAlignment="1">
      <alignment vertical="center"/>
    </xf>
    <xf numFmtId="0" fontId="37" fillId="0" borderId="18" xfId="79" applyFont="1" applyFill="1" applyBorder="1" applyAlignment="1">
      <alignment vertical="center"/>
    </xf>
    <xf numFmtId="3" fontId="39" fillId="0" borderId="74" xfId="79" applyNumberFormat="1" applyFont="1" applyFill="1" applyBorder="1" applyAlignment="1">
      <alignment vertical="center"/>
    </xf>
    <xf numFmtId="172" fontId="41" fillId="0" borderId="53" xfId="2" applyNumberFormat="1" applyFont="1" applyFill="1" applyBorder="1" applyAlignment="1"/>
    <xf numFmtId="172" fontId="41" fillId="0" borderId="1" xfId="2" applyNumberFormat="1" applyFont="1" applyFill="1" applyBorder="1" applyAlignment="1"/>
    <xf numFmtId="0" fontId="41" fillId="0" borderId="18" xfId="0" applyFont="1" applyFill="1" applyBorder="1" applyAlignment="1"/>
    <xf numFmtId="172" fontId="41" fillId="0" borderId="18" xfId="2" applyNumberFormat="1" applyFont="1" applyFill="1" applyBorder="1" applyAlignment="1"/>
    <xf numFmtId="172" fontId="37" fillId="0" borderId="1" xfId="2" applyNumberFormat="1" applyFont="1" applyFill="1" applyBorder="1" applyAlignment="1"/>
    <xf numFmtId="165" fontId="41" fillId="0" borderId="1" xfId="0" applyNumberFormat="1" applyFont="1" applyFill="1" applyBorder="1" applyAlignment="1"/>
    <xf numFmtId="172" fontId="41" fillId="0" borderId="0" xfId="2" applyNumberFormat="1" applyFont="1" applyFill="1" applyBorder="1" applyAlignment="1"/>
    <xf numFmtId="3" fontId="37" fillId="0" borderId="1" xfId="0" applyNumberFormat="1" applyFont="1" applyFill="1" applyBorder="1" applyAlignment="1" applyProtection="1">
      <alignment horizontal="right"/>
      <protection locked="0"/>
    </xf>
    <xf numFmtId="41" fontId="41" fillId="0" borderId="1" xfId="0" applyNumberFormat="1" applyFont="1" applyFill="1" applyBorder="1" applyAlignment="1"/>
    <xf numFmtId="3" fontId="39" fillId="0" borderId="74" xfId="0" applyNumberFormat="1" applyFont="1" applyFill="1" applyBorder="1" applyAlignment="1"/>
    <xf numFmtId="3" fontId="41" fillId="0" borderId="1" xfId="0" applyNumberFormat="1" applyFont="1" applyFill="1" applyBorder="1" applyAlignment="1"/>
    <xf numFmtId="3" fontId="41" fillId="0" borderId="1" xfId="2" applyNumberFormat="1" applyFont="1" applyFill="1" applyBorder="1" applyAlignment="1"/>
    <xf numFmtId="172" fontId="41" fillId="0" borderId="60" xfId="2" applyNumberFormat="1" applyFont="1" applyFill="1" applyBorder="1" applyAlignment="1"/>
    <xf numFmtId="172" fontId="41" fillId="0" borderId="2" xfId="2" applyNumberFormat="1" applyFont="1" applyFill="1" applyBorder="1" applyAlignment="1"/>
    <xf numFmtId="172" fontId="41" fillId="0" borderId="12" xfId="2" applyNumberFormat="1" applyFont="1" applyFill="1" applyBorder="1" applyAlignment="1"/>
    <xf numFmtId="172" fontId="41" fillId="0" borderId="3" xfId="2" applyNumberFormat="1" applyFont="1" applyFill="1" applyBorder="1" applyAlignment="1"/>
    <xf numFmtId="172" fontId="41" fillId="0" borderId="13" xfId="2" applyNumberFormat="1" applyFont="1" applyFill="1" applyBorder="1" applyAlignment="1"/>
    <xf numFmtId="0" fontId="43" fillId="0" borderId="0" xfId="0" applyFont="1" applyAlignment="1"/>
    <xf numFmtId="0" fontId="6" fillId="0" borderId="54" xfId="95" applyFont="1" applyBorder="1"/>
    <xf numFmtId="14" fontId="6" fillId="0" borderId="54" xfId="95" applyNumberFormat="1" applyFont="1" applyBorder="1"/>
    <xf numFmtId="3" fontId="41" fillId="0" borderId="18" xfId="0" applyNumberFormat="1" applyFont="1" applyFill="1" applyBorder="1" applyAlignment="1"/>
    <xf numFmtId="3" fontId="37" fillId="0" borderId="53" xfId="79" applyNumberFormat="1" applyFont="1" applyFill="1" applyBorder="1" applyAlignment="1">
      <alignment vertical="center"/>
    </xf>
    <xf numFmtId="172" fontId="0" fillId="0" borderId="53" xfId="2" applyNumberFormat="1" applyFont="1" applyFill="1" applyBorder="1" applyAlignment="1"/>
    <xf numFmtId="172" fontId="0" fillId="0" borderId="1" xfId="2" applyNumberFormat="1" applyFont="1" applyFill="1" applyBorder="1" applyAlignment="1"/>
    <xf numFmtId="172" fontId="0" fillId="0" borderId="18" xfId="2" applyNumberFormat="1" applyFont="1" applyFill="1" applyBorder="1" applyAlignment="1"/>
    <xf numFmtId="172" fontId="0" fillId="0" borderId="74" xfId="2" applyNumberFormat="1" applyFont="1" applyFill="1" applyBorder="1" applyAlignment="1"/>
    <xf numFmtId="172" fontId="0" fillId="0" borderId="75" xfId="2" applyNumberFormat="1" applyFont="1" applyFill="1" applyBorder="1" applyAlignment="1"/>
    <xf numFmtId="172" fontId="0" fillId="0" borderId="2" xfId="2" applyNumberFormat="1" applyFont="1" applyFill="1" applyBorder="1" applyAlignment="1"/>
    <xf numFmtId="172" fontId="39" fillId="0" borderId="74" xfId="2" applyNumberFormat="1" applyFont="1" applyFill="1" applyBorder="1" applyAlignment="1"/>
    <xf numFmtId="0" fontId="0" fillId="0" borderId="0" xfId="0" applyAlignment="1"/>
    <xf numFmtId="0" fontId="9" fillId="0" borderId="76" xfId="95" applyBorder="1"/>
    <xf numFmtId="41" fontId="9" fillId="0" borderId="76" xfId="95" applyNumberFormat="1" applyBorder="1"/>
    <xf numFmtId="14" fontId="9" fillId="0" borderId="76" xfId="95" applyNumberFormat="1" applyBorder="1"/>
    <xf numFmtId="0" fontId="6" fillId="0" borderId="76" xfId="95" applyFont="1" applyBorder="1"/>
    <xf numFmtId="171" fontId="21" fillId="3" borderId="33" xfId="64" applyNumberFormat="1" applyFont="1" applyFill="1" applyBorder="1" applyAlignment="1">
      <alignment horizontal="right" vertical="center"/>
    </xf>
    <xf numFmtId="173" fontId="21" fillId="3" borderId="34" xfId="64" applyNumberFormat="1" applyFont="1" applyFill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72" fillId="0" borderId="0" xfId="0" applyFont="1" applyAlignment="1">
      <alignment vertical="center"/>
    </xf>
    <xf numFmtId="0" fontId="75" fillId="0" borderId="0" xfId="0" applyFont="1" applyAlignment="1">
      <alignment horizontal="left" vertical="center"/>
    </xf>
    <xf numFmtId="0" fontId="76" fillId="0" borderId="0" xfId="0" applyFont="1" applyAlignment="1">
      <alignment horizontal="left" vertical="center"/>
    </xf>
    <xf numFmtId="170" fontId="76" fillId="0" borderId="0" xfId="2" applyNumberFormat="1" applyFont="1" applyAlignment="1">
      <alignment horizontal="left" vertical="center"/>
    </xf>
    <xf numFmtId="177" fontId="77" fillId="0" borderId="0" xfId="0" applyNumberFormat="1" applyFont="1" applyAlignment="1">
      <alignment horizontal="left" vertical="center"/>
    </xf>
    <xf numFmtId="0" fontId="77" fillId="0" borderId="0" xfId="0" applyFont="1" applyAlignment="1">
      <alignment horizontal="left" vertical="center"/>
    </xf>
    <xf numFmtId="0" fontId="72" fillId="27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27" borderId="0" xfId="0" applyFont="1" applyFill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19" borderId="0" xfId="0" applyFont="1" applyFill="1" applyAlignment="1">
      <alignment horizontal="center" vertical="center"/>
    </xf>
    <xf numFmtId="170" fontId="59" fillId="19" borderId="0" xfId="2" applyNumberFormat="1" applyFont="1" applyFill="1" applyAlignment="1">
      <alignment vertical="center"/>
    </xf>
    <xf numFmtId="170" fontId="59" fillId="19" borderId="0" xfId="2" applyNumberFormat="1" applyFont="1" applyFill="1" applyAlignment="1">
      <alignment horizontal="center" vertical="center"/>
    </xf>
    <xf numFmtId="0" fontId="72" fillId="19" borderId="0" xfId="0" applyFont="1" applyFill="1" applyAlignment="1">
      <alignment vertical="center"/>
    </xf>
    <xf numFmtId="170" fontId="72" fillId="0" borderId="0" xfId="0" applyNumberFormat="1" applyFont="1" applyAlignment="1">
      <alignment vertical="center"/>
    </xf>
    <xf numFmtId="0" fontId="73" fillId="9" borderId="63" xfId="0" applyFont="1" applyFill="1" applyBorder="1" applyAlignment="1">
      <alignment horizontal="center" vertical="center"/>
    </xf>
    <xf numFmtId="0" fontId="79" fillId="9" borderId="63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78" fillId="0" borderId="57" xfId="0" applyFont="1" applyBorder="1" applyAlignment="1">
      <alignment vertical="center"/>
    </xf>
    <xf numFmtId="170" fontId="70" fillId="32" borderId="0" xfId="2" applyNumberFormat="1" applyFont="1" applyFill="1" applyBorder="1" applyAlignment="1">
      <alignment vertical="center"/>
    </xf>
    <xf numFmtId="0" fontId="73" fillId="9" borderId="64" xfId="0" applyFont="1" applyFill="1" applyBorder="1" applyAlignment="1">
      <alignment horizontal="center" vertical="center"/>
    </xf>
    <xf numFmtId="0" fontId="73" fillId="0" borderId="67" xfId="0" applyFont="1" applyBorder="1" applyAlignment="1">
      <alignment vertical="center"/>
    </xf>
    <xf numFmtId="170" fontId="72" fillId="0" borderId="67" xfId="0" applyNumberFormat="1" applyFont="1" applyBorder="1" applyAlignment="1">
      <alignment vertical="center"/>
    </xf>
    <xf numFmtId="0" fontId="72" fillId="13" borderId="0" xfId="0" applyFont="1" applyFill="1" applyAlignment="1">
      <alignment vertical="center"/>
    </xf>
    <xf numFmtId="0" fontId="73" fillId="9" borderId="0" xfId="0" applyFont="1" applyFill="1" applyAlignment="1">
      <alignment horizontal="center" vertical="center"/>
    </xf>
    <xf numFmtId="0" fontId="79" fillId="9" borderId="0" xfId="0" applyFont="1" applyFill="1" applyAlignment="1">
      <alignment vertical="center"/>
    </xf>
    <xf numFmtId="170" fontId="59" fillId="9" borderId="0" xfId="2" applyNumberFormat="1" applyFont="1" applyFill="1" applyAlignment="1">
      <alignment vertical="center"/>
    </xf>
    <xf numFmtId="170" fontId="72" fillId="27" borderId="0" xfId="0" applyNumberFormat="1" applyFont="1" applyFill="1" applyAlignment="1">
      <alignment vertical="center"/>
    </xf>
    <xf numFmtId="0" fontId="78" fillId="0" borderId="0" xfId="0" applyFont="1" applyAlignment="1">
      <alignment vertical="center"/>
    </xf>
    <xf numFmtId="0" fontId="79" fillId="27" borderId="0" xfId="0" applyFont="1" applyFill="1" applyAlignment="1">
      <alignment vertical="center"/>
    </xf>
    <xf numFmtId="0" fontId="79" fillId="19" borderId="0" xfId="0" applyFont="1" applyFill="1" applyAlignment="1">
      <alignment vertical="center"/>
    </xf>
    <xf numFmtId="43" fontId="80" fillId="0" borderId="8" xfId="2" applyFont="1" applyBorder="1" applyAlignment="1"/>
    <xf numFmtId="172" fontId="80" fillId="0" borderId="8" xfId="2" applyNumberFormat="1" applyFont="1" applyBorder="1" applyAlignment="1"/>
    <xf numFmtId="0" fontId="16" fillId="0" borderId="0" xfId="0" applyFont="1" applyFill="1" applyBorder="1" applyAlignment="1">
      <alignment horizontal="left" vertical="center"/>
    </xf>
    <xf numFmtId="168" fontId="26" fillId="0" borderId="57" xfId="3" applyFont="1" applyFill="1" applyBorder="1" applyAlignment="1">
      <alignment horizontal="center"/>
    </xf>
    <xf numFmtId="168" fontId="26" fillId="0" borderId="57" xfId="3" applyFont="1" applyFill="1" applyBorder="1" applyAlignment="1"/>
    <xf numFmtId="43" fontId="85" fillId="0" borderId="0" xfId="2" applyFont="1" applyAlignment="1">
      <alignment vertical="center"/>
    </xf>
    <xf numFmtId="43" fontId="15" fillId="0" borderId="0" xfId="2" applyFont="1" applyAlignment="1">
      <alignment vertical="center"/>
    </xf>
    <xf numFmtId="172" fontId="88" fillId="0" borderId="57" xfId="2" applyNumberFormat="1" applyFont="1" applyFill="1" applyBorder="1" applyAlignment="1"/>
    <xf numFmtId="172" fontId="26" fillId="19" borderId="0" xfId="2" applyNumberFormat="1" applyFont="1" applyFill="1" applyAlignment="1">
      <alignment vertical="center"/>
    </xf>
    <xf numFmtId="43" fontId="71" fillId="19" borderId="0" xfId="2" applyFont="1" applyFill="1" applyAlignment="1">
      <alignment vertical="center"/>
    </xf>
    <xf numFmtId="43" fontId="0" fillId="0" borderId="0" xfId="2" applyFont="1" applyAlignment="1"/>
    <xf numFmtId="0" fontId="10" fillId="0" borderId="0" xfId="0" applyFont="1" applyAlignment="1"/>
    <xf numFmtId="171" fontId="36" fillId="0" borderId="76" xfId="0" applyNumberFormat="1" applyFont="1" applyFill="1" applyBorder="1" applyAlignment="1">
      <alignment horizontal="center"/>
    </xf>
    <xf numFmtId="172" fontId="36" fillId="0" borderId="76" xfId="2" applyNumberFormat="1" applyFont="1" applyFill="1" applyBorder="1" applyAlignment="1">
      <alignment horizontal="center"/>
    </xf>
    <xf numFmtId="174" fontId="36" fillId="0" borderId="76" xfId="0" applyNumberFormat="1" applyFont="1" applyFill="1" applyBorder="1" applyAlignment="1">
      <alignment horizontal="center"/>
    </xf>
    <xf numFmtId="173" fontId="20" fillId="4" borderId="76" xfId="0" applyNumberFormat="1" applyFont="1" applyFill="1" applyBorder="1" applyAlignment="1">
      <alignment horizontal="right"/>
    </xf>
    <xf numFmtId="172" fontId="13" fillId="4" borderId="76" xfId="0" applyNumberFormat="1" applyFont="1" applyFill="1" applyBorder="1" applyAlignment="1">
      <alignment horizontal="right"/>
    </xf>
    <xf numFmtId="171" fontId="23" fillId="4" borderId="76" xfId="0" applyNumberFormat="1" applyFont="1" applyFill="1" applyBorder="1" applyAlignment="1">
      <alignment horizontal="right"/>
    </xf>
    <xf numFmtId="173" fontId="23" fillId="4" borderId="76" xfId="0" applyNumberFormat="1" applyFont="1" applyFill="1" applyBorder="1" applyAlignment="1">
      <alignment horizontal="right"/>
    </xf>
    <xf numFmtId="172" fontId="20" fillId="0" borderId="76" xfId="2" applyNumberFormat="1" applyFont="1" applyBorder="1" applyAlignment="1">
      <alignment horizontal="right"/>
    </xf>
    <xf numFmtId="172" fontId="20" fillId="4" borderId="76" xfId="0" applyNumberFormat="1" applyFont="1" applyFill="1" applyBorder="1" applyAlignment="1">
      <alignment horizontal="right"/>
    </xf>
    <xf numFmtId="171" fontId="20" fillId="4" borderId="76" xfId="0" applyNumberFormat="1" applyFont="1" applyFill="1" applyBorder="1" applyAlignment="1">
      <alignment horizontal="right"/>
    </xf>
    <xf numFmtId="172" fontId="20" fillId="5" borderId="76" xfId="0" applyNumberFormat="1" applyFont="1" applyFill="1" applyBorder="1" applyAlignment="1">
      <alignment horizontal="right"/>
    </xf>
    <xf numFmtId="0" fontId="20" fillId="4" borderId="76" xfId="2" applyNumberFormat="1" applyFont="1" applyFill="1" applyBorder="1" applyAlignment="1">
      <alignment horizontal="center"/>
    </xf>
    <xf numFmtId="0" fontId="92" fillId="0" borderId="0" xfId="0" applyFont="1" applyAlignment="1"/>
    <xf numFmtId="172" fontId="92" fillId="0" borderId="0" xfId="2" applyNumberFormat="1" applyFont="1" applyAlignment="1"/>
    <xf numFmtId="0" fontId="73" fillId="25" borderId="52" xfId="0" applyFont="1" applyFill="1" applyBorder="1" applyAlignment="1">
      <alignment horizontal="center" vertical="center"/>
    </xf>
    <xf numFmtId="170" fontId="70" fillId="0" borderId="57" xfId="2" applyNumberFormat="1" applyFont="1" applyBorder="1" applyAlignment="1">
      <alignment vertical="center"/>
    </xf>
    <xf numFmtId="170" fontId="70" fillId="9" borderId="63" xfId="2" applyNumberFormat="1" applyFont="1" applyFill="1" applyBorder="1" applyAlignment="1">
      <alignment vertical="center"/>
    </xf>
    <xf numFmtId="0" fontId="57" fillId="25" borderId="52" xfId="95" applyFont="1" applyFill="1" applyBorder="1" applyAlignment="1">
      <alignment horizontal="center" vertical="center"/>
    </xf>
    <xf numFmtId="0" fontId="57" fillId="25" borderId="76" xfId="95" applyFont="1" applyFill="1" applyBorder="1" applyAlignment="1">
      <alignment horizontal="center" vertical="center"/>
    </xf>
    <xf numFmtId="170" fontId="54" fillId="18" borderId="63" xfId="95" applyNumberFormat="1" applyFont="1" applyFill="1" applyBorder="1" applyAlignment="1">
      <alignment vertical="center"/>
    </xf>
    <xf numFmtId="168" fontId="54" fillId="0" borderId="76" xfId="3" applyFont="1" applyBorder="1" applyAlignment="1">
      <alignment vertical="center"/>
    </xf>
    <xf numFmtId="168" fontId="54" fillId="30" borderId="66" xfId="3" applyFont="1" applyFill="1" applyBorder="1" applyAlignment="1">
      <alignment vertical="center"/>
    </xf>
    <xf numFmtId="170" fontId="57" fillId="7" borderId="66" xfId="95" applyNumberFormat="1" applyFont="1" applyFill="1" applyBorder="1" applyAlignment="1">
      <alignment vertical="center"/>
    </xf>
    <xf numFmtId="0" fontId="73" fillId="9" borderId="0" xfId="0" applyFont="1" applyFill="1" applyAlignment="1">
      <alignment vertical="center"/>
    </xf>
    <xf numFmtId="170" fontId="62" fillId="0" borderId="77" xfId="96" applyNumberFormat="1" applyFont="1" applyBorder="1" applyAlignment="1">
      <alignment vertical="center"/>
    </xf>
    <xf numFmtId="3" fontId="54" fillId="14" borderId="63" xfId="95" applyNumberFormat="1" applyFont="1" applyFill="1" applyBorder="1" applyAlignment="1">
      <alignment vertical="center"/>
    </xf>
    <xf numFmtId="170" fontId="63" fillId="36" borderId="0" xfId="95" applyNumberFormat="1" applyFont="1" applyFill="1" applyAlignment="1">
      <alignment vertical="center"/>
    </xf>
    <xf numFmtId="170" fontId="54" fillId="11" borderId="66" xfId="95" applyNumberFormat="1" applyFont="1" applyFill="1" applyBorder="1" applyAlignment="1">
      <alignment vertical="center"/>
    </xf>
    <xf numFmtId="170" fontId="59" fillId="9" borderId="63" xfId="2" applyNumberFormat="1" applyFont="1" applyFill="1" applyBorder="1" applyAlignment="1" applyProtection="1">
      <alignment vertical="center"/>
      <protection locked="0"/>
    </xf>
    <xf numFmtId="170" fontId="70" fillId="0" borderId="0" xfId="2" applyNumberFormat="1" applyFont="1" applyAlignment="1">
      <alignment vertical="center"/>
    </xf>
    <xf numFmtId="172" fontId="70" fillId="0" borderId="0" xfId="2" applyNumberFormat="1" applyFont="1" applyAlignment="1"/>
    <xf numFmtId="43" fontId="70" fillId="0" borderId="57" xfId="2" applyNumberFormat="1" applyFont="1" applyFill="1" applyBorder="1" applyAlignment="1"/>
    <xf numFmtId="170" fontId="59" fillId="9" borderId="0" xfId="2" applyNumberFormat="1" applyFont="1" applyFill="1" applyAlignment="1" applyProtection="1">
      <alignment vertical="center"/>
      <protection locked="0"/>
    </xf>
    <xf numFmtId="43" fontId="70" fillId="14" borderId="57" xfId="2" applyNumberFormat="1" applyFont="1" applyFill="1" applyBorder="1" applyAlignment="1"/>
    <xf numFmtId="0" fontId="72" fillId="27" borderId="0" xfId="0" applyFont="1" applyFill="1" applyAlignment="1">
      <alignment vertical="center"/>
    </xf>
    <xf numFmtId="170" fontId="70" fillId="0" borderId="0" xfId="2" applyNumberFormat="1" applyFont="1" applyAlignment="1" applyProtection="1">
      <alignment vertical="center"/>
      <protection locked="0"/>
    </xf>
    <xf numFmtId="0" fontId="73" fillId="27" borderId="0" xfId="0" applyFont="1" applyFill="1" applyAlignment="1">
      <alignment vertical="center"/>
    </xf>
    <xf numFmtId="170" fontId="59" fillId="9" borderId="63" xfId="2" applyNumberFormat="1" applyFont="1" applyFill="1" applyBorder="1" applyAlignment="1">
      <alignment vertical="center"/>
    </xf>
    <xf numFmtId="170" fontId="70" fillId="0" borderId="65" xfId="2" applyNumberFormat="1" applyFont="1" applyFill="1" applyBorder="1" applyAlignment="1" applyProtection="1">
      <alignment vertical="center"/>
      <protection locked="0"/>
    </xf>
    <xf numFmtId="0" fontId="73" fillId="27" borderId="67" xfId="0" applyFont="1" applyFill="1" applyBorder="1" applyAlignment="1">
      <alignment vertical="center"/>
    </xf>
    <xf numFmtId="170" fontId="59" fillId="13" borderId="68" xfId="2" applyNumberFormat="1" applyFont="1" applyFill="1" applyBorder="1" applyAlignment="1" applyProtection="1">
      <alignment vertical="center"/>
      <protection locked="0"/>
    </xf>
    <xf numFmtId="0" fontId="72" fillId="27" borderId="0" xfId="0" applyFont="1" applyFill="1" applyBorder="1" applyAlignment="1">
      <alignment vertical="center"/>
    </xf>
    <xf numFmtId="170" fontId="59" fillId="9" borderId="6" xfId="2" applyNumberFormat="1" applyFont="1" applyFill="1" applyBorder="1" applyAlignment="1" applyProtection="1">
      <alignment vertical="center"/>
      <protection locked="0"/>
    </xf>
    <xf numFmtId="171" fontId="0" fillId="0" borderId="0" xfId="0" applyNumberFormat="1" applyAlignment="1"/>
    <xf numFmtId="0" fontId="0" fillId="0" borderId="0" xfId="0" applyBorder="1" applyAlignment="1"/>
    <xf numFmtId="168" fontId="0" fillId="0" borderId="0" xfId="3" applyFont="1" applyBorder="1" applyAlignment="1"/>
    <xf numFmtId="171" fontId="36" fillId="0" borderId="77" xfId="0" applyNumberFormat="1" applyFont="1" applyFill="1" applyBorder="1" applyAlignment="1">
      <alignment horizontal="center"/>
    </xf>
    <xf numFmtId="172" fontId="36" fillId="0" borderId="77" xfId="2" applyNumberFormat="1" applyFont="1" applyFill="1" applyBorder="1" applyAlignment="1">
      <alignment horizontal="center"/>
    </xf>
    <xf numFmtId="174" fontId="36" fillId="0" borderId="77" xfId="0" applyNumberFormat="1" applyFont="1" applyFill="1" applyBorder="1" applyAlignment="1">
      <alignment horizontal="center"/>
    </xf>
    <xf numFmtId="173" fontId="20" fillId="4" borderId="77" xfId="0" applyNumberFormat="1" applyFont="1" applyFill="1" applyBorder="1" applyAlignment="1">
      <alignment horizontal="right"/>
    </xf>
    <xf numFmtId="172" fontId="13" fillId="4" borderId="77" xfId="0" applyNumberFormat="1" applyFont="1" applyFill="1" applyBorder="1" applyAlignment="1">
      <alignment horizontal="right"/>
    </xf>
    <xf numFmtId="171" fontId="23" fillId="4" borderId="77" xfId="0" applyNumberFormat="1" applyFont="1" applyFill="1" applyBorder="1" applyAlignment="1">
      <alignment horizontal="right"/>
    </xf>
    <xf numFmtId="173" fontId="23" fillId="4" borderId="77" xfId="0" applyNumberFormat="1" applyFont="1" applyFill="1" applyBorder="1" applyAlignment="1">
      <alignment horizontal="right"/>
    </xf>
    <xf numFmtId="172" fontId="20" fillId="0" borderId="77" xfId="2" applyNumberFormat="1" applyFont="1" applyBorder="1" applyAlignment="1">
      <alignment horizontal="right"/>
    </xf>
    <xf numFmtId="172" fontId="20" fillId="4" borderId="77" xfId="0" applyNumberFormat="1" applyFont="1" applyFill="1" applyBorder="1" applyAlignment="1">
      <alignment horizontal="right"/>
    </xf>
    <xf numFmtId="171" fontId="20" fillId="4" borderId="77" xfId="0" applyNumberFormat="1" applyFont="1" applyFill="1" applyBorder="1" applyAlignment="1">
      <alignment horizontal="right"/>
    </xf>
    <xf numFmtId="172" fontId="20" fillId="5" borderId="77" xfId="0" applyNumberFormat="1" applyFont="1" applyFill="1" applyBorder="1" applyAlignment="1">
      <alignment horizontal="right"/>
    </xf>
    <xf numFmtId="0" fontId="0" fillId="0" borderId="77" xfId="0" applyBorder="1" applyAlignment="1"/>
    <xf numFmtId="172" fontId="20" fillId="0" borderId="77" xfId="2" applyNumberFormat="1" applyFont="1" applyFill="1" applyBorder="1" applyAlignment="1">
      <alignment horizontal="right"/>
    </xf>
    <xf numFmtId="178" fontId="0" fillId="0" borderId="77" xfId="0" applyNumberFormat="1" applyBorder="1" applyAlignment="1"/>
    <xf numFmtId="43" fontId="0" fillId="0" borderId="79" xfId="2" applyFont="1" applyFill="1" applyBorder="1" applyAlignment="1"/>
    <xf numFmtId="178" fontId="0" fillId="0" borderId="0" xfId="0" applyNumberFormat="1" applyAlignment="1"/>
    <xf numFmtId="0" fontId="0" fillId="0" borderId="77" xfId="0" applyBorder="1" applyAlignment="1">
      <alignment horizontal="center"/>
    </xf>
    <xf numFmtId="42" fontId="0" fillId="0" borderId="77" xfId="3" applyNumberFormat="1" applyFont="1" applyBorder="1" applyAlignment="1"/>
    <xf numFmtId="42" fontId="0" fillId="0" borderId="77" xfId="0" applyNumberFormat="1" applyBorder="1" applyAlignment="1"/>
    <xf numFmtId="0" fontId="0" fillId="0" borderId="77" xfId="0" applyFill="1" applyBorder="1" applyAlignment="1"/>
    <xf numFmtId="171" fontId="0" fillId="0" borderId="77" xfId="0" applyNumberFormat="1" applyBorder="1" applyAlignment="1"/>
    <xf numFmtId="43" fontId="0" fillId="0" borderId="77" xfId="2" applyFont="1" applyBorder="1" applyAlignment="1"/>
    <xf numFmtId="0" fontId="9" fillId="0" borderId="77" xfId="95" applyBorder="1"/>
    <xf numFmtId="41" fontId="9" fillId="0" borderId="77" xfId="95" applyNumberFormat="1" applyBorder="1"/>
    <xf numFmtId="14" fontId="9" fillId="0" borderId="77" xfId="95" applyNumberFormat="1" applyBorder="1"/>
    <xf numFmtId="41" fontId="9" fillId="0" borderId="77" xfId="96" applyNumberFormat="1" applyFont="1" applyBorder="1"/>
    <xf numFmtId="0" fontId="9" fillId="0" borderId="77" xfId="96" applyNumberFormat="1" applyFont="1" applyBorder="1" applyAlignment="1" applyProtection="1">
      <alignment horizontal="left"/>
      <protection locked="0"/>
    </xf>
    <xf numFmtId="0" fontId="0" fillId="0" borderId="77" xfId="96" applyNumberFormat="1" applyFont="1" applyBorder="1" applyAlignment="1" applyProtection="1">
      <alignment horizontal="left"/>
      <protection locked="0"/>
    </xf>
    <xf numFmtId="0" fontId="9" fillId="0" borderId="77" xfId="95" applyFill="1" applyBorder="1"/>
    <xf numFmtId="0" fontId="9" fillId="14" borderId="77" xfId="95" applyFill="1" applyBorder="1"/>
    <xf numFmtId="41" fontId="9" fillId="14" borderId="77" xfId="95" applyNumberFormat="1" applyFill="1" applyBorder="1"/>
    <xf numFmtId="0" fontId="9" fillId="24" borderId="77" xfId="95" applyFill="1" applyBorder="1"/>
    <xf numFmtId="41" fontId="9" fillId="24" borderId="77" xfId="95" applyNumberFormat="1" applyFill="1" applyBorder="1"/>
    <xf numFmtId="0" fontId="4" fillId="0" borderId="77" xfId="95" applyFont="1" applyBorder="1"/>
    <xf numFmtId="0" fontId="8" fillId="0" borderId="77" xfId="95" applyFont="1" applyBorder="1"/>
    <xf numFmtId="172" fontId="9" fillId="0" borderId="77" xfId="2" applyNumberFormat="1" applyFont="1" applyBorder="1" applyAlignment="1"/>
    <xf numFmtId="43" fontId="0" fillId="0" borderId="77" xfId="115" applyFont="1" applyBorder="1"/>
    <xf numFmtId="0" fontId="7" fillId="0" borderId="77" xfId="95" applyFont="1" applyBorder="1"/>
    <xf numFmtId="0" fontId="6" fillId="0" borderId="77" xfId="95" applyFont="1" applyBorder="1"/>
    <xf numFmtId="41" fontId="9" fillId="0" borderId="0" xfId="96" applyNumberFormat="1" applyFont="1" applyBorder="1" applyAlignment="1"/>
    <xf numFmtId="172" fontId="0" fillId="0" borderId="77" xfId="115" applyNumberFormat="1" applyFont="1" applyBorder="1"/>
    <xf numFmtId="179" fontId="9" fillId="0" borderId="0" xfId="95" applyNumberFormat="1" applyFont="1" applyFill="1" applyBorder="1" applyAlignment="1">
      <alignment horizontal="center"/>
    </xf>
    <xf numFmtId="179" fontId="9" fillId="0" borderId="77" xfId="95" applyNumberFormat="1" applyBorder="1"/>
    <xf numFmtId="179" fontId="9" fillId="0" borderId="77" xfId="95" applyNumberFormat="1" applyFill="1" applyBorder="1"/>
    <xf numFmtId="179" fontId="9" fillId="24" borderId="77" xfId="95" applyNumberFormat="1" applyFill="1" applyBorder="1"/>
    <xf numFmtId="179" fontId="0" fillId="0" borderId="77" xfId="0" applyNumberFormat="1" applyBorder="1" applyAlignment="1"/>
    <xf numFmtId="179" fontId="9" fillId="0" borderId="0" xfId="95" applyNumberFormat="1"/>
    <xf numFmtId="0" fontId="4" fillId="0" borderId="77" xfId="114" applyFont="1" applyFill="1" applyBorder="1"/>
    <xf numFmtId="0" fontId="4" fillId="0" borderId="77" xfId="114" applyBorder="1"/>
    <xf numFmtId="41" fontId="4" fillId="0" borderId="77" xfId="114" applyNumberFormat="1" applyBorder="1"/>
    <xf numFmtId="171" fontId="4" fillId="0" borderId="77" xfId="114" applyNumberFormat="1" applyBorder="1"/>
    <xf numFmtId="0" fontId="4" fillId="0" borderId="77" xfId="114" applyFill="1" applyBorder="1"/>
    <xf numFmtId="0" fontId="4" fillId="24" borderId="77" xfId="114" applyFill="1" applyBorder="1"/>
    <xf numFmtId="41" fontId="4" fillId="24" borderId="77" xfId="114" applyNumberFormat="1" applyFill="1" applyBorder="1"/>
    <xf numFmtId="171" fontId="4" fillId="24" borderId="77" xfId="114" applyNumberFormat="1" applyFill="1" applyBorder="1"/>
    <xf numFmtId="0" fontId="0" fillId="0" borderId="77" xfId="114" applyFont="1" applyBorder="1"/>
    <xf numFmtId="171" fontId="0" fillId="0" borderId="77" xfId="114" applyNumberFormat="1" applyFont="1" applyBorder="1"/>
    <xf numFmtId="0" fontId="9" fillId="22" borderId="77" xfId="95" applyFont="1" applyFill="1" applyBorder="1" applyAlignment="1">
      <alignment horizontal="center"/>
    </xf>
    <xf numFmtId="0" fontId="68" fillId="22" borderId="77" xfId="95" applyFont="1" applyFill="1" applyBorder="1" applyAlignment="1">
      <alignment horizontal="center"/>
    </xf>
    <xf numFmtId="41" fontId="68" fillId="22" borderId="77" xfId="96" applyNumberFormat="1" applyFont="1" applyFill="1" applyBorder="1" applyAlignment="1">
      <alignment horizontal="center"/>
    </xf>
    <xf numFmtId="0" fontId="68" fillId="22" borderId="77" xfId="95" applyFont="1" applyFill="1" applyBorder="1" applyAlignment="1">
      <alignment horizontal="center" vertical="center" wrapText="1"/>
    </xf>
    <xf numFmtId="170" fontId="9" fillId="0" borderId="77" xfId="96" applyNumberFormat="1" applyFont="1" applyBorder="1" applyAlignment="1" applyProtection="1">
      <alignment horizontal="left" vertical="top"/>
      <protection locked="0"/>
    </xf>
    <xf numFmtId="0" fontId="0" fillId="0" borderId="77" xfId="96" applyNumberFormat="1" applyFont="1" applyBorder="1" applyAlignment="1" applyProtection="1">
      <alignment horizontal="left" vertical="top"/>
      <protection locked="0"/>
    </xf>
    <xf numFmtId="0" fontId="9" fillId="0" borderId="77" xfId="96" applyNumberFormat="1" applyFont="1" applyBorder="1" applyAlignment="1" applyProtection="1">
      <alignment horizontal="left" vertical="top"/>
      <protection locked="0"/>
    </xf>
    <xf numFmtId="41" fontId="9" fillId="0" borderId="77" xfId="95" applyNumberFormat="1" applyFill="1" applyBorder="1"/>
    <xf numFmtId="14" fontId="9" fillId="0" borderId="77" xfId="95" applyNumberFormat="1" applyFill="1" applyBorder="1"/>
    <xf numFmtId="0" fontId="9" fillId="19" borderId="77" xfId="95" applyFill="1" applyBorder="1"/>
    <xf numFmtId="41" fontId="9" fillId="19" borderId="77" xfId="95" applyNumberFormat="1" applyFill="1" applyBorder="1"/>
    <xf numFmtId="14" fontId="9" fillId="19" borderId="77" xfId="95" applyNumberFormat="1" applyFill="1" applyBorder="1"/>
    <xf numFmtId="14" fontId="9" fillId="0" borderId="77" xfId="95" applyNumberFormat="1" applyFont="1" applyBorder="1"/>
    <xf numFmtId="0" fontId="38" fillId="0" borderId="77" xfId="95" applyFont="1" applyFill="1" applyBorder="1"/>
    <xf numFmtId="43" fontId="9" fillId="0" borderId="77" xfId="95" applyNumberFormat="1" applyBorder="1"/>
    <xf numFmtId="43" fontId="0" fillId="0" borderId="77" xfId="98" applyNumberFormat="1" applyFont="1" applyBorder="1"/>
    <xf numFmtId="0" fontId="4" fillId="0" borderId="77" xfId="114" applyFont="1" applyBorder="1"/>
    <xf numFmtId="43" fontId="4" fillId="0" borderId="77" xfId="115" applyBorder="1"/>
    <xf numFmtId="14" fontId="8" fillId="0" borderId="77" xfId="95" applyNumberFormat="1" applyFont="1" applyBorder="1"/>
    <xf numFmtId="14" fontId="6" fillId="0" borderId="77" xfId="95" applyNumberFormat="1" applyFont="1" applyBorder="1"/>
    <xf numFmtId="179" fontId="68" fillId="22" borderId="77" xfId="95" applyNumberFormat="1" applyFont="1" applyFill="1" applyBorder="1" applyAlignment="1">
      <alignment horizontal="center" vertical="center" wrapText="1"/>
    </xf>
    <xf numFmtId="170" fontId="70" fillId="0" borderId="77" xfId="2" applyNumberFormat="1" applyFont="1" applyBorder="1" applyAlignment="1">
      <alignment vertical="center"/>
    </xf>
    <xf numFmtId="0" fontId="54" fillId="0" borderId="77" xfId="95" applyFont="1" applyBorder="1" applyAlignment="1">
      <alignment vertical="center"/>
    </xf>
    <xf numFmtId="168" fontId="54" fillId="0" borderId="77" xfId="3" applyFont="1" applyBorder="1" applyAlignment="1">
      <alignment vertical="center"/>
    </xf>
    <xf numFmtId="0" fontId="0" fillId="0" borderId="74" xfId="0" applyFont="1" applyFill="1" applyBorder="1" applyAlignment="1"/>
    <xf numFmtId="172" fontId="0" fillId="0" borderId="3" xfId="2" applyNumberFormat="1" applyFont="1" applyFill="1" applyBorder="1" applyAlignment="1"/>
    <xf numFmtId="0" fontId="0" fillId="0" borderId="59" xfId="0" applyFont="1" applyFill="1" applyBorder="1" applyAlignment="1"/>
    <xf numFmtId="0" fontId="57" fillId="20" borderId="77" xfId="95" applyFont="1" applyFill="1" applyBorder="1" applyAlignment="1">
      <alignment vertical="center"/>
    </xf>
    <xf numFmtId="0" fontId="57" fillId="0" borderId="77" xfId="95" applyFont="1" applyBorder="1" applyAlignment="1">
      <alignment vertical="center"/>
    </xf>
    <xf numFmtId="172" fontId="39" fillId="19" borderId="77" xfId="2" applyNumberFormat="1" applyFont="1" applyFill="1" applyBorder="1" applyAlignment="1">
      <alignment horizontal="center"/>
    </xf>
    <xf numFmtId="172" fontId="41" fillId="0" borderId="78" xfId="2" applyNumberFormat="1" applyFont="1" applyFill="1" applyBorder="1" applyAlignment="1"/>
    <xf numFmtId="172" fontId="37" fillId="0" borderId="78" xfId="2" applyNumberFormat="1" applyFont="1" applyFill="1" applyBorder="1" applyAlignment="1"/>
    <xf numFmtId="172" fontId="41" fillId="0" borderId="80" xfId="2" applyNumberFormat="1" applyFont="1" applyFill="1" applyBorder="1" applyAlignment="1"/>
    <xf numFmtId="172" fontId="41" fillId="19" borderId="77" xfId="2" applyNumberFormat="1" applyFont="1" applyFill="1" applyBorder="1" applyAlignment="1"/>
    <xf numFmtId="172" fontId="41" fillId="0" borderId="77" xfId="2" applyNumberFormat="1" applyFont="1" applyFill="1" applyBorder="1" applyAlignment="1"/>
    <xf numFmtId="172" fontId="37" fillId="0" borderId="77" xfId="2" applyNumberFormat="1" applyFont="1" applyFill="1" applyBorder="1" applyAlignment="1"/>
    <xf numFmtId="3" fontId="41" fillId="0" borderId="77" xfId="2" applyNumberFormat="1" applyFont="1" applyFill="1" applyBorder="1" applyAlignment="1"/>
    <xf numFmtId="172" fontId="41" fillId="0" borderId="81" xfId="2" applyNumberFormat="1" applyFont="1" applyFill="1" applyBorder="1" applyAlignment="1"/>
    <xf numFmtId="0" fontId="9" fillId="0" borderId="52" xfId="95" applyBorder="1"/>
    <xf numFmtId="0" fontId="73" fillId="25" borderId="0" xfId="0" applyFont="1" applyFill="1" applyBorder="1" applyAlignment="1">
      <alignment horizontal="center" vertical="center"/>
    </xf>
    <xf numFmtId="170" fontId="70" fillId="0" borderId="77" xfId="2" applyNumberFormat="1" applyFont="1" applyBorder="1" applyAlignment="1" applyProtection="1">
      <alignment vertical="center"/>
      <protection locked="0"/>
    </xf>
    <xf numFmtId="49" fontId="79" fillId="0" borderId="77" xfId="0" applyNumberFormat="1" applyFont="1" applyFill="1" applyBorder="1" applyAlignment="1">
      <alignment horizontal="center" vertical="center"/>
    </xf>
    <xf numFmtId="170" fontId="70" fillId="0" borderId="66" xfId="2" applyNumberFormat="1" applyFont="1" applyBorder="1" applyAlignment="1">
      <alignment vertical="center"/>
    </xf>
    <xf numFmtId="0" fontId="2" fillId="0" borderId="77" xfId="124" applyBorder="1"/>
    <xf numFmtId="178" fontId="2" fillId="0" borderId="77" xfId="124" applyNumberFormat="1" applyBorder="1"/>
    <xf numFmtId="41" fontId="2" fillId="0" borderId="77" xfId="124" applyNumberFormat="1" applyBorder="1"/>
    <xf numFmtId="0" fontId="2" fillId="0" borderId="77" xfId="124" applyBorder="1" applyAlignment="1">
      <alignment horizontal="center"/>
    </xf>
    <xf numFmtId="0" fontId="2" fillId="14" borderId="77" xfId="124" applyFill="1" applyBorder="1" applyAlignment="1">
      <alignment horizontal="center"/>
    </xf>
    <xf numFmtId="178" fontId="2" fillId="14" borderId="77" xfId="124" applyNumberFormat="1" applyFill="1" applyBorder="1"/>
    <xf numFmtId="0" fontId="2" fillId="14" borderId="77" xfId="124" applyFill="1" applyBorder="1"/>
    <xf numFmtId="41" fontId="2" fillId="14" borderId="77" xfId="124" applyNumberFormat="1" applyFill="1" applyBorder="1"/>
    <xf numFmtId="41" fontId="38" fillId="0" borderId="77" xfId="125" applyFont="1" applyBorder="1"/>
    <xf numFmtId="0" fontId="38" fillId="0" borderId="77" xfId="124" applyFont="1" applyBorder="1"/>
    <xf numFmtId="0" fontId="38" fillId="14" borderId="77" xfId="124" applyFont="1" applyFill="1" applyBorder="1"/>
    <xf numFmtId="41" fontId="38" fillId="14" borderId="77" xfId="125" applyFont="1" applyFill="1" applyBorder="1"/>
    <xf numFmtId="168" fontId="0" fillId="0" borderId="0" xfId="3" applyFont="1" applyAlignment="1"/>
    <xf numFmtId="173" fontId="96" fillId="4" borderId="50" xfId="0" applyNumberFormat="1" applyFont="1" applyFill="1" applyBorder="1" applyAlignment="1">
      <alignment horizontal="right"/>
    </xf>
    <xf numFmtId="1" fontId="96" fillId="4" borderId="50" xfId="2" applyNumberFormat="1" applyFont="1" applyFill="1" applyBorder="1" applyAlignment="1">
      <alignment horizontal="center"/>
    </xf>
    <xf numFmtId="172" fontId="96" fillId="4" borderId="50" xfId="0" applyNumberFormat="1" applyFont="1" applyFill="1" applyBorder="1" applyAlignment="1">
      <alignment horizontal="right"/>
    </xf>
    <xf numFmtId="172" fontId="96" fillId="0" borderId="57" xfId="2" applyNumberFormat="1" applyFont="1" applyBorder="1" applyAlignment="1">
      <alignment horizontal="right"/>
    </xf>
    <xf numFmtId="0" fontId="96" fillId="0" borderId="0" xfId="0" applyFont="1" applyAlignment="1">
      <alignment horizontal="right"/>
    </xf>
    <xf numFmtId="0" fontId="44" fillId="0" borderId="0" xfId="0" applyFont="1" applyAlignment="1">
      <alignment horizontal="right"/>
    </xf>
    <xf numFmtId="171" fontId="96" fillId="0" borderId="0" xfId="0" applyNumberFormat="1" applyFont="1" applyAlignment="1">
      <alignment horizontal="center"/>
    </xf>
    <xf numFmtId="0" fontId="96" fillId="0" borderId="0" xfId="82" applyFont="1" applyAlignment="1">
      <alignment horizontal="center" vertical="center"/>
    </xf>
    <xf numFmtId="0" fontId="96" fillId="0" borderId="0" xfId="82" applyFont="1" applyAlignment="1">
      <alignment horizontal="right" vertical="center"/>
    </xf>
    <xf numFmtId="0" fontId="96" fillId="0" borderId="0" xfId="82" applyFont="1" applyAlignment="1">
      <alignment horizontal="right"/>
    </xf>
    <xf numFmtId="0" fontId="96" fillId="0" borderId="0" xfId="82" applyFont="1" applyAlignment="1">
      <alignment horizontal="center"/>
    </xf>
    <xf numFmtId="171" fontId="96" fillId="0" borderId="0" xfId="82" applyNumberFormat="1" applyFont="1" applyAlignment="1">
      <alignment horizontal="right"/>
    </xf>
    <xf numFmtId="173" fontId="96" fillId="0" borderId="0" xfId="82" applyNumberFormat="1" applyFont="1" applyAlignment="1">
      <alignment horizontal="right"/>
    </xf>
    <xf numFmtId="171" fontId="96" fillId="0" borderId="0" xfId="82" applyNumberFormat="1" applyFont="1" applyAlignment="1">
      <alignment horizontal="center" vertical="center"/>
    </xf>
    <xf numFmtId="171" fontId="96" fillId="0" borderId="0" xfId="82" applyNumberFormat="1" applyFont="1" applyAlignment="1">
      <alignment horizontal="right" vertical="center"/>
    </xf>
    <xf numFmtId="9" fontId="96" fillId="0" borderId="0" xfId="82" applyNumberFormat="1" applyFont="1" applyAlignment="1">
      <alignment horizontal="right"/>
    </xf>
    <xf numFmtId="171" fontId="100" fillId="3" borderId="30" xfId="64" applyNumberFormat="1" applyFont="1" applyFill="1" applyBorder="1" applyAlignment="1">
      <alignment horizontal="center" vertical="center"/>
    </xf>
    <xf numFmtId="3" fontId="100" fillId="3" borderId="30" xfId="64" applyNumberFormat="1" applyFont="1" applyFill="1" applyBorder="1" applyAlignment="1">
      <alignment horizontal="center" vertical="center"/>
    </xf>
    <xf numFmtId="172" fontId="100" fillId="3" borderId="29" xfId="15" applyNumberFormat="1" applyFont="1" applyFill="1" applyBorder="1" applyAlignment="1">
      <alignment horizontal="right" vertical="center"/>
    </xf>
    <xf numFmtId="172" fontId="100" fillId="3" borderId="32" xfId="15" applyNumberFormat="1" applyFont="1" applyFill="1" applyBorder="1" applyAlignment="1">
      <alignment horizontal="center" vertical="center"/>
    </xf>
    <xf numFmtId="172" fontId="100" fillId="3" borderId="33" xfId="15" applyNumberFormat="1" applyFont="1" applyFill="1" applyBorder="1" applyAlignment="1">
      <alignment horizontal="right" vertical="center"/>
    </xf>
    <xf numFmtId="172" fontId="100" fillId="3" borderId="31" xfId="15" applyNumberFormat="1" applyFont="1" applyFill="1" applyBorder="1" applyAlignment="1">
      <alignment horizontal="right" vertical="center"/>
    </xf>
    <xf numFmtId="171" fontId="100" fillId="3" borderId="34" xfId="64" applyNumberFormat="1" applyFont="1" applyFill="1" applyBorder="1" applyAlignment="1">
      <alignment horizontal="right" vertical="center"/>
    </xf>
    <xf numFmtId="171" fontId="96" fillId="6" borderId="0" xfId="0" applyNumberFormat="1" applyFont="1" applyFill="1" applyAlignment="1" applyProtection="1">
      <alignment horizontal="center"/>
    </xf>
    <xf numFmtId="0" fontId="96" fillId="6" borderId="0" xfId="0" applyFont="1" applyFill="1" applyAlignment="1" applyProtection="1">
      <alignment horizontal="center" vertical="center"/>
    </xf>
    <xf numFmtId="0" fontId="96" fillId="6" borderId="0" xfId="0" applyFont="1" applyFill="1" applyAlignment="1" applyProtection="1">
      <alignment horizontal="right"/>
    </xf>
    <xf numFmtId="0" fontId="96" fillId="6" borderId="0" xfId="0" applyFont="1" applyFill="1" applyAlignment="1" applyProtection="1">
      <alignment horizontal="center"/>
    </xf>
    <xf numFmtId="171" fontId="96" fillId="6" borderId="0" xfId="0" applyNumberFormat="1" applyFont="1" applyFill="1" applyAlignment="1" applyProtection="1">
      <alignment horizontal="right"/>
    </xf>
    <xf numFmtId="173" fontId="96" fillId="6" borderId="0" xfId="0" applyNumberFormat="1" applyFont="1" applyFill="1" applyAlignment="1" applyProtection="1">
      <alignment horizontal="right"/>
    </xf>
    <xf numFmtId="0" fontId="100" fillId="2" borderId="35" xfId="0" applyFont="1" applyFill="1" applyBorder="1" applyAlignment="1" applyProtection="1">
      <alignment horizontal="right"/>
    </xf>
    <xf numFmtId="0" fontId="100" fillId="2" borderId="19" xfId="0" applyFont="1" applyFill="1" applyBorder="1" applyAlignment="1" applyProtection="1">
      <alignment horizontal="right"/>
    </xf>
    <xf numFmtId="0" fontId="96" fillId="0" borderId="0" xfId="0" applyFont="1" applyAlignment="1" applyProtection="1">
      <alignment horizontal="right"/>
    </xf>
    <xf numFmtId="172" fontId="96" fillId="0" borderId="1" xfId="0" applyNumberFormat="1" applyFont="1" applyBorder="1" applyAlignment="1">
      <alignment horizontal="right"/>
    </xf>
    <xf numFmtId="171" fontId="96" fillId="0" borderId="1" xfId="0" applyNumberFormat="1" applyFont="1" applyBorder="1" applyAlignment="1">
      <alignment horizontal="right"/>
    </xf>
    <xf numFmtId="172" fontId="96" fillId="0" borderId="1" xfId="2" applyNumberFormat="1" applyFont="1" applyBorder="1" applyAlignment="1">
      <alignment horizontal="right"/>
    </xf>
    <xf numFmtId="172" fontId="96" fillId="5" borderId="1" xfId="0" applyNumberFormat="1" applyFont="1" applyFill="1" applyBorder="1" applyAlignment="1">
      <alignment horizontal="right"/>
    </xf>
    <xf numFmtId="171" fontId="96" fillId="0" borderId="0" xfId="0" applyNumberFormat="1" applyFont="1" applyAlignment="1">
      <alignment horizontal="right"/>
    </xf>
    <xf numFmtId="172" fontId="96" fillId="0" borderId="4" xfId="2" applyNumberFormat="1" applyFont="1" applyBorder="1" applyAlignment="1">
      <alignment horizontal="right"/>
    </xf>
    <xf numFmtId="171" fontId="101" fillId="0" borderId="50" xfId="2" applyNumberFormat="1" applyFont="1" applyFill="1" applyBorder="1" applyAlignment="1">
      <alignment horizontal="center"/>
    </xf>
    <xf numFmtId="172" fontId="101" fillId="0" borderId="50" xfId="2" applyNumberFormat="1" applyFont="1" applyFill="1" applyBorder="1" applyAlignment="1">
      <alignment horizontal="center"/>
    </xf>
    <xf numFmtId="174" fontId="101" fillId="0" borderId="50" xfId="2" applyNumberFormat="1" applyFont="1" applyFill="1" applyBorder="1" applyAlignment="1">
      <alignment horizontal="right"/>
    </xf>
    <xf numFmtId="172" fontId="97" fillId="4" borderId="50" xfId="0" applyNumberFormat="1" applyFont="1" applyFill="1" applyBorder="1" applyAlignment="1">
      <alignment horizontal="right"/>
    </xf>
    <xf numFmtId="171" fontId="98" fillId="4" borderId="50" xfId="0" applyNumberFormat="1" applyFont="1" applyFill="1" applyBorder="1" applyAlignment="1">
      <alignment horizontal="right"/>
    </xf>
    <xf numFmtId="173" fontId="98" fillId="4" borderId="50" xfId="0" applyNumberFormat="1" applyFont="1" applyFill="1" applyBorder="1" applyAlignment="1">
      <alignment horizontal="right"/>
    </xf>
    <xf numFmtId="172" fontId="96" fillId="0" borderId="50" xfId="2" applyNumberFormat="1" applyFont="1" applyBorder="1" applyAlignment="1">
      <alignment horizontal="right"/>
    </xf>
    <xf numFmtId="172" fontId="96" fillId="5" borderId="50" xfId="0" applyNumberFormat="1" applyFont="1" applyFill="1" applyBorder="1" applyAlignment="1">
      <alignment horizontal="right"/>
    </xf>
    <xf numFmtId="171" fontId="96" fillId="4" borderId="50" xfId="0" applyNumberFormat="1" applyFont="1" applyFill="1" applyBorder="1" applyAlignment="1">
      <alignment horizontal="right"/>
    </xf>
    <xf numFmtId="171" fontId="96" fillId="0" borderId="50" xfId="0" applyNumberFormat="1" applyFont="1" applyBorder="1" applyAlignment="1">
      <alignment horizontal="right"/>
    </xf>
    <xf numFmtId="41" fontId="96" fillId="0" borderId="50" xfId="0" applyNumberFormat="1" applyFont="1" applyBorder="1" applyAlignment="1">
      <alignment horizontal="right"/>
    </xf>
    <xf numFmtId="172" fontId="96" fillId="4" borderId="76" xfId="0" applyNumberFormat="1" applyFont="1" applyFill="1" applyBorder="1" applyAlignment="1">
      <alignment horizontal="right"/>
    </xf>
    <xf numFmtId="171" fontId="96" fillId="4" borderId="76" xfId="0" applyNumberFormat="1" applyFont="1" applyFill="1" applyBorder="1" applyAlignment="1">
      <alignment horizontal="right"/>
    </xf>
    <xf numFmtId="171" fontId="96" fillId="0" borderId="76" xfId="0" applyNumberFormat="1" applyFont="1" applyBorder="1" applyAlignment="1">
      <alignment horizontal="right"/>
    </xf>
    <xf numFmtId="41" fontId="96" fillId="0" borderId="76" xfId="0" applyNumberFormat="1" applyFont="1" applyBorder="1" applyAlignment="1">
      <alignment horizontal="right"/>
    </xf>
    <xf numFmtId="1" fontId="96" fillId="4" borderId="77" xfId="2" applyNumberFormat="1" applyFont="1" applyFill="1" applyBorder="1" applyAlignment="1">
      <alignment horizontal="center"/>
    </xf>
    <xf numFmtId="172" fontId="96" fillId="4" borderId="77" xfId="0" applyNumberFormat="1" applyFont="1" applyFill="1" applyBorder="1" applyAlignment="1">
      <alignment horizontal="right"/>
    </xf>
    <xf numFmtId="171" fontId="96" fillId="4" borderId="77" xfId="0" applyNumberFormat="1" applyFont="1" applyFill="1" applyBorder="1" applyAlignment="1">
      <alignment horizontal="right"/>
    </xf>
    <xf numFmtId="171" fontId="96" fillId="0" borderId="77" xfId="0" applyNumberFormat="1" applyFont="1" applyBorder="1" applyAlignment="1">
      <alignment horizontal="right"/>
    </xf>
    <xf numFmtId="41" fontId="96" fillId="0" borderId="77" xfId="0" applyNumberFormat="1" applyFont="1" applyBorder="1" applyAlignment="1">
      <alignment horizontal="right"/>
    </xf>
    <xf numFmtId="172" fontId="96" fillId="0" borderId="1" xfId="0" applyNumberFormat="1" applyFont="1" applyBorder="1" applyAlignment="1">
      <alignment horizontal="center"/>
    </xf>
    <xf numFmtId="173" fontId="96" fillId="0" borderId="1" xfId="0" applyNumberFormat="1" applyFont="1" applyBorder="1" applyAlignment="1">
      <alignment horizontal="right"/>
    </xf>
    <xf numFmtId="0" fontId="96" fillId="0" borderId="0" xfId="0" applyFont="1" applyAlignment="1">
      <alignment horizontal="center"/>
    </xf>
    <xf numFmtId="173" fontId="96" fillId="0" borderId="0" xfId="0" applyNumberFormat="1" applyFont="1" applyAlignment="1">
      <alignment horizontal="right"/>
    </xf>
    <xf numFmtId="172" fontId="96" fillId="0" borderId="0" xfId="0" applyNumberFormat="1" applyFont="1" applyAlignment="1">
      <alignment horizontal="right"/>
    </xf>
    <xf numFmtId="172" fontId="96" fillId="0" borderId="0" xfId="0" applyNumberFormat="1" applyFont="1" applyAlignment="1">
      <alignment horizontal="center"/>
    </xf>
    <xf numFmtId="172" fontId="96" fillId="0" borderId="0" xfId="2" applyNumberFormat="1" applyFont="1" applyAlignment="1">
      <alignment horizontal="right"/>
    </xf>
    <xf numFmtId="172" fontId="0" fillId="0" borderId="77" xfId="0" applyNumberFormat="1" applyBorder="1" applyAlignment="1"/>
    <xf numFmtId="0" fontId="0" fillId="14" borderId="77" xfId="0" applyFill="1" applyBorder="1" applyAlignment="1"/>
    <xf numFmtId="171" fontId="0" fillId="14" borderId="77" xfId="0" applyNumberFormat="1" applyFill="1" applyBorder="1" applyAlignment="1"/>
    <xf numFmtId="172" fontId="0" fillId="14" borderId="77" xfId="115" applyNumberFormat="1" applyFont="1" applyFill="1" applyBorder="1"/>
    <xf numFmtId="172" fontId="0" fillId="14" borderId="77" xfId="0" applyNumberFormat="1" applyFill="1" applyBorder="1" applyAlignment="1"/>
    <xf numFmtId="0" fontId="102" fillId="0" borderId="0" xfId="0" applyFont="1" applyAlignment="1"/>
    <xf numFmtId="0" fontId="103" fillId="0" borderId="0" xfId="0" applyFont="1" applyAlignment="1"/>
    <xf numFmtId="17" fontId="10" fillId="0" borderId="0" xfId="0" applyNumberFormat="1" applyFont="1" applyAlignment="1">
      <alignment horizontal="left"/>
    </xf>
    <xf numFmtId="0" fontId="0" fillId="0" borderId="44" xfId="0" applyBorder="1" applyAlignment="1"/>
    <xf numFmtId="0" fontId="0" fillId="0" borderId="69" xfId="0" applyBorder="1" applyAlignment="1"/>
    <xf numFmtId="168" fontId="0" fillId="0" borderId="69" xfId="3" applyFont="1" applyBorder="1" applyAlignment="1"/>
    <xf numFmtId="0" fontId="0" fillId="0" borderId="34" xfId="0" applyBorder="1" applyAlignment="1"/>
    <xf numFmtId="0" fontId="0" fillId="0" borderId="27" xfId="0" applyBorder="1" applyAlignment="1"/>
    <xf numFmtId="0" fontId="0" fillId="0" borderId="16" xfId="0" applyBorder="1" applyAlignment="1"/>
    <xf numFmtId="0" fontId="0" fillId="14" borderId="27" xfId="0" applyFill="1" applyBorder="1" applyAlignment="1"/>
    <xf numFmtId="0" fontId="0" fillId="14" borderId="0" xfId="0" applyFill="1" applyBorder="1" applyAlignment="1"/>
    <xf numFmtId="168" fontId="0" fillId="14" borderId="0" xfId="3" applyFont="1" applyFill="1" applyBorder="1" applyAlignment="1"/>
    <xf numFmtId="0" fontId="0" fillId="29" borderId="27" xfId="0" applyFill="1" applyBorder="1" applyAlignment="1"/>
    <xf numFmtId="0" fontId="0" fillId="29" borderId="0" xfId="0" applyFill="1" applyBorder="1" applyAlignment="1"/>
    <xf numFmtId="168" fontId="0" fillId="29" borderId="0" xfId="3" applyFont="1" applyFill="1" applyBorder="1" applyAlignment="1"/>
    <xf numFmtId="0" fontId="10" fillId="39" borderId="27" xfId="0" applyFont="1" applyFill="1" applyBorder="1" applyAlignment="1"/>
    <xf numFmtId="0" fontId="10" fillId="39" borderId="0" xfId="0" applyFont="1" applyFill="1" applyBorder="1" applyAlignment="1"/>
    <xf numFmtId="168" fontId="10" fillId="39" borderId="0" xfId="3" applyFont="1" applyFill="1" applyBorder="1" applyAlignment="1"/>
    <xf numFmtId="0" fontId="0" fillId="0" borderId="29" xfId="0" applyBorder="1" applyAlignment="1"/>
    <xf numFmtId="0" fontId="0" fillId="0" borderId="28" xfId="0" applyBorder="1" applyAlignment="1"/>
    <xf numFmtId="168" fontId="0" fillId="0" borderId="28" xfId="3" applyFont="1" applyBorder="1" applyAlignment="1"/>
    <xf numFmtId="0" fontId="0" fillId="0" borderId="82" xfId="0" applyBorder="1" applyAlignment="1"/>
    <xf numFmtId="0" fontId="10" fillId="39" borderId="83" xfId="0" applyFont="1" applyFill="1" applyBorder="1" applyAlignment="1"/>
    <xf numFmtId="0" fontId="10" fillId="39" borderId="84" xfId="0" applyFont="1" applyFill="1" applyBorder="1" applyAlignment="1"/>
    <xf numFmtId="168" fontId="10" fillId="39" borderId="84" xfId="3" applyFont="1" applyFill="1" applyBorder="1" applyAlignment="1"/>
    <xf numFmtId="168" fontId="26" fillId="19" borderId="0" xfId="3" applyFont="1" applyFill="1" applyAlignment="1">
      <alignment vertical="center"/>
    </xf>
    <xf numFmtId="168" fontId="0" fillId="0" borderId="77" xfId="3" applyFont="1" applyBorder="1" applyAlignment="1"/>
    <xf numFmtId="179" fontId="4" fillId="0" borderId="77" xfId="95" applyNumberFormat="1" applyFont="1" applyBorder="1"/>
    <xf numFmtId="168" fontId="0" fillId="14" borderId="77" xfId="3" applyFont="1" applyFill="1" applyBorder="1" applyAlignment="1"/>
    <xf numFmtId="168" fontId="0" fillId="0" borderId="77" xfId="3" applyFont="1" applyFill="1" applyBorder="1" applyAlignment="1"/>
    <xf numFmtId="168" fontId="12" fillId="0" borderId="77" xfId="3" applyFont="1" applyBorder="1" applyAlignment="1"/>
    <xf numFmtId="0" fontId="0" fillId="0" borderId="0" xfId="0" applyFill="1" applyAlignment="1"/>
    <xf numFmtId="178" fontId="0" fillId="0" borderId="77" xfId="0" applyNumberFormat="1" applyFill="1" applyBorder="1" applyAlignment="1"/>
    <xf numFmtId="0" fontId="39" fillId="19" borderId="78" xfId="0" applyFont="1" applyFill="1" applyBorder="1" applyAlignment="1">
      <alignment horizontal="center"/>
    </xf>
    <xf numFmtId="0" fontId="41" fillId="0" borderId="77" xfId="0" applyFont="1" applyFill="1" applyBorder="1" applyAlignment="1"/>
    <xf numFmtId="3" fontId="39" fillId="0" borderId="77" xfId="79" applyNumberFormat="1" applyFont="1" applyFill="1" applyBorder="1" applyAlignment="1">
      <alignment vertical="center"/>
    </xf>
    <xf numFmtId="172" fontId="26" fillId="0" borderId="77" xfId="2" applyNumberFormat="1" applyFont="1" applyFill="1" applyBorder="1" applyAlignment="1">
      <alignment vertical="center"/>
    </xf>
    <xf numFmtId="168" fontId="26" fillId="0" borderId="77" xfId="3" applyFont="1" applyFill="1" applyBorder="1" applyAlignment="1"/>
    <xf numFmtId="0" fontId="83" fillId="0" borderId="77" xfId="124" applyFont="1" applyFill="1" applyBorder="1" applyAlignment="1">
      <alignment horizontal="center" vertical="center"/>
    </xf>
    <xf numFmtId="0" fontId="83" fillId="0" borderId="77" xfId="124" applyFont="1" applyFill="1" applyBorder="1" applyAlignment="1">
      <alignment horizontal="center" vertical="center" wrapText="1"/>
    </xf>
    <xf numFmtId="0" fontId="94" fillId="0" borderId="77" xfId="124" applyFont="1" applyFill="1" applyBorder="1" applyAlignment="1">
      <alignment horizontal="center" vertical="center"/>
    </xf>
    <xf numFmtId="168" fontId="12" fillId="0" borderId="77" xfId="3" applyFont="1" applyFill="1" applyBorder="1" applyAlignment="1"/>
    <xf numFmtId="172" fontId="0" fillId="0" borderId="77" xfId="0" applyNumberFormat="1" applyFill="1" applyBorder="1" applyAlignment="1"/>
    <xf numFmtId="171" fontId="0" fillId="20" borderId="77" xfId="0" applyNumberFormat="1" applyFill="1" applyBorder="1" applyAlignment="1"/>
    <xf numFmtId="43" fontId="0" fillId="20" borderId="52" xfId="2" applyFont="1" applyFill="1" applyBorder="1" applyAlignment="1">
      <alignment horizontal="center" vertical="center" wrapText="1"/>
    </xf>
    <xf numFmtId="43" fontId="0" fillId="20" borderId="55" xfId="2" applyFont="1" applyFill="1" applyBorder="1" applyAlignment="1">
      <alignment horizontal="center" vertical="center" wrapText="1"/>
    </xf>
    <xf numFmtId="43" fontId="0" fillId="20" borderId="53" xfId="2" applyFont="1" applyFill="1" applyBorder="1" applyAlignment="1">
      <alignment horizontal="center" vertical="center" wrapText="1"/>
    </xf>
    <xf numFmtId="43" fontId="0" fillId="20" borderId="52" xfId="2" applyFont="1" applyFill="1" applyBorder="1" applyAlignment="1">
      <alignment vertical="center" wrapText="1"/>
    </xf>
    <xf numFmtId="43" fontId="0" fillId="20" borderId="55" xfId="2" applyFont="1" applyFill="1" applyBorder="1" applyAlignment="1">
      <alignment vertical="center" wrapText="1"/>
    </xf>
    <xf numFmtId="43" fontId="0" fillId="20" borderId="53" xfId="2" applyFont="1" applyFill="1" applyBorder="1" applyAlignment="1">
      <alignment vertical="center" wrapText="1"/>
    </xf>
    <xf numFmtId="168" fontId="26" fillId="0" borderId="77" xfId="3" applyFont="1" applyFill="1" applyBorder="1" applyAlignment="1">
      <alignment horizontal="center"/>
    </xf>
    <xf numFmtId="14" fontId="0" fillId="14" borderId="77" xfId="0" applyNumberFormat="1" applyFill="1" applyBorder="1" applyAlignment="1"/>
    <xf numFmtId="172" fontId="37" fillId="19" borderId="77" xfId="2" applyNumberFormat="1" applyFont="1" applyFill="1" applyBorder="1" applyAlignment="1"/>
    <xf numFmtId="0" fontId="39" fillId="19" borderId="77" xfId="0" applyFont="1" applyFill="1" applyBorder="1" applyAlignment="1">
      <alignment horizontal="center"/>
    </xf>
    <xf numFmtId="0" fontId="41" fillId="0" borderId="81" xfId="0" applyFont="1" applyFill="1" applyBorder="1" applyAlignment="1"/>
    <xf numFmtId="178" fontId="0" fillId="14" borderId="77" xfId="0" applyNumberFormat="1" applyFill="1" applyBorder="1" applyAlignment="1"/>
    <xf numFmtId="170" fontId="62" fillId="0" borderId="0" xfId="96" applyNumberFormat="1" applyFont="1" applyFill="1" applyBorder="1" applyAlignment="1">
      <alignment vertical="center"/>
    </xf>
    <xf numFmtId="170" fontId="62" fillId="0" borderId="79" xfId="96" applyNumberFormat="1" applyFont="1" applyFill="1" applyBorder="1" applyAlignment="1">
      <alignment vertical="center"/>
    </xf>
    <xf numFmtId="3" fontId="37" fillId="0" borderId="74" xfId="79" applyNumberFormat="1" applyFont="1" applyFill="1" applyBorder="1" applyAlignment="1">
      <alignment vertical="center"/>
    </xf>
    <xf numFmtId="41" fontId="41" fillId="0" borderId="1" xfId="2" applyNumberFormat="1" applyFont="1" applyFill="1" applyBorder="1" applyAlignment="1"/>
    <xf numFmtId="3" fontId="39" fillId="0" borderId="55" xfId="79" applyNumberFormat="1" applyFont="1" applyFill="1" applyBorder="1" applyAlignment="1">
      <alignment vertical="center"/>
    </xf>
    <xf numFmtId="172" fontId="52" fillId="19" borderId="77" xfId="2" applyNumberFormat="1" applyFont="1" applyFill="1" applyBorder="1" applyAlignment="1">
      <alignment horizontal="center"/>
    </xf>
    <xf numFmtId="3" fontId="37" fillId="0" borderId="77" xfId="79" applyNumberFormat="1" applyFont="1" applyFill="1" applyBorder="1" applyAlignment="1">
      <alignment vertical="center"/>
    </xf>
    <xf numFmtId="41" fontId="37" fillId="0" borderId="77" xfId="79" applyNumberFormat="1" applyFont="1" applyFill="1" applyBorder="1" applyAlignment="1">
      <alignment vertical="center"/>
    </xf>
    <xf numFmtId="3" fontId="37" fillId="0" borderId="77" xfId="0" applyNumberFormat="1" applyFont="1" applyFill="1" applyBorder="1" applyAlignment="1"/>
    <xf numFmtId="0" fontId="37" fillId="0" borderId="77" xfId="79" applyFont="1" applyFill="1" applyBorder="1" applyAlignment="1">
      <alignment vertical="center"/>
    </xf>
    <xf numFmtId="0" fontId="37" fillId="0" borderId="81" xfId="79" applyFont="1" applyFill="1" applyBorder="1" applyAlignment="1">
      <alignment vertical="center"/>
    </xf>
    <xf numFmtId="41" fontId="37" fillId="0" borderId="77" xfId="0" applyNumberFormat="1" applyFont="1" applyFill="1" applyBorder="1" applyAlignment="1"/>
    <xf numFmtId="0" fontId="96" fillId="0" borderId="0" xfId="82" applyNumberFormat="1" applyFont="1" applyAlignment="1">
      <alignment horizontal="right"/>
    </xf>
    <xf numFmtId="14" fontId="4" fillId="0" borderId="77" xfId="95" applyNumberFormat="1" applyFont="1" applyBorder="1"/>
    <xf numFmtId="0" fontId="4" fillId="0" borderId="54" xfId="95" applyFont="1" applyBorder="1"/>
    <xf numFmtId="41" fontId="4" fillId="0" borderId="54" xfId="95" applyNumberFormat="1" applyFont="1" applyBorder="1"/>
    <xf numFmtId="0" fontId="0" fillId="18" borderId="78" xfId="0" applyFill="1" applyBorder="1" applyAlignment="1">
      <alignment horizontal="center"/>
    </xf>
    <xf numFmtId="43" fontId="0" fillId="0" borderId="77" xfId="2" applyFont="1" applyFill="1" applyBorder="1" applyAlignment="1"/>
    <xf numFmtId="14" fontId="0" fillId="0" borderId="77" xfId="2" applyNumberFormat="1" applyFont="1" applyBorder="1" applyAlignment="1"/>
    <xf numFmtId="14" fontId="0" fillId="0" borderId="77" xfId="0" applyNumberFormat="1" applyBorder="1" applyAlignment="1"/>
    <xf numFmtId="41" fontId="0" fillId="0" borderId="77" xfId="3" applyNumberFormat="1" applyFont="1" applyBorder="1" applyAlignment="1"/>
    <xf numFmtId="180" fontId="0" fillId="0" borderId="77" xfId="0" applyNumberFormat="1" applyBorder="1" applyAlignment="1"/>
    <xf numFmtId="17" fontId="0" fillId="0" borderId="77" xfId="0" applyNumberFormat="1" applyBorder="1" applyAlignment="1"/>
    <xf numFmtId="41" fontId="0" fillId="0" borderId="77" xfId="0" applyNumberFormat="1" applyBorder="1" applyAlignment="1"/>
    <xf numFmtId="0" fontId="0" fillId="0" borderId="77" xfId="0" quotePrefix="1" applyBorder="1" applyAlignment="1"/>
    <xf numFmtId="168" fontId="26" fillId="0" borderId="77" xfId="3" applyFont="1" applyBorder="1" applyAlignment="1">
      <alignment vertical="center"/>
    </xf>
    <xf numFmtId="168" fontId="26" fillId="19" borderId="77" xfId="3" applyFont="1" applyFill="1" applyBorder="1" applyAlignment="1">
      <alignment vertical="center"/>
    </xf>
    <xf numFmtId="168" fontId="26" fillId="0" borderId="77" xfId="3" applyFont="1" applyFill="1" applyBorder="1" applyAlignment="1">
      <alignment vertical="center"/>
    </xf>
    <xf numFmtId="168" fontId="26" fillId="0" borderId="0" xfId="3" applyFont="1" applyFill="1" applyBorder="1" applyAlignment="1">
      <alignment vertical="center"/>
    </xf>
    <xf numFmtId="168" fontId="16" fillId="0" borderId="77" xfId="3" applyFont="1" applyFill="1" applyBorder="1" applyAlignment="1">
      <alignment vertical="center"/>
    </xf>
    <xf numFmtId="0" fontId="83" fillId="14" borderId="78" xfId="124" applyFont="1" applyFill="1" applyBorder="1" applyAlignment="1">
      <alignment horizontal="center" vertical="center"/>
    </xf>
    <xf numFmtId="0" fontId="83" fillId="14" borderId="78" xfId="124" applyFont="1" applyFill="1" applyBorder="1" applyAlignment="1">
      <alignment horizontal="center" vertical="center" wrapText="1"/>
    </xf>
    <xf numFmtId="0" fontId="0" fillId="0" borderId="52" xfId="0" applyBorder="1" applyAlignment="1"/>
    <xf numFmtId="0" fontId="0" fillId="14" borderId="52" xfId="0" applyFill="1" applyBorder="1" applyAlignment="1"/>
    <xf numFmtId="0" fontId="0" fillId="0" borderId="52" xfId="0" applyFill="1" applyBorder="1" applyAlignment="1"/>
    <xf numFmtId="168" fontId="0" fillId="0" borderId="52" xfId="3" applyFont="1" applyFill="1" applyBorder="1" applyAlignment="1"/>
    <xf numFmtId="168" fontId="0" fillId="0" borderId="52" xfId="3" applyFont="1" applyBorder="1" applyAlignment="1"/>
    <xf numFmtId="168" fontId="0" fillId="14" borderId="52" xfId="3" applyFont="1" applyFill="1" applyBorder="1" applyAlignment="1"/>
    <xf numFmtId="0" fontId="0" fillId="20" borderId="77" xfId="0" applyFill="1" applyBorder="1" applyAlignment="1"/>
    <xf numFmtId="168" fontId="0" fillId="0" borderId="77" xfId="0" applyNumberFormat="1" applyBorder="1" applyAlignment="1"/>
    <xf numFmtId="168" fontId="0" fillId="14" borderId="77" xfId="0" applyNumberFormat="1" applyFill="1" applyBorder="1" applyAlignment="1"/>
    <xf numFmtId="173" fontId="20" fillId="40" borderId="77" xfId="0" applyNumberFormat="1" applyFont="1" applyFill="1" applyBorder="1" applyAlignment="1">
      <alignment horizontal="right"/>
    </xf>
    <xf numFmtId="172" fontId="13" fillId="40" borderId="77" xfId="0" applyNumberFormat="1" applyFont="1" applyFill="1" applyBorder="1" applyAlignment="1">
      <alignment horizontal="right"/>
    </xf>
    <xf numFmtId="171" fontId="23" fillId="40" borderId="77" xfId="0" applyNumberFormat="1" applyFont="1" applyFill="1" applyBorder="1" applyAlignment="1">
      <alignment horizontal="right"/>
    </xf>
    <xf numFmtId="173" fontId="23" fillId="40" borderId="77" xfId="0" applyNumberFormat="1" applyFont="1" applyFill="1" applyBorder="1" applyAlignment="1">
      <alignment horizontal="right"/>
    </xf>
    <xf numFmtId="172" fontId="20" fillId="40" borderId="77" xfId="0" applyNumberFormat="1" applyFont="1" applyFill="1" applyBorder="1" applyAlignment="1">
      <alignment horizontal="right"/>
    </xf>
    <xf numFmtId="171" fontId="20" fillId="40" borderId="77" xfId="0" applyNumberFormat="1" applyFont="1" applyFill="1" applyBorder="1" applyAlignment="1">
      <alignment horizontal="right"/>
    </xf>
    <xf numFmtId="41" fontId="20" fillId="40" borderId="77" xfId="0" applyNumberFormat="1" applyFont="1" applyFill="1" applyBorder="1" applyAlignment="1">
      <alignment horizontal="right"/>
    </xf>
    <xf numFmtId="172" fontId="20" fillId="40" borderId="57" xfId="2" applyNumberFormat="1" applyFont="1" applyFill="1" applyBorder="1" applyAlignment="1">
      <alignment horizontal="right"/>
    </xf>
    <xf numFmtId="0" fontId="20" fillId="40" borderId="0" xfId="0" applyFont="1" applyFill="1" applyAlignment="1">
      <alignment horizontal="right"/>
    </xf>
    <xf numFmtId="0" fontId="10" fillId="40" borderId="0" xfId="0" applyFont="1" applyFill="1" applyAlignment="1">
      <alignment horizontal="right"/>
    </xf>
    <xf numFmtId="171" fontId="38" fillId="0" borderId="77" xfId="0" applyNumberFormat="1" applyFont="1" applyFill="1" applyBorder="1" applyAlignment="1">
      <alignment horizontal="center"/>
    </xf>
    <xf numFmtId="172" fontId="38" fillId="0" borderId="77" xfId="115" applyNumberFormat="1" applyFont="1" applyFill="1" applyBorder="1" applyAlignment="1">
      <alignment horizontal="center"/>
    </xf>
    <xf numFmtId="174" fontId="38" fillId="0" borderId="77" xfId="0" applyNumberFormat="1" applyFont="1" applyFill="1" applyBorder="1" applyAlignment="1">
      <alignment horizontal="center"/>
    </xf>
    <xf numFmtId="171" fontId="20" fillId="0" borderId="77" xfId="0" applyNumberFormat="1" applyFont="1" applyBorder="1" applyAlignment="1">
      <alignment horizontal="right"/>
    </xf>
    <xf numFmtId="41" fontId="20" fillId="0" borderId="77" xfId="0" applyNumberFormat="1" applyFont="1" applyBorder="1" applyAlignment="1">
      <alignment horizontal="right"/>
    </xf>
    <xf numFmtId="172" fontId="20" fillId="0" borderId="57" xfId="2" applyNumberFormat="1" applyFont="1" applyBorder="1" applyAlignment="1">
      <alignment horizontal="right"/>
    </xf>
    <xf numFmtId="179" fontId="20" fillId="4" borderId="77" xfId="0" applyNumberFormat="1" applyFont="1" applyFill="1" applyBorder="1" applyAlignment="1">
      <alignment horizontal="right"/>
    </xf>
    <xf numFmtId="0" fontId="78" fillId="0" borderId="65" xfId="0" applyFont="1" applyFill="1" applyBorder="1" applyAlignment="1">
      <alignment vertical="center"/>
    </xf>
    <xf numFmtId="0" fontId="78" fillId="0" borderId="66" xfId="0" applyFont="1" applyFill="1" applyBorder="1" applyAlignment="1">
      <alignment vertical="center"/>
    </xf>
    <xf numFmtId="170" fontId="70" fillId="0" borderId="66" xfId="2" applyNumberFormat="1" applyFont="1" applyFill="1" applyBorder="1" applyAlignment="1" applyProtection="1">
      <alignment vertical="center"/>
      <protection locked="0"/>
    </xf>
    <xf numFmtId="173" fontId="96" fillId="40" borderId="77" xfId="0" applyNumberFormat="1" applyFont="1" applyFill="1" applyBorder="1" applyAlignment="1">
      <alignment horizontal="right"/>
    </xf>
    <xf numFmtId="1" fontId="96" fillId="40" borderId="77" xfId="2" applyNumberFormat="1" applyFont="1" applyFill="1" applyBorder="1" applyAlignment="1">
      <alignment horizontal="center"/>
    </xf>
    <xf numFmtId="172" fontId="97" fillId="40" borderId="77" xfId="0" applyNumberFormat="1" applyFont="1" applyFill="1" applyBorder="1" applyAlignment="1">
      <alignment horizontal="right"/>
    </xf>
    <xf numFmtId="171" fontId="98" fillId="40" borderId="77" xfId="0" applyNumberFormat="1" applyFont="1" applyFill="1" applyBorder="1" applyAlignment="1">
      <alignment horizontal="right"/>
    </xf>
    <xf numFmtId="173" fontId="98" fillId="40" borderId="77" xfId="0" applyNumberFormat="1" applyFont="1" applyFill="1" applyBorder="1" applyAlignment="1">
      <alignment horizontal="right"/>
    </xf>
    <xf numFmtId="172" fontId="96" fillId="40" borderId="77" xfId="0" applyNumberFormat="1" applyFont="1" applyFill="1" applyBorder="1" applyAlignment="1">
      <alignment horizontal="right"/>
    </xf>
    <xf numFmtId="171" fontId="96" fillId="40" borderId="77" xfId="0" applyNumberFormat="1" applyFont="1" applyFill="1" applyBorder="1" applyAlignment="1">
      <alignment horizontal="right"/>
    </xf>
    <xf numFmtId="172" fontId="96" fillId="40" borderId="57" xfId="2" applyNumberFormat="1" applyFont="1" applyFill="1" applyBorder="1" applyAlignment="1">
      <alignment horizontal="right"/>
    </xf>
    <xf numFmtId="0" fontId="96" fillId="40" borderId="0" xfId="0" applyFont="1" applyFill="1" applyAlignment="1">
      <alignment horizontal="right"/>
    </xf>
    <xf numFmtId="0" fontId="44" fillId="40" borderId="0" xfId="0" applyFont="1" applyFill="1" applyAlignment="1">
      <alignment horizontal="right"/>
    </xf>
    <xf numFmtId="168" fontId="0" fillId="0" borderId="0" xfId="0" applyNumberFormat="1" applyAlignment="1"/>
    <xf numFmtId="178" fontId="20" fillId="40" borderId="77" xfId="0" applyNumberFormat="1" applyFont="1" applyFill="1" applyBorder="1" applyAlignment="1">
      <alignment horizontal="right"/>
    </xf>
    <xf numFmtId="174" fontId="99" fillId="40" borderId="77" xfId="0" applyNumberFormat="1" applyFont="1" applyFill="1" applyBorder="1" applyAlignment="1">
      <alignment horizontal="center"/>
    </xf>
    <xf numFmtId="0" fontId="4" fillId="0" borderId="77" xfId="95" applyFont="1" applyFill="1" applyBorder="1"/>
    <xf numFmtId="174" fontId="96" fillId="0" borderId="0" xfId="0" applyNumberFormat="1" applyFont="1" applyAlignment="1">
      <alignment horizontal="right" vertical="center"/>
    </xf>
    <xf numFmtId="0" fontId="0" fillId="14" borderId="78" xfId="0" applyFill="1" applyBorder="1" applyAlignment="1"/>
    <xf numFmtId="178" fontId="0" fillId="14" borderId="78" xfId="0" applyNumberFormat="1" applyFill="1" applyBorder="1" applyAlignment="1"/>
    <xf numFmtId="168" fontId="0" fillId="14" borderId="78" xfId="3" applyFont="1" applyFill="1" applyBorder="1" applyAlignment="1"/>
    <xf numFmtId="168" fontId="0" fillId="0" borderId="77" xfId="3" applyFont="1" applyFill="1" applyBorder="1" applyAlignment="1">
      <alignment horizontal="left"/>
    </xf>
    <xf numFmtId="178" fontId="0" fillId="0" borderId="77" xfId="3" applyNumberFormat="1" applyFont="1" applyFill="1" applyBorder="1" applyAlignment="1">
      <alignment horizontal="left"/>
    </xf>
    <xf numFmtId="43" fontId="0" fillId="20" borderId="77" xfId="2" applyFont="1" applyFill="1" applyBorder="1" applyAlignment="1"/>
    <xf numFmtId="178" fontId="0" fillId="20" borderId="77" xfId="0" applyNumberFormat="1" applyFill="1" applyBorder="1" applyAlignment="1"/>
    <xf numFmtId="168" fontId="0" fillId="20" borderId="77" xfId="3" applyFont="1" applyFill="1" applyBorder="1" applyAlignment="1"/>
    <xf numFmtId="168" fontId="0" fillId="0" borderId="16" xfId="0" applyNumberFormat="1" applyBorder="1" applyAlignment="1"/>
    <xf numFmtId="168" fontId="0" fillId="0" borderId="16" xfId="3" applyFont="1" applyBorder="1" applyAlignment="1"/>
    <xf numFmtId="3" fontId="72" fillId="0" borderId="0" xfId="0" applyNumberFormat="1" applyFont="1" applyAlignment="1">
      <alignment vertical="center"/>
    </xf>
    <xf numFmtId="14" fontId="92" fillId="0" borderId="0" xfId="0" applyNumberFormat="1" applyFont="1" applyAlignment="1"/>
    <xf numFmtId="14" fontId="0" fillId="20" borderId="77" xfId="0" applyNumberFormat="1" applyFill="1" applyBorder="1" applyAlignment="1"/>
    <xf numFmtId="172" fontId="20" fillId="40" borderId="77" xfId="2" applyNumberFormat="1" applyFont="1" applyFill="1" applyBorder="1" applyAlignment="1">
      <alignment horizontal="right"/>
    </xf>
    <xf numFmtId="179" fontId="20" fillId="40" borderId="77" xfId="0" applyNumberFormat="1" applyFont="1" applyFill="1" applyBorder="1" applyAlignment="1">
      <alignment horizontal="right"/>
    </xf>
    <xf numFmtId="43" fontId="0" fillId="14" borderId="77" xfId="2" applyFont="1" applyFill="1" applyBorder="1" applyAlignment="1"/>
    <xf numFmtId="172" fontId="20" fillId="41" borderId="77" xfId="0" applyNumberFormat="1" applyFont="1" applyFill="1" applyBorder="1" applyAlignment="1">
      <alignment horizontal="right"/>
    </xf>
    <xf numFmtId="171" fontId="20" fillId="41" borderId="77" xfId="0" applyNumberFormat="1" applyFont="1" applyFill="1" applyBorder="1" applyAlignment="1">
      <alignment horizontal="right"/>
    </xf>
    <xf numFmtId="41" fontId="20" fillId="41" borderId="77" xfId="0" applyNumberFormat="1" applyFont="1" applyFill="1" applyBorder="1" applyAlignment="1">
      <alignment horizontal="right"/>
    </xf>
    <xf numFmtId="172" fontId="20" fillId="41" borderId="57" xfId="2" applyNumberFormat="1" applyFont="1" applyFill="1" applyBorder="1" applyAlignment="1">
      <alignment horizontal="right"/>
    </xf>
    <xf numFmtId="0" fontId="20" fillId="41" borderId="0" xfId="0" applyFont="1" applyFill="1" applyAlignment="1">
      <alignment horizontal="right"/>
    </xf>
    <xf numFmtId="0" fontId="10" fillId="41" borderId="0" xfId="0" applyFont="1" applyFill="1" applyAlignment="1">
      <alignment horizontal="right"/>
    </xf>
    <xf numFmtId="168" fontId="72" fillId="0" borderId="0" xfId="3" applyFont="1" applyAlignment="1">
      <alignment vertical="center"/>
    </xf>
    <xf numFmtId="170" fontId="70" fillId="9" borderId="85" xfId="2" applyNumberFormat="1" applyFont="1" applyFill="1" applyBorder="1" applyAlignment="1">
      <alignment vertical="center"/>
    </xf>
    <xf numFmtId="43" fontId="41" fillId="0" borderId="74" xfId="2" applyFont="1" applyFill="1" applyBorder="1" applyAlignment="1"/>
    <xf numFmtId="172" fontId="39" fillId="0" borderId="74" xfId="2" applyNumberFormat="1" applyFont="1" applyFill="1" applyBorder="1" applyAlignment="1">
      <alignment vertical="center"/>
    </xf>
    <xf numFmtId="170" fontId="88" fillId="0" borderId="77" xfId="96" applyNumberFormat="1" applyFont="1" applyFill="1" applyBorder="1" applyAlignment="1">
      <alignment vertical="center"/>
    </xf>
    <xf numFmtId="171" fontId="83" fillId="40" borderId="77" xfId="0" applyNumberFormat="1" applyFont="1" applyFill="1" applyBorder="1" applyAlignment="1">
      <alignment horizontal="center"/>
    </xf>
    <xf numFmtId="172" fontId="83" fillId="40" borderId="77" xfId="115" applyNumberFormat="1" applyFont="1" applyFill="1" applyBorder="1" applyAlignment="1">
      <alignment horizontal="center"/>
    </xf>
    <xf numFmtId="174" fontId="83" fillId="40" borderId="77" xfId="0" applyNumberFormat="1" applyFont="1" applyFill="1" applyBorder="1" applyAlignment="1">
      <alignment horizontal="center"/>
    </xf>
    <xf numFmtId="172" fontId="20" fillId="40" borderId="54" xfId="2" applyNumberFormat="1" applyFont="1" applyFill="1" applyBorder="1" applyAlignment="1">
      <alignment horizontal="right"/>
    </xf>
    <xf numFmtId="179" fontId="96" fillId="40" borderId="77" xfId="0" applyNumberFormat="1" applyFont="1" applyFill="1" applyBorder="1" applyAlignment="1">
      <alignment horizontal="right"/>
    </xf>
    <xf numFmtId="172" fontId="96" fillId="40" borderId="54" xfId="0" applyNumberFormat="1" applyFont="1" applyFill="1" applyBorder="1" applyAlignment="1">
      <alignment horizontal="right"/>
    </xf>
    <xf numFmtId="171" fontId="96" fillId="40" borderId="54" xfId="0" applyNumberFormat="1" applyFont="1" applyFill="1" applyBorder="1" applyAlignment="1">
      <alignment horizontal="right"/>
    </xf>
    <xf numFmtId="41" fontId="96" fillId="40" borderId="54" xfId="0" applyNumberFormat="1" applyFont="1" applyFill="1" applyBorder="1" applyAlignment="1">
      <alignment horizontal="right"/>
    </xf>
    <xf numFmtId="172" fontId="96" fillId="14" borderId="77" xfId="0" applyNumberFormat="1" applyFont="1" applyFill="1" applyBorder="1" applyAlignment="1">
      <alignment horizontal="right"/>
    </xf>
    <xf numFmtId="171" fontId="96" fillId="14" borderId="77" xfId="0" applyNumberFormat="1" applyFont="1" applyFill="1" applyBorder="1" applyAlignment="1">
      <alignment horizontal="right"/>
    </xf>
    <xf numFmtId="41" fontId="96" fillId="14" borderId="77" xfId="0" applyNumberFormat="1" applyFont="1" applyFill="1" applyBorder="1" applyAlignment="1">
      <alignment horizontal="right"/>
    </xf>
    <xf numFmtId="172" fontId="96" fillId="14" borderId="57" xfId="2" applyNumberFormat="1" applyFont="1" applyFill="1" applyBorder="1" applyAlignment="1">
      <alignment horizontal="right"/>
    </xf>
    <xf numFmtId="0" fontId="96" fillId="14" borderId="0" xfId="0" applyFont="1" applyFill="1" applyAlignment="1">
      <alignment horizontal="right"/>
    </xf>
    <xf numFmtId="0" fontId="44" fillId="14" borderId="0" xfId="0" applyFont="1" applyFill="1" applyAlignment="1">
      <alignment horizontal="right"/>
    </xf>
    <xf numFmtId="172" fontId="20" fillId="0" borderId="77" xfId="0" applyNumberFormat="1" applyFont="1" applyFill="1" applyBorder="1" applyAlignment="1">
      <alignment horizontal="right"/>
    </xf>
    <xf numFmtId="171" fontId="20" fillId="0" borderId="77" xfId="0" applyNumberFormat="1" applyFont="1" applyFill="1" applyBorder="1" applyAlignment="1">
      <alignment horizontal="right"/>
    </xf>
    <xf numFmtId="41" fontId="20" fillId="0" borderId="77" xfId="0" applyNumberFormat="1" applyFont="1" applyFill="1" applyBorder="1" applyAlignment="1">
      <alignment horizontal="right"/>
    </xf>
    <xf numFmtId="172" fontId="20" fillId="0" borderId="57" xfId="2" applyNumberFormat="1" applyFont="1" applyFill="1" applyBorder="1" applyAlignment="1">
      <alignment horizontal="right"/>
    </xf>
    <xf numFmtId="0" fontId="20" fillId="0" borderId="0" xfId="0" applyFont="1" applyFill="1" applyAlignment="1">
      <alignment horizontal="right"/>
    </xf>
    <xf numFmtId="0" fontId="10" fillId="0" borderId="0" xfId="0" applyFont="1" applyFill="1" applyAlignment="1">
      <alignment horizontal="right"/>
    </xf>
    <xf numFmtId="171" fontId="99" fillId="40" borderId="77" xfId="0" applyNumberFormat="1" applyFont="1" applyFill="1" applyBorder="1" applyAlignment="1">
      <alignment horizontal="center"/>
    </xf>
    <xf numFmtId="172" fontId="99" fillId="40" borderId="77" xfId="2" applyNumberFormat="1" applyFont="1" applyFill="1" applyBorder="1" applyAlignment="1">
      <alignment horizontal="center"/>
    </xf>
    <xf numFmtId="172" fontId="20" fillId="0" borderId="76" xfId="0" applyNumberFormat="1" applyFont="1" applyFill="1" applyBorder="1" applyAlignment="1">
      <alignment horizontal="right"/>
    </xf>
    <xf numFmtId="14" fontId="4" fillId="0" borderId="54" xfId="95" applyNumberFormat="1" applyFont="1" applyBorder="1"/>
    <xf numFmtId="168" fontId="92" fillId="0" borderId="0" xfId="3" applyFont="1" applyAlignment="1"/>
    <xf numFmtId="0" fontId="0" fillId="16" borderId="77" xfId="0" applyFont="1" applyFill="1" applyBorder="1" applyAlignment="1"/>
    <xf numFmtId="17" fontId="0" fillId="0" borderId="77" xfId="0" applyNumberFormat="1" applyFont="1" applyBorder="1" applyAlignment="1"/>
    <xf numFmtId="0" fontId="0" fillId="0" borderId="77" xfId="0" applyFont="1" applyBorder="1" applyAlignment="1"/>
    <xf numFmtId="41" fontId="24" fillId="0" borderId="77" xfId="3" applyNumberFormat="1" applyFont="1" applyBorder="1" applyAlignment="1"/>
    <xf numFmtId="41" fontId="0" fillId="0" borderId="77" xfId="0" applyNumberFormat="1" applyFont="1" applyBorder="1" applyAlignment="1"/>
    <xf numFmtId="172" fontId="99" fillId="40" borderId="77" xfId="115" applyNumberFormat="1" applyFont="1" applyFill="1" applyBorder="1" applyAlignment="1">
      <alignment horizontal="center"/>
    </xf>
    <xf numFmtId="170" fontId="70" fillId="0" borderId="0" xfId="2" applyNumberFormat="1" applyFont="1" applyFill="1" applyAlignment="1">
      <alignment vertical="center"/>
    </xf>
    <xf numFmtId="171" fontId="0" fillId="17" borderId="77" xfId="0" applyNumberFormat="1" applyFill="1" applyBorder="1" applyAlignment="1"/>
    <xf numFmtId="43" fontId="0" fillId="17" borderId="77" xfId="2" applyFont="1" applyFill="1" applyBorder="1" applyAlignment="1"/>
    <xf numFmtId="168" fontId="0" fillId="17" borderId="77" xfId="3" applyFont="1" applyFill="1" applyBorder="1" applyAlignment="1">
      <alignment horizontal="left"/>
    </xf>
    <xf numFmtId="178" fontId="0" fillId="17" borderId="77" xfId="3" applyNumberFormat="1" applyFont="1" applyFill="1" applyBorder="1" applyAlignment="1">
      <alignment horizontal="left"/>
    </xf>
    <xf numFmtId="178" fontId="0" fillId="17" borderId="77" xfId="0" applyNumberFormat="1" applyFill="1" applyBorder="1" applyAlignment="1"/>
    <xf numFmtId="168" fontId="0" fillId="17" borderId="77" xfId="3" applyFont="1" applyFill="1" applyBorder="1" applyAlignment="1"/>
    <xf numFmtId="171" fontId="0" fillId="0" borderId="77" xfId="0" applyNumberFormat="1" applyFill="1" applyBorder="1" applyAlignment="1"/>
    <xf numFmtId="43" fontId="0" fillId="0" borderId="77" xfId="2" applyFont="1" applyFill="1" applyBorder="1" applyAlignment="1">
      <alignment horizontal="center" vertical="center" wrapText="1"/>
    </xf>
    <xf numFmtId="170" fontId="70" fillId="0" borderId="53" xfId="2" applyNumberFormat="1" applyFont="1" applyBorder="1" applyAlignment="1">
      <alignment vertical="center"/>
    </xf>
    <xf numFmtId="170" fontId="70" fillId="0" borderId="78" xfId="2" applyNumberFormat="1" applyFont="1" applyBorder="1" applyAlignment="1" applyProtection="1">
      <alignment vertical="center"/>
      <protection locked="0"/>
    </xf>
    <xf numFmtId="170" fontId="59" fillId="9" borderId="66" xfId="2" applyNumberFormat="1" applyFont="1" applyFill="1" applyBorder="1" applyAlignment="1" applyProtection="1">
      <alignment vertical="center"/>
      <protection locked="0"/>
    </xf>
    <xf numFmtId="0" fontId="0" fillId="14" borderId="0" xfId="0" applyFill="1" applyAlignment="1"/>
    <xf numFmtId="172" fontId="20" fillId="40" borderId="76" xfId="0" applyNumberFormat="1" applyFont="1" applyFill="1" applyBorder="1" applyAlignment="1">
      <alignment horizontal="right"/>
    </xf>
    <xf numFmtId="172" fontId="20" fillId="0" borderId="54" xfId="0" applyNumberFormat="1" applyFont="1" applyFill="1" applyBorder="1" applyAlignment="1">
      <alignment horizontal="right"/>
    </xf>
    <xf numFmtId="172" fontId="96" fillId="29" borderId="77" xfId="0" applyNumberFormat="1" applyFont="1" applyFill="1" applyBorder="1" applyAlignment="1">
      <alignment horizontal="right"/>
    </xf>
    <xf numFmtId="171" fontId="96" fillId="29" borderId="77" xfId="0" applyNumberFormat="1" applyFont="1" applyFill="1" applyBorder="1" applyAlignment="1">
      <alignment horizontal="right"/>
    </xf>
    <xf numFmtId="41" fontId="96" fillId="29" borderId="77" xfId="0" applyNumberFormat="1" applyFont="1" applyFill="1" applyBorder="1" applyAlignment="1">
      <alignment horizontal="right"/>
    </xf>
    <xf numFmtId="172" fontId="96" fillId="29" borderId="57" xfId="2" applyNumberFormat="1" applyFont="1" applyFill="1" applyBorder="1" applyAlignment="1">
      <alignment horizontal="right"/>
    </xf>
    <xf numFmtId="0" fontId="96" fillId="29" borderId="0" xfId="0" applyFont="1" applyFill="1" applyAlignment="1">
      <alignment horizontal="right"/>
    </xf>
    <xf numFmtId="0" fontId="44" fillId="29" borderId="0" xfId="0" applyFont="1" applyFill="1" applyAlignment="1">
      <alignment horizontal="right"/>
    </xf>
    <xf numFmtId="172" fontId="20" fillId="29" borderId="77" xfId="0" applyNumberFormat="1" applyFont="1" applyFill="1" applyBorder="1" applyAlignment="1">
      <alignment horizontal="right"/>
    </xf>
    <xf numFmtId="171" fontId="20" fillId="29" borderId="77" xfId="0" applyNumberFormat="1" applyFont="1" applyFill="1" applyBorder="1" applyAlignment="1">
      <alignment horizontal="right"/>
    </xf>
    <xf numFmtId="41" fontId="20" fillId="29" borderId="77" xfId="0" applyNumberFormat="1" applyFont="1" applyFill="1" applyBorder="1" applyAlignment="1">
      <alignment horizontal="right"/>
    </xf>
    <xf numFmtId="172" fontId="20" fillId="29" borderId="57" xfId="2" applyNumberFormat="1" applyFont="1" applyFill="1" applyBorder="1" applyAlignment="1">
      <alignment horizontal="right"/>
    </xf>
    <xf numFmtId="0" fontId="20" fillId="29" borderId="0" xfId="0" applyFont="1" applyFill="1" applyAlignment="1">
      <alignment horizontal="right"/>
    </xf>
    <xf numFmtId="0" fontId="10" fillId="29" borderId="0" xfId="0" applyFont="1" applyFill="1" applyAlignment="1">
      <alignment horizontal="right"/>
    </xf>
    <xf numFmtId="0" fontId="96" fillId="0" borderId="1" xfId="0" applyFont="1" applyBorder="1" applyAlignment="1">
      <alignment horizontal="right"/>
    </xf>
    <xf numFmtId="0" fontId="96" fillId="0" borderId="0" xfId="0" applyFont="1" applyAlignment="1">
      <alignment horizontal="right" vertical="center"/>
    </xf>
    <xf numFmtId="0" fontId="96" fillId="0" borderId="0" xfId="0" applyFont="1" applyAlignment="1">
      <alignment horizontal="center" vertical="center"/>
    </xf>
    <xf numFmtId="171" fontId="100" fillId="3" borderId="33" xfId="64" applyNumberFormat="1" applyFont="1" applyFill="1" applyBorder="1" applyAlignment="1">
      <alignment horizontal="right" vertical="center"/>
    </xf>
    <xf numFmtId="173" fontId="100" fillId="3" borderId="34" xfId="64" applyNumberFormat="1" applyFont="1" applyFill="1" applyBorder="1" applyAlignment="1">
      <alignment horizontal="right" vertical="center"/>
    </xf>
    <xf numFmtId="171" fontId="99" fillId="40" borderId="54" xfId="0" applyNumberFormat="1" applyFont="1" applyFill="1" applyBorder="1" applyAlignment="1">
      <alignment horizontal="center"/>
    </xf>
    <xf numFmtId="171" fontId="99" fillId="40" borderId="76" xfId="0" applyNumberFormat="1" applyFont="1" applyFill="1" applyBorder="1" applyAlignment="1">
      <alignment horizontal="center"/>
    </xf>
    <xf numFmtId="172" fontId="99" fillId="40" borderId="76" xfId="2" applyNumberFormat="1" applyFont="1" applyFill="1" applyBorder="1" applyAlignment="1">
      <alignment horizontal="center"/>
    </xf>
    <xf numFmtId="172" fontId="99" fillId="40" borderId="54" xfId="115" applyNumberFormat="1" applyFont="1" applyFill="1" applyBorder="1" applyAlignment="1">
      <alignment horizontal="center"/>
    </xf>
    <xf numFmtId="174" fontId="99" fillId="40" borderId="54" xfId="0" applyNumberFormat="1" applyFont="1" applyFill="1" applyBorder="1" applyAlignment="1">
      <alignment horizontal="center"/>
    </xf>
    <xf numFmtId="174" fontId="99" fillId="40" borderId="76" xfId="0" applyNumberFormat="1" applyFont="1" applyFill="1" applyBorder="1" applyAlignment="1">
      <alignment horizontal="center"/>
    </xf>
    <xf numFmtId="173" fontId="20" fillId="40" borderId="54" xfId="0" applyNumberFormat="1" applyFont="1" applyFill="1" applyBorder="1" applyAlignment="1">
      <alignment horizontal="right"/>
    </xf>
    <xf numFmtId="173" fontId="20" fillId="40" borderId="76" xfId="0" applyNumberFormat="1" applyFont="1" applyFill="1" applyBorder="1" applyAlignment="1">
      <alignment horizontal="right"/>
    </xf>
    <xf numFmtId="173" fontId="96" fillId="40" borderId="76" xfId="0" applyNumberFormat="1" applyFont="1" applyFill="1" applyBorder="1" applyAlignment="1">
      <alignment horizontal="right"/>
    </xf>
    <xf numFmtId="1" fontId="96" fillId="40" borderId="54" xfId="2" applyNumberFormat="1" applyFont="1" applyFill="1" applyBorder="1" applyAlignment="1">
      <alignment horizontal="center"/>
    </xf>
    <xf numFmtId="1" fontId="96" fillId="40" borderId="76" xfId="2" applyNumberFormat="1" applyFont="1" applyFill="1" applyBorder="1" applyAlignment="1">
      <alignment horizontal="center"/>
    </xf>
    <xf numFmtId="172" fontId="13" fillId="40" borderId="54" xfId="0" applyNumberFormat="1" applyFont="1" applyFill="1" applyBorder="1" applyAlignment="1">
      <alignment horizontal="right"/>
    </xf>
    <xf numFmtId="172" fontId="13" fillId="40" borderId="76" xfId="0" applyNumberFormat="1" applyFont="1" applyFill="1" applyBorder="1" applyAlignment="1">
      <alignment horizontal="right"/>
    </xf>
    <xf numFmtId="172" fontId="97" fillId="40" borderId="76" xfId="0" applyNumberFormat="1" applyFont="1" applyFill="1" applyBorder="1" applyAlignment="1">
      <alignment horizontal="right"/>
    </xf>
    <xf numFmtId="171" fontId="23" fillId="40" borderId="54" xfId="0" applyNumberFormat="1" applyFont="1" applyFill="1" applyBorder="1" applyAlignment="1">
      <alignment horizontal="right"/>
    </xf>
    <xf numFmtId="171" fontId="23" fillId="40" borderId="76" xfId="0" applyNumberFormat="1" applyFont="1" applyFill="1" applyBorder="1" applyAlignment="1">
      <alignment horizontal="right"/>
    </xf>
    <xf numFmtId="171" fontId="98" fillId="40" borderId="76" xfId="0" applyNumberFormat="1" applyFont="1" applyFill="1" applyBorder="1" applyAlignment="1">
      <alignment horizontal="right"/>
    </xf>
    <xf numFmtId="173" fontId="23" fillId="40" borderId="54" xfId="0" applyNumberFormat="1" applyFont="1" applyFill="1" applyBorder="1" applyAlignment="1">
      <alignment horizontal="right"/>
    </xf>
    <xf numFmtId="173" fontId="23" fillId="40" borderId="76" xfId="0" applyNumberFormat="1" applyFont="1" applyFill="1" applyBorder="1" applyAlignment="1">
      <alignment horizontal="right"/>
    </xf>
    <xf numFmtId="173" fontId="98" fillId="40" borderId="76" xfId="0" applyNumberFormat="1" applyFont="1" applyFill="1" applyBorder="1" applyAlignment="1">
      <alignment horizontal="right"/>
    </xf>
    <xf numFmtId="172" fontId="96" fillId="40" borderId="76" xfId="2" applyNumberFormat="1" applyFont="1" applyFill="1" applyBorder="1" applyAlignment="1">
      <alignment horizontal="right"/>
    </xf>
    <xf numFmtId="172" fontId="20" fillId="40" borderId="76" xfId="2" applyNumberFormat="1" applyFont="1" applyFill="1" applyBorder="1" applyAlignment="1">
      <alignment horizontal="right"/>
    </xf>
    <xf numFmtId="172" fontId="96" fillId="40" borderId="77" xfId="2" applyNumberFormat="1" applyFont="1" applyFill="1" applyBorder="1" applyAlignment="1">
      <alignment horizontal="right"/>
    </xf>
    <xf numFmtId="172" fontId="96" fillId="14" borderId="76" xfId="0" applyNumberFormat="1" applyFont="1" applyFill="1" applyBorder="1" applyAlignment="1">
      <alignment horizontal="right"/>
    </xf>
    <xf numFmtId="172" fontId="20" fillId="40" borderId="54" xfId="0" applyNumberFormat="1" applyFont="1" applyFill="1" applyBorder="1" applyAlignment="1">
      <alignment horizontal="right"/>
    </xf>
    <xf numFmtId="172" fontId="96" fillId="40" borderId="76" xfId="0" applyNumberFormat="1" applyFont="1" applyFill="1" applyBorder="1" applyAlignment="1">
      <alignment horizontal="right"/>
    </xf>
    <xf numFmtId="171" fontId="20" fillId="40" borderId="54" xfId="0" applyNumberFormat="1" applyFont="1" applyFill="1" applyBorder="1" applyAlignment="1">
      <alignment horizontal="right"/>
    </xf>
    <xf numFmtId="171" fontId="20" fillId="40" borderId="76" xfId="0" applyNumberFormat="1" applyFont="1" applyFill="1" applyBorder="1" applyAlignment="1">
      <alignment horizontal="right"/>
    </xf>
    <xf numFmtId="171" fontId="96" fillId="40" borderId="76" xfId="0" applyNumberFormat="1" applyFont="1" applyFill="1" applyBorder="1" applyAlignment="1">
      <alignment horizontal="right"/>
    </xf>
    <xf numFmtId="178" fontId="20" fillId="40" borderId="76" xfId="0" applyNumberFormat="1" applyFont="1" applyFill="1" applyBorder="1" applyAlignment="1">
      <alignment horizontal="right"/>
    </xf>
    <xf numFmtId="179" fontId="20" fillId="40" borderId="76" xfId="0" applyNumberFormat="1" applyFont="1" applyFill="1" applyBorder="1" applyAlignment="1">
      <alignment horizontal="right"/>
    </xf>
    <xf numFmtId="178" fontId="96" fillId="40" borderId="77" xfId="0" applyNumberFormat="1" applyFont="1" applyFill="1" applyBorder="1" applyAlignment="1">
      <alignment horizontal="right"/>
    </xf>
    <xf numFmtId="178" fontId="96" fillId="40" borderId="76" xfId="0" applyNumberFormat="1" applyFont="1" applyFill="1" applyBorder="1" applyAlignment="1">
      <alignment horizontal="right"/>
    </xf>
    <xf numFmtId="41" fontId="96" fillId="40" borderId="76" xfId="0" applyNumberFormat="1" applyFont="1" applyFill="1" applyBorder="1" applyAlignment="1">
      <alignment horizontal="right"/>
    </xf>
    <xf numFmtId="171" fontId="83" fillId="40" borderId="76" xfId="0" applyNumberFormat="1" applyFont="1" applyFill="1" applyBorder="1" applyAlignment="1">
      <alignment horizontal="center"/>
    </xf>
    <xf numFmtId="172" fontId="83" fillId="40" borderId="76" xfId="115" applyNumberFormat="1" applyFont="1" applyFill="1" applyBorder="1" applyAlignment="1">
      <alignment horizontal="center"/>
    </xf>
    <xf numFmtId="174" fontId="83" fillId="40" borderId="76" xfId="0" applyNumberFormat="1" applyFont="1" applyFill="1" applyBorder="1" applyAlignment="1">
      <alignment horizontal="center"/>
    </xf>
    <xf numFmtId="0" fontId="44" fillId="11" borderId="0" xfId="0" applyFont="1" applyFill="1" applyAlignment="1"/>
    <xf numFmtId="0" fontId="44" fillId="40" borderId="0" xfId="0" applyFont="1" applyFill="1" applyAlignment="1"/>
    <xf numFmtId="171" fontId="95" fillId="42" borderId="77" xfId="0" applyNumberFormat="1" applyFont="1" applyFill="1" applyBorder="1" applyAlignment="1">
      <alignment horizontal="center"/>
    </xf>
    <xf numFmtId="172" fontId="95" fillId="42" borderId="77" xfId="2" applyNumberFormat="1" applyFont="1" applyFill="1" applyBorder="1" applyAlignment="1">
      <alignment horizontal="center"/>
    </xf>
    <xf numFmtId="174" fontId="95" fillId="42" borderId="77" xfId="0" applyNumberFormat="1" applyFont="1" applyFill="1" applyBorder="1" applyAlignment="1">
      <alignment horizontal="center"/>
    </xf>
    <xf numFmtId="173" fontId="96" fillId="42" borderId="77" xfId="0" applyNumberFormat="1" applyFont="1" applyFill="1" applyBorder="1" applyAlignment="1">
      <alignment horizontal="right"/>
    </xf>
    <xf numFmtId="0" fontId="96" fillId="42" borderId="77" xfId="2" applyNumberFormat="1" applyFont="1" applyFill="1" applyBorder="1" applyAlignment="1">
      <alignment horizontal="center"/>
    </xf>
    <xf numFmtId="172" fontId="97" fillId="42" borderId="77" xfId="0" applyNumberFormat="1" applyFont="1" applyFill="1" applyBorder="1" applyAlignment="1">
      <alignment horizontal="right"/>
    </xf>
    <xf numFmtId="171" fontId="98" fillId="42" borderId="77" xfId="0" applyNumberFormat="1" applyFont="1" applyFill="1" applyBorder="1" applyAlignment="1">
      <alignment horizontal="right"/>
    </xf>
    <xf numFmtId="173" fontId="98" fillId="42" borderId="77" xfId="0" applyNumberFormat="1" applyFont="1" applyFill="1" applyBorder="1" applyAlignment="1">
      <alignment horizontal="right"/>
    </xf>
    <xf numFmtId="172" fontId="96" fillId="42" borderId="77" xfId="2" applyNumberFormat="1" applyFont="1" applyFill="1" applyBorder="1" applyAlignment="1">
      <alignment horizontal="right"/>
    </xf>
    <xf numFmtId="172" fontId="96" fillId="42" borderId="77" xfId="0" applyNumberFormat="1" applyFont="1" applyFill="1" applyBorder="1" applyAlignment="1">
      <alignment horizontal="right"/>
    </xf>
    <xf numFmtId="171" fontId="96" fillId="42" borderId="77" xfId="0" applyNumberFormat="1" applyFont="1" applyFill="1" applyBorder="1" applyAlignment="1">
      <alignment horizontal="right"/>
    </xf>
    <xf numFmtId="172" fontId="20" fillId="42" borderId="77" xfId="0" applyNumberFormat="1" applyFont="1" applyFill="1" applyBorder="1" applyAlignment="1">
      <alignment horizontal="right"/>
    </xf>
    <xf numFmtId="171" fontId="20" fillId="42" borderId="77" xfId="0" applyNumberFormat="1" applyFont="1" applyFill="1" applyBorder="1" applyAlignment="1">
      <alignment horizontal="right"/>
    </xf>
    <xf numFmtId="41" fontId="20" fillId="42" borderId="77" xfId="0" applyNumberFormat="1" applyFont="1" applyFill="1" applyBorder="1" applyAlignment="1">
      <alignment horizontal="right"/>
    </xf>
    <xf numFmtId="172" fontId="20" fillId="42" borderId="57" xfId="2" applyNumberFormat="1" applyFont="1" applyFill="1" applyBorder="1" applyAlignment="1">
      <alignment horizontal="right"/>
    </xf>
    <xf numFmtId="0" fontId="20" fillId="42" borderId="0" xfId="0" applyFont="1" applyFill="1" applyAlignment="1">
      <alignment horizontal="right"/>
    </xf>
    <xf numFmtId="0" fontId="10" fillId="42" borderId="0" xfId="0" applyFont="1" applyFill="1" applyAlignment="1">
      <alignment horizontal="right"/>
    </xf>
    <xf numFmtId="172" fontId="96" fillId="42" borderId="54" xfId="2" applyNumberFormat="1" applyFont="1" applyFill="1" applyBorder="1" applyAlignment="1">
      <alignment horizontal="right"/>
    </xf>
    <xf numFmtId="172" fontId="96" fillId="42" borderId="76" xfId="0" applyNumberFormat="1" applyFont="1" applyFill="1" applyBorder="1" applyAlignment="1">
      <alignment horizontal="right"/>
    </xf>
    <xf numFmtId="0" fontId="17" fillId="42" borderId="77" xfId="0" applyFont="1" applyFill="1" applyBorder="1" applyAlignment="1"/>
    <xf numFmtId="1" fontId="96" fillId="42" borderId="77" xfId="2" applyNumberFormat="1" applyFont="1" applyFill="1" applyBorder="1" applyAlignment="1">
      <alignment horizontal="center"/>
    </xf>
    <xf numFmtId="172" fontId="20" fillId="42" borderId="4" xfId="2" applyNumberFormat="1" applyFont="1" applyFill="1" applyBorder="1" applyAlignment="1">
      <alignment horizontal="right"/>
    </xf>
    <xf numFmtId="178" fontId="17" fillId="42" borderId="77" xfId="0" applyNumberFormat="1" applyFont="1" applyFill="1" applyBorder="1" applyAlignment="1">
      <alignment horizontal="center"/>
    </xf>
    <xf numFmtId="168" fontId="17" fillId="42" borderId="77" xfId="3" applyFont="1" applyFill="1" applyBorder="1" applyAlignment="1"/>
    <xf numFmtId="178" fontId="17" fillId="42" borderId="77" xfId="0" applyNumberFormat="1" applyFont="1" applyFill="1" applyBorder="1" applyAlignment="1"/>
    <xf numFmtId="0" fontId="17" fillId="42" borderId="77" xfId="0" applyFont="1" applyFill="1" applyBorder="1" applyAlignment="1">
      <alignment horizontal="center"/>
    </xf>
    <xf numFmtId="42" fontId="17" fillId="42" borderId="77" xfId="3" applyNumberFormat="1" applyFont="1" applyFill="1" applyBorder="1" applyAlignment="1"/>
    <xf numFmtId="14" fontId="17" fillId="42" borderId="77" xfId="0" applyNumberFormat="1" applyFont="1" applyFill="1" applyBorder="1" applyAlignment="1"/>
    <xf numFmtId="0" fontId="99" fillId="40" borderId="0" xfId="0" applyFont="1" applyFill="1" applyAlignment="1">
      <alignment horizontal="right"/>
    </xf>
    <xf numFmtId="0" fontId="103" fillId="40" borderId="0" xfId="0" applyFont="1" applyFill="1" applyAlignment="1">
      <alignment horizontal="right"/>
    </xf>
    <xf numFmtId="172" fontId="99" fillId="40" borderId="77" xfId="0" applyNumberFormat="1" applyFont="1" applyFill="1" applyBorder="1" applyAlignment="1">
      <alignment horizontal="right"/>
    </xf>
    <xf numFmtId="171" fontId="99" fillId="40" borderId="77" xfId="0" applyNumberFormat="1" applyFont="1" applyFill="1" applyBorder="1" applyAlignment="1">
      <alignment horizontal="right"/>
    </xf>
    <xf numFmtId="41" fontId="99" fillId="40" borderId="77" xfId="0" applyNumberFormat="1" applyFont="1" applyFill="1" applyBorder="1" applyAlignment="1">
      <alignment horizontal="right"/>
    </xf>
    <xf numFmtId="172" fontId="99" fillId="40" borderId="4" xfId="2" applyNumberFormat="1" applyFont="1" applyFill="1" applyBorder="1" applyAlignment="1">
      <alignment horizontal="right"/>
    </xf>
    <xf numFmtId="173" fontId="99" fillId="40" borderId="77" xfId="0" applyNumberFormat="1" applyFont="1" applyFill="1" applyBorder="1" applyAlignment="1">
      <alignment horizontal="right"/>
    </xf>
    <xf numFmtId="172" fontId="105" fillId="40" borderId="77" xfId="0" applyNumberFormat="1" applyFont="1" applyFill="1" applyBorder="1" applyAlignment="1">
      <alignment horizontal="right"/>
    </xf>
    <xf numFmtId="171" fontId="106" fillId="40" borderId="77" xfId="0" applyNumberFormat="1" applyFont="1" applyFill="1" applyBorder="1" applyAlignment="1">
      <alignment horizontal="right"/>
    </xf>
    <xf numFmtId="173" fontId="106" fillId="40" borderId="77" xfId="0" applyNumberFormat="1" applyFont="1" applyFill="1" applyBorder="1" applyAlignment="1">
      <alignment horizontal="right"/>
    </xf>
    <xf numFmtId="172" fontId="99" fillId="40" borderId="77" xfId="2" applyNumberFormat="1" applyFont="1" applyFill="1" applyBorder="1" applyAlignment="1">
      <alignment horizontal="right"/>
    </xf>
    <xf numFmtId="179" fontId="99" fillId="40" borderId="77" xfId="0" applyNumberFormat="1" applyFont="1" applyFill="1" applyBorder="1" applyAlignment="1">
      <alignment horizontal="right"/>
    </xf>
    <xf numFmtId="14" fontId="92" fillId="0" borderId="77" xfId="0" applyNumberFormat="1" applyFont="1" applyBorder="1" applyAlignment="1"/>
    <xf numFmtId="0" fontId="92" fillId="0" borderId="77" xfId="0" applyFont="1" applyBorder="1" applyAlignment="1"/>
    <xf numFmtId="168" fontId="92" fillId="14" borderId="77" xfId="3" applyFont="1" applyFill="1" applyBorder="1" applyAlignment="1"/>
    <xf numFmtId="178" fontId="99" fillId="40" borderId="77" xfId="0" applyNumberFormat="1" applyFont="1" applyFill="1" applyBorder="1" applyAlignment="1">
      <alignment horizontal="center"/>
    </xf>
    <xf numFmtId="1" fontId="99" fillId="40" borderId="77" xfId="2" applyNumberFormat="1" applyFont="1" applyFill="1" applyBorder="1" applyAlignment="1">
      <alignment horizontal="center"/>
    </xf>
    <xf numFmtId="0" fontId="0" fillId="0" borderId="47" xfId="0" applyFont="1" applyFill="1" applyBorder="1" applyAlignment="1"/>
    <xf numFmtId="172" fontId="0" fillId="0" borderId="56" xfId="2" applyNumberFormat="1" applyFont="1" applyFill="1" applyBorder="1" applyAlignment="1"/>
    <xf numFmtId="172" fontId="0" fillId="0" borderId="4" xfId="2" applyNumberFormat="1" applyFont="1" applyFill="1" applyBorder="1" applyAlignment="1"/>
    <xf numFmtId="172" fontId="0" fillId="0" borderId="17" xfId="2" applyNumberFormat="1" applyFont="1" applyFill="1" applyBorder="1" applyAlignment="1"/>
    <xf numFmtId="41" fontId="37" fillId="0" borderId="74" xfId="0" applyNumberFormat="1" applyFont="1" applyFill="1" applyBorder="1" applyAlignment="1"/>
    <xf numFmtId="3" fontId="39" fillId="0" borderId="42" xfId="79" applyNumberFormat="1" applyFont="1" applyFill="1" applyBorder="1" applyAlignment="1">
      <alignment vertical="center"/>
    </xf>
    <xf numFmtId="172" fontId="0" fillId="0" borderId="73" xfId="2" applyNumberFormat="1" applyFont="1" applyFill="1" applyBorder="1" applyAlignment="1"/>
    <xf numFmtId="0" fontId="0" fillId="16" borderId="77" xfId="0" applyFill="1" applyBorder="1" applyAlignment="1"/>
    <xf numFmtId="17" fontId="0" fillId="0" borderId="77" xfId="0" applyNumberFormat="1" applyFill="1" applyBorder="1" applyAlignment="1"/>
    <xf numFmtId="41" fontId="0" fillId="0" borderId="77" xfId="3" applyNumberFormat="1" applyFont="1" applyFill="1" applyBorder="1" applyAlignment="1"/>
    <xf numFmtId="14" fontId="0" fillId="0" borderId="77" xfId="0" applyNumberFormat="1" applyFill="1" applyBorder="1" applyAlignment="1"/>
    <xf numFmtId="171" fontId="0" fillId="0" borderId="0" xfId="0" applyNumberFormat="1" applyBorder="1" applyAlignment="1"/>
    <xf numFmtId="14" fontId="0" fillId="0" borderId="0" xfId="0" applyNumberFormat="1" applyAlignment="1"/>
    <xf numFmtId="0" fontId="0" fillId="0" borderId="77" xfId="0" applyBorder="1" applyAlignment="1">
      <alignment horizontal="right"/>
    </xf>
    <xf numFmtId="0" fontId="0" fillId="0" borderId="77" xfId="0" quotePrefix="1" applyBorder="1" applyAlignment="1">
      <alignment horizontal="right"/>
    </xf>
    <xf numFmtId="0" fontId="0" fillId="0" borderId="77" xfId="0" applyNumberFormat="1" applyFill="1" applyBorder="1" applyAlignment="1">
      <alignment horizontal="right"/>
    </xf>
    <xf numFmtId="0" fontId="0" fillId="0" borderId="77" xfId="0" applyFill="1" applyBorder="1" applyAlignment="1">
      <alignment horizontal="right"/>
    </xf>
    <xf numFmtId="168" fontId="70" fillId="0" borderId="0" xfId="3" applyFont="1" applyAlignment="1">
      <alignment vertical="center"/>
    </xf>
    <xf numFmtId="170" fontId="70" fillId="0" borderId="77" xfId="2" applyNumberFormat="1" applyFont="1" applyFill="1" applyBorder="1" applyAlignment="1">
      <alignment vertical="center"/>
    </xf>
    <xf numFmtId="170" fontId="70" fillId="0" borderId="66" xfId="2" applyNumberFormat="1" applyFont="1" applyFill="1" applyBorder="1" applyAlignment="1">
      <alignment vertical="center"/>
    </xf>
    <xf numFmtId="170" fontId="70" fillId="0" borderId="0" xfId="2" applyNumberFormat="1" applyFont="1" applyFill="1" applyAlignment="1" applyProtection="1">
      <alignment vertical="center"/>
      <protection locked="0"/>
    </xf>
    <xf numFmtId="170" fontId="70" fillId="0" borderId="56" xfId="2" applyNumberFormat="1" applyFont="1" applyFill="1" applyBorder="1" applyAlignment="1">
      <alignment vertical="center"/>
    </xf>
    <xf numFmtId="170" fontId="70" fillId="0" borderId="57" xfId="2" applyNumberFormat="1" applyFont="1" applyFill="1" applyBorder="1" applyAlignment="1">
      <alignment vertical="center"/>
    </xf>
    <xf numFmtId="170" fontId="70" fillId="0" borderId="78" xfId="2" applyNumberFormat="1" applyFont="1" applyFill="1" applyBorder="1" applyAlignment="1" applyProtection="1">
      <alignment vertical="center"/>
      <protection locked="0"/>
    </xf>
    <xf numFmtId="170" fontId="16" fillId="0" borderId="77" xfId="115" applyNumberFormat="1" applyFont="1" applyFill="1" applyBorder="1" applyAlignment="1">
      <alignment vertical="center"/>
    </xf>
    <xf numFmtId="178" fontId="0" fillId="0" borderId="0" xfId="0" applyNumberFormat="1" applyBorder="1" applyAlignment="1"/>
    <xf numFmtId="168" fontId="0" fillId="0" borderId="0" xfId="3" applyFont="1" applyFill="1" applyBorder="1" applyAlignment="1"/>
    <xf numFmtId="0" fontId="0" fillId="0" borderId="0" xfId="0" applyFill="1" applyBorder="1" applyAlignment="1"/>
    <xf numFmtId="171" fontId="0" fillId="0" borderId="0" xfId="0" applyNumberFormat="1" applyFill="1" applyBorder="1" applyAlignment="1"/>
    <xf numFmtId="168" fontId="70" fillId="0" borderId="78" xfId="3" applyFont="1" applyFill="1" applyBorder="1" applyAlignment="1"/>
    <xf numFmtId="0" fontId="72" fillId="0" borderId="0" xfId="0" applyFont="1" applyBorder="1" applyAlignment="1">
      <alignment vertical="center"/>
    </xf>
    <xf numFmtId="170" fontId="59" fillId="9" borderId="57" xfId="2" applyNumberFormat="1" applyFont="1" applyFill="1" applyBorder="1" applyAlignment="1" applyProtection="1">
      <alignment vertical="center"/>
      <protection locked="0"/>
    </xf>
    <xf numFmtId="41" fontId="0" fillId="0" borderId="77" xfId="0" applyNumberFormat="1" applyFill="1" applyBorder="1" applyAlignment="1"/>
    <xf numFmtId="168" fontId="70" fillId="14" borderId="57" xfId="3" applyFont="1" applyFill="1" applyBorder="1" applyAlignment="1"/>
    <xf numFmtId="0" fontId="107" fillId="0" borderId="0" xfId="0" applyFont="1" applyAlignment="1"/>
    <xf numFmtId="0" fontId="103" fillId="0" borderId="52" xfId="0" applyFont="1" applyBorder="1" applyAlignment="1"/>
    <xf numFmtId="0" fontId="103" fillId="0" borderId="77" xfId="0" applyFont="1" applyBorder="1" applyAlignment="1"/>
    <xf numFmtId="14" fontId="107" fillId="0" borderId="77" xfId="0" applyNumberFormat="1" applyFont="1" applyBorder="1" applyAlignment="1"/>
    <xf numFmtId="170" fontId="32" fillId="0" borderId="77" xfId="115" applyNumberFormat="1" applyFont="1" applyFill="1" applyBorder="1" applyAlignment="1">
      <alignment vertical="center"/>
    </xf>
    <xf numFmtId="168" fontId="107" fillId="0" borderId="77" xfId="3" applyFont="1" applyBorder="1" applyAlignment="1"/>
    <xf numFmtId="0" fontId="107" fillId="0" borderId="77" xfId="0" applyFont="1" applyBorder="1" applyAlignment="1"/>
    <xf numFmtId="14" fontId="107" fillId="0" borderId="0" xfId="0" applyNumberFormat="1" applyFont="1" applyAlignment="1"/>
    <xf numFmtId="168" fontId="107" fillId="0" borderId="0" xfId="3" applyFont="1" applyAlignment="1"/>
    <xf numFmtId="0" fontId="103" fillId="0" borderId="52" xfId="0" applyFont="1" applyFill="1" applyBorder="1" applyAlignment="1">
      <alignment horizontal="center" vertical="center" wrapText="1"/>
    </xf>
    <xf numFmtId="0" fontId="103" fillId="0" borderId="77" xfId="0" applyFont="1" applyFill="1" applyBorder="1" applyAlignment="1"/>
    <xf numFmtId="0" fontId="107" fillId="0" borderId="0" xfId="0" applyFont="1" applyFill="1" applyAlignment="1"/>
    <xf numFmtId="41" fontId="32" fillId="0" borderId="77" xfId="115" applyNumberFormat="1" applyFont="1" applyFill="1" applyBorder="1" applyAlignment="1">
      <alignment vertical="center"/>
    </xf>
    <xf numFmtId="170" fontId="95" fillId="0" borderId="77" xfId="115" applyNumberFormat="1" applyFont="1" applyFill="1" applyBorder="1" applyAlignment="1">
      <alignment vertical="center"/>
    </xf>
    <xf numFmtId="14" fontId="103" fillId="0" borderId="77" xfId="0" applyNumberFormat="1" applyFont="1" applyBorder="1" applyAlignment="1"/>
    <xf numFmtId="170" fontId="103" fillId="0" borderId="77" xfId="0" applyNumberFormat="1" applyFont="1" applyBorder="1" applyAlignment="1"/>
    <xf numFmtId="168" fontId="103" fillId="0" borderId="77" xfId="3" applyFont="1" applyBorder="1" applyAlignment="1"/>
    <xf numFmtId="168" fontId="103" fillId="0" borderId="77" xfId="0" applyNumberFormat="1" applyFont="1" applyBorder="1" applyAlignment="1"/>
    <xf numFmtId="41" fontId="103" fillId="0" borderId="77" xfId="0" applyNumberFormat="1" applyFont="1" applyBorder="1" applyAlignment="1"/>
    <xf numFmtId="49" fontId="79" fillId="0" borderId="0" xfId="0" applyNumberFormat="1" applyFont="1" applyFill="1" applyBorder="1" applyAlignment="1">
      <alignment horizontal="center" vertical="center"/>
    </xf>
    <xf numFmtId="0" fontId="10" fillId="0" borderId="77" xfId="0" applyFont="1" applyBorder="1" applyAlignment="1"/>
    <xf numFmtId="0" fontId="10" fillId="0" borderId="77" xfId="0" applyFont="1" applyFill="1" applyBorder="1" applyAlignment="1">
      <alignment horizontal="center"/>
    </xf>
    <xf numFmtId="0" fontId="12" fillId="14" borderId="77" xfId="0" applyFont="1" applyFill="1" applyBorder="1" applyAlignment="1"/>
    <xf numFmtId="168" fontId="12" fillId="14" borderId="77" xfId="3" applyFont="1" applyFill="1" applyBorder="1" applyAlignment="1"/>
    <xf numFmtId="0" fontId="10" fillId="40" borderId="77" xfId="0" applyFont="1" applyFill="1" applyBorder="1" applyAlignment="1"/>
    <xf numFmtId="172" fontId="26" fillId="19" borderId="77" xfId="2" applyNumberFormat="1" applyFont="1" applyFill="1" applyBorder="1" applyAlignment="1">
      <alignment vertical="center"/>
    </xf>
    <xf numFmtId="170" fontId="70" fillId="0" borderId="57" xfId="2" applyNumberFormat="1" applyFont="1" applyBorder="1" applyAlignment="1" applyProtection="1">
      <alignment vertical="center"/>
      <protection locked="0"/>
    </xf>
    <xf numFmtId="170" fontId="70" fillId="19" borderId="57" xfId="2" applyNumberFormat="1" applyFont="1" applyFill="1" applyBorder="1" applyAlignment="1" applyProtection="1">
      <alignment vertical="center"/>
      <protection locked="0"/>
    </xf>
    <xf numFmtId="170" fontId="70" fillId="0" borderId="57" xfId="2" applyNumberFormat="1" applyFont="1" applyFill="1" applyBorder="1" applyAlignment="1" applyProtection="1">
      <alignment vertical="center"/>
      <protection locked="0"/>
    </xf>
    <xf numFmtId="168" fontId="70" fillId="0" borderId="57" xfId="3" applyFont="1" applyFill="1" applyBorder="1" applyAlignment="1"/>
    <xf numFmtId="0" fontId="78" fillId="0" borderId="78" xfId="0" applyFont="1" applyBorder="1" applyAlignment="1">
      <alignment vertical="center"/>
    </xf>
    <xf numFmtId="170" fontId="70" fillId="0" borderId="78" xfId="2" applyNumberFormat="1" applyFont="1" applyBorder="1" applyAlignment="1">
      <alignment vertical="center"/>
    </xf>
    <xf numFmtId="170" fontId="70" fillId="0" borderId="78" xfId="2" applyNumberFormat="1" applyFont="1" applyFill="1" applyBorder="1" applyAlignment="1">
      <alignment vertical="center"/>
    </xf>
    <xf numFmtId="0" fontId="73" fillId="27" borderId="87" xfId="0" applyFont="1" applyFill="1" applyBorder="1" applyAlignment="1">
      <alignment vertical="center"/>
    </xf>
    <xf numFmtId="0" fontId="73" fillId="9" borderId="87" xfId="0" applyFont="1" applyFill="1" applyBorder="1" applyAlignment="1">
      <alignment vertical="center"/>
    </xf>
    <xf numFmtId="0" fontId="73" fillId="27" borderId="63" xfId="0" applyFont="1" applyFill="1" applyBorder="1" applyAlignment="1">
      <alignment vertical="center"/>
    </xf>
    <xf numFmtId="0" fontId="73" fillId="9" borderId="63" xfId="0" applyFont="1" applyFill="1" applyBorder="1" applyAlignment="1">
      <alignment vertical="center"/>
    </xf>
    <xf numFmtId="0" fontId="79" fillId="0" borderId="57" xfId="0" applyFont="1" applyFill="1" applyBorder="1" applyAlignment="1">
      <alignment vertical="center"/>
    </xf>
    <xf numFmtId="0" fontId="79" fillId="0" borderId="77" xfId="0" applyFont="1" applyFill="1" applyBorder="1" applyAlignment="1">
      <alignment vertical="center"/>
    </xf>
    <xf numFmtId="170" fontId="59" fillId="0" borderId="77" xfId="2" applyNumberFormat="1" applyFont="1" applyFill="1" applyBorder="1" applyAlignment="1" applyProtection="1">
      <alignment vertical="center"/>
      <protection locked="0"/>
    </xf>
    <xf numFmtId="0" fontId="79" fillId="0" borderId="78" xfId="0" applyFont="1" applyFill="1" applyBorder="1" applyAlignment="1">
      <alignment vertical="center"/>
    </xf>
    <xf numFmtId="170" fontId="70" fillId="0" borderId="77" xfId="2" applyNumberFormat="1" applyFont="1" applyFill="1" applyBorder="1" applyAlignment="1" applyProtection="1">
      <alignment vertical="center"/>
      <protection locked="0"/>
    </xf>
    <xf numFmtId="0" fontId="92" fillId="0" borderId="0" xfId="0" applyFont="1" applyFill="1" applyAlignment="1"/>
    <xf numFmtId="14" fontId="92" fillId="0" borderId="0" xfId="0" applyNumberFormat="1" applyFont="1" applyFill="1" applyAlignment="1"/>
    <xf numFmtId="14" fontId="92" fillId="0" borderId="77" xfId="0" applyNumberFormat="1" applyFont="1" applyFill="1" applyBorder="1" applyAlignment="1"/>
    <xf numFmtId="0" fontId="92" fillId="0" borderId="77" xfId="0" applyFont="1" applyFill="1" applyBorder="1" applyAlignment="1"/>
    <xf numFmtId="168" fontId="92" fillId="0" borderId="77" xfId="3" applyFont="1" applyFill="1" applyBorder="1" applyAlignment="1"/>
    <xf numFmtId="168" fontId="70" fillId="0" borderId="79" xfId="3" applyFont="1" applyFill="1" applyBorder="1" applyAlignment="1"/>
    <xf numFmtId="169" fontId="62" fillId="19" borderId="77" xfId="115" applyNumberFormat="1" applyFont="1" applyFill="1" applyBorder="1" applyAlignment="1" applyProtection="1">
      <alignment vertical="center"/>
      <protection locked="0"/>
    </xf>
    <xf numFmtId="169" fontId="62" fillId="0" borderId="77" xfId="120" applyNumberFormat="1" applyFont="1" applyBorder="1" applyAlignment="1" applyProtection="1">
      <alignment vertical="center"/>
      <protection locked="0"/>
    </xf>
    <xf numFmtId="169" fontId="62" fillId="0" borderId="54" xfId="96" applyNumberFormat="1" applyFont="1" applyBorder="1" applyAlignment="1" applyProtection="1">
      <alignment vertical="center"/>
      <protection locked="0"/>
    </xf>
    <xf numFmtId="169" fontId="62" fillId="0" borderId="54" xfId="96" applyNumberFormat="1" applyFont="1" applyFill="1" applyBorder="1" applyAlignment="1" applyProtection="1">
      <alignment vertical="center"/>
      <protection locked="0"/>
    </xf>
    <xf numFmtId="169" fontId="62" fillId="19" borderId="54" xfId="96" applyNumberFormat="1" applyFont="1" applyFill="1" applyBorder="1" applyAlignment="1" applyProtection="1">
      <alignment vertical="center"/>
      <protection locked="0"/>
    </xf>
    <xf numFmtId="169" fontId="62" fillId="0" borderId="77" xfId="115" applyNumberFormat="1" applyFont="1" applyFill="1" applyBorder="1" applyAlignment="1" applyProtection="1">
      <alignment vertical="center"/>
      <protection locked="0"/>
    </xf>
    <xf numFmtId="169" fontId="62" fillId="0" borderId="77" xfId="115" applyNumberFormat="1" applyFont="1" applyBorder="1" applyAlignment="1" applyProtection="1">
      <alignment vertical="center"/>
      <protection locked="0"/>
    </xf>
    <xf numFmtId="169" fontId="62" fillId="19" borderId="77" xfId="115" applyNumberFormat="1" applyFont="1" applyFill="1" applyBorder="1"/>
    <xf numFmtId="169" fontId="54" fillId="11" borderId="66" xfId="95" applyNumberFormat="1" applyFont="1" applyFill="1" applyBorder="1" applyAlignment="1">
      <alignment vertical="center"/>
    </xf>
    <xf numFmtId="169" fontId="62" fillId="11" borderId="66" xfId="96" applyNumberFormat="1" applyFont="1" applyFill="1" applyBorder="1" applyAlignment="1">
      <alignment vertical="center"/>
    </xf>
    <xf numFmtId="169" fontId="62" fillId="23" borderId="66" xfId="96" applyNumberFormat="1" applyFont="1" applyFill="1" applyBorder="1" applyAlignment="1">
      <alignment vertical="center"/>
    </xf>
    <xf numFmtId="0" fontId="10" fillId="14" borderId="77" xfId="0" applyFont="1" applyFill="1" applyBorder="1" applyAlignment="1">
      <alignment horizontal="center"/>
    </xf>
    <xf numFmtId="41" fontId="111" fillId="0" borderId="0" xfId="2" applyNumberFormat="1" applyFont="1" applyFill="1" applyBorder="1" applyAlignment="1">
      <alignment vertical="center"/>
    </xf>
    <xf numFmtId="0" fontId="73" fillId="9" borderId="0" xfId="0" applyFont="1" applyFill="1" applyBorder="1" applyAlignment="1">
      <alignment horizontal="center" vertical="center"/>
    </xf>
    <xf numFmtId="0" fontId="79" fillId="9" borderId="0" xfId="0" applyFont="1" applyFill="1" applyBorder="1" applyAlignment="1">
      <alignment vertical="center"/>
    </xf>
    <xf numFmtId="170" fontId="62" fillId="0" borderId="77" xfId="115" applyNumberFormat="1" applyFont="1" applyFill="1" applyBorder="1" applyAlignment="1" applyProtection="1">
      <alignment vertical="center"/>
      <protection locked="0"/>
    </xf>
    <xf numFmtId="4" fontId="72" fillId="0" borderId="0" xfId="0" applyNumberFormat="1" applyFont="1" applyAlignment="1">
      <alignment vertical="center"/>
    </xf>
    <xf numFmtId="0" fontId="10" fillId="0" borderId="77" xfId="0" applyFont="1" applyFill="1" applyBorder="1" applyAlignment="1"/>
    <xf numFmtId="168" fontId="0" fillId="0" borderId="79" xfId="3" applyFont="1" applyFill="1" applyBorder="1" applyAlignment="1"/>
    <xf numFmtId="166" fontId="72" fillId="0" borderId="0" xfId="0" applyNumberFormat="1" applyFont="1" applyAlignment="1">
      <alignment vertical="center"/>
    </xf>
    <xf numFmtId="170" fontId="20" fillId="19" borderId="77" xfId="2" applyNumberFormat="1" applyFont="1" applyFill="1" applyBorder="1">
      <alignment vertical="center"/>
    </xf>
    <xf numFmtId="168" fontId="26" fillId="0" borderId="0" xfId="3" applyFont="1" applyFill="1" applyAlignment="1">
      <alignment vertical="center"/>
    </xf>
    <xf numFmtId="170" fontId="59" fillId="25" borderId="86" xfId="2" applyNumberFormat="1" applyFont="1" applyFill="1" applyBorder="1" applyAlignment="1">
      <alignment horizontal="center" vertical="justify"/>
    </xf>
    <xf numFmtId="170" fontId="70" fillId="14" borderId="77" xfId="2" applyNumberFormat="1" applyFont="1" applyFill="1" applyBorder="1" applyAlignment="1" applyProtection="1">
      <alignment vertical="center"/>
      <protection locked="0"/>
    </xf>
    <xf numFmtId="170" fontId="58" fillId="25" borderId="86" xfId="96" applyNumberFormat="1" applyFont="1" applyFill="1" applyBorder="1" applyAlignment="1">
      <alignment horizontal="center" vertical="justify"/>
    </xf>
    <xf numFmtId="169" fontId="62" fillId="19" borderId="77" xfId="96" applyNumberFormat="1" applyFont="1" applyFill="1" applyBorder="1" applyAlignment="1" applyProtection="1">
      <alignment vertical="center"/>
      <protection locked="0"/>
    </xf>
    <xf numFmtId="169" fontId="62" fillId="0" borderId="77" xfId="96" applyNumberFormat="1" applyFont="1" applyFill="1" applyBorder="1" applyAlignment="1" applyProtection="1">
      <alignment vertical="center"/>
      <protection locked="0"/>
    </xf>
    <xf numFmtId="168" fontId="10" fillId="0" borderId="77" xfId="0" applyNumberFormat="1" applyFont="1" applyBorder="1" applyAlignment="1"/>
    <xf numFmtId="178" fontId="92" fillId="0" borderId="77" xfId="0" applyNumberFormat="1" applyFont="1" applyFill="1" applyBorder="1" applyAlignment="1"/>
    <xf numFmtId="168" fontId="92" fillId="0" borderId="77" xfId="3" applyFont="1" applyBorder="1" applyAlignment="1"/>
    <xf numFmtId="169" fontId="70" fillId="14" borderId="77" xfId="2" applyNumberFormat="1" applyFont="1" applyFill="1" applyBorder="1" applyAlignment="1" applyProtection="1">
      <alignment vertical="center"/>
      <protection locked="0"/>
    </xf>
    <xf numFmtId="169" fontId="70" fillId="0" borderId="77" xfId="2" applyNumberFormat="1" applyFont="1" applyFill="1" applyBorder="1" applyAlignment="1" applyProtection="1">
      <alignment vertical="center"/>
      <protection locked="0"/>
    </xf>
    <xf numFmtId="169" fontId="70" fillId="0" borderId="77" xfId="2" applyNumberFormat="1" applyFont="1" applyBorder="1" applyAlignment="1" applyProtection="1">
      <alignment vertical="center"/>
      <protection locked="0"/>
    </xf>
    <xf numFmtId="170" fontId="54" fillId="0" borderId="0" xfId="95" applyNumberFormat="1" applyFont="1" applyAlignment="1">
      <alignment vertical="center"/>
    </xf>
    <xf numFmtId="168" fontId="62" fillId="0" borderId="0" xfId="3" applyFont="1" applyAlignment="1">
      <alignment vertical="center"/>
    </xf>
    <xf numFmtId="168" fontId="54" fillId="0" borderId="0" xfId="3" applyFont="1" applyAlignment="1">
      <alignment vertical="center"/>
    </xf>
    <xf numFmtId="184" fontId="70" fillId="0" borderId="53" xfId="3" applyNumberFormat="1" applyFont="1" applyBorder="1" applyAlignment="1">
      <alignment vertical="center"/>
    </xf>
    <xf numFmtId="168" fontId="70" fillId="0" borderId="56" xfId="3" applyFont="1" applyFill="1" applyBorder="1" applyAlignment="1">
      <alignment vertical="center"/>
    </xf>
    <xf numFmtId="168" fontId="70" fillId="0" borderId="53" xfId="3" applyFont="1" applyFill="1" applyBorder="1" applyAlignment="1">
      <alignment vertical="center"/>
    </xf>
    <xf numFmtId="168" fontId="70" fillId="0" borderId="0" xfId="3" applyFont="1" applyFill="1" applyAlignment="1">
      <alignment vertical="center"/>
    </xf>
    <xf numFmtId="14" fontId="0" fillId="43" borderId="77" xfId="0" applyNumberFormat="1" applyFill="1" applyBorder="1" applyAlignment="1"/>
    <xf numFmtId="168" fontId="0" fillId="43" borderId="77" xfId="3" applyFont="1" applyFill="1" applyBorder="1" applyAlignment="1"/>
    <xf numFmtId="0" fontId="0" fillId="43" borderId="77" xfId="0" applyFill="1" applyBorder="1" applyAlignment="1"/>
    <xf numFmtId="0" fontId="0" fillId="0" borderId="77" xfId="0" quotePrefix="1" applyFill="1" applyBorder="1" applyAlignment="1"/>
    <xf numFmtId="0" fontId="0" fillId="0" borderId="53" xfId="0" applyBorder="1" applyAlignment="1"/>
    <xf numFmtId="0" fontId="0" fillId="42" borderId="77" xfId="0" applyFill="1" applyBorder="1" applyAlignment="1"/>
    <xf numFmtId="0" fontId="73" fillId="9" borderId="79" xfId="0" applyFont="1" applyFill="1" applyBorder="1" applyAlignment="1">
      <alignment horizontal="center" vertical="center"/>
    </xf>
    <xf numFmtId="0" fontId="79" fillId="9" borderId="64" xfId="0" applyFont="1" applyFill="1" applyBorder="1" applyAlignment="1">
      <alignment vertical="center"/>
    </xf>
    <xf numFmtId="0" fontId="79" fillId="9" borderId="79" xfId="0" applyFont="1" applyFill="1" applyBorder="1" applyAlignment="1">
      <alignment vertical="center"/>
    </xf>
    <xf numFmtId="170" fontId="59" fillId="9" borderId="79" xfId="2" applyNumberFormat="1" applyFont="1" applyFill="1" applyBorder="1" applyAlignment="1" applyProtection="1">
      <alignment vertical="center"/>
      <protection locked="0"/>
    </xf>
    <xf numFmtId="170" fontId="59" fillId="9" borderId="64" xfId="2" applyNumberFormat="1" applyFont="1" applyFill="1" applyBorder="1" applyAlignment="1" applyProtection="1">
      <alignment vertical="center"/>
      <protection locked="0"/>
    </xf>
    <xf numFmtId="0" fontId="73" fillId="13" borderId="88" xfId="0" applyFont="1" applyFill="1" applyBorder="1" applyAlignment="1">
      <alignment horizontal="center" vertical="center"/>
    </xf>
    <xf numFmtId="0" fontId="79" fillId="13" borderId="88" xfId="0" applyFont="1" applyFill="1" applyBorder="1" applyAlignment="1">
      <alignment vertical="center"/>
    </xf>
    <xf numFmtId="170" fontId="59" fillId="13" borderId="88" xfId="2" applyNumberFormat="1" applyFont="1" applyFill="1" applyBorder="1" applyAlignment="1" applyProtection="1">
      <alignment vertical="center"/>
      <protection locked="0"/>
    </xf>
    <xf numFmtId="168" fontId="70" fillId="0" borderId="78" xfId="3" applyFont="1" applyBorder="1" applyAlignment="1" applyProtection="1">
      <alignment vertical="center"/>
      <protection locked="0"/>
    </xf>
    <xf numFmtId="178" fontId="0" fillId="0" borderId="77" xfId="0" applyNumberFormat="1" applyFont="1" applyBorder="1" applyAlignment="1"/>
    <xf numFmtId="178" fontId="0" fillId="0" borderId="52" xfId="0" applyNumberFormat="1" applyBorder="1" applyAlignment="1"/>
    <xf numFmtId="184" fontId="70" fillId="0" borderId="77" xfId="3" applyNumberFormat="1" applyFont="1" applyFill="1" applyBorder="1" applyAlignment="1">
      <alignment vertical="center"/>
    </xf>
    <xf numFmtId="172" fontId="26" fillId="0" borderId="77" xfId="115" applyNumberFormat="1" applyFont="1" applyFill="1" applyBorder="1" applyAlignment="1">
      <alignment vertical="center"/>
    </xf>
    <xf numFmtId="168" fontId="26" fillId="0" borderId="77" xfId="3" applyFont="1" applyFill="1" applyBorder="1" applyAlignment="1">
      <alignment horizontal="center" vertical="center"/>
    </xf>
    <xf numFmtId="184" fontId="16" fillId="0" borderId="77" xfId="3" applyNumberFormat="1" applyFont="1" applyFill="1" applyBorder="1" applyAlignment="1">
      <alignment vertical="center"/>
    </xf>
    <xf numFmtId="0" fontId="0" fillId="0" borderId="77" xfId="0" quotePrefix="1" applyNumberFormat="1" applyBorder="1" applyAlignment="1"/>
    <xf numFmtId="0" fontId="95" fillId="0" borderId="78" xfId="114" applyFont="1" applyFill="1" applyBorder="1" applyAlignment="1">
      <alignment horizontal="center"/>
    </xf>
    <xf numFmtId="171" fontId="95" fillId="0" borderId="0" xfId="0" applyNumberFormat="1" applyFont="1" applyAlignment="1"/>
    <xf numFmtId="0" fontId="95" fillId="0" borderId="0" xfId="82" applyFont="1" applyAlignment="1">
      <alignment horizontal="center" vertical="center"/>
    </xf>
    <xf numFmtId="0" fontId="95" fillId="0" borderId="0" xfId="82" applyFont="1" applyAlignment="1"/>
    <xf numFmtId="0" fontId="95" fillId="0" borderId="0" xfId="82" applyFont="1" applyAlignment="1">
      <alignment horizontal="center"/>
    </xf>
    <xf numFmtId="173" fontId="95" fillId="0" borderId="0" xfId="82" applyNumberFormat="1" applyFont="1" applyAlignment="1"/>
    <xf numFmtId="171" fontId="95" fillId="0" borderId="0" xfId="82" applyNumberFormat="1" applyFont="1" applyAlignment="1"/>
    <xf numFmtId="171" fontId="95" fillId="0" borderId="0" xfId="82" applyNumberFormat="1" applyFont="1" applyAlignment="1">
      <alignment horizontal="center"/>
    </xf>
    <xf numFmtId="172" fontId="95" fillId="0" borderId="0" xfId="2" applyNumberFormat="1" applyFont="1" applyAlignment="1">
      <alignment horizontal="center"/>
    </xf>
    <xf numFmtId="14" fontId="95" fillId="0" borderId="0" xfId="82" applyNumberFormat="1" applyFont="1" applyAlignment="1"/>
    <xf numFmtId="0" fontId="95" fillId="0" borderId="0" xfId="0" applyFont="1" applyAlignment="1"/>
    <xf numFmtId="171" fontId="95" fillId="0" borderId="0" xfId="82" applyNumberFormat="1" applyFont="1" applyAlignment="1">
      <alignment horizontal="center" vertical="center"/>
    </xf>
    <xf numFmtId="9" fontId="95" fillId="0" borderId="0" xfId="82" applyNumberFormat="1" applyFont="1" applyAlignment="1"/>
    <xf numFmtId="0" fontId="99" fillId="14" borderId="0" xfId="0" applyFont="1" applyFill="1" applyAlignment="1"/>
    <xf numFmtId="3" fontId="99" fillId="14" borderId="31" xfId="64" applyNumberFormat="1" applyFont="1" applyFill="1" applyBorder="1" applyAlignment="1">
      <alignment horizontal="center" vertical="center"/>
    </xf>
    <xf numFmtId="172" fontId="99" fillId="14" borderId="31" xfId="15" applyNumberFormat="1" applyFont="1" applyFill="1" applyBorder="1" applyAlignment="1">
      <alignment horizontal="center" vertical="center"/>
    </xf>
    <xf numFmtId="173" fontId="99" fillId="14" borderId="31" xfId="64" applyNumberFormat="1" applyFont="1" applyFill="1" applyBorder="1" applyAlignment="1">
      <alignment horizontal="center" vertical="center"/>
    </xf>
    <xf numFmtId="171" fontId="95" fillId="14" borderId="31" xfId="0" applyNumberFormat="1" applyFont="1" applyFill="1" applyBorder="1" applyAlignment="1" applyProtection="1">
      <alignment horizontal="center"/>
    </xf>
    <xf numFmtId="0" fontId="95" fillId="14" borderId="31" xfId="0" applyFont="1" applyFill="1" applyBorder="1" applyAlignment="1" applyProtection="1">
      <alignment horizontal="center" vertical="center"/>
    </xf>
    <xf numFmtId="0" fontId="95" fillId="14" borderId="31" xfId="0" applyFont="1" applyFill="1" applyBorder="1" applyAlignment="1" applyProtection="1"/>
    <xf numFmtId="0" fontId="95" fillId="14" borderId="31" xfId="0" applyFont="1" applyFill="1" applyBorder="1" applyAlignment="1" applyProtection="1">
      <alignment horizontal="center"/>
    </xf>
    <xf numFmtId="173" fontId="95" fillId="14" borderId="31" xfId="0" applyNumberFormat="1" applyFont="1" applyFill="1" applyBorder="1" applyAlignment="1" applyProtection="1"/>
    <xf numFmtId="0" fontId="95" fillId="0" borderId="0" xfId="0" applyFont="1" applyAlignment="1" applyProtection="1"/>
    <xf numFmtId="171" fontId="95" fillId="4" borderId="78" xfId="0" applyNumberFormat="1" applyFont="1" applyFill="1" applyBorder="1" applyAlignment="1">
      <alignment horizontal="center"/>
    </xf>
    <xf numFmtId="172" fontId="95" fillId="4" borderId="78" xfId="0" applyNumberFormat="1" applyFont="1" applyFill="1" applyBorder="1" applyAlignment="1"/>
    <xf numFmtId="173" fontId="95" fillId="4" borderId="78" xfId="0" applyNumberFormat="1" applyFont="1" applyFill="1" applyBorder="1" applyAlignment="1"/>
    <xf numFmtId="178" fontId="95" fillId="4" borderId="78" xfId="0" applyNumberFormat="1" applyFont="1" applyFill="1" applyBorder="1" applyAlignment="1">
      <alignment horizontal="center"/>
    </xf>
    <xf numFmtId="172" fontId="95" fillId="0" borderId="78" xfId="2" applyNumberFormat="1" applyFont="1" applyFill="1" applyBorder="1" applyAlignment="1">
      <alignment horizontal="center"/>
    </xf>
    <xf numFmtId="164" fontId="99" fillId="0" borderId="19" xfId="0" applyNumberFormat="1" applyFont="1" applyBorder="1" applyAlignment="1"/>
    <xf numFmtId="172" fontId="99" fillId="0" borderId="19" xfId="0" applyNumberFormat="1" applyFont="1" applyBorder="1" applyAlignment="1">
      <alignment horizontal="center"/>
    </xf>
    <xf numFmtId="0" fontId="99" fillId="0" borderId="0" xfId="0" applyFont="1" applyAlignment="1"/>
    <xf numFmtId="0" fontId="95" fillId="0" borderId="0" xfId="0" applyFont="1" applyAlignment="1">
      <alignment horizontal="center" vertical="center"/>
    </xf>
    <xf numFmtId="0" fontId="95" fillId="0" borderId="0" xfId="0" applyFont="1" applyAlignment="1">
      <alignment horizontal="center"/>
    </xf>
    <xf numFmtId="173" fontId="95" fillId="0" borderId="0" xfId="0" applyNumberFormat="1" applyFont="1" applyAlignment="1"/>
    <xf numFmtId="172" fontId="95" fillId="0" borderId="0" xfId="2" applyNumberFormat="1" applyFont="1" applyAlignment="1"/>
    <xf numFmtId="14" fontId="95" fillId="0" borderId="0" xfId="0" applyNumberFormat="1" applyFont="1" applyAlignment="1"/>
    <xf numFmtId="0" fontId="103" fillId="0" borderId="0" xfId="0" applyFont="1" applyAlignment="1">
      <alignment horizontal="right"/>
    </xf>
    <xf numFmtId="182" fontId="103" fillId="0" borderId="0" xfId="0" applyNumberFormat="1" applyFont="1" applyAlignment="1">
      <alignment horizontal="right"/>
    </xf>
    <xf numFmtId="171" fontId="95" fillId="0" borderId="0" xfId="0" applyNumberFormat="1" applyFont="1" applyAlignment="1">
      <alignment horizontal="center"/>
    </xf>
    <xf numFmtId="0" fontId="99" fillId="0" borderId="0" xfId="0" applyFont="1" applyAlignment="1">
      <alignment horizontal="center"/>
    </xf>
    <xf numFmtId="182" fontId="99" fillId="0" borderId="0" xfId="0" applyNumberFormat="1" applyFont="1" applyAlignment="1">
      <alignment horizontal="right"/>
    </xf>
    <xf numFmtId="182" fontId="115" fillId="14" borderId="0" xfId="0" applyNumberFormat="1" applyFont="1" applyFill="1" applyAlignment="1">
      <alignment horizontal="right"/>
    </xf>
    <xf numFmtId="183" fontId="95" fillId="0" borderId="0" xfId="0" applyNumberFormat="1" applyFont="1" applyAlignment="1"/>
    <xf numFmtId="171" fontId="95" fillId="0" borderId="77" xfId="114" applyNumberFormat="1" applyFont="1" applyFill="1" applyBorder="1" applyAlignment="1">
      <alignment horizontal="center"/>
    </xf>
    <xf numFmtId="0" fontId="95" fillId="0" borderId="0" xfId="82" applyFont="1" applyAlignment="1">
      <alignment horizontal="right"/>
    </xf>
    <xf numFmtId="173" fontId="95" fillId="0" borderId="0" xfId="82" applyNumberFormat="1" applyFont="1" applyAlignment="1">
      <alignment horizontal="right"/>
    </xf>
    <xf numFmtId="0" fontId="95" fillId="0" borderId="0" xfId="0" applyFont="1" applyAlignment="1">
      <alignment horizontal="right"/>
    </xf>
    <xf numFmtId="0" fontId="107" fillId="0" borderId="0" xfId="0" applyFont="1" applyAlignment="1">
      <alignment horizontal="right"/>
    </xf>
    <xf numFmtId="171" fontId="95" fillId="0" borderId="0" xfId="82" applyNumberFormat="1" applyFont="1" applyAlignment="1">
      <alignment horizontal="right" vertical="center"/>
    </xf>
    <xf numFmtId="9" fontId="95" fillId="0" borderId="0" xfId="82" applyNumberFormat="1" applyFont="1" applyAlignment="1">
      <alignment horizontal="right"/>
    </xf>
    <xf numFmtId="173" fontId="99" fillId="14" borderId="34" xfId="64" applyNumberFormat="1" applyFont="1" applyFill="1" applyBorder="1" applyAlignment="1">
      <alignment horizontal="center" vertical="center"/>
    </xf>
    <xf numFmtId="0" fontId="99" fillId="0" borderId="0" xfId="0" applyFont="1" applyAlignment="1">
      <alignment horizontal="right"/>
    </xf>
    <xf numFmtId="3" fontId="99" fillId="14" borderId="30" xfId="64" applyNumberFormat="1" applyFont="1" applyFill="1" applyBorder="1" applyAlignment="1">
      <alignment horizontal="center" vertical="center"/>
    </xf>
    <xf numFmtId="172" fontId="99" fillId="14" borderId="29" xfId="15" applyNumberFormat="1" applyFont="1" applyFill="1" applyBorder="1" applyAlignment="1">
      <alignment horizontal="center" vertical="center"/>
    </xf>
    <xf numFmtId="0" fontId="99" fillId="0" borderId="0" xfId="0" applyFont="1" applyAlignment="1" applyProtection="1">
      <alignment horizontal="right"/>
    </xf>
    <xf numFmtId="171" fontId="95" fillId="4" borderId="77" xfId="0" applyNumberFormat="1" applyFont="1" applyFill="1" applyBorder="1" applyAlignment="1">
      <alignment horizontal="center"/>
    </xf>
    <xf numFmtId="1" fontId="95" fillId="4" borderId="77" xfId="2" applyNumberFormat="1" applyFont="1" applyFill="1" applyBorder="1" applyAlignment="1">
      <alignment horizontal="center"/>
    </xf>
    <xf numFmtId="171" fontId="95" fillId="4" borderId="77" xfId="0" applyNumberFormat="1" applyFont="1" applyFill="1" applyBorder="1" applyAlignment="1">
      <alignment horizontal="right"/>
    </xf>
    <xf numFmtId="173" fontId="116" fillId="4" borderId="77" xfId="0" applyNumberFormat="1" applyFont="1" applyFill="1" applyBorder="1" applyAlignment="1">
      <alignment horizontal="right"/>
    </xf>
    <xf numFmtId="0" fontId="95" fillId="4" borderId="77" xfId="0" applyNumberFormat="1" applyFont="1" applyFill="1" applyBorder="1" applyAlignment="1">
      <alignment horizontal="right"/>
    </xf>
    <xf numFmtId="172" fontId="95" fillId="0" borderId="77" xfId="2" applyNumberFormat="1" applyFont="1" applyFill="1" applyBorder="1" applyAlignment="1">
      <alignment horizontal="right"/>
    </xf>
    <xf numFmtId="172" fontId="95" fillId="4" borderId="77" xfId="0" applyNumberFormat="1" applyFont="1" applyFill="1" applyBorder="1" applyAlignment="1">
      <alignment horizontal="right"/>
    </xf>
    <xf numFmtId="179" fontId="95" fillId="4" borderId="77" xfId="0" applyNumberFormat="1" applyFont="1" applyFill="1" applyBorder="1" applyAlignment="1">
      <alignment horizontal="right"/>
    </xf>
    <xf numFmtId="172" fontId="95" fillId="0" borderId="77" xfId="115" applyNumberFormat="1" applyFont="1" applyFill="1" applyBorder="1" applyAlignment="1">
      <alignment horizontal="center"/>
    </xf>
    <xf numFmtId="174" fontId="99" fillId="0" borderId="1" xfId="0" applyNumberFormat="1" applyFont="1" applyBorder="1" applyAlignment="1">
      <alignment horizontal="right"/>
    </xf>
    <xf numFmtId="171" fontId="99" fillId="0" borderId="1" xfId="0" applyNumberFormat="1" applyFont="1" applyBorder="1" applyAlignment="1">
      <alignment horizontal="center"/>
    </xf>
    <xf numFmtId="172" fontId="99" fillId="0" borderId="1" xfId="0" applyNumberFormat="1" applyFont="1" applyBorder="1" applyAlignment="1">
      <alignment horizontal="center"/>
    </xf>
    <xf numFmtId="164" fontId="99" fillId="0" borderId="1" xfId="0" applyNumberFormat="1" applyFont="1" applyBorder="1" applyAlignment="1">
      <alignment horizontal="right"/>
    </xf>
    <xf numFmtId="172" fontId="99" fillId="0" borderId="1" xfId="0" applyNumberFormat="1" applyFont="1" applyBorder="1" applyAlignment="1">
      <alignment horizontal="right"/>
    </xf>
    <xf numFmtId="172" fontId="95" fillId="0" borderId="0" xfId="0" applyNumberFormat="1" applyFont="1" applyAlignment="1">
      <alignment horizontal="right"/>
    </xf>
    <xf numFmtId="173" fontId="95" fillId="0" borderId="0" xfId="0" applyNumberFormat="1" applyFont="1" applyAlignment="1">
      <alignment horizontal="right"/>
    </xf>
    <xf numFmtId="174" fontId="95" fillId="0" borderId="0" xfId="0" applyNumberFormat="1" applyFont="1" applyAlignment="1">
      <alignment horizontal="right" vertical="center"/>
    </xf>
    <xf numFmtId="0" fontId="95" fillId="0" borderId="0" xfId="0" applyFont="1" applyAlignment="1">
      <alignment horizontal="right" vertical="center"/>
    </xf>
    <xf numFmtId="171" fontId="99" fillId="0" borderId="0" xfId="0" applyNumberFormat="1" applyFont="1" applyAlignment="1">
      <alignment horizontal="right"/>
    </xf>
    <xf numFmtId="173" fontId="99" fillId="0" borderId="0" xfId="0" applyNumberFormat="1" applyFont="1" applyAlignment="1">
      <alignment horizontal="right"/>
    </xf>
    <xf numFmtId="0" fontId="99" fillId="0" borderId="0" xfId="82" applyFont="1" applyAlignment="1">
      <alignment horizontal="center" vertical="center"/>
    </xf>
    <xf numFmtId="0" fontId="99" fillId="0" borderId="0" xfId="82" applyFont="1" applyAlignment="1">
      <alignment horizontal="right"/>
    </xf>
    <xf numFmtId="0" fontId="99" fillId="0" borderId="0" xfId="82" applyFont="1" applyAlignment="1">
      <alignment horizontal="center"/>
    </xf>
    <xf numFmtId="173" fontId="99" fillId="0" borderId="0" xfId="82" applyNumberFormat="1" applyFont="1" applyAlignment="1">
      <alignment horizontal="right"/>
    </xf>
    <xf numFmtId="171" fontId="99" fillId="0" borderId="0" xfId="82" applyNumberFormat="1" applyFont="1" applyAlignment="1">
      <alignment horizontal="center" vertical="center"/>
    </xf>
    <xf numFmtId="171" fontId="99" fillId="0" borderId="0" xfId="82" applyNumberFormat="1" applyFont="1" applyAlignment="1">
      <alignment horizontal="right" vertical="center"/>
    </xf>
    <xf numFmtId="9" fontId="99" fillId="0" borderId="0" xfId="82" applyNumberFormat="1" applyFont="1" applyAlignment="1">
      <alignment horizontal="right"/>
    </xf>
    <xf numFmtId="171" fontId="99" fillId="14" borderId="31" xfId="0" applyNumberFormat="1" applyFont="1" applyFill="1" applyBorder="1" applyAlignment="1" applyProtection="1">
      <alignment horizontal="center"/>
    </xf>
    <xf numFmtId="0" fontId="99" fillId="14" borderId="31" xfId="0" applyFont="1" applyFill="1" applyBorder="1" applyAlignment="1" applyProtection="1">
      <alignment horizontal="center" vertical="center"/>
    </xf>
    <xf numFmtId="0" fontId="99" fillId="14" borderId="31" xfId="0" applyFont="1" applyFill="1" applyBorder="1" applyAlignment="1" applyProtection="1">
      <alignment horizontal="center"/>
    </xf>
    <xf numFmtId="173" fontId="99" fillId="14" borderId="31" xfId="0" applyNumberFormat="1" applyFont="1" applyFill="1" applyBorder="1" applyAlignment="1" applyProtection="1">
      <alignment horizontal="center"/>
    </xf>
    <xf numFmtId="173" fontId="99" fillId="14" borderId="30" xfId="0" applyNumberFormat="1" applyFont="1" applyFill="1" applyBorder="1" applyAlignment="1" applyProtection="1">
      <alignment horizontal="center"/>
    </xf>
    <xf numFmtId="0" fontId="99" fillId="14" borderId="30" xfId="0" applyFont="1" applyFill="1" applyBorder="1" applyAlignment="1" applyProtection="1">
      <alignment horizontal="center"/>
    </xf>
    <xf numFmtId="0" fontId="99" fillId="14" borderId="29" xfId="0" applyFont="1" applyFill="1" applyBorder="1" applyAlignment="1" applyProtection="1">
      <alignment horizontal="center"/>
    </xf>
    <xf numFmtId="0" fontId="99" fillId="0" borderId="0" xfId="0" applyFont="1" applyAlignment="1" applyProtection="1">
      <alignment horizontal="center"/>
    </xf>
    <xf numFmtId="173" fontId="95" fillId="0" borderId="77" xfId="0" applyNumberFormat="1" applyFont="1" applyFill="1" applyBorder="1" applyAlignment="1">
      <alignment horizontal="right"/>
    </xf>
    <xf numFmtId="172" fontId="99" fillId="0" borderId="1" xfId="0" applyNumberFormat="1" applyFont="1" applyFill="1" applyBorder="1" applyAlignment="1">
      <alignment horizontal="right"/>
    </xf>
    <xf numFmtId="172" fontId="99" fillId="0" borderId="77" xfId="0" applyNumberFormat="1" applyFont="1" applyFill="1" applyBorder="1" applyAlignment="1">
      <alignment horizontal="right"/>
    </xf>
    <xf numFmtId="173" fontId="99" fillId="0" borderId="77" xfId="0" applyNumberFormat="1" applyFont="1" applyFill="1" applyBorder="1" applyAlignment="1">
      <alignment horizontal="right"/>
    </xf>
    <xf numFmtId="172" fontId="99" fillId="0" borderId="77" xfId="2" applyNumberFormat="1" applyFont="1" applyFill="1" applyBorder="1" applyAlignment="1">
      <alignment horizontal="right"/>
    </xf>
    <xf numFmtId="172" fontId="99" fillId="0" borderId="1" xfId="0" applyNumberFormat="1" applyFont="1" applyFill="1" applyBorder="1" applyAlignment="1">
      <alignment horizontal="center"/>
    </xf>
    <xf numFmtId="172" fontId="99" fillId="0" borderId="0" xfId="0" applyNumberFormat="1" applyFont="1" applyAlignment="1">
      <alignment horizontal="right"/>
    </xf>
    <xf numFmtId="172" fontId="99" fillId="0" borderId="0" xfId="0" applyNumberFormat="1" applyFont="1" applyAlignment="1">
      <alignment horizontal="center"/>
    </xf>
    <xf numFmtId="168" fontId="99" fillId="0" borderId="0" xfId="3" applyFont="1" applyAlignment="1">
      <alignment horizontal="right"/>
    </xf>
    <xf numFmtId="168" fontId="95" fillId="0" borderId="0" xfId="3" applyFont="1" applyAlignment="1">
      <alignment horizontal="right"/>
    </xf>
    <xf numFmtId="171" fontId="99" fillId="0" borderId="0" xfId="0" applyNumberFormat="1" applyFont="1" applyAlignment="1">
      <alignment horizontal="center"/>
    </xf>
    <xf numFmtId="171" fontId="99" fillId="0" borderId="0" xfId="0" applyNumberFormat="1" applyFont="1" applyAlignment="1"/>
    <xf numFmtId="0" fontId="99" fillId="0" borderId="0" xfId="82" applyFont="1" applyAlignment="1"/>
    <xf numFmtId="171" fontId="99" fillId="0" borderId="0" xfId="82" applyNumberFormat="1" applyFont="1" applyAlignment="1"/>
    <xf numFmtId="9" fontId="99" fillId="0" borderId="0" xfId="82" applyNumberFormat="1" applyFont="1" applyAlignment="1"/>
    <xf numFmtId="0" fontId="99" fillId="0" borderId="0" xfId="0" applyFont="1" applyFill="1" applyAlignment="1"/>
    <xf numFmtId="172" fontId="99" fillId="14" borderId="48" xfId="15" applyNumberFormat="1" applyFont="1" applyFill="1" applyBorder="1" applyAlignment="1">
      <alignment horizontal="center" vertical="center"/>
    </xf>
    <xf numFmtId="172" fontId="99" fillId="14" borderId="22" xfId="15" applyNumberFormat="1" applyFont="1" applyFill="1" applyBorder="1" applyAlignment="1">
      <alignment horizontal="center" vertical="center"/>
    </xf>
    <xf numFmtId="0" fontId="99" fillId="0" borderId="0" xfId="0" applyFont="1" applyFill="1" applyAlignment="1" applyProtection="1"/>
    <xf numFmtId="172" fontId="99" fillId="0" borderId="0" xfId="0" applyNumberFormat="1" applyFont="1" applyAlignment="1"/>
    <xf numFmtId="0" fontId="95" fillId="0" borderId="0" xfId="0" applyFont="1" applyFill="1" applyBorder="1" applyAlignment="1"/>
    <xf numFmtId="170" fontId="16" fillId="0" borderId="77" xfId="115" applyNumberFormat="1" applyFont="1" applyFill="1" applyBorder="1" applyAlignment="1">
      <alignment horizontal="center"/>
    </xf>
    <xf numFmtId="171" fontId="92" fillId="0" borderId="77" xfId="0" applyNumberFormat="1" applyFont="1" applyBorder="1" applyAlignment="1"/>
    <xf numFmtId="178" fontId="92" fillId="0" borderId="77" xfId="0" applyNumberFormat="1" applyFont="1" applyBorder="1" applyAlignment="1"/>
    <xf numFmtId="43" fontId="92" fillId="0" borderId="77" xfId="2" applyFont="1" applyBorder="1" applyAlignment="1"/>
    <xf numFmtId="172" fontId="92" fillId="0" borderId="77" xfId="2" applyNumberFormat="1" applyFont="1" applyBorder="1" applyAlignment="1"/>
    <xf numFmtId="43" fontId="92" fillId="14" borderId="77" xfId="2" applyFont="1" applyFill="1" applyBorder="1" applyAlignment="1"/>
    <xf numFmtId="43" fontId="92" fillId="20" borderId="77" xfId="2" applyFont="1" applyFill="1" applyBorder="1" applyAlignment="1"/>
    <xf numFmtId="168" fontId="92" fillId="20" borderId="77" xfId="3" applyFont="1" applyFill="1" applyBorder="1" applyAlignment="1"/>
    <xf numFmtId="0" fontId="92" fillId="14" borderId="77" xfId="0" applyFont="1" applyFill="1" applyBorder="1" applyAlignment="1"/>
    <xf numFmtId="0" fontId="92" fillId="20" borderId="77" xfId="0" applyFont="1" applyFill="1" applyBorder="1" applyAlignment="1"/>
    <xf numFmtId="178" fontId="92" fillId="16" borderId="77" xfId="0" applyNumberFormat="1" applyFont="1" applyFill="1" applyBorder="1" applyAlignment="1"/>
    <xf numFmtId="43" fontId="92" fillId="0" borderId="77" xfId="2" applyFont="1" applyFill="1" applyBorder="1" applyAlignment="1"/>
    <xf numFmtId="0" fontId="92" fillId="16" borderId="77" xfId="0" applyFont="1" applyFill="1" applyBorder="1" applyAlignment="1"/>
    <xf numFmtId="178" fontId="92" fillId="20" borderId="77" xfId="0" applyNumberFormat="1" applyFont="1" applyFill="1" applyBorder="1" applyAlignment="1"/>
    <xf numFmtId="178" fontId="92" fillId="40" borderId="77" xfId="0" applyNumberFormat="1" applyFont="1" applyFill="1" applyBorder="1" applyAlignment="1"/>
    <xf numFmtId="0" fontId="92" fillId="40" borderId="77" xfId="0" applyFont="1" applyFill="1" applyBorder="1" applyAlignment="1"/>
    <xf numFmtId="14" fontId="92" fillId="25" borderId="77" xfId="0" applyNumberFormat="1" applyFont="1" applyFill="1" applyBorder="1" applyAlignment="1"/>
    <xf numFmtId="0" fontId="92" fillId="25" borderId="77" xfId="0" applyFont="1" applyFill="1" applyBorder="1" applyAlignment="1"/>
    <xf numFmtId="14" fontId="92" fillId="14" borderId="77" xfId="0" applyNumberFormat="1" applyFont="1" applyFill="1" applyBorder="1" applyAlignment="1"/>
    <xf numFmtId="14" fontId="104" fillId="20" borderId="77" xfId="0" applyNumberFormat="1" applyFont="1" applyFill="1" applyBorder="1" applyAlignment="1"/>
    <xf numFmtId="0" fontId="104" fillId="20" borderId="77" xfId="0" applyFont="1" applyFill="1" applyBorder="1" applyAlignment="1"/>
    <xf numFmtId="178" fontId="92" fillId="25" borderId="77" xfId="0" applyNumberFormat="1" applyFont="1" applyFill="1" applyBorder="1" applyAlignment="1"/>
    <xf numFmtId="43" fontId="93" fillId="20" borderId="77" xfId="2" applyFont="1" applyFill="1" applyBorder="1" applyAlignment="1"/>
    <xf numFmtId="168" fontId="104" fillId="14" borderId="77" xfId="3" applyFont="1" applyFill="1" applyBorder="1" applyAlignment="1"/>
    <xf numFmtId="171" fontId="92" fillId="16" borderId="77" xfId="0" applyNumberFormat="1" applyFont="1" applyFill="1" applyBorder="1" applyAlignment="1"/>
    <xf numFmtId="178" fontId="92" fillId="14" borderId="77" xfId="0" applyNumberFormat="1" applyFont="1" applyFill="1" applyBorder="1" applyAlignment="1"/>
    <xf numFmtId="43" fontId="92" fillId="16" borderId="77" xfId="2" applyFont="1" applyFill="1" applyBorder="1" applyAlignment="1"/>
    <xf numFmtId="43" fontId="92" fillId="25" borderId="77" xfId="2" applyFont="1" applyFill="1" applyBorder="1" applyAlignment="1"/>
    <xf numFmtId="171" fontId="92" fillId="0" borderId="77" xfId="0" applyNumberFormat="1" applyFont="1" applyFill="1" applyBorder="1" applyAlignment="1"/>
    <xf numFmtId="179" fontId="92" fillId="0" borderId="77" xfId="3" applyNumberFormat="1" applyFont="1" applyFill="1" applyBorder="1" applyAlignment="1"/>
    <xf numFmtId="179" fontId="92" fillId="0" borderId="77" xfId="3" applyNumberFormat="1" applyFont="1" applyBorder="1" applyAlignment="1"/>
    <xf numFmtId="172" fontId="92" fillId="0" borderId="77" xfId="2" applyNumberFormat="1" applyFont="1" applyFill="1" applyBorder="1" applyAlignment="1"/>
    <xf numFmtId="14" fontId="104" fillId="0" borderId="77" xfId="0" applyNumberFormat="1" applyFont="1" applyFill="1" applyBorder="1" applyAlignment="1"/>
    <xf numFmtId="0" fontId="104" fillId="0" borderId="77" xfId="0" applyFont="1" applyFill="1" applyBorder="1" applyAlignment="1"/>
    <xf numFmtId="178" fontId="92" fillId="0" borderId="77" xfId="3" applyNumberFormat="1" applyFont="1" applyFill="1" applyBorder="1" applyAlignment="1"/>
    <xf numFmtId="178" fontId="92" fillId="0" borderId="77" xfId="3" applyNumberFormat="1" applyFont="1" applyBorder="1" applyAlignment="1"/>
    <xf numFmtId="10" fontId="95" fillId="0" borderId="0" xfId="82" applyNumberFormat="1" applyFont="1" applyAlignment="1"/>
    <xf numFmtId="10" fontId="99" fillId="0" borderId="0" xfId="82" applyNumberFormat="1" applyFont="1" applyAlignment="1">
      <alignment horizontal="right"/>
    </xf>
    <xf numFmtId="10" fontId="99" fillId="0" borderId="0" xfId="82" applyNumberFormat="1" applyFont="1" applyAlignment="1"/>
    <xf numFmtId="10" fontId="95" fillId="0" borderId="0" xfId="82" applyNumberFormat="1" applyFont="1" applyAlignment="1">
      <alignment horizontal="center"/>
    </xf>
    <xf numFmtId="10" fontId="95" fillId="0" borderId="0" xfId="82" applyNumberFormat="1" applyFont="1" applyAlignment="1">
      <alignment horizontal="right"/>
    </xf>
    <xf numFmtId="164" fontId="95" fillId="0" borderId="0" xfId="0" applyNumberFormat="1" applyFont="1" applyAlignment="1"/>
    <xf numFmtId="0" fontId="73" fillId="25" borderId="79" xfId="0" applyFont="1" applyFill="1" applyBorder="1" applyAlignment="1">
      <alignment horizontal="center" vertical="center"/>
    </xf>
    <xf numFmtId="0" fontId="73" fillId="25" borderId="77" xfId="0" applyFont="1" applyFill="1" applyBorder="1" applyAlignment="1">
      <alignment horizontal="center" vertical="center"/>
    </xf>
    <xf numFmtId="0" fontId="59" fillId="25" borderId="77" xfId="0" applyFont="1" applyFill="1" applyBorder="1" applyAlignment="1">
      <alignment horizontal="center" vertical="center"/>
    </xf>
    <xf numFmtId="0" fontId="78" fillId="0" borderId="77" xfId="0" applyFont="1" applyBorder="1" applyAlignment="1">
      <alignment vertical="center"/>
    </xf>
    <xf numFmtId="170" fontId="70" fillId="19" borderId="77" xfId="2" applyNumberFormat="1" applyFont="1" applyFill="1" applyBorder="1" applyAlignment="1" applyProtection="1">
      <alignment vertical="center"/>
      <protection locked="0"/>
    </xf>
    <xf numFmtId="168" fontId="70" fillId="0" borderId="77" xfId="3" applyFont="1" applyFill="1" applyBorder="1" applyAlignment="1"/>
    <xf numFmtId="168" fontId="70" fillId="0" borderId="77" xfId="3" applyFont="1" applyBorder="1" applyAlignment="1" applyProtection="1">
      <alignment vertical="center"/>
      <protection locked="0"/>
    </xf>
    <xf numFmtId="184" fontId="70" fillId="0" borderId="77" xfId="3" applyNumberFormat="1" applyFont="1" applyFill="1" applyBorder="1" applyAlignment="1" applyProtection="1">
      <alignment vertical="center"/>
      <protection locked="0"/>
    </xf>
    <xf numFmtId="168" fontId="70" fillId="0" borderId="77" xfId="3" applyFont="1" applyFill="1" applyBorder="1" applyAlignment="1" applyProtection="1">
      <alignment vertical="center"/>
      <protection locked="0"/>
    </xf>
    <xf numFmtId="168" fontId="70" fillId="0" borderId="77" xfId="3" applyFont="1" applyFill="1" applyBorder="1" applyAlignment="1">
      <alignment vertical="center"/>
    </xf>
    <xf numFmtId="168" fontId="70" fillId="0" borderId="77" xfId="3" applyFont="1" applyFill="1" applyBorder="1" applyAlignment="1">
      <alignment horizontal="center"/>
    </xf>
    <xf numFmtId="172" fontId="70" fillId="0" borderId="77" xfId="2" applyNumberFormat="1" applyFont="1" applyBorder="1" applyAlignment="1"/>
    <xf numFmtId="184" fontId="70" fillId="0" borderId="77" xfId="3" applyNumberFormat="1" applyFont="1" applyBorder="1" applyAlignment="1" applyProtection="1">
      <alignment vertical="center"/>
      <protection locked="0"/>
    </xf>
    <xf numFmtId="168" fontId="70" fillId="0" borderId="77" xfId="3" applyFont="1" applyBorder="1" applyAlignment="1">
      <alignment vertical="center"/>
    </xf>
    <xf numFmtId="184" fontId="70" fillId="0" borderId="77" xfId="3" applyNumberFormat="1" applyFont="1" applyFill="1" applyBorder="1" applyAlignment="1"/>
    <xf numFmtId="168" fontId="70" fillId="0" borderId="77" xfId="3" applyFont="1" applyBorder="1" applyAlignment="1"/>
    <xf numFmtId="0" fontId="73" fillId="27" borderId="57" xfId="0" applyFont="1" applyFill="1" applyBorder="1" applyAlignment="1">
      <alignment vertical="center"/>
    </xf>
    <xf numFmtId="170" fontId="70" fillId="27" borderId="79" xfId="2" applyNumberFormat="1" applyFont="1" applyFill="1" applyBorder="1" applyAlignment="1">
      <alignment vertical="center"/>
    </xf>
    <xf numFmtId="0" fontId="73" fillId="27" borderId="77" xfId="0" applyFont="1" applyFill="1" applyBorder="1" applyAlignment="1">
      <alignment vertical="center"/>
    </xf>
    <xf numFmtId="0" fontId="73" fillId="27" borderId="78" xfId="0" applyFont="1" applyFill="1" applyBorder="1" applyAlignment="1">
      <alignment vertical="center"/>
    </xf>
    <xf numFmtId="172" fontId="70" fillId="0" borderId="77" xfId="2" applyNumberFormat="1" applyFont="1" applyFill="1" applyBorder="1" applyAlignment="1"/>
    <xf numFmtId="172" fontId="70" fillId="0" borderId="57" xfId="2" applyNumberFormat="1" applyFont="1" applyBorder="1" applyAlignment="1"/>
    <xf numFmtId="0" fontId="73" fillId="27" borderId="79" xfId="0" applyFont="1" applyFill="1" applyBorder="1" applyAlignment="1">
      <alignment vertical="center"/>
    </xf>
    <xf numFmtId="0" fontId="78" fillId="0" borderId="77" xfId="0" applyFont="1" applyFill="1" applyBorder="1" applyAlignment="1">
      <alignment vertical="center"/>
    </xf>
    <xf numFmtId="0" fontId="72" fillId="0" borderId="77" xfId="0" applyFont="1" applyBorder="1" applyAlignment="1">
      <alignment vertical="center"/>
    </xf>
    <xf numFmtId="170" fontId="70" fillId="13" borderId="77" xfId="2" applyNumberFormat="1" applyFont="1" applyFill="1" applyBorder="1" applyAlignment="1">
      <alignment vertical="center"/>
    </xf>
    <xf numFmtId="43" fontId="70" fillId="0" borderId="77" xfId="2" applyNumberFormat="1" applyFont="1" applyFill="1" applyBorder="1" applyAlignment="1"/>
    <xf numFmtId="41" fontId="70" fillId="0" borderId="77" xfId="3" applyNumberFormat="1" applyFont="1" applyBorder="1" applyAlignment="1">
      <alignment horizontal="center"/>
    </xf>
    <xf numFmtId="170" fontId="59" fillId="9" borderId="77" xfId="2" applyNumberFormat="1" applyFont="1" applyFill="1" applyBorder="1" applyAlignment="1">
      <alignment vertical="center"/>
    </xf>
    <xf numFmtId="0" fontId="79" fillId="14" borderId="77" xfId="0" applyFont="1" applyFill="1" applyBorder="1" applyAlignment="1">
      <alignment horizontal="center" vertical="center"/>
    </xf>
    <xf numFmtId="170" fontId="70" fillId="14" borderId="77" xfId="2" applyNumberFormat="1" applyFont="1" applyFill="1" applyBorder="1" applyAlignment="1">
      <alignment vertical="center"/>
    </xf>
    <xf numFmtId="168" fontId="70" fillId="14" borderId="77" xfId="3" applyFont="1" applyFill="1" applyBorder="1" applyAlignment="1" applyProtection="1">
      <alignment vertical="center"/>
      <protection locked="0"/>
    </xf>
    <xf numFmtId="0" fontId="73" fillId="35" borderId="77" xfId="0" applyFont="1" applyFill="1" applyBorder="1" applyAlignment="1">
      <alignment horizontal="center" vertical="center"/>
    </xf>
    <xf numFmtId="3" fontId="79" fillId="35" borderId="77" xfId="0" applyNumberFormat="1" applyFont="1" applyFill="1" applyBorder="1" applyAlignment="1">
      <alignment vertical="center"/>
    </xf>
    <xf numFmtId="4" fontId="79" fillId="35" borderId="77" xfId="2" applyNumberFormat="1" applyFont="1" applyFill="1" applyBorder="1" applyAlignment="1" applyProtection="1">
      <alignment vertical="center"/>
      <protection locked="0"/>
    </xf>
    <xf numFmtId="170" fontId="79" fillId="35" borderId="77" xfId="2" applyNumberFormat="1" applyFont="1" applyFill="1" applyBorder="1" applyAlignment="1">
      <alignment vertical="center"/>
    </xf>
    <xf numFmtId="0" fontId="81" fillId="0" borderId="0" xfId="114" applyFont="1" applyFill="1" applyAlignment="1">
      <alignment vertical="center"/>
    </xf>
    <xf numFmtId="0" fontId="26" fillId="0" borderId="0" xfId="114" applyFont="1" applyFill="1" applyAlignment="1">
      <alignment vertical="center"/>
    </xf>
    <xf numFmtId="172" fontId="26" fillId="0" borderId="0" xfId="115" applyNumberFormat="1" applyFont="1" applyFill="1" applyAlignment="1">
      <alignment vertical="center"/>
    </xf>
    <xf numFmtId="0" fontId="71" fillId="0" borderId="0" xfId="114" applyFont="1" applyFill="1" applyAlignment="1">
      <alignment vertical="center"/>
    </xf>
    <xf numFmtId="172" fontId="71" fillId="0" borderId="0" xfId="115" applyNumberFormat="1" applyFont="1" applyFill="1" applyAlignment="1">
      <alignment vertical="center"/>
    </xf>
    <xf numFmtId="0" fontId="38" fillId="0" borderId="0" xfId="114" applyFont="1" applyFill="1" applyAlignment="1">
      <alignment vertical="center"/>
    </xf>
    <xf numFmtId="17" fontId="81" fillId="0" borderId="0" xfId="114" applyNumberFormat="1" applyFont="1" applyFill="1" applyAlignment="1">
      <alignment vertical="center"/>
    </xf>
    <xf numFmtId="0" fontId="81" fillId="18" borderId="0" xfId="114" applyFont="1" applyFill="1" applyAlignment="1">
      <alignment vertical="center"/>
    </xf>
    <xf numFmtId="0" fontId="26" fillId="19" borderId="0" xfId="114" applyFont="1" applyFill="1" applyAlignment="1">
      <alignment vertical="center"/>
    </xf>
    <xf numFmtId="0" fontId="82" fillId="19" borderId="0" xfId="114" applyFont="1" applyFill="1" applyAlignment="1">
      <alignment vertical="center"/>
    </xf>
    <xf numFmtId="172" fontId="26" fillId="19" borderId="0" xfId="115" applyNumberFormat="1" applyFont="1" applyFill="1" applyAlignment="1">
      <alignment vertical="center"/>
    </xf>
    <xf numFmtId="0" fontId="71" fillId="19" borderId="0" xfId="114" applyFont="1" applyFill="1" applyAlignment="1">
      <alignment vertical="center"/>
    </xf>
    <xf numFmtId="172" fontId="71" fillId="19" borderId="0" xfId="115" applyNumberFormat="1" applyFont="1" applyFill="1" applyAlignment="1">
      <alignment vertical="center"/>
    </xf>
    <xf numFmtId="0" fontId="67" fillId="17" borderId="51" xfId="114" applyFont="1" applyFill="1" applyBorder="1" applyAlignment="1">
      <alignment horizontal="center" vertical="center"/>
    </xf>
    <xf numFmtId="0" fontId="67" fillId="17" borderId="57" xfId="114" applyFont="1" applyFill="1" applyBorder="1" applyAlignment="1">
      <alignment horizontal="center" vertical="center"/>
    </xf>
    <xf numFmtId="0" fontId="67" fillId="17" borderId="77" xfId="114" applyFont="1" applyFill="1" applyBorder="1" applyAlignment="1">
      <alignment horizontal="center" vertical="center"/>
    </xf>
    <xf numFmtId="0" fontId="26" fillId="17" borderId="77" xfId="114" applyFont="1" applyFill="1" applyBorder="1" applyAlignment="1">
      <alignment horizontal="center" vertical="center"/>
    </xf>
    <xf numFmtId="0" fontId="26" fillId="0" borderId="0" xfId="114" applyFont="1" applyAlignment="1">
      <alignment vertical="center"/>
    </xf>
    <xf numFmtId="0" fontId="38" fillId="0" borderId="0" xfId="114" applyFont="1" applyAlignment="1">
      <alignment vertical="center"/>
    </xf>
    <xf numFmtId="49" fontId="67" fillId="19" borderId="0" xfId="114" applyNumberFormat="1" applyFont="1" applyFill="1" applyBorder="1" applyAlignment="1">
      <alignment horizontal="center" vertical="center"/>
    </xf>
    <xf numFmtId="170" fontId="26" fillId="0" borderId="77" xfId="115" applyNumberFormat="1" applyFont="1" applyFill="1" applyBorder="1" applyAlignment="1">
      <alignment vertical="center"/>
    </xf>
    <xf numFmtId="170" fontId="26" fillId="0" borderId="0" xfId="115" applyNumberFormat="1" applyFont="1" applyFill="1" applyAlignment="1">
      <alignment vertical="center"/>
    </xf>
    <xf numFmtId="170" fontId="71" fillId="0" borderId="77" xfId="115" applyNumberFormat="1" applyFont="1" applyFill="1" applyBorder="1" applyAlignment="1"/>
    <xf numFmtId="172" fontId="71" fillId="0" borderId="77" xfId="115" applyNumberFormat="1" applyFont="1" applyFill="1" applyBorder="1" applyAlignment="1">
      <alignment vertical="center"/>
    </xf>
    <xf numFmtId="170" fontId="71" fillId="0" borderId="77" xfId="115" applyNumberFormat="1" applyFont="1" applyFill="1" applyBorder="1" applyAlignment="1">
      <alignment vertical="center"/>
    </xf>
    <xf numFmtId="170" fontId="26" fillId="19" borderId="77" xfId="115" applyNumberFormat="1" applyFont="1" applyFill="1" applyBorder="1" applyAlignment="1">
      <alignment vertical="center"/>
    </xf>
    <xf numFmtId="49" fontId="67" fillId="19" borderId="77" xfId="114" applyNumberFormat="1" applyFont="1" applyFill="1" applyBorder="1" applyAlignment="1">
      <alignment horizontal="center" vertical="center"/>
    </xf>
    <xf numFmtId="0" fontId="26" fillId="0" borderId="77" xfId="114" applyFont="1" applyFill="1" applyBorder="1" applyAlignment="1">
      <alignment vertical="center"/>
    </xf>
    <xf numFmtId="0" fontId="67" fillId="9" borderId="77" xfId="114" applyFont="1" applyFill="1" applyBorder="1" applyAlignment="1">
      <alignment vertical="center"/>
    </xf>
    <xf numFmtId="170" fontId="67" fillId="9" borderId="77" xfId="115" applyNumberFormat="1" applyFont="1" applyFill="1" applyBorder="1" applyAlignment="1">
      <alignment vertical="center"/>
    </xf>
    <xf numFmtId="0" fontId="67" fillId="19" borderId="0" xfId="114" applyFont="1" applyFill="1" applyAlignment="1">
      <alignment vertical="center"/>
    </xf>
    <xf numFmtId="0" fontId="67" fillId="0" borderId="0" xfId="114" applyFont="1" applyAlignment="1">
      <alignment vertical="center"/>
    </xf>
    <xf numFmtId="0" fontId="83" fillId="0" borderId="0" xfId="114" applyFont="1" applyAlignment="1">
      <alignment vertical="center"/>
    </xf>
    <xf numFmtId="170" fontId="26" fillId="19" borderId="0" xfId="114" applyNumberFormat="1" applyFont="1" applyFill="1" applyAlignment="1">
      <alignment vertical="center"/>
    </xf>
    <xf numFmtId="172" fontId="71" fillId="19" borderId="0" xfId="114" applyNumberFormat="1" applyFont="1" applyFill="1" applyAlignment="1">
      <alignment vertical="center"/>
    </xf>
    <xf numFmtId="49" fontId="67" fillId="0" borderId="77" xfId="114" applyNumberFormat="1" applyFont="1" applyFill="1" applyBorder="1" applyAlignment="1">
      <alignment horizontal="center" vertical="center"/>
    </xf>
    <xf numFmtId="172" fontId="26" fillId="0" borderId="52" xfId="115" applyNumberFormat="1" applyFont="1" applyFill="1" applyBorder="1" applyAlignment="1">
      <alignment vertical="center"/>
    </xf>
    <xf numFmtId="49" fontId="67" fillId="0" borderId="0" xfId="114" applyNumberFormat="1" applyFont="1" applyFill="1" applyBorder="1" applyAlignment="1">
      <alignment horizontal="center" vertical="center"/>
    </xf>
    <xf numFmtId="170" fontId="26" fillId="0" borderId="77" xfId="115" applyNumberFormat="1" applyFont="1" applyFill="1" applyBorder="1" applyAlignment="1"/>
    <xf numFmtId="170" fontId="26" fillId="0" borderId="52" xfId="115" applyNumberFormat="1" applyFont="1" applyFill="1" applyBorder="1" applyAlignment="1">
      <alignment vertical="center"/>
    </xf>
    <xf numFmtId="172" fontId="26" fillId="0" borderId="77" xfId="114" applyNumberFormat="1" applyFont="1" applyFill="1" applyBorder="1" applyAlignment="1">
      <alignment vertical="center"/>
    </xf>
    <xf numFmtId="0" fontId="38" fillId="19" borderId="0" xfId="114" applyFont="1" applyFill="1" applyAlignment="1">
      <alignment vertical="center"/>
    </xf>
    <xf numFmtId="170" fontId="26" fillId="0" borderId="57" xfId="115" applyNumberFormat="1" applyFont="1" applyFill="1" applyBorder="1" applyAlignment="1">
      <alignment vertical="center"/>
    </xf>
    <xf numFmtId="49" fontId="67" fillId="14" borderId="77" xfId="114" applyNumberFormat="1" applyFont="1" applyFill="1" applyBorder="1" applyAlignment="1">
      <alignment horizontal="center" vertical="center"/>
    </xf>
    <xf numFmtId="170" fontId="26" fillId="14" borderId="77" xfId="115" applyNumberFormat="1" applyFont="1" applyFill="1" applyBorder="1" applyAlignment="1">
      <alignment vertical="center"/>
    </xf>
    <xf numFmtId="170" fontId="26" fillId="0" borderId="0" xfId="115" applyNumberFormat="1" applyFont="1" applyFill="1" applyBorder="1" applyAlignment="1">
      <alignment vertical="center"/>
    </xf>
    <xf numFmtId="0" fontId="67" fillId="0" borderId="57" xfId="114" applyFont="1" applyFill="1" applyBorder="1" applyAlignment="1">
      <alignment horizontal="center" vertical="center"/>
    </xf>
    <xf numFmtId="170" fontId="26" fillId="0" borderId="77" xfId="114" applyNumberFormat="1" applyFont="1" applyFill="1" applyBorder="1" applyAlignment="1">
      <alignment vertical="center"/>
    </xf>
    <xf numFmtId="49" fontId="67" fillId="0" borderId="52" xfId="114" applyNumberFormat="1" applyFont="1" applyFill="1" applyBorder="1" applyAlignment="1">
      <alignment horizontal="center" vertical="center"/>
    </xf>
    <xf numFmtId="172" fontId="26" fillId="0" borderId="57" xfId="115" applyNumberFormat="1" applyFont="1" applyFill="1" applyBorder="1" applyAlignment="1">
      <alignment vertical="center"/>
    </xf>
    <xf numFmtId="0" fontId="26" fillId="12" borderId="0" xfId="114" applyFont="1" applyFill="1" applyAlignment="1">
      <alignment vertical="center"/>
    </xf>
    <xf numFmtId="0" fontId="26" fillId="19" borderId="77" xfId="114" applyFont="1" applyFill="1" applyBorder="1" applyAlignment="1">
      <alignment vertical="center"/>
    </xf>
    <xf numFmtId="0" fontId="26" fillId="0" borderId="52" xfId="114" applyFont="1" applyFill="1" applyBorder="1" applyAlignment="1">
      <alignment vertical="center"/>
    </xf>
    <xf numFmtId="49" fontId="67" fillId="12" borderId="77" xfId="114" applyNumberFormat="1" applyFont="1" applyFill="1" applyBorder="1" applyAlignment="1">
      <alignment horizontal="center" vertical="center"/>
    </xf>
    <xf numFmtId="41" fontId="26" fillId="12" borderId="77" xfId="114" applyNumberFormat="1" applyFont="1" applyFill="1" applyBorder="1" applyAlignment="1">
      <alignment vertical="center"/>
    </xf>
    <xf numFmtId="170" fontId="26" fillId="19" borderId="0" xfId="115" applyNumberFormat="1" applyFont="1" applyFill="1" applyAlignment="1">
      <alignment vertical="center"/>
    </xf>
    <xf numFmtId="0" fontId="84" fillId="0" borderId="0" xfId="114" applyFont="1" applyAlignment="1">
      <alignment vertical="center"/>
    </xf>
    <xf numFmtId="0" fontId="15" fillId="0" borderId="0" xfId="114" applyFont="1" applyAlignment="1">
      <alignment vertical="center"/>
    </xf>
    <xf numFmtId="41" fontId="15" fillId="0" borderId="0" xfId="114" applyNumberFormat="1" applyFont="1" applyAlignment="1">
      <alignment vertical="center"/>
    </xf>
    <xf numFmtId="172" fontId="26" fillId="0" borderId="0" xfId="115" applyNumberFormat="1" applyFont="1" applyAlignment="1">
      <alignment vertical="center"/>
    </xf>
    <xf numFmtId="172" fontId="85" fillId="0" borderId="0" xfId="115" applyNumberFormat="1" applyFont="1" applyAlignment="1">
      <alignment vertical="center"/>
    </xf>
    <xf numFmtId="0" fontId="85" fillId="0" borderId="0" xfId="114" applyFont="1" applyAlignment="1">
      <alignment vertical="center"/>
    </xf>
    <xf numFmtId="0" fontId="15" fillId="19" borderId="0" xfId="114" applyFont="1" applyFill="1" applyAlignment="1">
      <alignment vertical="center"/>
    </xf>
    <xf numFmtId="43" fontId="15" fillId="0" borderId="0" xfId="114" applyNumberFormat="1" applyFont="1" applyAlignment="1">
      <alignment vertical="center"/>
    </xf>
    <xf numFmtId="43" fontId="85" fillId="0" borderId="0" xfId="114" applyNumberFormat="1" applyFont="1" applyAlignment="1">
      <alignment vertical="center"/>
    </xf>
    <xf numFmtId="0" fontId="28" fillId="17" borderId="51" xfId="114" applyFont="1" applyFill="1" applyBorder="1" applyAlignment="1">
      <alignment horizontal="center" vertical="center"/>
    </xf>
    <xf numFmtId="0" fontId="28" fillId="17" borderId="77" xfId="114" applyFont="1" applyFill="1" applyBorder="1" applyAlignment="1">
      <alignment horizontal="center" vertical="center"/>
    </xf>
    <xf numFmtId="0" fontId="26" fillId="19" borderId="0" xfId="114" applyFont="1" applyFill="1" applyAlignment="1">
      <alignment horizontal="center" vertical="center"/>
    </xf>
    <xf numFmtId="0" fontId="28" fillId="17" borderId="52" xfId="114" applyFont="1" applyFill="1" applyBorder="1" applyAlignment="1">
      <alignment horizontal="center" vertical="center"/>
    </xf>
    <xf numFmtId="172" fontId="67" fillId="17" borderId="77" xfId="115" applyNumberFormat="1" applyFont="1" applyFill="1" applyBorder="1" applyAlignment="1">
      <alignment horizontal="center" vertical="center"/>
    </xf>
    <xf numFmtId="0" fontId="87" fillId="17" borderId="77" xfId="114" applyFont="1" applyFill="1" applyBorder="1" applyAlignment="1">
      <alignment horizontal="center" vertical="center"/>
    </xf>
    <xf numFmtId="172" fontId="87" fillId="17" borderId="77" xfId="115" applyNumberFormat="1" applyFont="1" applyFill="1" applyBorder="1" applyAlignment="1">
      <alignment horizontal="center" vertical="center"/>
    </xf>
    <xf numFmtId="0" fontId="87" fillId="17" borderId="57" xfId="114" applyFont="1" applyFill="1" applyBorder="1" applyAlignment="1">
      <alignment horizontal="center" vertical="center"/>
    </xf>
    <xf numFmtId="0" fontId="16" fillId="0" borderId="77" xfId="114" applyFont="1" applyBorder="1" applyAlignment="1">
      <alignment horizontal="center" vertical="center"/>
    </xf>
    <xf numFmtId="170" fontId="16" fillId="0" borderId="77" xfId="115" applyNumberFormat="1" applyFont="1" applyBorder="1" applyAlignment="1">
      <alignment vertical="center"/>
    </xf>
    <xf numFmtId="37" fontId="16" fillId="0" borderId="77" xfId="114" applyNumberFormat="1" applyFont="1" applyFill="1" applyBorder="1" applyAlignment="1">
      <alignment vertical="center"/>
    </xf>
    <xf numFmtId="172" fontId="16" fillId="0" borderId="77" xfId="115" applyNumberFormat="1" applyFont="1" applyFill="1" applyBorder="1" applyAlignment="1"/>
    <xf numFmtId="43" fontId="16" fillId="0" borderId="77" xfId="115" applyNumberFormat="1" applyFont="1" applyFill="1" applyBorder="1" applyAlignment="1"/>
    <xf numFmtId="170" fontId="88" fillId="0" borderId="77" xfId="115" applyNumberFormat="1" applyFont="1" applyFill="1" applyBorder="1" applyAlignment="1">
      <alignment vertical="center"/>
    </xf>
    <xf numFmtId="43" fontId="71" fillId="0" borderId="77" xfId="2" applyFont="1" applyFill="1" applyBorder="1" applyAlignment="1">
      <alignment vertical="center"/>
    </xf>
    <xf numFmtId="172" fontId="16" fillId="0" borderId="77" xfId="115" applyNumberFormat="1" applyFont="1" applyFill="1" applyBorder="1" applyAlignment="1">
      <alignment vertical="center"/>
    </xf>
    <xf numFmtId="172" fontId="85" fillId="0" borderId="77" xfId="115" applyNumberFormat="1" applyFont="1" applyFill="1" applyBorder="1"/>
    <xf numFmtId="43" fontId="85" fillId="0" borderId="77" xfId="2" applyFont="1" applyFill="1" applyBorder="1" applyAlignment="1"/>
    <xf numFmtId="170" fontId="88" fillId="0" borderId="53" xfId="115" applyNumberFormat="1" applyFont="1" applyFill="1" applyBorder="1" applyAlignment="1">
      <alignment vertical="center"/>
    </xf>
    <xf numFmtId="168" fontId="16" fillId="0" borderId="77" xfId="3" applyFont="1" applyBorder="1" applyAlignment="1">
      <alignment vertical="center"/>
    </xf>
    <xf numFmtId="43" fontId="88" fillId="0" borderId="77" xfId="2" applyFont="1" applyFill="1" applyBorder="1" applyAlignment="1">
      <alignment vertical="center"/>
    </xf>
    <xf numFmtId="0" fontId="89" fillId="18" borderId="77" xfId="114" applyFont="1" applyFill="1" applyBorder="1" applyAlignment="1">
      <alignment vertical="center"/>
    </xf>
    <xf numFmtId="37" fontId="28" fillId="18" borderId="77" xfId="114" applyNumberFormat="1" applyFont="1" applyFill="1" applyBorder="1" applyAlignment="1">
      <alignment vertical="center"/>
    </xf>
    <xf numFmtId="172" fontId="85" fillId="0" borderId="0" xfId="114" applyNumberFormat="1" applyFont="1" applyAlignment="1">
      <alignment vertical="center"/>
    </xf>
    <xf numFmtId="37" fontId="15" fillId="0" borderId="0" xfId="114" applyNumberFormat="1" applyFont="1" applyAlignment="1">
      <alignment vertical="center"/>
    </xf>
    <xf numFmtId="168" fontId="16" fillId="0" borderId="77" xfId="3" applyFont="1" applyFill="1" applyBorder="1" applyAlignment="1"/>
    <xf numFmtId="172" fontId="16" fillId="0" borderId="0" xfId="115" applyNumberFormat="1" applyFont="1" applyFill="1" applyAlignment="1">
      <alignment vertical="center"/>
    </xf>
    <xf numFmtId="0" fontId="89" fillId="9" borderId="77" xfId="114" applyFont="1" applyFill="1" applyBorder="1" applyAlignment="1">
      <alignment vertical="center"/>
    </xf>
    <xf numFmtId="37" fontId="28" fillId="9" borderId="77" xfId="114" applyNumberFormat="1" applyFont="1" applyFill="1" applyBorder="1" applyAlignment="1">
      <alignment vertical="center"/>
    </xf>
    <xf numFmtId="0" fontId="89" fillId="19" borderId="0" xfId="114" applyFont="1" applyFill="1" applyAlignment="1">
      <alignment vertical="center"/>
    </xf>
    <xf numFmtId="37" fontId="28" fillId="19" borderId="0" xfId="114" applyNumberFormat="1" applyFont="1" applyFill="1" applyAlignment="1">
      <alignment vertical="center"/>
    </xf>
    <xf numFmtId="170" fontId="28" fillId="19" borderId="0" xfId="115" applyNumberFormat="1" applyFont="1" applyFill="1" applyAlignment="1">
      <alignment vertical="center"/>
    </xf>
    <xf numFmtId="37" fontId="67" fillId="19" borderId="0" xfId="114" applyNumberFormat="1" applyFont="1" applyFill="1" applyAlignment="1">
      <alignment vertical="center"/>
    </xf>
    <xf numFmtId="172" fontId="67" fillId="19" borderId="0" xfId="115" applyNumberFormat="1" applyFont="1" applyFill="1" applyAlignment="1">
      <alignment vertical="center"/>
    </xf>
    <xf numFmtId="37" fontId="87" fillId="19" borderId="0" xfId="114" applyNumberFormat="1" applyFont="1" applyFill="1" applyAlignment="1">
      <alignment vertical="center"/>
    </xf>
    <xf numFmtId="172" fontId="87" fillId="19" borderId="0" xfId="115" applyNumberFormat="1" applyFont="1" applyFill="1" applyAlignment="1">
      <alignment vertical="center"/>
    </xf>
    <xf numFmtId="0" fontId="90" fillId="18" borderId="0" xfId="114" applyFont="1" applyFill="1" applyAlignment="1">
      <alignment vertical="center"/>
    </xf>
    <xf numFmtId="0" fontId="81" fillId="0" borderId="0" xfId="114" applyFont="1" applyAlignment="1">
      <alignment vertical="center"/>
    </xf>
    <xf numFmtId="0" fontId="82" fillId="0" borderId="0" xfId="114" applyFont="1" applyAlignment="1">
      <alignment vertical="center"/>
    </xf>
    <xf numFmtId="0" fontId="86" fillId="25" borderId="52" xfId="114" applyFont="1" applyFill="1" applyBorder="1" applyAlignment="1">
      <alignment horizontal="center" vertical="center"/>
    </xf>
    <xf numFmtId="170" fontId="67" fillId="25" borderId="86" xfId="115" applyNumberFormat="1" applyFont="1" applyFill="1" applyBorder="1" applyAlignment="1">
      <alignment horizontal="center" vertical="justify"/>
    </xf>
    <xf numFmtId="0" fontId="86" fillId="25" borderId="77" xfId="114" applyFont="1" applyFill="1" applyBorder="1" applyAlignment="1">
      <alignment horizontal="center" vertical="center"/>
    </xf>
    <xf numFmtId="0" fontId="91" fillId="19" borderId="77" xfId="114" applyFont="1" applyFill="1" applyBorder="1" applyAlignment="1">
      <alignment horizontal="center" vertical="center"/>
    </xf>
    <xf numFmtId="165" fontId="26" fillId="0" borderId="0" xfId="116" applyFont="1" applyFill="1" applyAlignment="1">
      <alignment vertical="center"/>
    </xf>
    <xf numFmtId="172" fontId="88" fillId="0" borderId="77" xfId="115" applyNumberFormat="1" applyFont="1" applyFill="1" applyBorder="1" applyAlignment="1">
      <alignment vertical="center"/>
    </xf>
    <xf numFmtId="172" fontId="91" fillId="0" borderId="77" xfId="115" applyNumberFormat="1" applyFont="1" applyFill="1" applyBorder="1" applyAlignment="1">
      <alignment horizontal="center"/>
    </xf>
    <xf numFmtId="41" fontId="26" fillId="0" borderId="77" xfId="3" applyNumberFormat="1" applyFont="1" applyFill="1" applyBorder="1" applyAlignment="1">
      <alignment horizontal="center"/>
    </xf>
    <xf numFmtId="43" fontId="26" fillId="0" borderId="77" xfId="2" applyFont="1" applyFill="1" applyBorder="1" applyAlignment="1">
      <alignment vertical="center"/>
    </xf>
    <xf numFmtId="169" fontId="26" fillId="0" borderId="77" xfId="115" applyNumberFormat="1" applyFont="1" applyFill="1" applyBorder="1" applyAlignment="1">
      <alignment vertical="center"/>
    </xf>
    <xf numFmtId="169" fontId="88" fillId="0" borderId="77" xfId="115" applyNumberFormat="1" applyFont="1" applyFill="1" applyBorder="1" applyAlignment="1">
      <alignment vertical="center"/>
    </xf>
    <xf numFmtId="170" fontId="88" fillId="0" borderId="57" xfId="115" applyNumberFormat="1" applyFont="1" applyFill="1" applyBorder="1" applyAlignment="1">
      <alignment vertical="center"/>
    </xf>
    <xf numFmtId="0" fontId="91" fillId="0" borderId="77" xfId="114" applyFont="1" applyBorder="1" applyAlignment="1">
      <alignment horizontal="center" vertical="center"/>
    </xf>
    <xf numFmtId="0" fontId="91" fillId="0" borderId="0" xfId="114" applyFont="1" applyBorder="1" applyAlignment="1">
      <alignment horizontal="center" vertical="center"/>
    </xf>
    <xf numFmtId="169" fontId="16" fillId="0" borderId="77" xfId="115" applyNumberFormat="1" applyFont="1" applyFill="1" applyBorder="1" applyAlignment="1">
      <alignment vertical="center"/>
    </xf>
    <xf numFmtId="172" fontId="26" fillId="0" borderId="77" xfId="2" applyNumberFormat="1" applyFont="1" applyFill="1" applyBorder="1" applyAlignment="1"/>
    <xf numFmtId="0" fontId="86" fillId="9" borderId="77" xfId="114" applyFont="1" applyFill="1" applyBorder="1" applyAlignment="1">
      <alignment vertical="center"/>
    </xf>
    <xf numFmtId="170" fontId="28" fillId="9" borderId="77" xfId="115" applyNumberFormat="1" applyFont="1" applyFill="1" applyBorder="1" applyAlignment="1">
      <alignment vertical="center"/>
    </xf>
    <xf numFmtId="175" fontId="86" fillId="36" borderId="77" xfId="115" applyNumberFormat="1" applyFont="1" applyFill="1" applyBorder="1" applyAlignment="1">
      <alignment vertical="center"/>
    </xf>
    <xf numFmtId="175" fontId="67" fillId="36" borderId="77" xfId="115" applyNumberFormat="1" applyFont="1" applyFill="1" applyBorder="1" applyAlignment="1">
      <alignment vertical="center"/>
    </xf>
    <xf numFmtId="175" fontId="67" fillId="19" borderId="0" xfId="115" applyNumberFormat="1" applyFont="1" applyFill="1" applyAlignment="1">
      <alignment vertical="center"/>
    </xf>
    <xf numFmtId="175" fontId="67" fillId="0" borderId="0" xfId="115" applyNumberFormat="1" applyFont="1" applyAlignment="1">
      <alignment vertical="center"/>
    </xf>
    <xf numFmtId="181" fontId="26" fillId="19" borderId="0" xfId="114" applyNumberFormat="1" applyFont="1" applyFill="1" applyAlignment="1">
      <alignment vertical="center"/>
    </xf>
    <xf numFmtId="175" fontId="26" fillId="19" borderId="0" xfId="114" applyNumberFormat="1" applyFont="1" applyFill="1" applyAlignment="1">
      <alignment vertical="center"/>
    </xf>
    <xf numFmtId="176" fontId="26" fillId="19" borderId="0" xfId="114" applyNumberFormat="1" applyFont="1" applyFill="1" applyAlignment="1">
      <alignment vertical="center"/>
    </xf>
    <xf numFmtId="43" fontId="26" fillId="19" borderId="0" xfId="115" applyFont="1" applyFill="1" applyAlignment="1">
      <alignment vertical="center"/>
    </xf>
    <xf numFmtId="176" fontId="71" fillId="19" borderId="0" xfId="114" applyNumberFormat="1" applyFont="1" applyFill="1" applyAlignment="1">
      <alignment vertical="center"/>
    </xf>
    <xf numFmtId="37" fontId="26" fillId="19" borderId="0" xfId="114" applyNumberFormat="1" applyFont="1" applyFill="1" applyAlignment="1">
      <alignment vertical="center"/>
    </xf>
    <xf numFmtId="43" fontId="26" fillId="19" borderId="0" xfId="114" applyNumberFormat="1" applyFont="1" applyFill="1" applyAlignment="1">
      <alignment vertical="center"/>
    </xf>
    <xf numFmtId="41" fontId="26" fillId="19" borderId="0" xfId="114" applyNumberFormat="1" applyFont="1" applyFill="1" applyAlignment="1">
      <alignment vertical="center"/>
    </xf>
    <xf numFmtId="175" fontId="71" fillId="19" borderId="0" xfId="114" applyNumberFormat="1" applyFont="1" applyFill="1" applyAlignment="1">
      <alignment vertical="center"/>
    </xf>
    <xf numFmtId="43" fontId="71" fillId="19" borderId="0" xfId="114" applyNumberFormat="1" applyFont="1" applyFill="1" applyAlignment="1">
      <alignment vertical="center"/>
    </xf>
    <xf numFmtId="0" fontId="26" fillId="16" borderId="0" xfId="114" applyFont="1" applyFill="1" applyAlignment="1">
      <alignment vertical="center"/>
    </xf>
    <xf numFmtId="0" fontId="71" fillId="0" borderId="0" xfId="114" applyFont="1" applyAlignment="1">
      <alignment vertical="center"/>
    </xf>
    <xf numFmtId="172" fontId="71" fillId="0" borderId="0" xfId="115" applyNumberFormat="1" applyFont="1" applyAlignment="1">
      <alignment vertical="center"/>
    </xf>
    <xf numFmtId="184" fontId="0" fillId="0" borderId="77" xfId="3" applyNumberFormat="1" applyFont="1" applyBorder="1" applyAlignment="1"/>
    <xf numFmtId="184" fontId="0" fillId="0" borderId="77" xfId="3" applyNumberFormat="1" applyFont="1" applyFill="1" applyBorder="1" applyAlignment="1"/>
    <xf numFmtId="172" fontId="95" fillId="0" borderId="77" xfId="0" applyNumberFormat="1" applyFont="1" applyFill="1" applyBorder="1" applyAlignment="1">
      <alignment horizontal="right"/>
    </xf>
    <xf numFmtId="1" fontId="99" fillId="0" borderId="19" xfId="0" applyNumberFormat="1" applyFont="1" applyBorder="1" applyAlignment="1"/>
    <xf numFmtId="172" fontId="99" fillId="0" borderId="77" xfId="0" applyNumberFormat="1" applyFont="1" applyBorder="1" applyAlignment="1">
      <alignment horizontal="right"/>
    </xf>
    <xf numFmtId="168" fontId="62" fillId="0" borderId="77" xfId="3" applyFont="1" applyFill="1" applyBorder="1" applyAlignment="1" applyProtection="1">
      <alignment vertical="center"/>
      <protection locked="0"/>
    </xf>
    <xf numFmtId="0" fontId="99" fillId="0" borderId="0" xfId="0" applyFont="1" applyAlignment="1">
      <alignment horizontal="right" vertical="center"/>
    </xf>
    <xf numFmtId="0" fontId="99" fillId="0" borderId="0" xfId="0" applyFont="1" applyAlignment="1">
      <alignment horizontal="center" vertical="center"/>
    </xf>
    <xf numFmtId="171" fontId="99" fillId="14" borderId="31" xfId="64" applyNumberFormat="1" applyFont="1" applyFill="1" applyBorder="1" applyAlignment="1">
      <alignment horizontal="center" vertical="center"/>
    </xf>
    <xf numFmtId="171" fontId="99" fillId="14" borderId="30" xfId="64" applyNumberFormat="1" applyFont="1" applyFill="1" applyBorder="1" applyAlignment="1">
      <alignment horizontal="center" vertical="center"/>
    </xf>
    <xf numFmtId="0" fontId="95" fillId="14" borderId="20" xfId="0" applyFont="1" applyFill="1" applyBorder="1" applyAlignment="1" applyProtection="1"/>
    <xf numFmtId="171" fontId="99" fillId="14" borderId="31" xfId="64" applyNumberFormat="1" applyFont="1" applyFill="1" applyBorder="1" applyAlignment="1">
      <alignment vertical="center"/>
    </xf>
    <xf numFmtId="172" fontId="99" fillId="14" borderId="31" xfId="2" applyNumberFormat="1" applyFont="1" applyFill="1" applyBorder="1" applyAlignment="1" applyProtection="1">
      <alignment horizontal="center"/>
    </xf>
    <xf numFmtId="14" fontId="99" fillId="14" borderId="31" xfId="0" applyNumberFormat="1" applyFont="1" applyFill="1" applyBorder="1" applyAlignment="1" applyProtection="1"/>
    <xf numFmtId="1" fontId="99" fillId="0" borderId="77" xfId="0" applyNumberFormat="1" applyFont="1" applyBorder="1" applyAlignment="1">
      <alignment horizontal="right"/>
    </xf>
    <xf numFmtId="0" fontId="10" fillId="0" borderId="77" xfId="0" applyFont="1" applyBorder="1" applyAlignment="1">
      <alignment horizontal="center"/>
    </xf>
    <xf numFmtId="172" fontId="26" fillId="0" borderId="0" xfId="115" applyNumberFormat="1" applyFont="1" applyFill="1" applyBorder="1" applyAlignment="1">
      <alignment vertical="center"/>
    </xf>
    <xf numFmtId="171" fontId="95" fillId="0" borderId="78" xfId="114" applyNumberFormat="1" applyFont="1" applyFill="1" applyBorder="1" applyAlignment="1">
      <alignment horizontal="center"/>
    </xf>
    <xf numFmtId="168" fontId="95" fillId="0" borderId="78" xfId="3" applyFont="1" applyFill="1" applyBorder="1" applyAlignment="1">
      <alignment horizontal="center"/>
    </xf>
    <xf numFmtId="168" fontId="95" fillId="0" borderId="77" xfId="3" applyFont="1" applyFill="1" applyBorder="1" applyAlignment="1">
      <alignment horizontal="center"/>
    </xf>
    <xf numFmtId="184" fontId="26" fillId="19" borderId="77" xfId="3" applyNumberFormat="1" applyFont="1" applyFill="1" applyBorder="1" applyAlignment="1">
      <alignment vertical="center"/>
    </xf>
    <xf numFmtId="170" fontId="70" fillId="23" borderId="77" xfId="2" applyNumberFormat="1" applyFont="1" applyFill="1" applyBorder="1" applyAlignment="1" applyProtection="1">
      <alignment vertical="center"/>
      <protection locked="0"/>
    </xf>
    <xf numFmtId="0" fontId="95" fillId="0" borderId="77" xfId="0" applyFont="1" applyBorder="1" applyAlignment="1">
      <alignment horizontal="right"/>
    </xf>
    <xf numFmtId="0" fontId="99" fillId="0" borderId="77" xfId="0" applyFont="1" applyBorder="1" applyAlignment="1">
      <alignment horizontal="right"/>
    </xf>
    <xf numFmtId="168" fontId="99" fillId="0" borderId="77" xfId="0" applyNumberFormat="1" applyFont="1" applyBorder="1" applyAlignment="1">
      <alignment horizontal="right"/>
    </xf>
    <xf numFmtId="168" fontId="32" fillId="0" borderId="77" xfId="3" applyFont="1" applyFill="1" applyBorder="1" applyAlignment="1">
      <alignment vertical="center"/>
    </xf>
    <xf numFmtId="1" fontId="95" fillId="4" borderId="78" xfId="2" applyNumberFormat="1" applyFont="1" applyFill="1" applyBorder="1" applyAlignment="1">
      <alignment horizontal="center"/>
    </xf>
    <xf numFmtId="14" fontId="0" fillId="0" borderId="77" xfId="0" applyNumberFormat="1" applyFont="1" applyBorder="1" applyAlignment="1"/>
    <xf numFmtId="172" fontId="99" fillId="0" borderId="30" xfId="0" applyNumberFormat="1" applyFont="1" applyBorder="1" applyAlignment="1"/>
    <xf numFmtId="171" fontId="99" fillId="0" borderId="30" xfId="0" applyNumberFormat="1" applyFont="1" applyBorder="1" applyAlignment="1"/>
    <xf numFmtId="171" fontId="95" fillId="4" borderId="57" xfId="0" applyNumberFormat="1" applyFont="1" applyFill="1" applyBorder="1" applyAlignment="1">
      <alignment horizontal="center"/>
    </xf>
    <xf numFmtId="1" fontId="95" fillId="4" borderId="57" xfId="2" applyNumberFormat="1" applyFont="1" applyFill="1" applyBorder="1" applyAlignment="1">
      <alignment horizontal="center"/>
    </xf>
    <xf numFmtId="172" fontId="95" fillId="0" borderId="57" xfId="0" applyNumberFormat="1" applyFont="1" applyFill="1" applyBorder="1" applyAlignment="1"/>
    <xf numFmtId="179" fontId="95" fillId="0" borderId="57" xfId="0" applyNumberFormat="1" applyFont="1" applyFill="1" applyBorder="1" applyAlignment="1">
      <alignment horizontal="center"/>
    </xf>
    <xf numFmtId="172" fontId="95" fillId="4" borderId="57" xfId="0" applyNumberFormat="1" applyFont="1" applyFill="1" applyBorder="1" applyAlignment="1"/>
    <xf numFmtId="10" fontId="95" fillId="4" borderId="57" xfId="83" applyNumberFormat="1" applyFont="1" applyFill="1" applyBorder="1" applyAlignment="1"/>
    <xf numFmtId="172" fontId="95" fillId="0" borderId="57" xfId="2" applyNumberFormat="1" applyFont="1" applyFill="1" applyBorder="1" applyAlignment="1">
      <alignment horizontal="right"/>
    </xf>
    <xf numFmtId="173" fontId="95" fillId="0" borderId="57" xfId="0" applyNumberFormat="1" applyFont="1" applyFill="1" applyBorder="1" applyAlignment="1">
      <alignment horizontal="right"/>
    </xf>
    <xf numFmtId="178" fontId="95" fillId="0" borderId="57" xfId="0" applyNumberFormat="1" applyFont="1" applyFill="1" applyBorder="1" applyAlignment="1"/>
    <xf numFmtId="178" fontId="95" fillId="0" borderId="57" xfId="0" applyNumberFormat="1" applyFont="1" applyFill="1" applyBorder="1" applyAlignment="1">
      <alignment horizontal="right"/>
    </xf>
    <xf numFmtId="171" fontId="99" fillId="14" borderId="48" xfId="0" applyNumberFormat="1" applyFont="1" applyFill="1" applyBorder="1" applyAlignment="1" applyProtection="1">
      <alignment horizontal="center"/>
    </xf>
    <xf numFmtId="0" fontId="99" fillId="14" borderId="20" xfId="0" applyFont="1" applyFill="1" applyBorder="1" applyAlignment="1" applyProtection="1">
      <alignment horizontal="center" vertical="center"/>
    </xf>
    <xf numFmtId="0" fontId="99" fillId="14" borderId="20" xfId="0" applyFont="1" applyFill="1" applyBorder="1" applyAlignment="1" applyProtection="1"/>
    <xf numFmtId="171" fontId="99" fillId="14" borderId="20" xfId="0" applyNumberFormat="1" applyFont="1" applyFill="1" applyBorder="1" applyAlignment="1" applyProtection="1"/>
    <xf numFmtId="0" fontId="99" fillId="14" borderId="20" xfId="0" applyFont="1" applyFill="1" applyBorder="1" applyAlignment="1" applyProtection="1">
      <alignment horizontal="center"/>
    </xf>
    <xf numFmtId="0" fontId="99" fillId="14" borderId="22" xfId="0" applyFont="1" applyFill="1" applyBorder="1" applyAlignment="1" applyProtection="1"/>
    <xf numFmtId="1" fontId="116" fillId="4" borderId="77" xfId="0" applyNumberFormat="1" applyFont="1" applyFill="1" applyBorder="1" applyAlignment="1">
      <alignment horizontal="right"/>
    </xf>
    <xf numFmtId="171" fontId="99" fillId="14" borderId="44" xfId="64" applyNumberFormat="1" applyFont="1" applyFill="1" applyBorder="1" applyAlignment="1">
      <alignment vertical="center"/>
    </xf>
    <xf numFmtId="171" fontId="99" fillId="14" borderId="69" xfId="64" applyNumberFormat="1" applyFont="1" applyFill="1" applyBorder="1" applyAlignment="1">
      <alignment vertical="center"/>
    </xf>
    <xf numFmtId="171" fontId="99" fillId="14" borderId="34" xfId="64" applyNumberFormat="1" applyFont="1" applyFill="1" applyBorder="1" applyAlignment="1">
      <alignment vertical="center"/>
    </xf>
    <xf numFmtId="171" fontId="99" fillId="14" borderId="29" xfId="64" applyNumberFormat="1" applyFont="1" applyFill="1" applyBorder="1" applyAlignment="1">
      <alignment vertical="center"/>
    </xf>
    <xf numFmtId="171" fontId="99" fillId="14" borderId="28" xfId="64" applyNumberFormat="1" applyFont="1" applyFill="1" applyBorder="1" applyAlignment="1">
      <alignment vertical="center"/>
    </xf>
    <xf numFmtId="171" fontId="99" fillId="14" borderId="82" xfId="64" applyNumberFormat="1" applyFont="1" applyFill="1" applyBorder="1" applyAlignment="1">
      <alignment vertical="center"/>
    </xf>
    <xf numFmtId="171" fontId="99" fillId="14" borderId="48" xfId="64" applyNumberFormat="1" applyFont="1" applyFill="1" applyBorder="1" applyAlignment="1">
      <alignment vertical="center"/>
    </xf>
    <xf numFmtId="171" fontId="99" fillId="14" borderId="20" xfId="64" applyNumberFormat="1" applyFont="1" applyFill="1" applyBorder="1" applyAlignment="1">
      <alignment vertical="center"/>
    </xf>
    <xf numFmtId="171" fontId="99" fillId="14" borderId="22" xfId="64" applyNumberFormat="1" applyFont="1" applyFill="1" applyBorder="1" applyAlignment="1">
      <alignment vertical="center"/>
    </xf>
    <xf numFmtId="179" fontId="95" fillId="0" borderId="77" xfId="2" applyNumberFormat="1" applyFont="1" applyFill="1" applyBorder="1" applyAlignment="1">
      <alignment horizontal="right"/>
    </xf>
    <xf numFmtId="179" fontId="99" fillId="0" borderId="77" xfId="0" applyNumberFormat="1" applyFont="1" applyBorder="1" applyAlignment="1">
      <alignment horizontal="right"/>
    </xf>
    <xf numFmtId="0" fontId="99" fillId="0" borderId="0" xfId="0" applyFont="1" applyAlignment="1">
      <alignment horizontal="center" vertical="center"/>
    </xf>
    <xf numFmtId="171" fontId="99" fillId="14" borderId="30" xfId="64" applyNumberFormat="1" applyFont="1" applyFill="1" applyBorder="1" applyAlignment="1">
      <alignment horizontal="center" vertical="center"/>
    </xf>
    <xf numFmtId="0" fontId="12" fillId="0" borderId="77" xfId="0" applyFont="1" applyFill="1" applyBorder="1" applyAlignment="1"/>
    <xf numFmtId="0" fontId="12" fillId="0" borderId="0" xfId="0" applyFont="1" applyFill="1" applyAlignment="1"/>
    <xf numFmtId="14" fontId="12" fillId="0" borderId="77" xfId="0" applyNumberFormat="1" applyFont="1" applyFill="1" applyBorder="1" applyAlignment="1"/>
    <xf numFmtId="171" fontId="99" fillId="14" borderId="45" xfId="64" applyNumberFormat="1" applyFont="1" applyFill="1" applyBorder="1" applyAlignment="1">
      <alignment vertical="center"/>
    </xf>
    <xf numFmtId="171" fontId="99" fillId="14" borderId="70" xfId="64" applyNumberFormat="1" applyFont="1" applyFill="1" applyBorder="1" applyAlignment="1">
      <alignment vertical="center"/>
    </xf>
    <xf numFmtId="168" fontId="95" fillId="7" borderId="78" xfId="3" applyFont="1" applyFill="1" applyBorder="1" applyAlignment="1">
      <alignment horizontal="center"/>
    </xf>
    <xf numFmtId="179" fontId="95" fillId="0" borderId="57" xfId="206" quotePrefix="1" applyNumberFormat="1" applyFont="1" applyFill="1" applyBorder="1" applyAlignment="1">
      <alignment horizontal="center" vertical="center"/>
    </xf>
    <xf numFmtId="185" fontId="95" fillId="0" borderId="57" xfId="208" quotePrefix="1" applyNumberFormat="1" applyFont="1" applyFill="1" applyBorder="1" applyAlignment="1">
      <alignment horizontal="center"/>
    </xf>
    <xf numFmtId="0" fontId="95" fillId="4" borderId="57" xfId="0" applyNumberFormat="1" applyFont="1" applyFill="1" applyBorder="1" applyAlignment="1">
      <alignment horizontal="right"/>
    </xf>
    <xf numFmtId="168" fontId="95" fillId="7" borderId="77" xfId="3" applyFont="1" applyFill="1" applyBorder="1" applyAlignment="1">
      <alignment horizontal="center"/>
    </xf>
    <xf numFmtId="172" fontId="95" fillId="0" borderId="57" xfId="0" applyNumberFormat="1" applyFont="1" applyFill="1" applyBorder="1" applyAlignment="1">
      <alignment horizontal="right"/>
    </xf>
    <xf numFmtId="183" fontId="95" fillId="0" borderId="57" xfId="209" quotePrefix="1" applyNumberFormat="1" applyFont="1" applyFill="1" applyBorder="1" applyAlignment="1">
      <alignment horizontal="center" vertical="center"/>
    </xf>
    <xf numFmtId="168" fontId="95" fillId="40" borderId="77" xfId="3" applyFont="1" applyFill="1" applyBorder="1" applyAlignment="1">
      <alignment horizontal="center"/>
    </xf>
    <xf numFmtId="172" fontId="95" fillId="0" borderId="77" xfId="210" applyNumberFormat="1" applyFont="1" applyFill="1" applyBorder="1" applyAlignment="1">
      <alignment horizontal="center"/>
    </xf>
    <xf numFmtId="168" fontId="0" fillId="44" borderId="77" xfId="3" applyFont="1" applyFill="1" applyBorder="1" applyAlignment="1"/>
    <xf numFmtId="171" fontId="95" fillId="0" borderId="60" xfId="114" applyNumberFormat="1" applyFont="1" applyFill="1" applyBorder="1" applyAlignment="1">
      <alignment horizontal="center"/>
    </xf>
    <xf numFmtId="0" fontId="0" fillId="8" borderId="77" xfId="0" applyFill="1" applyBorder="1" applyAlignment="1">
      <alignment horizontal="center"/>
    </xf>
    <xf numFmtId="0" fontId="0" fillId="18" borderId="77" xfId="0" applyFill="1" applyBorder="1" applyAlignment="1">
      <alignment horizontal="center"/>
    </xf>
    <xf numFmtId="168" fontId="0" fillId="0" borderId="52" xfId="3" applyFont="1" applyFill="1" applyBorder="1" applyAlignment="1">
      <alignment horizontal="center"/>
    </xf>
    <xf numFmtId="168" fontId="0" fillId="0" borderId="86" xfId="3" applyFont="1" applyFill="1" applyBorder="1" applyAlignment="1">
      <alignment horizontal="center"/>
    </xf>
    <xf numFmtId="168" fontId="0" fillId="0" borderId="53" xfId="3" applyFont="1" applyFill="1" applyBorder="1" applyAlignment="1">
      <alignment horizontal="center"/>
    </xf>
    <xf numFmtId="0" fontId="10" fillId="0" borderId="77" xfId="0" applyFont="1" applyBorder="1" applyAlignment="1">
      <alignment horizontal="center"/>
    </xf>
    <xf numFmtId="0" fontId="92" fillId="8" borderId="77" xfId="0" applyFont="1" applyFill="1" applyBorder="1" applyAlignment="1">
      <alignment horizontal="center"/>
    </xf>
    <xf numFmtId="0" fontId="94" fillId="20" borderId="77" xfId="0" applyFont="1" applyFill="1" applyBorder="1" applyAlignment="1">
      <alignment horizontal="center" vertical="center"/>
    </xf>
    <xf numFmtId="0" fontId="94" fillId="14" borderId="77" xfId="0" applyFont="1" applyFill="1" applyBorder="1" applyAlignment="1">
      <alignment horizontal="center" vertical="center"/>
    </xf>
    <xf numFmtId="0" fontId="94" fillId="14" borderId="77" xfId="0" applyFont="1" applyFill="1" applyBorder="1" applyAlignment="1">
      <alignment horizontal="center"/>
    </xf>
    <xf numFmtId="0" fontId="94" fillId="20" borderId="77" xfId="0" applyFont="1" applyFill="1" applyBorder="1" applyAlignment="1">
      <alignment horizontal="center"/>
    </xf>
    <xf numFmtId="0" fontId="103" fillId="14" borderId="86" xfId="0" applyFont="1" applyFill="1" applyBorder="1" applyAlignment="1">
      <alignment horizontal="center"/>
    </xf>
    <xf numFmtId="0" fontId="103" fillId="20" borderId="86" xfId="0" applyFont="1" applyFill="1" applyBorder="1" applyAlignment="1">
      <alignment horizontal="center"/>
    </xf>
    <xf numFmtId="0" fontId="10" fillId="0" borderId="77" xfId="0" applyFont="1" applyBorder="1" applyAlignment="1">
      <alignment horizontal="center" vertical="center"/>
    </xf>
    <xf numFmtId="0" fontId="0" fillId="0" borderId="53" xfId="0" applyFill="1" applyBorder="1" applyAlignment="1"/>
    <xf numFmtId="168" fontId="0" fillId="0" borderId="53" xfId="3" applyFont="1" applyFill="1" applyBorder="1" applyAlignment="1"/>
    <xf numFmtId="168" fontId="0" fillId="0" borderId="86" xfId="3" applyFont="1" applyFill="1" applyBorder="1" applyAlignment="1"/>
    <xf numFmtId="168" fontId="0" fillId="0" borderId="77" xfId="3" applyFont="1" applyFill="1" applyBorder="1" applyAlignment="1">
      <alignment horizontal="center"/>
    </xf>
    <xf numFmtId="0" fontId="0" fillId="0" borderId="53" xfId="0" quotePrefix="1" applyBorder="1" applyAlignment="1"/>
    <xf numFmtId="14" fontId="0" fillId="0" borderId="52" xfId="0" applyNumberFormat="1" applyBorder="1" applyAlignment="1"/>
    <xf numFmtId="168" fontId="95" fillId="41" borderId="77" xfId="3" applyFont="1" applyFill="1" applyBorder="1" applyAlignment="1">
      <alignment horizontal="center"/>
    </xf>
    <xf numFmtId="168" fontId="95" fillId="42" borderId="77" xfId="3" applyFont="1" applyFill="1" applyBorder="1" applyAlignment="1">
      <alignment horizontal="center"/>
    </xf>
    <xf numFmtId="168" fontId="95" fillId="27" borderId="77" xfId="3" applyFont="1" applyFill="1" applyBorder="1" applyAlignment="1">
      <alignment horizontal="center"/>
    </xf>
    <xf numFmtId="168" fontId="95" fillId="30" borderId="77" xfId="3" applyFont="1" applyFill="1" applyBorder="1" applyAlignment="1">
      <alignment horizontal="center"/>
    </xf>
    <xf numFmtId="41" fontId="1" fillId="0" borderId="77" xfId="125" applyFont="1" applyBorder="1"/>
    <xf numFmtId="41" fontId="1" fillId="14" borderId="77" xfId="125" applyFont="1" applyFill="1" applyBorder="1"/>
    <xf numFmtId="10" fontId="95" fillId="0" borderId="77" xfId="83" applyNumberFormat="1" applyFont="1" applyFill="1" applyBorder="1" applyAlignment="1">
      <alignment horizontal="right"/>
    </xf>
    <xf numFmtId="0" fontId="10" fillId="0" borderId="77" xfId="0" applyFont="1" applyBorder="1" applyAlignment="1">
      <alignment horizontal="center"/>
    </xf>
    <xf numFmtId="171" fontId="95" fillId="0" borderId="77" xfId="0" applyNumberFormat="1" applyFont="1" applyFill="1" applyBorder="1" applyAlignment="1">
      <alignment horizontal="right"/>
    </xf>
    <xf numFmtId="173" fontId="116" fillId="0" borderId="77" xfId="0" applyNumberFormat="1" applyFont="1" applyFill="1" applyBorder="1" applyAlignment="1">
      <alignment horizontal="right"/>
    </xf>
    <xf numFmtId="179" fontId="95" fillId="0" borderId="77" xfId="0" applyNumberFormat="1" applyFont="1" applyFill="1" applyBorder="1" applyAlignment="1">
      <alignment horizontal="right"/>
    </xf>
    <xf numFmtId="0" fontId="95" fillId="0" borderId="77" xfId="0" applyFont="1" applyFill="1" applyBorder="1" applyAlignment="1">
      <alignment horizontal="right"/>
    </xf>
    <xf numFmtId="0" fontId="95" fillId="0" borderId="0" xfId="0" applyFont="1" applyFill="1" applyAlignment="1">
      <alignment horizontal="right"/>
    </xf>
    <xf numFmtId="0" fontId="107" fillId="0" borderId="0" xfId="0" applyFont="1" applyFill="1" applyAlignment="1">
      <alignment horizontal="right"/>
    </xf>
    <xf numFmtId="10" fontId="95" fillId="4" borderId="78" xfId="83" applyNumberFormat="1" applyFont="1" applyFill="1" applyBorder="1" applyAlignment="1"/>
    <xf numFmtId="168" fontId="0" fillId="45" borderId="77" xfId="3" applyFont="1" applyFill="1" applyBorder="1" applyAlignment="1"/>
    <xf numFmtId="171" fontId="99" fillId="14" borderId="31" xfId="64" applyNumberFormat="1" applyFont="1" applyFill="1" applyBorder="1" applyAlignment="1">
      <alignment horizontal="center" vertical="center" wrapText="1"/>
    </xf>
    <xf numFmtId="164" fontId="99" fillId="0" borderId="23" xfId="0" applyNumberFormat="1" applyFont="1" applyBorder="1" applyAlignment="1"/>
    <xf numFmtId="14" fontId="95" fillId="0" borderId="77" xfId="0" applyNumberFormat="1" applyFont="1" applyFill="1" applyBorder="1" applyAlignment="1"/>
    <xf numFmtId="0" fontId="95" fillId="0" borderId="77" xfId="0" applyFont="1" applyBorder="1" applyAlignment="1"/>
    <xf numFmtId="172" fontId="95" fillId="41" borderId="77" xfId="0" applyNumberFormat="1" applyFont="1" applyFill="1" applyBorder="1" applyAlignment="1">
      <alignment horizontal="right"/>
    </xf>
    <xf numFmtId="168" fontId="0" fillId="41" borderId="77" xfId="3" applyFont="1" applyFill="1" applyBorder="1" applyAlignment="1"/>
    <xf numFmtId="168" fontId="95" fillId="46" borderId="77" xfId="3" applyFont="1" applyFill="1" applyBorder="1" applyAlignment="1">
      <alignment horizontal="center"/>
    </xf>
    <xf numFmtId="168" fontId="95" fillId="22" borderId="77" xfId="3" applyFont="1" applyFill="1" applyBorder="1" applyAlignment="1">
      <alignment horizontal="center"/>
    </xf>
    <xf numFmtId="168" fontId="95" fillId="44" borderId="77" xfId="3" applyFont="1" applyFill="1" applyBorder="1" applyAlignment="1">
      <alignment horizontal="center"/>
    </xf>
    <xf numFmtId="10" fontId="95" fillId="4" borderId="77" xfId="83" applyNumberFormat="1" applyFont="1" applyFill="1" applyBorder="1" applyAlignment="1">
      <alignment horizontal="right"/>
    </xf>
    <xf numFmtId="1" fontId="95" fillId="4" borderId="77" xfId="0" applyNumberFormat="1" applyFont="1" applyFill="1" applyBorder="1" applyAlignment="1">
      <alignment horizontal="right"/>
    </xf>
    <xf numFmtId="1" fontId="95" fillId="0" borderId="77" xfId="0" applyNumberFormat="1" applyFont="1" applyFill="1" applyBorder="1" applyAlignment="1">
      <alignment horizontal="right"/>
    </xf>
    <xf numFmtId="168" fontId="0" fillId="40" borderId="77" xfId="3" applyFont="1" applyFill="1" applyBorder="1" applyAlignment="1"/>
    <xf numFmtId="1" fontId="95" fillId="4" borderId="78" xfId="0" applyNumberFormat="1" applyFont="1" applyFill="1" applyBorder="1" applyAlignment="1"/>
    <xf numFmtId="168" fontId="95" fillId="0" borderId="77" xfId="3" applyFont="1" applyBorder="1" applyAlignment="1"/>
    <xf numFmtId="169" fontId="70" fillId="0" borderId="0" xfId="2" applyNumberFormat="1" applyFont="1" applyAlignment="1">
      <alignment vertical="center"/>
    </xf>
    <xf numFmtId="0" fontId="73" fillId="22" borderId="64" xfId="0" applyFont="1" applyFill="1" applyBorder="1" applyAlignment="1">
      <alignment horizontal="center" vertical="center"/>
    </xf>
    <xf numFmtId="0" fontId="73" fillId="22" borderId="79" xfId="0" applyFont="1" applyFill="1" applyBorder="1" applyAlignment="1">
      <alignment horizontal="center" vertical="center"/>
    </xf>
    <xf numFmtId="0" fontId="73" fillId="22" borderId="6" xfId="0" applyFont="1" applyFill="1" applyBorder="1" applyAlignment="1">
      <alignment horizontal="center" vertical="center"/>
    </xf>
    <xf numFmtId="0" fontId="73" fillId="38" borderId="64" xfId="0" applyFont="1" applyFill="1" applyBorder="1" applyAlignment="1">
      <alignment horizontal="center" vertical="center"/>
    </xf>
    <xf numFmtId="0" fontId="73" fillId="38" borderId="79" xfId="0" applyFont="1" applyFill="1" applyBorder="1" applyAlignment="1">
      <alignment horizontal="center" vertical="center"/>
    </xf>
    <xf numFmtId="0" fontId="73" fillId="38" borderId="6" xfId="0" applyFont="1" applyFill="1" applyBorder="1" applyAlignment="1">
      <alignment horizontal="center" vertical="center"/>
    </xf>
    <xf numFmtId="0" fontId="73" fillId="37" borderId="79" xfId="0" applyFont="1" applyFill="1" applyBorder="1" applyAlignment="1">
      <alignment horizontal="center" vertical="center"/>
    </xf>
    <xf numFmtId="170" fontId="59" fillId="25" borderId="77" xfId="2" applyNumberFormat="1" applyFont="1" applyFill="1" applyBorder="1" applyAlignment="1">
      <alignment horizontal="center" vertical="center"/>
    </xf>
    <xf numFmtId="0" fontId="73" fillId="33" borderId="79" xfId="0" applyFont="1" applyFill="1" applyBorder="1" applyAlignment="1">
      <alignment horizontal="center" vertical="center"/>
    </xf>
    <xf numFmtId="0" fontId="73" fillId="28" borderId="79" xfId="0" applyFont="1" applyFill="1" applyBorder="1" applyAlignment="1">
      <alignment horizontal="center" vertical="center"/>
    </xf>
    <xf numFmtId="0" fontId="73" fillId="15" borderId="79" xfId="0" applyFont="1" applyFill="1" applyBorder="1" applyAlignment="1">
      <alignment horizontal="center" vertical="center"/>
    </xf>
    <xf numFmtId="0" fontId="73" fillId="34" borderId="79" xfId="0" applyFont="1" applyFill="1" applyBorder="1" applyAlignment="1">
      <alignment horizontal="center" vertical="center"/>
    </xf>
    <xf numFmtId="0" fontId="73" fillId="25" borderId="79" xfId="0" applyFont="1" applyFill="1" applyBorder="1" applyAlignment="1">
      <alignment horizontal="center" vertical="center"/>
    </xf>
    <xf numFmtId="0" fontId="73" fillId="21" borderId="79" xfId="0" applyFont="1" applyFill="1" applyBorder="1" applyAlignment="1">
      <alignment horizontal="center" vertical="center"/>
    </xf>
    <xf numFmtId="0" fontId="73" fillId="10" borderId="79" xfId="0" applyFont="1" applyFill="1" applyBorder="1" applyAlignment="1">
      <alignment horizontal="center" vertical="center"/>
    </xf>
    <xf numFmtId="0" fontId="73" fillId="24" borderId="79" xfId="0" applyFont="1" applyFill="1" applyBorder="1" applyAlignment="1">
      <alignment horizontal="center" vertical="center"/>
    </xf>
    <xf numFmtId="0" fontId="73" fillId="14" borderId="79" xfId="0" applyFont="1" applyFill="1" applyBorder="1" applyAlignment="1">
      <alignment horizontal="center" vertical="center"/>
    </xf>
    <xf numFmtId="0" fontId="73" fillId="41" borderId="64" xfId="0" applyFont="1" applyFill="1" applyBorder="1" applyAlignment="1">
      <alignment horizontal="center" vertical="center"/>
    </xf>
    <xf numFmtId="0" fontId="73" fillId="41" borderId="79" xfId="0" applyFont="1" applyFill="1" applyBorder="1" applyAlignment="1">
      <alignment horizontal="center" vertical="center"/>
    </xf>
    <xf numFmtId="0" fontId="73" fillId="30" borderId="78" xfId="0" applyFont="1" applyFill="1" applyBorder="1" applyAlignment="1">
      <alignment horizontal="center" vertical="center"/>
    </xf>
    <xf numFmtId="0" fontId="73" fillId="30" borderId="79" xfId="0" applyFont="1" applyFill="1" applyBorder="1" applyAlignment="1">
      <alignment horizontal="center" vertical="center"/>
    </xf>
    <xf numFmtId="0" fontId="73" fillId="31" borderId="79" xfId="0" applyFont="1" applyFill="1" applyBorder="1" applyAlignment="1">
      <alignment horizontal="center" vertical="center"/>
    </xf>
    <xf numFmtId="0" fontId="73" fillId="25" borderId="77" xfId="0" applyFont="1" applyFill="1" applyBorder="1" applyAlignment="1">
      <alignment horizontal="center" vertical="center"/>
    </xf>
    <xf numFmtId="170" fontId="59" fillId="25" borderId="52" xfId="2" applyNumberFormat="1" applyFont="1" applyFill="1" applyBorder="1" applyAlignment="1">
      <alignment horizontal="center" vertical="justify"/>
    </xf>
    <xf numFmtId="170" fontId="59" fillId="25" borderId="86" xfId="2" applyNumberFormat="1" applyFont="1" applyFill="1" applyBorder="1" applyAlignment="1">
      <alignment horizontal="center" vertical="justify"/>
    </xf>
    <xf numFmtId="0" fontId="59" fillId="25" borderId="0" xfId="95" applyFont="1" applyFill="1" applyAlignment="1">
      <alignment horizontal="center" vertical="center" wrapText="1"/>
    </xf>
    <xf numFmtId="0" fontId="59" fillId="25" borderId="61" xfId="95" applyFont="1" applyFill="1" applyBorder="1" applyAlignment="1">
      <alignment horizontal="center" vertical="center" wrapText="1"/>
    </xf>
    <xf numFmtId="170" fontId="58" fillId="25" borderId="52" xfId="96" applyNumberFormat="1" applyFont="1" applyFill="1" applyBorder="1" applyAlignment="1">
      <alignment horizontal="center" vertical="justify"/>
    </xf>
    <xf numFmtId="170" fontId="58" fillId="25" borderId="55" xfId="96" applyNumberFormat="1" applyFont="1" applyFill="1" applyBorder="1" applyAlignment="1">
      <alignment horizontal="center" vertical="justify"/>
    </xf>
    <xf numFmtId="0" fontId="57" fillId="25" borderId="54" xfId="95" applyFont="1" applyFill="1" applyBorder="1" applyAlignment="1">
      <alignment horizontal="center" vertical="center"/>
    </xf>
    <xf numFmtId="170" fontId="58" fillId="25" borderId="54" xfId="96" applyNumberFormat="1" applyFont="1" applyFill="1" applyBorder="1" applyAlignment="1">
      <alignment horizontal="center" vertical="center"/>
    </xf>
    <xf numFmtId="170" fontId="67" fillId="25" borderId="52" xfId="115" applyNumberFormat="1" applyFont="1" applyFill="1" applyBorder="1" applyAlignment="1">
      <alignment horizontal="center" vertical="justify"/>
    </xf>
    <xf numFmtId="170" fontId="67" fillId="25" borderId="86" xfId="115" applyNumberFormat="1" applyFont="1" applyFill="1" applyBorder="1" applyAlignment="1">
      <alignment horizontal="center" vertical="justify"/>
    </xf>
    <xf numFmtId="0" fontId="28" fillId="17" borderId="78" xfId="114" applyFont="1" applyFill="1" applyBorder="1" applyAlignment="1">
      <alignment horizontal="center" vertical="center"/>
    </xf>
    <xf numFmtId="0" fontId="28" fillId="17" borderId="57" xfId="114" applyFont="1" applyFill="1" applyBorder="1" applyAlignment="1">
      <alignment horizontal="center" vertical="center"/>
    </xf>
    <xf numFmtId="0" fontId="67" fillId="17" borderId="78" xfId="114" applyFont="1" applyFill="1" applyBorder="1" applyAlignment="1">
      <alignment horizontal="center" vertical="center"/>
    </xf>
    <xf numFmtId="0" fontId="67" fillId="17" borderId="57" xfId="114" applyFont="1" applyFill="1" applyBorder="1" applyAlignment="1">
      <alignment horizontal="center" vertical="center"/>
    </xf>
    <xf numFmtId="0" fontId="28" fillId="17" borderId="77" xfId="114" applyFont="1" applyFill="1" applyBorder="1" applyAlignment="1">
      <alignment horizontal="center" vertical="center"/>
    </xf>
    <xf numFmtId="0" fontId="86" fillId="25" borderId="77" xfId="114" applyFont="1" applyFill="1" applyBorder="1" applyAlignment="1">
      <alignment horizontal="center" vertical="center"/>
    </xf>
    <xf numFmtId="170" fontId="67" fillId="25" borderId="77" xfId="115" applyNumberFormat="1" applyFont="1" applyFill="1" applyBorder="1" applyAlignment="1">
      <alignment horizontal="center" vertical="center"/>
    </xf>
    <xf numFmtId="0" fontId="26" fillId="17" borderId="52" xfId="114" applyFont="1" applyFill="1" applyBorder="1" applyAlignment="1">
      <alignment horizontal="center" vertical="center"/>
    </xf>
    <xf numFmtId="0" fontId="26" fillId="17" borderId="86" xfId="114" applyFont="1" applyFill="1" applyBorder="1" applyAlignment="1">
      <alignment horizontal="center" vertical="center"/>
    </xf>
    <xf numFmtId="0" fontId="26" fillId="17" borderId="53" xfId="114" applyFont="1" applyFill="1" applyBorder="1" applyAlignment="1">
      <alignment horizontal="center" vertical="center"/>
    </xf>
    <xf numFmtId="0" fontId="86" fillId="17" borderId="51" xfId="114" applyFont="1" applyFill="1" applyBorder="1" applyAlignment="1">
      <alignment horizontal="center" vertical="center"/>
    </xf>
    <xf numFmtId="0" fontId="86" fillId="17" borderId="62" xfId="114" applyFont="1" applyFill="1" applyBorder="1" applyAlignment="1">
      <alignment horizontal="center" vertical="center"/>
    </xf>
    <xf numFmtId="0" fontId="86" fillId="17" borderId="60" xfId="114" applyFont="1" applyFill="1" applyBorder="1" applyAlignment="1">
      <alignment horizontal="center" vertical="center"/>
    </xf>
    <xf numFmtId="49" fontId="81" fillId="18" borderId="0" xfId="114" applyNumberFormat="1" applyFont="1" applyFill="1" applyBorder="1" applyAlignment="1">
      <alignment horizontal="left" vertical="center"/>
    </xf>
    <xf numFmtId="0" fontId="10" fillId="8" borderId="33" xfId="0" applyFont="1" applyFill="1" applyBorder="1" applyAlignment="1">
      <alignment horizontal="center"/>
    </xf>
    <xf numFmtId="0" fontId="10" fillId="8" borderId="30" xfId="0" applyFont="1" applyFill="1" applyBorder="1" applyAlignment="1">
      <alignment horizontal="center"/>
    </xf>
    <xf numFmtId="0" fontId="10" fillId="8" borderId="10" xfId="0" applyFont="1" applyFill="1" applyBorder="1" applyAlignment="1">
      <alignment horizontal="center" vertical="center" wrapText="1"/>
    </xf>
    <xf numFmtId="0" fontId="10" fillId="8" borderId="11" xfId="0" applyFont="1" applyFill="1" applyBorder="1" applyAlignment="1">
      <alignment horizontal="center" vertical="center" wrapText="1"/>
    </xf>
    <xf numFmtId="0" fontId="10" fillId="8" borderId="39" xfId="0" applyFont="1" applyFill="1" applyBorder="1" applyAlignment="1">
      <alignment horizontal="center" vertical="center" wrapText="1"/>
    </xf>
    <xf numFmtId="0" fontId="10" fillId="8" borderId="25" xfId="0" applyFont="1" applyFill="1" applyBorder="1" applyAlignment="1">
      <alignment horizontal="center" vertical="center" wrapText="1"/>
    </xf>
    <xf numFmtId="0" fontId="10" fillId="8" borderId="60" xfId="0" applyFont="1" applyFill="1" applyBorder="1" applyAlignment="1">
      <alignment horizontal="center" vertical="center" wrapText="1"/>
    </xf>
    <xf numFmtId="0" fontId="10" fillId="8" borderId="12" xfId="0" applyFont="1" applyFill="1" applyBorder="1" applyAlignment="1">
      <alignment horizontal="center" vertical="center" wrapText="1"/>
    </xf>
    <xf numFmtId="0" fontId="10" fillId="8" borderId="70" xfId="0" applyFont="1" applyFill="1" applyBorder="1" applyAlignment="1">
      <alignment horizontal="center" vertical="center" wrapText="1"/>
    </xf>
    <xf numFmtId="0" fontId="11" fillId="18" borderId="44" xfId="0" applyFont="1" applyFill="1" applyBorder="1" applyAlignment="1">
      <alignment horizontal="center"/>
    </xf>
    <xf numFmtId="0" fontId="11" fillId="18" borderId="45" xfId="0" applyFont="1" applyFill="1" applyBorder="1" applyAlignment="1">
      <alignment horizontal="center"/>
    </xf>
    <xf numFmtId="0" fontId="11" fillId="18" borderId="27" xfId="0" applyFont="1" applyFill="1" applyBorder="1" applyAlignment="1">
      <alignment horizontal="center"/>
    </xf>
    <xf numFmtId="0" fontId="11" fillId="18" borderId="12" xfId="0" applyFont="1" applyFill="1" applyBorder="1" applyAlignment="1">
      <alignment horizontal="center"/>
    </xf>
    <xf numFmtId="0" fontId="0" fillId="19" borderId="0" xfId="0" applyFont="1" applyFill="1" applyAlignment="1">
      <alignment horizontal="center"/>
    </xf>
    <xf numFmtId="0" fontId="0" fillId="18" borderId="37" xfId="0" applyFont="1" applyFill="1" applyBorder="1" applyAlignment="1">
      <alignment horizontal="center"/>
    </xf>
    <xf numFmtId="0" fontId="0" fillId="18" borderId="38" xfId="0" applyFont="1" applyFill="1" applyBorder="1" applyAlignment="1">
      <alignment horizontal="center"/>
    </xf>
    <xf numFmtId="0" fontId="11" fillId="18" borderId="26" xfId="0" applyFont="1" applyFill="1" applyBorder="1" applyAlignment="1">
      <alignment horizontal="center" wrapText="1"/>
    </xf>
    <xf numFmtId="0" fontId="11" fillId="18" borderId="23" xfId="0" applyFont="1" applyFill="1" applyBorder="1" applyAlignment="1">
      <alignment horizontal="center" wrapText="1"/>
    </xf>
    <xf numFmtId="0" fontId="0" fillId="19" borderId="28" xfId="0" applyFont="1" applyFill="1" applyBorder="1" applyAlignment="1">
      <alignment horizontal="center"/>
    </xf>
    <xf numFmtId="171" fontId="99" fillId="14" borderId="44" xfId="64" applyNumberFormat="1" applyFont="1" applyFill="1" applyBorder="1" applyAlignment="1">
      <alignment horizontal="center" vertical="center"/>
    </xf>
    <xf numFmtId="171" fontId="99" fillId="14" borderId="69" xfId="64" applyNumberFormat="1" applyFont="1" applyFill="1" applyBorder="1" applyAlignment="1">
      <alignment horizontal="center" vertical="center"/>
    </xf>
    <xf numFmtId="171" fontId="99" fillId="14" borderId="34" xfId="64" applyNumberFormat="1" applyFont="1" applyFill="1" applyBorder="1" applyAlignment="1">
      <alignment horizontal="center" vertical="center"/>
    </xf>
    <xf numFmtId="171" fontId="99" fillId="14" borderId="29" xfId="64" applyNumberFormat="1" applyFont="1" applyFill="1" applyBorder="1" applyAlignment="1">
      <alignment horizontal="center" vertical="center"/>
    </xf>
    <xf numFmtId="171" fontId="99" fillId="14" borderId="28" xfId="64" applyNumberFormat="1" applyFont="1" applyFill="1" applyBorder="1" applyAlignment="1">
      <alignment horizontal="center" vertical="center"/>
    </xf>
    <xf numFmtId="171" fontId="99" fillId="14" borderId="82" xfId="64" applyNumberFormat="1" applyFont="1" applyFill="1" applyBorder="1" applyAlignment="1">
      <alignment horizontal="center" vertical="center"/>
    </xf>
    <xf numFmtId="172" fontId="99" fillId="14" borderId="31" xfId="15" applyNumberFormat="1" applyFont="1" applyFill="1" applyBorder="1" applyAlignment="1">
      <alignment horizontal="center" vertical="center" wrapText="1"/>
    </xf>
    <xf numFmtId="171" fontId="99" fillId="14" borderId="31" xfId="64" applyNumberFormat="1" applyFont="1" applyFill="1" applyBorder="1" applyAlignment="1">
      <alignment horizontal="center" vertical="center"/>
    </xf>
    <xf numFmtId="171" fontId="99" fillId="14" borderId="69" xfId="64" applyNumberFormat="1" applyFont="1" applyFill="1" applyBorder="1" applyAlignment="1">
      <alignment horizontal="center" vertical="center" wrapText="1"/>
    </xf>
    <xf numFmtId="171" fontId="99" fillId="14" borderId="28" xfId="64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right" vertical="center"/>
    </xf>
    <xf numFmtId="0" fontId="99" fillId="0" borderId="0" xfId="0" applyFont="1" applyAlignment="1">
      <alignment horizontal="center" vertical="center"/>
    </xf>
    <xf numFmtId="0" fontId="99" fillId="0" borderId="35" xfId="0" applyFont="1" applyBorder="1" applyAlignment="1">
      <alignment horizontal="center"/>
    </xf>
    <xf numFmtId="0" fontId="99" fillId="0" borderId="19" xfId="0" applyFont="1" applyBorder="1" applyAlignment="1">
      <alignment horizontal="center"/>
    </xf>
    <xf numFmtId="171" fontId="99" fillId="14" borderId="48" xfId="64" applyNumberFormat="1" applyFont="1" applyFill="1" applyBorder="1" applyAlignment="1">
      <alignment horizontal="center" vertical="center"/>
    </xf>
    <xf numFmtId="171" fontId="99" fillId="14" borderId="20" xfId="64" applyNumberFormat="1" applyFont="1" applyFill="1" applyBorder="1" applyAlignment="1">
      <alignment horizontal="center" vertical="center"/>
    </xf>
    <xf numFmtId="171" fontId="99" fillId="14" borderId="22" xfId="64" applyNumberFormat="1" applyFont="1" applyFill="1" applyBorder="1" applyAlignment="1">
      <alignment horizontal="center" vertical="center"/>
    </xf>
    <xf numFmtId="43" fontId="21" fillId="3" borderId="37" xfId="2" applyFont="1" applyFill="1" applyBorder="1" applyAlignment="1" applyProtection="1">
      <alignment horizontal="right" vertical="center" wrapText="1"/>
    </xf>
    <xf numFmtId="43" fontId="21" fillId="3" borderId="1" xfId="2" applyFont="1" applyFill="1" applyBorder="1" applyAlignment="1" applyProtection="1">
      <alignment horizontal="right" vertical="center" wrapText="1"/>
    </xf>
    <xf numFmtId="43" fontId="21" fillId="3" borderId="19" xfId="2" applyFont="1" applyFill="1" applyBorder="1" applyAlignment="1" applyProtection="1">
      <alignment horizontal="right" vertical="center" wrapText="1"/>
    </xf>
    <xf numFmtId="3" fontId="21" fillId="3" borderId="38" xfId="2" applyNumberFormat="1" applyFont="1" applyFill="1" applyBorder="1" applyAlignment="1" applyProtection="1">
      <alignment horizontal="right" vertical="center" wrapText="1"/>
    </xf>
    <xf numFmtId="3" fontId="21" fillId="3" borderId="18" xfId="2" applyNumberFormat="1" applyFont="1" applyFill="1" applyBorder="1" applyAlignment="1" applyProtection="1">
      <alignment horizontal="right" vertical="center" wrapText="1"/>
    </xf>
    <xf numFmtId="3" fontId="21" fillId="3" borderId="43" xfId="2" applyNumberFormat="1" applyFont="1" applyFill="1" applyBorder="1" applyAlignment="1" applyProtection="1">
      <alignment horizontal="right" vertical="center" wrapText="1"/>
    </xf>
    <xf numFmtId="171" fontId="21" fillId="3" borderId="15" xfId="64" applyNumberFormat="1" applyFont="1" applyFill="1" applyBorder="1" applyAlignment="1">
      <alignment horizontal="right" vertical="center"/>
    </xf>
    <xf numFmtId="171" fontId="21" fillId="3" borderId="1" xfId="64" applyNumberFormat="1" applyFont="1" applyFill="1" applyBorder="1" applyAlignment="1">
      <alignment horizontal="right" vertical="center"/>
    </xf>
    <xf numFmtId="171" fontId="21" fillId="3" borderId="32" xfId="64" applyNumberFormat="1" applyFont="1" applyFill="1" applyBorder="1" applyAlignment="1">
      <alignment horizontal="right" vertical="center"/>
    </xf>
    <xf numFmtId="171" fontId="21" fillId="3" borderId="20" xfId="64" applyNumberFormat="1" applyFont="1" applyFill="1" applyBorder="1" applyAlignment="1">
      <alignment horizontal="center" vertical="center"/>
    </xf>
    <xf numFmtId="171" fontId="21" fillId="3" borderId="20" xfId="64" applyNumberFormat="1" applyFont="1" applyFill="1" applyBorder="1" applyAlignment="1">
      <alignment horizontal="right" vertical="center"/>
    </xf>
    <xf numFmtId="172" fontId="21" fillId="3" borderId="33" xfId="15" applyNumberFormat="1" applyFont="1" applyFill="1" applyBorder="1" applyAlignment="1">
      <alignment horizontal="right" vertical="center" wrapText="1"/>
    </xf>
    <xf numFmtId="172" fontId="21" fillId="3" borderId="30" xfId="15" applyNumberFormat="1" applyFont="1" applyFill="1" applyBorder="1" applyAlignment="1">
      <alignment horizontal="right" vertical="center" wrapText="1"/>
    </xf>
    <xf numFmtId="171" fontId="21" fillId="3" borderId="46" xfId="64" applyNumberFormat="1" applyFont="1" applyFill="1" applyBorder="1" applyAlignment="1">
      <alignment horizontal="center" vertical="center"/>
    </xf>
    <xf numFmtId="171" fontId="21" fillId="3" borderId="46" xfId="64" applyNumberFormat="1" applyFont="1" applyFill="1" applyBorder="1" applyAlignment="1">
      <alignment horizontal="right" vertical="center"/>
    </xf>
    <xf numFmtId="173" fontId="21" fillId="3" borderId="46" xfId="64" applyNumberFormat="1" applyFont="1" applyFill="1" applyBorder="1" applyAlignment="1">
      <alignment horizontal="right" vertical="center"/>
    </xf>
    <xf numFmtId="173" fontId="21" fillId="3" borderId="34" xfId="64" applyNumberFormat="1" applyFont="1" applyFill="1" applyBorder="1" applyAlignment="1">
      <alignment horizontal="right" vertical="center"/>
    </xf>
    <xf numFmtId="171" fontId="21" fillId="3" borderId="33" xfId="64" applyNumberFormat="1" applyFont="1" applyFill="1" applyBorder="1" applyAlignment="1">
      <alignment horizontal="right" vertical="center"/>
    </xf>
    <xf numFmtId="171" fontId="21" fillId="3" borderId="30" xfId="64" applyNumberFormat="1" applyFont="1" applyFill="1" applyBorder="1" applyAlignment="1">
      <alignment horizontal="right" vertical="center"/>
    </xf>
    <xf numFmtId="171" fontId="21" fillId="3" borderId="44" xfId="64" applyNumberFormat="1" applyFont="1" applyFill="1" applyBorder="1" applyAlignment="1">
      <alignment horizontal="right" vertical="center" wrapText="1"/>
    </xf>
    <xf numFmtId="171" fontId="21" fillId="3" borderId="29" xfId="64" applyNumberFormat="1" applyFont="1" applyFill="1" applyBorder="1" applyAlignment="1">
      <alignment horizontal="right" vertical="center" wrapText="1"/>
    </xf>
    <xf numFmtId="171" fontId="21" fillId="3" borderId="36" xfId="64" applyNumberFormat="1" applyFont="1" applyFill="1" applyBorder="1" applyAlignment="1">
      <alignment horizontal="right" vertical="center"/>
    </xf>
    <xf numFmtId="171" fontId="21" fillId="3" borderId="37" xfId="64" applyNumberFormat="1" applyFont="1" applyFill="1" applyBorder="1" applyAlignment="1">
      <alignment horizontal="right" vertical="center"/>
    </xf>
    <xf numFmtId="14" fontId="96" fillId="0" borderId="1" xfId="0" applyNumberFormat="1" applyFont="1" applyBorder="1" applyAlignment="1">
      <alignment horizontal="right"/>
    </xf>
    <xf numFmtId="0" fontId="96" fillId="0" borderId="0" xfId="0" applyFont="1" applyAlignment="1">
      <alignment horizontal="right" vertical="center"/>
    </xf>
    <xf numFmtId="0" fontId="96" fillId="0" borderId="0" xfId="0" applyFont="1" applyAlignment="1">
      <alignment horizontal="center" vertical="center"/>
    </xf>
    <xf numFmtId="171" fontId="100" fillId="3" borderId="32" xfId="64" applyNumberFormat="1" applyFont="1" applyFill="1" applyBorder="1" applyAlignment="1">
      <alignment horizontal="right" vertical="center"/>
    </xf>
    <xf numFmtId="171" fontId="100" fillId="3" borderId="20" xfId="64" applyNumberFormat="1" applyFont="1" applyFill="1" applyBorder="1" applyAlignment="1">
      <alignment horizontal="center" vertical="center"/>
    </xf>
    <xf numFmtId="171" fontId="100" fillId="3" borderId="20" xfId="64" applyNumberFormat="1" applyFont="1" applyFill="1" applyBorder="1" applyAlignment="1">
      <alignment horizontal="right" vertical="center"/>
    </xf>
    <xf numFmtId="172" fontId="100" fillId="3" borderId="33" xfId="15" applyNumberFormat="1" applyFont="1" applyFill="1" applyBorder="1" applyAlignment="1">
      <alignment horizontal="right" vertical="center" wrapText="1"/>
    </xf>
    <xf numFmtId="172" fontId="100" fillId="3" borderId="30" xfId="15" applyNumberFormat="1" applyFont="1" applyFill="1" applyBorder="1" applyAlignment="1">
      <alignment horizontal="right" vertical="center" wrapText="1"/>
    </xf>
    <xf numFmtId="171" fontId="100" fillId="3" borderId="46" xfId="64" applyNumberFormat="1" applyFont="1" applyFill="1" applyBorder="1" applyAlignment="1">
      <alignment horizontal="center" vertical="center"/>
    </xf>
    <xf numFmtId="171" fontId="100" fillId="3" borderId="46" xfId="64" applyNumberFormat="1" applyFont="1" applyFill="1" applyBorder="1" applyAlignment="1">
      <alignment horizontal="right" vertical="center"/>
    </xf>
    <xf numFmtId="173" fontId="100" fillId="3" borderId="46" xfId="64" applyNumberFormat="1" applyFont="1" applyFill="1" applyBorder="1" applyAlignment="1">
      <alignment horizontal="right" vertical="center"/>
    </xf>
    <xf numFmtId="173" fontId="100" fillId="3" borderId="34" xfId="64" applyNumberFormat="1" applyFont="1" applyFill="1" applyBorder="1" applyAlignment="1">
      <alignment horizontal="right" vertical="center"/>
    </xf>
    <xf numFmtId="171" fontId="100" fillId="3" borderId="33" xfId="64" applyNumberFormat="1" applyFont="1" applyFill="1" applyBorder="1" applyAlignment="1">
      <alignment horizontal="right" vertical="center"/>
    </xf>
    <xf numFmtId="171" fontId="100" fillId="3" borderId="30" xfId="64" applyNumberFormat="1" applyFont="1" applyFill="1" applyBorder="1" applyAlignment="1">
      <alignment horizontal="right" vertical="center"/>
    </xf>
    <xf numFmtId="171" fontId="100" fillId="3" borderId="44" xfId="64" applyNumberFormat="1" applyFont="1" applyFill="1" applyBorder="1" applyAlignment="1">
      <alignment horizontal="right" vertical="center" wrapText="1"/>
    </xf>
    <xf numFmtId="171" fontId="100" fillId="3" borderId="29" xfId="64" applyNumberFormat="1" applyFont="1" applyFill="1" applyBorder="1" applyAlignment="1">
      <alignment horizontal="right" vertical="center" wrapText="1"/>
    </xf>
    <xf numFmtId="171" fontId="100" fillId="3" borderId="36" xfId="64" applyNumberFormat="1" applyFont="1" applyFill="1" applyBorder="1" applyAlignment="1">
      <alignment horizontal="right" vertical="center"/>
    </xf>
    <xf numFmtId="171" fontId="100" fillId="3" borderId="37" xfId="64" applyNumberFormat="1" applyFont="1" applyFill="1" applyBorder="1" applyAlignment="1">
      <alignment horizontal="right" vertical="center"/>
    </xf>
    <xf numFmtId="43" fontId="100" fillId="3" borderId="37" xfId="2" applyFont="1" applyFill="1" applyBorder="1" applyAlignment="1" applyProtection="1">
      <alignment horizontal="right" vertical="center" wrapText="1"/>
    </xf>
    <xf numFmtId="43" fontId="100" fillId="3" borderId="1" xfId="2" applyFont="1" applyFill="1" applyBorder="1" applyAlignment="1" applyProtection="1">
      <alignment horizontal="right" vertical="center" wrapText="1"/>
    </xf>
    <xf numFmtId="43" fontId="100" fillId="3" borderId="19" xfId="2" applyFont="1" applyFill="1" applyBorder="1" applyAlignment="1" applyProtection="1">
      <alignment horizontal="right" vertical="center" wrapText="1"/>
    </xf>
    <xf numFmtId="3" fontId="100" fillId="3" borderId="38" xfId="2" applyNumberFormat="1" applyFont="1" applyFill="1" applyBorder="1" applyAlignment="1" applyProtection="1">
      <alignment horizontal="right" vertical="center" wrapText="1"/>
    </xf>
    <xf numFmtId="3" fontId="100" fillId="3" borderId="18" xfId="2" applyNumberFormat="1" applyFont="1" applyFill="1" applyBorder="1" applyAlignment="1" applyProtection="1">
      <alignment horizontal="right" vertical="center" wrapText="1"/>
    </xf>
    <xf numFmtId="3" fontId="100" fillId="3" borderId="43" xfId="2" applyNumberFormat="1" applyFont="1" applyFill="1" applyBorder="1" applyAlignment="1" applyProtection="1">
      <alignment horizontal="right" vertical="center" wrapText="1"/>
    </xf>
    <xf numFmtId="171" fontId="100" fillId="3" borderId="15" xfId="64" applyNumberFormat="1" applyFont="1" applyFill="1" applyBorder="1" applyAlignment="1">
      <alignment horizontal="right" vertical="center"/>
    </xf>
    <xf numFmtId="171" fontId="100" fillId="3" borderId="1" xfId="64" applyNumberFormat="1" applyFont="1" applyFill="1" applyBorder="1" applyAlignment="1">
      <alignment horizontal="right" vertical="center"/>
    </xf>
    <xf numFmtId="0" fontId="96" fillId="0" borderId="1" xfId="0" applyFont="1" applyBorder="1" applyAlignment="1">
      <alignment horizontal="right"/>
    </xf>
    <xf numFmtId="0" fontId="96" fillId="0" borderId="1" xfId="0" applyFont="1" applyBorder="1" applyAlignment="1">
      <alignment horizontal="center"/>
    </xf>
    <xf numFmtId="171" fontId="99" fillId="14" borderId="44" xfId="64" applyNumberFormat="1" applyFont="1" applyFill="1" applyBorder="1" applyAlignment="1">
      <alignment horizontal="center" vertical="center" wrapText="1"/>
    </xf>
    <xf numFmtId="171" fontId="99" fillId="14" borderId="29" xfId="64" applyNumberFormat="1" applyFont="1" applyFill="1" applyBorder="1" applyAlignment="1">
      <alignment horizontal="center" vertical="center" wrapText="1"/>
    </xf>
    <xf numFmtId="171" fontId="99" fillId="14" borderId="32" xfId="64" applyNumberFormat="1" applyFont="1" applyFill="1" applyBorder="1" applyAlignment="1">
      <alignment horizontal="center" vertical="center"/>
    </xf>
    <xf numFmtId="0" fontId="99" fillId="0" borderId="1" xfId="0" applyFont="1" applyBorder="1" applyAlignment="1">
      <alignment horizontal="right"/>
    </xf>
    <xf numFmtId="0" fontId="99" fillId="0" borderId="1" xfId="0" applyFont="1" applyBorder="1" applyAlignment="1">
      <alignment horizontal="center"/>
    </xf>
    <xf numFmtId="171" fontId="99" fillId="14" borderId="31" xfId="15" applyNumberFormat="1" applyFont="1" applyFill="1" applyBorder="1" applyAlignment="1">
      <alignment horizontal="center" vertical="center" wrapText="1"/>
    </xf>
    <xf numFmtId="0" fontId="99" fillId="0" borderId="1" xfId="0" applyFont="1" applyFill="1" applyBorder="1" applyAlignment="1">
      <alignment horizontal="right"/>
    </xf>
    <xf numFmtId="0" fontId="99" fillId="0" borderId="1" xfId="0" applyFont="1" applyFill="1" applyBorder="1" applyAlignment="1">
      <alignment horizontal="center"/>
    </xf>
    <xf numFmtId="171" fontId="99" fillId="14" borderId="31" xfId="64" applyNumberFormat="1" applyFont="1" applyFill="1" applyBorder="1" applyAlignment="1">
      <alignment horizontal="center" vertical="center" wrapText="1"/>
    </xf>
    <xf numFmtId="171" fontId="99" fillId="14" borderId="48" xfId="64" applyNumberFormat="1" applyFont="1" applyFill="1" applyBorder="1" applyAlignment="1">
      <alignment horizontal="center" vertical="center" wrapText="1"/>
    </xf>
    <xf numFmtId="171" fontId="99" fillId="14" borderId="33" xfId="15" applyNumberFormat="1" applyFont="1" applyFill="1" applyBorder="1" applyAlignment="1">
      <alignment horizontal="center" vertical="center" wrapText="1"/>
    </xf>
    <xf numFmtId="171" fontId="99" fillId="14" borderId="30" xfId="15" applyNumberFormat="1" applyFont="1" applyFill="1" applyBorder="1" applyAlignment="1">
      <alignment horizontal="center" vertical="center" wrapText="1"/>
    </xf>
    <xf numFmtId="171" fontId="99" fillId="14" borderId="33" xfId="64" applyNumberFormat="1" applyFont="1" applyFill="1" applyBorder="1" applyAlignment="1">
      <alignment horizontal="center" vertical="center"/>
    </xf>
    <xf numFmtId="171" fontId="99" fillId="14" borderId="30" xfId="64" applyNumberFormat="1" applyFont="1" applyFill="1" applyBorder="1" applyAlignment="1">
      <alignment horizontal="center" vertical="center"/>
    </xf>
    <xf numFmtId="171" fontId="99" fillId="14" borderId="33" xfId="64" applyNumberFormat="1" applyFont="1" applyFill="1" applyBorder="1" applyAlignment="1">
      <alignment horizontal="center" vertical="center" wrapText="1"/>
    </xf>
    <xf numFmtId="171" fontId="99" fillId="14" borderId="30" xfId="64" applyNumberFormat="1" applyFont="1" applyFill="1" applyBorder="1" applyAlignment="1">
      <alignment horizontal="center" vertical="center" wrapText="1"/>
    </xf>
    <xf numFmtId="0" fontId="99" fillId="0" borderId="30" xfId="0" applyFont="1" applyBorder="1" applyAlignment="1">
      <alignment horizontal="center"/>
    </xf>
    <xf numFmtId="0" fontId="10" fillId="0" borderId="78" xfId="0" applyFont="1" applyBorder="1" applyAlignment="1">
      <alignment horizontal="center" vertical="center"/>
    </xf>
    <xf numFmtId="0" fontId="10" fillId="0" borderId="79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168" fontId="0" fillId="14" borderId="52" xfId="3" applyFont="1" applyFill="1" applyBorder="1" applyAlignment="1">
      <alignment horizontal="center"/>
    </xf>
    <xf numFmtId="168" fontId="0" fillId="14" borderId="86" xfId="3" applyFont="1" applyFill="1" applyBorder="1" applyAlignment="1">
      <alignment horizontal="center"/>
    </xf>
    <xf numFmtId="168" fontId="0" fillId="14" borderId="53" xfId="3" applyFont="1" applyFill="1" applyBorder="1" applyAlignment="1">
      <alignment horizontal="center"/>
    </xf>
    <xf numFmtId="0" fontId="0" fillId="8" borderId="77" xfId="0" applyFill="1" applyBorder="1" applyAlignment="1">
      <alignment horizontal="center"/>
    </xf>
    <xf numFmtId="0" fontId="0" fillId="18" borderId="77" xfId="0" applyFill="1" applyBorder="1" applyAlignment="1">
      <alignment horizontal="center"/>
    </xf>
    <xf numFmtId="0" fontId="0" fillId="14" borderId="77" xfId="0" applyFill="1" applyBorder="1" applyAlignment="1">
      <alignment horizontal="center"/>
    </xf>
    <xf numFmtId="168" fontId="0" fillId="14" borderId="77" xfId="3" applyFont="1" applyFill="1" applyBorder="1" applyAlignment="1">
      <alignment horizontal="center"/>
    </xf>
    <xf numFmtId="168" fontId="0" fillId="0" borderId="52" xfId="3" applyFont="1" applyFill="1" applyBorder="1" applyAlignment="1">
      <alignment horizontal="center"/>
    </xf>
    <xf numFmtId="168" fontId="0" fillId="0" borderId="86" xfId="3" applyFont="1" applyFill="1" applyBorder="1" applyAlignment="1">
      <alignment horizontal="center"/>
    </xf>
    <xf numFmtId="168" fontId="0" fillId="0" borderId="53" xfId="3" applyFont="1" applyFill="1" applyBorder="1" applyAlignment="1">
      <alignment horizontal="center"/>
    </xf>
    <xf numFmtId="168" fontId="0" fillId="20" borderId="52" xfId="3" applyFont="1" applyFill="1" applyBorder="1" applyAlignment="1">
      <alignment horizontal="center"/>
    </xf>
    <xf numFmtId="168" fontId="0" fillId="20" borderId="86" xfId="3" applyFont="1" applyFill="1" applyBorder="1" applyAlignment="1">
      <alignment horizontal="center"/>
    </xf>
    <xf numFmtId="168" fontId="0" fillId="20" borderId="53" xfId="3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77" xfId="0" applyFont="1" applyBorder="1" applyAlignment="1">
      <alignment horizontal="center"/>
    </xf>
    <xf numFmtId="0" fontId="10" fillId="0" borderId="52" xfId="0" applyFont="1" applyBorder="1" applyAlignment="1">
      <alignment horizontal="center"/>
    </xf>
    <xf numFmtId="0" fontId="10" fillId="0" borderId="53" xfId="0" applyFont="1" applyBorder="1" applyAlignment="1">
      <alignment horizontal="center"/>
    </xf>
    <xf numFmtId="0" fontId="92" fillId="8" borderId="77" xfId="0" applyFont="1" applyFill="1" applyBorder="1" applyAlignment="1">
      <alignment horizontal="center"/>
    </xf>
    <xf numFmtId="172" fontId="92" fillId="8" borderId="77" xfId="2" applyNumberFormat="1" applyFont="1" applyFill="1" applyBorder="1" applyAlignment="1">
      <alignment horizontal="center"/>
    </xf>
    <xf numFmtId="17" fontId="10" fillId="20" borderId="52" xfId="0" applyNumberFormat="1" applyFont="1" applyFill="1" applyBorder="1" applyAlignment="1">
      <alignment horizontal="center"/>
    </xf>
    <xf numFmtId="0" fontId="10" fillId="20" borderId="86" xfId="0" applyFont="1" applyFill="1" applyBorder="1" applyAlignment="1">
      <alignment horizontal="center"/>
    </xf>
    <xf numFmtId="0" fontId="10" fillId="20" borderId="53" xfId="0" applyFont="1" applyFill="1" applyBorder="1" applyAlignment="1">
      <alignment horizontal="center"/>
    </xf>
    <xf numFmtId="17" fontId="10" fillId="20" borderId="86" xfId="0" applyNumberFormat="1" applyFont="1" applyFill="1" applyBorder="1" applyAlignment="1">
      <alignment horizontal="center"/>
    </xf>
    <xf numFmtId="17" fontId="10" fillId="20" borderId="53" xfId="0" applyNumberFormat="1" applyFont="1" applyFill="1" applyBorder="1" applyAlignment="1">
      <alignment horizontal="center"/>
    </xf>
    <xf numFmtId="0" fontId="109" fillId="20" borderId="77" xfId="0" applyFont="1" applyFill="1" applyBorder="1" applyAlignment="1">
      <alignment horizontal="center"/>
    </xf>
    <xf numFmtId="0" fontId="10" fillId="14" borderId="49" xfId="0" applyFont="1" applyFill="1" applyBorder="1" applyAlignment="1">
      <alignment horizontal="center" vertical="center" wrapText="1"/>
    </xf>
    <xf numFmtId="0" fontId="94" fillId="20" borderId="52" xfId="124" applyFont="1" applyFill="1" applyBorder="1" applyAlignment="1">
      <alignment horizontal="center" vertical="center"/>
    </xf>
    <xf numFmtId="0" fontId="94" fillId="20" borderId="86" xfId="124" applyFont="1" applyFill="1" applyBorder="1" applyAlignment="1">
      <alignment horizontal="center" vertical="center"/>
    </xf>
    <xf numFmtId="0" fontId="10" fillId="14" borderId="77" xfId="0" applyFont="1" applyFill="1" applyBorder="1" applyAlignment="1">
      <alignment horizontal="center" vertical="center" wrapText="1"/>
    </xf>
    <xf numFmtId="0" fontId="10" fillId="14" borderId="78" xfId="0" applyFont="1" applyFill="1" applyBorder="1" applyAlignment="1">
      <alignment horizontal="center" vertical="center" wrapText="1"/>
    </xf>
    <xf numFmtId="0" fontId="10" fillId="14" borderId="79" xfId="0" applyFont="1" applyFill="1" applyBorder="1" applyAlignment="1">
      <alignment horizontal="center" vertical="center" wrapText="1"/>
    </xf>
    <xf numFmtId="0" fontId="94" fillId="14" borderId="77" xfId="124" applyFont="1" applyFill="1" applyBorder="1" applyAlignment="1">
      <alignment horizontal="center" vertical="center"/>
    </xf>
    <xf numFmtId="0" fontId="94" fillId="14" borderId="78" xfId="124" applyFont="1" applyFill="1" applyBorder="1" applyAlignment="1">
      <alignment horizontal="center" vertical="center"/>
    </xf>
    <xf numFmtId="0" fontId="83" fillId="14" borderId="77" xfId="124" applyFont="1" applyFill="1" applyBorder="1" applyAlignment="1">
      <alignment horizontal="center" vertical="center" wrapText="1"/>
    </xf>
    <xf numFmtId="0" fontId="94" fillId="14" borderId="79" xfId="124" applyFont="1" applyFill="1" applyBorder="1" applyAlignment="1">
      <alignment horizontal="center" vertical="center"/>
    </xf>
    <xf numFmtId="0" fontId="94" fillId="14" borderId="77" xfId="0" applyFont="1" applyFill="1" applyBorder="1" applyAlignment="1">
      <alignment horizontal="center"/>
    </xf>
    <xf numFmtId="0" fontId="94" fillId="20" borderId="77" xfId="0" applyFont="1" applyFill="1" applyBorder="1" applyAlignment="1">
      <alignment horizontal="center"/>
    </xf>
    <xf numFmtId="0" fontId="94" fillId="14" borderId="77" xfId="0" applyFont="1" applyFill="1" applyBorder="1" applyAlignment="1">
      <alignment horizontal="center" vertical="center"/>
    </xf>
    <xf numFmtId="0" fontId="94" fillId="14" borderId="78" xfId="0" applyFont="1" applyFill="1" applyBorder="1" applyAlignment="1">
      <alignment horizontal="center" vertical="center" wrapText="1"/>
    </xf>
    <xf numFmtId="0" fontId="94" fillId="14" borderId="57" xfId="0" applyFont="1" applyFill="1" applyBorder="1" applyAlignment="1">
      <alignment horizontal="center" vertical="center" wrapText="1"/>
    </xf>
    <xf numFmtId="0" fontId="94" fillId="14" borderId="52" xfId="0" applyFont="1" applyFill="1" applyBorder="1" applyAlignment="1">
      <alignment horizontal="center"/>
    </xf>
    <xf numFmtId="0" fontId="94" fillId="14" borderId="86" xfId="0" applyFont="1" applyFill="1" applyBorder="1" applyAlignment="1">
      <alignment horizontal="center"/>
    </xf>
    <xf numFmtId="0" fontId="94" fillId="14" borderId="53" xfId="0" applyFont="1" applyFill="1" applyBorder="1" applyAlignment="1">
      <alignment horizontal="center"/>
    </xf>
    <xf numFmtId="0" fontId="94" fillId="14" borderId="78" xfId="0" applyFont="1" applyFill="1" applyBorder="1" applyAlignment="1">
      <alignment horizontal="center" vertical="center"/>
    </xf>
    <xf numFmtId="0" fontId="94" fillId="14" borderId="57" xfId="0" applyFont="1" applyFill="1" applyBorder="1" applyAlignment="1">
      <alignment horizontal="center" vertical="center"/>
    </xf>
    <xf numFmtId="0" fontId="94" fillId="14" borderId="77" xfId="0" applyFont="1" applyFill="1" applyBorder="1" applyAlignment="1">
      <alignment horizontal="center" vertical="center" wrapText="1"/>
    </xf>
    <xf numFmtId="0" fontId="94" fillId="20" borderId="77" xfId="0" applyFont="1" applyFill="1" applyBorder="1" applyAlignment="1">
      <alignment horizontal="center" vertical="center" wrapText="1"/>
    </xf>
    <xf numFmtId="0" fontId="94" fillId="20" borderId="77" xfId="0" applyFont="1" applyFill="1" applyBorder="1" applyAlignment="1">
      <alignment horizontal="center" vertical="center"/>
    </xf>
    <xf numFmtId="0" fontId="94" fillId="20" borderId="78" xfId="0" applyFont="1" applyFill="1" applyBorder="1" applyAlignment="1">
      <alignment horizontal="center" vertical="center"/>
    </xf>
    <xf numFmtId="0" fontId="94" fillId="20" borderId="57" xfId="0" applyFont="1" applyFill="1" applyBorder="1" applyAlignment="1">
      <alignment horizontal="center" vertical="center"/>
    </xf>
    <xf numFmtId="0" fontId="94" fillId="20" borderId="57" xfId="0" applyFont="1" applyFill="1" applyBorder="1" applyAlignment="1">
      <alignment horizontal="center" vertical="center" wrapText="1"/>
    </xf>
    <xf numFmtId="0" fontId="94" fillId="20" borderId="52" xfId="0" applyFont="1" applyFill="1" applyBorder="1" applyAlignment="1">
      <alignment horizontal="center"/>
    </xf>
    <xf numFmtId="0" fontId="94" fillId="20" borderId="86" xfId="0" applyFont="1" applyFill="1" applyBorder="1" applyAlignment="1">
      <alignment horizontal="center"/>
    </xf>
    <xf numFmtId="0" fontId="94" fillId="20" borderId="53" xfId="0" applyFont="1" applyFill="1" applyBorder="1" applyAlignment="1">
      <alignment horizontal="center"/>
    </xf>
    <xf numFmtId="0" fontId="94" fillId="20" borderId="79" xfId="0" applyFont="1" applyFill="1" applyBorder="1" applyAlignment="1">
      <alignment horizontal="center" vertical="center" wrapText="1"/>
    </xf>
    <xf numFmtId="0" fontId="103" fillId="20" borderId="52" xfId="0" applyFont="1" applyFill="1" applyBorder="1" applyAlignment="1">
      <alignment horizontal="center"/>
    </xf>
    <xf numFmtId="0" fontId="103" fillId="20" borderId="53" xfId="0" applyFont="1" applyFill="1" applyBorder="1" applyAlignment="1">
      <alignment horizontal="center"/>
    </xf>
    <xf numFmtId="0" fontId="103" fillId="14" borderId="52" xfId="0" applyFont="1" applyFill="1" applyBorder="1" applyAlignment="1">
      <alignment horizontal="center"/>
    </xf>
    <xf numFmtId="0" fontId="103" fillId="14" borderId="53" xfId="0" applyFont="1" applyFill="1" applyBorder="1" applyAlignment="1">
      <alignment horizontal="center"/>
    </xf>
    <xf numFmtId="0" fontId="103" fillId="0" borderId="0" xfId="0" applyFont="1" applyAlignment="1">
      <alignment horizontal="left"/>
    </xf>
    <xf numFmtId="0" fontId="103" fillId="38" borderId="77" xfId="0" applyFont="1" applyFill="1" applyBorder="1" applyAlignment="1">
      <alignment horizontal="center" vertical="center" wrapText="1"/>
    </xf>
    <xf numFmtId="17" fontId="103" fillId="14" borderId="52" xfId="0" applyNumberFormat="1" applyFont="1" applyFill="1" applyBorder="1" applyAlignment="1">
      <alignment horizontal="center"/>
    </xf>
    <xf numFmtId="0" fontId="103" fillId="14" borderId="86" xfId="0" applyFont="1" applyFill="1" applyBorder="1" applyAlignment="1">
      <alignment horizontal="center"/>
    </xf>
    <xf numFmtId="17" fontId="103" fillId="20" borderId="52" xfId="0" applyNumberFormat="1" applyFont="1" applyFill="1" applyBorder="1" applyAlignment="1">
      <alignment horizontal="center"/>
    </xf>
    <xf numFmtId="0" fontId="103" fillId="20" borderId="86" xfId="0" applyFont="1" applyFill="1" applyBorder="1" applyAlignment="1">
      <alignment horizontal="center"/>
    </xf>
    <xf numFmtId="17" fontId="103" fillId="20" borderId="86" xfId="0" applyNumberFormat="1" applyFont="1" applyFill="1" applyBorder="1" applyAlignment="1">
      <alignment horizontal="center"/>
    </xf>
    <xf numFmtId="17" fontId="103" fillId="20" borderId="53" xfId="0" applyNumberFormat="1" applyFont="1" applyFill="1" applyBorder="1" applyAlignment="1">
      <alignment horizontal="center"/>
    </xf>
    <xf numFmtId="0" fontId="0" fillId="8" borderId="78" xfId="0" applyFill="1" applyBorder="1" applyAlignment="1">
      <alignment horizontal="center"/>
    </xf>
    <xf numFmtId="168" fontId="0" fillId="20" borderId="52" xfId="3" applyFont="1" applyFill="1" applyBorder="1" applyAlignment="1">
      <alignment horizontal="left"/>
    </xf>
    <xf numFmtId="168" fontId="0" fillId="20" borderId="55" xfId="3" applyFont="1" applyFill="1" applyBorder="1" applyAlignment="1">
      <alignment horizontal="left"/>
    </xf>
    <xf numFmtId="168" fontId="0" fillId="20" borderId="53" xfId="3" applyFont="1" applyFill="1" applyBorder="1" applyAlignment="1">
      <alignment horizontal="left"/>
    </xf>
    <xf numFmtId="0" fontId="10" fillId="0" borderId="78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0" fillId="0" borderId="77" xfId="0" applyFont="1" applyBorder="1" applyAlignment="1">
      <alignment horizontal="center" vertical="center" wrapText="1"/>
    </xf>
    <xf numFmtId="0" fontId="10" fillId="0" borderId="77" xfId="0" applyFont="1" applyBorder="1" applyAlignment="1">
      <alignment horizontal="center" vertical="center"/>
    </xf>
  </cellXfs>
  <cellStyles count="211">
    <cellStyle name="20% - Accent2 4 3 4" xfId="1"/>
    <cellStyle name="Comma" xfId="2" builtinId="3"/>
    <cellStyle name="Comma [0]" xfId="3" builtinId="6"/>
    <cellStyle name="Comma [0] 2" xfId="4"/>
    <cellStyle name="Comma [0] 3" xfId="97"/>
    <cellStyle name="Comma [0] 3 2" xfId="104"/>
    <cellStyle name="Comma [0] 3 3" xfId="107"/>
    <cellStyle name="Comma [0] 3 4" xfId="110"/>
    <cellStyle name="Comma [0] 3 5" xfId="116"/>
    <cellStyle name="Comma [0] 3 6" xfId="121"/>
    <cellStyle name="Comma [0] 4" xfId="125"/>
    <cellStyle name="Comma 10" xfId="5"/>
    <cellStyle name="Comma 100" xfId="198"/>
    <cellStyle name="Comma 101" xfId="202"/>
    <cellStyle name="Comma 102" xfId="203"/>
    <cellStyle name="Comma 103" xfId="201"/>
    <cellStyle name="Comma 104" xfId="199"/>
    <cellStyle name="Comma 105" xfId="200"/>
    <cellStyle name="Comma 106" xfId="205"/>
    <cellStyle name="Comma 107" xfId="204"/>
    <cellStyle name="Comma 108" xfId="207"/>
    <cellStyle name="Comma 109" xfId="206"/>
    <cellStyle name="Comma 11" xfId="6"/>
    <cellStyle name="Comma 110" xfId="208"/>
    <cellStyle name="Comma 111" xfId="209"/>
    <cellStyle name="Comma 114" xfId="210"/>
    <cellStyle name="Comma 12" xfId="7"/>
    <cellStyle name="Comma 13" xfId="8"/>
    <cellStyle name="Comma 14" xfId="9"/>
    <cellStyle name="Comma 15" xfId="10"/>
    <cellStyle name="Comma 16" xfId="11"/>
    <cellStyle name="Comma 17" xfId="12"/>
    <cellStyle name="Comma 18" xfId="13"/>
    <cellStyle name="Comma 19" xfId="14"/>
    <cellStyle name="Comma 2" xfId="15"/>
    <cellStyle name="Comma 20" xfId="16"/>
    <cellStyle name="Comma 21" xfId="17"/>
    <cellStyle name="Comma 22" xfId="18"/>
    <cellStyle name="Comma 23" xfId="19"/>
    <cellStyle name="Comma 24" xfId="20"/>
    <cellStyle name="Comma 25" xfId="21"/>
    <cellStyle name="Comma 26" xfId="22"/>
    <cellStyle name="Comma 27" xfId="23"/>
    <cellStyle name="Comma 28" xfId="96"/>
    <cellStyle name="Comma 28 2" xfId="103"/>
    <cellStyle name="Comma 28 3" xfId="106"/>
    <cellStyle name="Comma 28 4" xfId="109"/>
    <cellStyle name="Comma 28 5" xfId="115"/>
    <cellStyle name="Comma 28 6" xfId="120"/>
    <cellStyle name="Comma 29" xfId="126"/>
    <cellStyle name="Comma 3" xfId="24"/>
    <cellStyle name="Comma 30" xfId="129"/>
    <cellStyle name="Comma 31" xfId="128"/>
    <cellStyle name="Comma 32" xfId="130"/>
    <cellStyle name="Comma 33" xfId="132"/>
    <cellStyle name="Comma 34" xfId="131"/>
    <cellStyle name="Comma 35" xfId="133"/>
    <cellStyle name="Comma 36" xfId="134"/>
    <cellStyle name="Comma 37" xfId="135"/>
    <cellStyle name="Comma 38" xfId="137"/>
    <cellStyle name="Comma 39" xfId="136"/>
    <cellStyle name="Comma 4" xfId="25"/>
    <cellStyle name="Comma 40" xfId="139"/>
    <cellStyle name="Comma 41" xfId="140"/>
    <cellStyle name="Comma 42" xfId="138"/>
    <cellStyle name="Comma 43" xfId="142"/>
    <cellStyle name="Comma 44" xfId="141"/>
    <cellStyle name="Comma 45" xfId="143"/>
    <cellStyle name="Comma 46" xfId="144"/>
    <cellStyle name="Comma 47" xfId="146"/>
    <cellStyle name="Comma 48" xfId="145"/>
    <cellStyle name="Comma 49" xfId="147"/>
    <cellStyle name="Comma 5" xfId="26"/>
    <cellStyle name="Comma 50" xfId="149"/>
    <cellStyle name="Comma 51" xfId="148"/>
    <cellStyle name="Comma 52" xfId="150"/>
    <cellStyle name="Comma 53" xfId="151"/>
    <cellStyle name="Comma 54" xfId="153"/>
    <cellStyle name="Comma 55" xfId="154"/>
    <cellStyle name="Comma 56" xfId="152"/>
    <cellStyle name="Comma 57" xfId="155"/>
    <cellStyle name="Comma 58" xfId="157"/>
    <cellStyle name="Comma 59" xfId="158"/>
    <cellStyle name="Comma 6" xfId="27"/>
    <cellStyle name="Comma 60" xfId="159"/>
    <cellStyle name="Comma 61" xfId="156"/>
    <cellStyle name="Comma 62" xfId="161"/>
    <cellStyle name="Comma 63" xfId="160"/>
    <cellStyle name="Comma 64" xfId="162"/>
    <cellStyle name="Comma 65" xfId="163"/>
    <cellStyle name="Comma 66" xfId="164"/>
    <cellStyle name="Comma 67" xfId="165"/>
    <cellStyle name="Comma 68" xfId="167"/>
    <cellStyle name="Comma 69" xfId="168"/>
    <cellStyle name="Comma 7" xfId="28"/>
    <cellStyle name="Comma 70" xfId="166"/>
    <cellStyle name="Comma 71" xfId="169"/>
    <cellStyle name="Comma 72" xfId="170"/>
    <cellStyle name="Comma 73" xfId="172"/>
    <cellStyle name="Comma 74" xfId="171"/>
    <cellStyle name="Comma 75" xfId="173"/>
    <cellStyle name="Comma 76" xfId="174"/>
    <cellStyle name="Comma 77" xfId="175"/>
    <cellStyle name="Comma 78" xfId="176"/>
    <cellStyle name="Comma 79" xfId="178"/>
    <cellStyle name="Comma 8" xfId="29"/>
    <cellStyle name="Comma 80" xfId="177"/>
    <cellStyle name="Comma 81" xfId="179"/>
    <cellStyle name="Comma 82" xfId="180"/>
    <cellStyle name="Comma 83" xfId="181"/>
    <cellStyle name="Comma 84" xfId="182"/>
    <cellStyle name="Comma 85" xfId="184"/>
    <cellStyle name="Comma 86" xfId="183"/>
    <cellStyle name="Comma 87" xfId="185"/>
    <cellStyle name="Comma 88" xfId="186"/>
    <cellStyle name="Comma 89" xfId="187"/>
    <cellStyle name="Comma 9" xfId="30"/>
    <cellStyle name="Comma 90" xfId="188"/>
    <cellStyle name="Comma 91" xfId="190"/>
    <cellStyle name="Comma 92" xfId="189"/>
    <cellStyle name="Comma 93" xfId="191"/>
    <cellStyle name="Comma 94" xfId="192"/>
    <cellStyle name="Comma 95" xfId="194"/>
    <cellStyle name="Comma 96" xfId="193"/>
    <cellStyle name="Comma 97" xfId="195"/>
    <cellStyle name="Comma 98" xfId="197"/>
    <cellStyle name="Comma 99" xfId="196"/>
    <cellStyle name="Currency 2" xfId="98"/>
    <cellStyle name="Currency 2 2" xfId="105"/>
    <cellStyle name="Currency 2 3" xfId="108"/>
    <cellStyle name="Currency 2 4" xfId="111"/>
    <cellStyle name="Currency 2 5" xfId="117"/>
    <cellStyle name="Currency 2 6" xfId="122"/>
    <cellStyle name="Excel Built-in Normal" xfId="31"/>
    <cellStyle name="Hyperlink 10" xfId="32"/>
    <cellStyle name="Hyperlink 11" xfId="33"/>
    <cellStyle name="Hyperlink 12" xfId="34"/>
    <cellStyle name="Hyperlink 13" xfId="35"/>
    <cellStyle name="Hyperlink 14" xfId="36"/>
    <cellStyle name="Hyperlink 15" xfId="37"/>
    <cellStyle name="Hyperlink 16" xfId="38"/>
    <cellStyle name="Hyperlink 17" xfId="39"/>
    <cellStyle name="Hyperlink 18" xfId="40"/>
    <cellStyle name="Hyperlink 19" xfId="41"/>
    <cellStyle name="Hyperlink 2" xfId="42"/>
    <cellStyle name="Hyperlink 20" xfId="43"/>
    <cellStyle name="Hyperlink 21" xfId="44"/>
    <cellStyle name="Hyperlink 22" xfId="45"/>
    <cellStyle name="Hyperlink 23" xfId="46"/>
    <cellStyle name="Hyperlink 3" xfId="47"/>
    <cellStyle name="Hyperlink 4" xfId="48"/>
    <cellStyle name="Hyperlink 5" xfId="49"/>
    <cellStyle name="Hyperlink 6" xfId="50"/>
    <cellStyle name="Hyperlink 7" xfId="51"/>
    <cellStyle name="Hyperlink 8" xfId="52"/>
    <cellStyle name="Hyperlink 9" xfId="53"/>
    <cellStyle name="Normal" xfId="0" builtinId="0"/>
    <cellStyle name="Normal 10" xfId="54"/>
    <cellStyle name="Normal 11" xfId="55"/>
    <cellStyle name="Normal 12" xfId="56"/>
    <cellStyle name="Normal 13" xfId="57"/>
    <cellStyle name="Normal 14" xfId="58"/>
    <cellStyle name="Normal 15" xfId="59"/>
    <cellStyle name="Normal 16" xfId="60"/>
    <cellStyle name="Normal 17" xfId="61"/>
    <cellStyle name="Normal 18" xfId="62"/>
    <cellStyle name="Normal 19" xfId="63"/>
    <cellStyle name="Normal 2" xfId="64"/>
    <cellStyle name="Normal 2 2" xfId="127"/>
    <cellStyle name="Normal 20" xfId="65"/>
    <cellStyle name="Normal 21" xfId="66"/>
    <cellStyle name="Normal 22" xfId="67"/>
    <cellStyle name="Normal 23" xfId="68"/>
    <cellStyle name="Normal 24" xfId="69"/>
    <cellStyle name="Normal 25" xfId="70"/>
    <cellStyle name="Normal 26" xfId="71"/>
    <cellStyle name="Normal 27" xfId="72"/>
    <cellStyle name="Normal 28" xfId="73"/>
    <cellStyle name="Normal 29" xfId="74"/>
    <cellStyle name="Normal 3" xfId="75"/>
    <cellStyle name="Normal 30" xfId="95"/>
    <cellStyle name="Normal 30 2" xfId="102"/>
    <cellStyle name="Normal 30 3" xfId="100"/>
    <cellStyle name="Normal 30 4" xfId="101"/>
    <cellStyle name="Normal 30 5" xfId="114"/>
    <cellStyle name="Normal 30 6" xfId="119"/>
    <cellStyle name="Normal 30_BANK STAT" xfId="113"/>
    <cellStyle name="Normal 31" xfId="99"/>
    <cellStyle name="Normal 31 2" xfId="118"/>
    <cellStyle name="Normal 31 3" xfId="123"/>
    <cellStyle name="Normal 31_BANK STAT" xfId="112"/>
    <cellStyle name="Normal 32" xfId="124"/>
    <cellStyle name="Normal 4" xfId="76"/>
    <cellStyle name="Normal 5" xfId="77"/>
    <cellStyle name="Normal 6" xfId="78"/>
    <cellStyle name="Normal 7" xfId="79"/>
    <cellStyle name="Normal 8" xfId="80"/>
    <cellStyle name="Normal 9" xfId="81"/>
    <cellStyle name="Normal_Sheet2" xfId="82"/>
    <cellStyle name="Percent" xfId="83" builtinId="5"/>
    <cellStyle name="S12 3" xfId="84"/>
    <cellStyle name="S3" xfId="85"/>
    <cellStyle name="S6" xfId="86"/>
    <cellStyle name="S6 2" xfId="87"/>
    <cellStyle name="S7" xfId="88"/>
    <cellStyle name="S7 2" xfId="89"/>
    <cellStyle name="S8 11" xfId="90"/>
    <cellStyle name="S8 12" xfId="91"/>
    <cellStyle name="S8 17" xfId="92"/>
    <cellStyle name="S8 18" xfId="93"/>
    <cellStyle name="S9 3" xfId="94"/>
  </cellStyles>
  <dxfs count="1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00"/>
      <color rgb="FFF676F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SHFLOW%20AND%20RECEIPT%20MAR%20'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LA/LAPORAN/LAPORAN%20CASH%20FLOW%20TH%202021/CASHFLOW%20AND%20RECEIPT%20DES%20'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2018\BANK%20RECEIPT\Copy%20of%20UPDATE%20CIF%20DES%20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LA\JATUH%20TEMPO\JATUH%20TEMPO%202020%20ARINA%20PER%201%20MEI%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Copy%20of%20CASHFLOW%20JULI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HSBC"/>
      <sheetName val="HSBC ITF"/>
      <sheetName val="HSBC 15 HR"/>
      <sheetName val="BCA"/>
      <sheetName val="OCBC"/>
      <sheetName val="UOB"/>
      <sheetName val="CONTROL PAYMENT 2021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</sheetNames>
    <sheetDataSet>
      <sheetData sheetId="0">
        <row r="22">
          <cell r="C22">
            <v>33106326342.440002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BCA"/>
      <sheetName val="HSBC ITF"/>
      <sheetName val="HSBC 15 HR"/>
      <sheetName val="HSBC"/>
      <sheetName val="OCBC"/>
      <sheetName val="UOB"/>
      <sheetName val="CONTROL PAYMENT 2021"/>
      <sheetName val="REKAP DISCOST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  <sheetName val="RAKAP ASURANSI"/>
    </sheetNames>
    <sheetDataSet>
      <sheetData sheetId="0"/>
      <sheetData sheetId="1"/>
      <sheetData sheetId="2">
        <row r="31">
          <cell r="AL31">
            <v>84840919434.520004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"/>
      <sheetName val="Bank Sta"/>
      <sheetName val="DEPO "/>
      <sheetName val="PRICPLE "/>
      <sheetName val="AP (pdr)"/>
      <sheetName val="bank loan"/>
      <sheetName val="EVER"/>
      <sheetName val="LAPH"/>
      <sheetName val="Sheet2"/>
    </sheetNames>
    <sheetDataSet>
      <sheetData sheetId="0" refreshError="1"/>
      <sheetData sheetId="1" refreshError="1">
        <row r="18">
          <cell r="C18">
            <v>4240828040.8800001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 BAYAR"/>
      <sheetName val="DIFI PIC"/>
      <sheetName val="DIFI PIC SEASONAL"/>
      <sheetName val="DIFI GFI"/>
      <sheetName val="DIFI GFI SEASONAL"/>
      <sheetName val="DIFI NLS"/>
      <sheetName val="DIFI NLS SEASONAL"/>
      <sheetName val="DIFI YIJG"/>
      <sheetName val="DIFI YIJG REG"/>
      <sheetName val="DIFI YIJG SEASONAL"/>
      <sheetName val="ROLL OVER ITF"/>
      <sheetName val="PIC"/>
      <sheetName val="GFI"/>
      <sheetName val="NLS"/>
      <sheetName val="YIJG"/>
      <sheetName val="EIT"/>
      <sheetName val="MI"/>
      <sheetName val="SPS"/>
      <sheetName val="SPB"/>
      <sheetName val="SAN"/>
      <sheetName val="CFA"/>
      <sheetName val="RDSI"/>
      <sheetName val="ITF"/>
      <sheetName val="AMP"/>
      <sheetName val="UCI"/>
      <sheetName val="FNP"/>
      <sheetName val="BJS"/>
      <sheetName val="SSS"/>
    </sheetNames>
    <sheetDataSet>
      <sheetData sheetId="0"/>
      <sheetData sheetId="1"/>
      <sheetData sheetId="2">
        <row r="480">
          <cell r="J480">
            <v>43111992</v>
          </cell>
        </row>
      </sheetData>
      <sheetData sheetId="3">
        <row r="12">
          <cell r="J12">
            <v>200334068</v>
          </cell>
        </row>
      </sheetData>
      <sheetData sheetId="4">
        <row r="225">
          <cell r="O225">
            <v>1932480</v>
          </cell>
        </row>
      </sheetData>
      <sheetData sheetId="5"/>
      <sheetData sheetId="6">
        <row r="255">
          <cell r="L255">
            <v>463443002</v>
          </cell>
        </row>
      </sheetData>
      <sheetData sheetId="7">
        <row r="6">
          <cell r="L6">
            <v>6871260</v>
          </cell>
        </row>
      </sheetData>
      <sheetData sheetId="8">
        <row r="274">
          <cell r="H274">
            <v>416585920</v>
          </cell>
        </row>
      </sheetData>
      <sheetData sheetId="9"/>
      <sheetData sheetId="10"/>
      <sheetData sheetId="11">
        <row r="65">
          <cell r="M65">
            <v>199040237</v>
          </cell>
        </row>
        <row r="66">
          <cell r="M66">
            <v>181380156</v>
          </cell>
        </row>
        <row r="67">
          <cell r="M67">
            <v>6859214</v>
          </cell>
        </row>
        <row r="68">
          <cell r="M68">
            <v>214367958</v>
          </cell>
        </row>
        <row r="69">
          <cell r="M69">
            <v>141812150</v>
          </cell>
        </row>
        <row r="70">
          <cell r="M70">
            <v>165790215</v>
          </cell>
        </row>
        <row r="71">
          <cell r="M71">
            <v>174120018</v>
          </cell>
        </row>
        <row r="72">
          <cell r="M72">
            <v>23361819</v>
          </cell>
        </row>
        <row r="73">
          <cell r="M73">
            <v>179232665</v>
          </cell>
        </row>
        <row r="74">
          <cell r="M74">
            <v>6932649</v>
          </cell>
        </row>
        <row r="75">
          <cell r="M75">
            <v>174483004</v>
          </cell>
        </row>
        <row r="76">
          <cell r="M76">
            <v>162251551</v>
          </cell>
        </row>
      </sheetData>
      <sheetData sheetId="12"/>
      <sheetData sheetId="13"/>
      <sheetData sheetId="14"/>
      <sheetData sheetId="15"/>
      <sheetData sheetId="16">
        <row r="167">
          <cell r="K167">
            <v>154293198</v>
          </cell>
        </row>
      </sheetData>
      <sheetData sheetId="17">
        <row r="111">
          <cell r="K111">
            <v>338665390</v>
          </cell>
        </row>
      </sheetData>
      <sheetData sheetId="18"/>
      <sheetData sheetId="19"/>
      <sheetData sheetId="20"/>
      <sheetData sheetId="21">
        <row r="24">
          <cell r="K24">
            <v>38690400</v>
          </cell>
        </row>
      </sheetData>
      <sheetData sheetId="22">
        <row r="208">
          <cell r="K208">
            <v>30993750</v>
          </cell>
        </row>
      </sheetData>
      <sheetData sheetId="23">
        <row r="492">
          <cell r="K492">
            <v>1836000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"/>
      <sheetName val="HSBC APRIL 18"/>
      <sheetName val="OCBC APRIL 18"/>
      <sheetName val="OUB APRIL 18"/>
      <sheetName val="AP non Bank"/>
      <sheetName val="Yogja"/>
      <sheetName val="Clcp"/>
      <sheetName val="Kbmn"/>
      <sheetName val="Smrg"/>
      <sheetName val="pWKT"/>
      <sheetName val="SALATIGA "/>
      <sheetName val="TGL"/>
      <sheetName val="SOLO"/>
      <sheetName val="WONO"/>
      <sheetName val="BLORA"/>
      <sheetName val="PATI"/>
      <sheetName val="PKLG"/>
      <sheetName val="MGLG"/>
      <sheetName val="HO"/>
      <sheetName val="ygyw5"/>
    </sheetNames>
    <sheetDataSet>
      <sheetData sheetId="0" refreshError="1"/>
      <sheetData sheetId="1" refreshError="1"/>
      <sheetData sheetId="2" refreshError="1">
        <row r="152">
          <cell r="H152">
            <v>16018911488</v>
          </cell>
        </row>
      </sheetData>
      <sheetData sheetId="3" refreshError="1">
        <row r="71">
          <cell r="H71">
            <v>5457803811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D26"/>
  <sheetViews>
    <sheetView workbookViewId="0">
      <selection activeCell="C5" sqref="C5"/>
    </sheetView>
  </sheetViews>
  <sheetFormatPr defaultRowHeight="15" x14ac:dyDescent="0.25"/>
  <cols>
    <col min="1" max="1" width="30.140625" bestFit="1" customWidth="1"/>
    <col min="3" max="3" width="15.28515625" style="463" bestFit="1" customWidth="1"/>
    <col min="4" max="4" width="13.28515625" customWidth="1"/>
  </cols>
  <sheetData>
    <row r="1" spans="1:4" ht="16.5" x14ac:dyDescent="0.3">
      <c r="A1" s="534" t="s">
        <v>0</v>
      </c>
    </row>
    <row r="2" spans="1:4" ht="15.75" x14ac:dyDescent="0.25">
      <c r="A2" s="535" t="s">
        <v>4752</v>
      </c>
    </row>
    <row r="3" spans="1:4" x14ac:dyDescent="0.25">
      <c r="A3" s="536">
        <v>44348</v>
      </c>
    </row>
    <row r="4" spans="1:4" ht="15.75" thickBot="1" x14ac:dyDescent="0.3"/>
    <row r="5" spans="1:4" x14ac:dyDescent="0.25">
      <c r="A5" s="537" t="s">
        <v>4753</v>
      </c>
      <c r="B5" s="538"/>
      <c r="C5" s="539">
        <f>RECEIPT!AY107</f>
        <v>0</v>
      </c>
      <c r="D5" s="540"/>
    </row>
    <row r="6" spans="1:4" x14ac:dyDescent="0.25">
      <c r="A6" s="541" t="s">
        <v>4754</v>
      </c>
      <c r="B6" s="349"/>
      <c r="C6" s="350">
        <f>RECEIPT!AY104</f>
        <v>0</v>
      </c>
      <c r="D6" s="542"/>
    </row>
    <row r="7" spans="1:4" x14ac:dyDescent="0.25">
      <c r="A7" s="541" t="s">
        <v>4755</v>
      </c>
      <c r="B7" s="349"/>
      <c r="C7" s="350">
        <f>RECEIPT!AY105</f>
        <v>582656804</v>
      </c>
      <c r="D7" s="542"/>
    </row>
    <row r="8" spans="1:4" x14ac:dyDescent="0.25">
      <c r="A8" s="543" t="s">
        <v>4760</v>
      </c>
      <c r="B8" s="544"/>
      <c r="C8" s="545">
        <f>SUM(C5:C7)</f>
        <v>582656804</v>
      </c>
      <c r="D8" s="542"/>
    </row>
    <row r="9" spans="1:4" s="254" customFormat="1" x14ac:dyDescent="0.25">
      <c r="A9" s="541"/>
      <c r="B9" s="349"/>
      <c r="C9" s="350"/>
      <c r="D9" s="542"/>
    </row>
    <row r="10" spans="1:4" x14ac:dyDescent="0.25">
      <c r="A10" s="541" t="s">
        <v>21</v>
      </c>
      <c r="B10" s="349"/>
      <c r="C10" s="350">
        <f>ATTACH!AL11</f>
        <v>24187955335</v>
      </c>
      <c r="D10" s="542"/>
    </row>
    <row r="11" spans="1:4" x14ac:dyDescent="0.25">
      <c r="A11" s="541" t="s">
        <v>28</v>
      </c>
      <c r="B11" s="349"/>
      <c r="C11" s="350">
        <f>SUM(ATTACH!AL73)</f>
        <v>5504180247</v>
      </c>
      <c r="D11" s="542"/>
    </row>
    <row r="12" spans="1:4" x14ac:dyDescent="0.25">
      <c r="A12" s="541" t="s">
        <v>4756</v>
      </c>
      <c r="B12" s="349"/>
      <c r="C12" s="350">
        <f>SUM(ATTACH!AL16:AL23)</f>
        <v>10925870605</v>
      </c>
      <c r="D12" s="542"/>
    </row>
    <row r="13" spans="1:4" x14ac:dyDescent="0.25">
      <c r="A13" s="541" t="s">
        <v>4757</v>
      </c>
      <c r="B13" s="349"/>
      <c r="C13" s="350">
        <f>+ATTACH!AL93</f>
        <v>181819355</v>
      </c>
      <c r="D13" s="542"/>
    </row>
    <row r="14" spans="1:4" x14ac:dyDescent="0.25">
      <c r="A14" s="541" t="s">
        <v>4758</v>
      </c>
      <c r="B14" s="349"/>
      <c r="C14" s="350">
        <f>ATTACH!AL112</f>
        <v>0</v>
      </c>
      <c r="D14" s="542"/>
    </row>
    <row r="15" spans="1:4" x14ac:dyDescent="0.25">
      <c r="A15" s="541" t="s">
        <v>4759</v>
      </c>
      <c r="B15" s="349"/>
      <c r="C15" s="350">
        <f>ATTACH!AL168</f>
        <v>1900199775</v>
      </c>
      <c r="D15" s="542"/>
    </row>
    <row r="16" spans="1:4" x14ac:dyDescent="0.25">
      <c r="A16" s="546" t="s">
        <v>4761</v>
      </c>
      <c r="B16" s="547"/>
      <c r="C16" s="548">
        <f>SUM(C10:C15)</f>
        <v>42700025317</v>
      </c>
      <c r="D16" s="542"/>
    </row>
    <row r="17" spans="1:4" x14ac:dyDescent="0.25">
      <c r="A17" s="541"/>
      <c r="B17" s="349"/>
      <c r="C17" s="350"/>
      <c r="D17" s="542"/>
    </row>
    <row r="18" spans="1:4" ht="15.75" thickBot="1" x14ac:dyDescent="0.3">
      <c r="A18" s="556" t="s">
        <v>104</v>
      </c>
      <c r="B18" s="557"/>
      <c r="C18" s="558">
        <f>C8-C16</f>
        <v>-42117368513</v>
      </c>
      <c r="D18" s="542"/>
    </row>
    <row r="19" spans="1:4" s="254" customFormat="1" ht="15.75" thickTop="1" x14ac:dyDescent="0.25">
      <c r="A19" s="549"/>
      <c r="B19" s="550"/>
      <c r="C19" s="551"/>
      <c r="D19" s="542"/>
    </row>
    <row r="20" spans="1:4" s="254" customFormat="1" x14ac:dyDescent="0.25">
      <c r="A20" s="549" t="s">
        <v>6122</v>
      </c>
      <c r="B20" s="550"/>
      <c r="C20" s="551">
        <f>'[1]CF STAT'!$C$22</f>
        <v>33106326342.440002</v>
      </c>
      <c r="D20" s="675"/>
    </row>
    <row r="21" spans="1:4" s="254" customFormat="1" x14ac:dyDescent="0.25">
      <c r="A21" s="549"/>
      <c r="B21" s="550"/>
      <c r="C21" s="551"/>
      <c r="D21" s="542"/>
    </row>
    <row r="22" spans="1:4" s="254" customFormat="1" x14ac:dyDescent="0.25">
      <c r="A22" s="549" t="s">
        <v>4762</v>
      </c>
      <c r="B22" s="550"/>
      <c r="C22" s="551">
        <f>C18+C20</f>
        <v>-9011042170.5599976</v>
      </c>
      <c r="D22" s="674"/>
    </row>
    <row r="23" spans="1:4" ht="15.75" thickBot="1" x14ac:dyDescent="0.3">
      <c r="A23" s="552"/>
      <c r="B23" s="553"/>
      <c r="C23" s="554"/>
      <c r="D23" s="555"/>
    </row>
    <row r="25" spans="1:4" x14ac:dyDescent="0.25">
      <c r="C25" s="463">
        <f>RECEIPT!AY107-ATTACH!AL170+C20</f>
        <v>-9593698974.5599976</v>
      </c>
    </row>
    <row r="26" spans="1:4" x14ac:dyDescent="0.25">
      <c r="C26" s="463">
        <f>C22-C25</f>
        <v>582656804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101"/>
  <sheetViews>
    <sheetView tabSelected="1" zoomScale="80" zoomScaleNormal="80" zoomScaleSheetLayoutView="100" workbookViewId="0">
      <pane xSplit="4" ySplit="4" topLeftCell="F27" activePane="bottomRight" state="frozen"/>
      <selection pane="topRight" activeCell="E1" sqref="E1"/>
      <selection pane="bottomLeft" activeCell="A5" sqref="A5"/>
      <selection pane="bottomRight" activeCell="K41" sqref="K41"/>
    </sheetView>
  </sheetViews>
  <sheetFormatPr defaultRowHeight="15.75" x14ac:dyDescent="0.25"/>
  <cols>
    <col min="1" max="1" width="12.42578125" style="1022" customWidth="1"/>
    <col min="2" max="2" width="12.140625" style="1015" bestFit="1" customWidth="1"/>
    <col min="3" max="3" width="20.28515625" style="1056" customWidth="1"/>
    <col min="4" max="4" width="12" style="1022" bestFit="1" customWidth="1"/>
    <col min="5" max="5" width="12.85546875" style="1016" customWidth="1"/>
    <col min="6" max="6" width="20.85546875" style="1030" bestFit="1" customWidth="1"/>
    <col min="7" max="7" width="19.28515625" style="1030" customWidth="1"/>
    <col min="8" max="8" width="11" style="1054" customWidth="1"/>
    <col min="9" max="9" width="17.85546875" style="1030" bestFit="1" customWidth="1"/>
    <col min="10" max="10" width="16.7109375" style="1030" customWidth="1"/>
    <col min="11" max="11" width="10.28515625" style="1030" customWidth="1"/>
    <col min="12" max="12" width="7.42578125" style="1030" customWidth="1"/>
    <col min="13" max="13" width="11.7109375" style="1030" customWidth="1"/>
    <col min="14" max="14" width="19.28515625" style="1030" customWidth="1"/>
    <col min="15" max="15" width="13.140625" style="1030" customWidth="1"/>
    <col min="16" max="16" width="9.5703125" style="1030" bestFit="1" customWidth="1"/>
    <col min="17" max="17" width="9.5703125" style="1030" customWidth="1"/>
    <col min="18" max="18" width="12.28515625" style="1030" customWidth="1"/>
    <col min="19" max="19" width="18.140625" style="1030" bestFit="1" customWidth="1"/>
    <col min="20" max="20" width="11.7109375" style="1030" bestFit="1" customWidth="1"/>
    <col min="21" max="23" width="17.28515625" style="1030" customWidth="1"/>
    <col min="24" max="24" width="19.7109375" style="1030" customWidth="1"/>
    <col min="25" max="25" width="15.42578125" style="1030" customWidth="1"/>
    <col min="26" max="26" width="16.85546875" style="1030" customWidth="1"/>
    <col min="27" max="27" width="9.140625" style="1030"/>
    <col min="28" max="28" width="14.85546875" style="1030" bestFit="1" customWidth="1"/>
    <col min="29" max="248" width="9.140625" style="1030"/>
    <col min="249" max="16384" width="9.140625" style="1031"/>
  </cols>
  <sheetData>
    <row r="1" spans="1:248" ht="16.5" thickBot="1" x14ac:dyDescent="0.3">
      <c r="A1" s="1022" t="s">
        <v>688</v>
      </c>
      <c r="B1" s="995"/>
      <c r="C1" s="1032" t="s">
        <v>6217</v>
      </c>
      <c r="D1" s="1134">
        <v>8.2000000000000003E-2</v>
      </c>
      <c r="E1" s="988" t="s">
        <v>6218</v>
      </c>
      <c r="F1" s="1135">
        <v>8.7999999999999995E-2</v>
      </c>
      <c r="G1" s="1028">
        <v>30</v>
      </c>
      <c r="H1" s="1029"/>
      <c r="I1" s="1033"/>
      <c r="J1" s="1033"/>
      <c r="K1" s="1033"/>
      <c r="L1" s="1033"/>
      <c r="M1" s="1033"/>
      <c r="N1" s="1033"/>
      <c r="O1" s="1033"/>
      <c r="P1" s="1033"/>
      <c r="Q1" s="1033"/>
      <c r="R1" s="1033"/>
      <c r="S1" s="1028"/>
      <c r="T1" s="1028"/>
      <c r="U1" s="1028"/>
      <c r="V1" s="1028"/>
      <c r="W1" s="1028"/>
      <c r="X1" s="1028"/>
      <c r="Y1" s="1028"/>
      <c r="Z1" s="1028"/>
      <c r="AA1" s="1028"/>
      <c r="AB1" s="1028"/>
      <c r="AC1" s="1028"/>
      <c r="AD1" s="1028"/>
      <c r="AE1" s="1028"/>
      <c r="AF1" s="1028"/>
      <c r="AG1" s="1028"/>
      <c r="AH1" s="1028"/>
      <c r="AI1" s="1028"/>
      <c r="AJ1" s="1028"/>
      <c r="AK1" s="1028"/>
      <c r="AL1" s="1028"/>
      <c r="AM1" s="1028"/>
      <c r="AN1" s="1028"/>
      <c r="AO1" s="1028"/>
      <c r="AP1" s="1028"/>
      <c r="AQ1" s="1028"/>
      <c r="AR1" s="1028"/>
      <c r="AS1" s="1028"/>
      <c r="AT1" s="1028"/>
      <c r="AU1" s="1028"/>
      <c r="AV1" s="1028"/>
      <c r="AW1" s="1028"/>
      <c r="AX1" s="1028"/>
      <c r="AY1" s="1028"/>
      <c r="AZ1" s="1028"/>
      <c r="BA1" s="1028"/>
      <c r="BB1" s="1028"/>
      <c r="BC1" s="1028"/>
      <c r="BD1" s="1028"/>
      <c r="BE1" s="1028"/>
      <c r="BF1" s="1028"/>
      <c r="BG1" s="1028"/>
    </row>
    <row r="2" spans="1:248" s="1035" customFormat="1" ht="15" customHeight="1" thickBot="1" x14ac:dyDescent="0.3">
      <c r="A2" s="1576" t="s">
        <v>102</v>
      </c>
      <c r="B2" s="1521"/>
      <c r="C2" s="1521"/>
      <c r="D2" s="1579" t="s">
        <v>103</v>
      </c>
      <c r="E2" s="1513" t="s">
        <v>124</v>
      </c>
      <c r="F2" s="1513"/>
      <c r="G2" s="1513"/>
      <c r="H2" s="1034"/>
      <c r="I2" s="1508" t="s">
        <v>104</v>
      </c>
      <c r="J2" s="1574" t="s">
        <v>105</v>
      </c>
      <c r="K2" s="1359" t="s">
        <v>106</v>
      </c>
      <c r="L2" s="1360"/>
      <c r="M2" s="1360"/>
      <c r="N2" s="1360"/>
      <c r="O2" s="1360"/>
      <c r="P2" s="1360"/>
      <c r="Q2" s="1360"/>
      <c r="R2" s="1360"/>
      <c r="S2" s="1360"/>
      <c r="T2" s="1360"/>
      <c r="U2" s="1360"/>
      <c r="V2" s="1360"/>
      <c r="W2" s="1360"/>
      <c r="X2" s="1360"/>
      <c r="Y2" s="1361"/>
    </row>
    <row r="3" spans="1:248" s="1035" customFormat="1" ht="16.5" thickBot="1" x14ac:dyDescent="0.3">
      <c r="A3" s="1321" t="s">
        <v>109</v>
      </c>
      <c r="B3" s="1036" t="s">
        <v>110</v>
      </c>
      <c r="C3" s="1037" t="s">
        <v>111</v>
      </c>
      <c r="D3" s="1579"/>
      <c r="E3" s="999" t="s">
        <v>112</v>
      </c>
      <c r="F3" s="999" t="s">
        <v>113</v>
      </c>
      <c r="G3" s="999" t="s">
        <v>114</v>
      </c>
      <c r="H3" s="1000" t="s">
        <v>5960</v>
      </c>
      <c r="I3" s="1511"/>
      <c r="J3" s="1575"/>
      <c r="K3" s="1362" t="s">
        <v>117</v>
      </c>
      <c r="L3" s="1363"/>
      <c r="M3" s="1363"/>
      <c r="N3" s="1363"/>
      <c r="O3" s="1363"/>
      <c r="P3" s="1363"/>
      <c r="Q3" s="1363"/>
      <c r="R3" s="1363"/>
      <c r="S3" s="1363"/>
      <c r="T3" s="1363"/>
      <c r="U3" s="1363"/>
      <c r="V3" s="1363"/>
      <c r="W3" s="1363"/>
      <c r="X3" s="1363"/>
      <c r="Y3" s="1364"/>
    </row>
    <row r="4" spans="1:248" s="1038" customFormat="1" ht="16.5" customHeight="1" thickBot="1" x14ac:dyDescent="0.3">
      <c r="A4" s="1066"/>
      <c r="B4" s="1067"/>
      <c r="C4" s="1068"/>
      <c r="D4" s="1066"/>
      <c r="E4" s="1068"/>
      <c r="F4" s="1068"/>
      <c r="G4" s="1068"/>
      <c r="H4" s="1069"/>
      <c r="I4" s="1068"/>
      <c r="J4" s="1068"/>
      <c r="K4" s="1323" t="s">
        <v>6216</v>
      </c>
      <c r="L4" s="1323" t="s">
        <v>6262</v>
      </c>
      <c r="M4" s="1323" t="s">
        <v>6263</v>
      </c>
      <c r="N4" s="1068" t="s">
        <v>6145</v>
      </c>
      <c r="O4" s="1068" t="s">
        <v>6264</v>
      </c>
      <c r="P4" s="1068" t="s">
        <v>6216</v>
      </c>
      <c r="Q4" s="1068" t="s">
        <v>6262</v>
      </c>
      <c r="R4" s="1068" t="s">
        <v>6263</v>
      </c>
      <c r="S4" s="1324" t="s">
        <v>6146</v>
      </c>
      <c r="T4" s="1325" t="s">
        <v>6264</v>
      </c>
      <c r="U4" s="1068" t="s">
        <v>6216</v>
      </c>
      <c r="V4" s="1068" t="s">
        <v>6262</v>
      </c>
      <c r="W4" s="1068" t="s">
        <v>6263</v>
      </c>
      <c r="X4" s="1324" t="s">
        <v>6146</v>
      </c>
      <c r="Y4" s="1325" t="s">
        <v>6264</v>
      </c>
    </row>
    <row r="5" spans="1:248" ht="15" customHeight="1" x14ac:dyDescent="0.25">
      <c r="A5" s="1329">
        <v>44799</v>
      </c>
      <c r="B5" s="1047" t="s">
        <v>29</v>
      </c>
      <c r="C5" s="1431">
        <v>856529710</v>
      </c>
      <c r="D5" s="1039">
        <f t="shared" ref="D5:D65" si="0">A5+G$1</f>
        <v>44829</v>
      </c>
      <c r="E5" s="1040">
        <f t="shared" ref="E5:E63" si="1">D5-G5</f>
        <v>-8</v>
      </c>
      <c r="F5" s="1045">
        <v>856529710</v>
      </c>
      <c r="G5" s="1041">
        <v>44837</v>
      </c>
      <c r="H5" s="1358">
        <f t="shared" ref="H5:H34" si="2">G5-A5</f>
        <v>38</v>
      </c>
      <c r="I5" s="1044">
        <f t="shared" ref="I5:I65" si="3">C5-F5</f>
        <v>0</v>
      </c>
      <c r="J5" s="1045">
        <f t="shared" ref="J5:J34" si="4">(C5/360)*H5*$D$1</f>
        <v>7413740.4898888897</v>
      </c>
      <c r="K5" s="1414">
        <v>8.9599999999999999E-2</v>
      </c>
      <c r="L5" s="1044">
        <v>32</v>
      </c>
      <c r="M5" s="1368">
        <v>44830</v>
      </c>
      <c r="N5" s="1428">
        <f t="shared" ref="N5:N12" si="5">C5/360*L5*K5</f>
        <v>6821783.2903111111</v>
      </c>
      <c r="O5" s="1041">
        <v>44830</v>
      </c>
      <c r="P5" s="1433">
        <v>8.9599999999999999E-2</v>
      </c>
      <c r="Q5" s="1434">
        <v>7</v>
      </c>
      <c r="R5" s="1041">
        <v>44838</v>
      </c>
      <c r="S5" s="1045">
        <f>C5/360*Q5*P5</f>
        <v>1492265.0947555555</v>
      </c>
      <c r="T5" s="1046">
        <v>44837</v>
      </c>
      <c r="U5" s="1334"/>
      <c r="V5" s="1334"/>
      <c r="W5" s="1334"/>
      <c r="X5" s="1334"/>
      <c r="Y5" s="1334"/>
    </row>
    <row r="6" spans="1:248" ht="15" customHeight="1" x14ac:dyDescent="0.25">
      <c r="A6" s="1329">
        <v>44799</v>
      </c>
      <c r="B6" s="1047" t="s">
        <v>59</v>
      </c>
      <c r="C6" s="1431">
        <v>507104684</v>
      </c>
      <c r="D6" s="1039">
        <f>A6+G$1</f>
        <v>44829</v>
      </c>
      <c r="E6" s="1040">
        <f>D6-G6</f>
        <v>-8</v>
      </c>
      <c r="F6" s="1045">
        <v>507104684</v>
      </c>
      <c r="G6" s="1041">
        <v>44837</v>
      </c>
      <c r="H6" s="1358">
        <f t="shared" si="2"/>
        <v>38</v>
      </c>
      <c r="I6" s="1044">
        <f>C6-F6</f>
        <v>0</v>
      </c>
      <c r="J6" s="1045">
        <f t="shared" si="4"/>
        <v>4389272.7648444446</v>
      </c>
      <c r="K6" s="1414">
        <v>8.9599999999999999E-2</v>
      </c>
      <c r="L6" s="1044">
        <v>32</v>
      </c>
      <c r="M6" s="1368">
        <v>44830</v>
      </c>
      <c r="N6" s="1428">
        <f t="shared" si="5"/>
        <v>4038807.0832355553</v>
      </c>
      <c r="O6" s="1041">
        <v>44830</v>
      </c>
      <c r="P6" s="1433">
        <v>8.9599999999999999E-2</v>
      </c>
      <c r="Q6" s="1434">
        <v>7</v>
      </c>
      <c r="R6" s="1041">
        <v>44838</v>
      </c>
      <c r="S6" s="1045">
        <f t="shared" ref="S6:S30" si="6">C6/360*Q6*P6</f>
        <v>883489.04945777776</v>
      </c>
      <c r="T6" s="1046">
        <v>44837</v>
      </c>
      <c r="U6" s="1334"/>
      <c r="V6" s="1334"/>
      <c r="W6" s="1334"/>
      <c r="X6" s="1334"/>
      <c r="Y6" s="1334"/>
    </row>
    <row r="7" spans="1:248" ht="15" customHeight="1" x14ac:dyDescent="0.25">
      <c r="A7" s="1329">
        <v>44799</v>
      </c>
      <c r="B7" s="1047" t="s">
        <v>59</v>
      </c>
      <c r="C7" s="1431">
        <v>356964702</v>
      </c>
      <c r="D7" s="1039">
        <f t="shared" si="0"/>
        <v>44829</v>
      </c>
      <c r="E7" s="1040">
        <f t="shared" si="1"/>
        <v>-8</v>
      </c>
      <c r="F7" s="1045">
        <v>356964702</v>
      </c>
      <c r="G7" s="1041">
        <v>44837</v>
      </c>
      <c r="H7" s="1358">
        <f t="shared" si="2"/>
        <v>38</v>
      </c>
      <c r="I7" s="1044">
        <f t="shared" si="3"/>
        <v>0</v>
      </c>
      <c r="J7" s="1045">
        <f t="shared" si="4"/>
        <v>3089727.8095333339</v>
      </c>
      <c r="K7" s="1414">
        <v>8.9599999999999999E-2</v>
      </c>
      <c r="L7" s="1044">
        <v>32</v>
      </c>
      <c r="M7" s="1368">
        <v>44830</v>
      </c>
      <c r="N7" s="1428">
        <f t="shared" si="5"/>
        <v>2843025.5377066666</v>
      </c>
      <c r="O7" s="1041">
        <v>44830</v>
      </c>
      <c r="P7" s="1433">
        <v>8.9599999999999999E-2</v>
      </c>
      <c r="Q7" s="1434">
        <v>7</v>
      </c>
      <c r="R7" s="1041">
        <v>44838</v>
      </c>
      <c r="S7" s="1045">
        <f t="shared" si="6"/>
        <v>621911.83637333335</v>
      </c>
      <c r="T7" s="1046">
        <v>44837</v>
      </c>
      <c r="U7" s="1334"/>
      <c r="V7" s="1334"/>
      <c r="W7" s="1334"/>
      <c r="X7" s="1334"/>
      <c r="Y7" s="1334"/>
    </row>
    <row r="8" spans="1:248" ht="15" customHeight="1" x14ac:dyDescent="0.25">
      <c r="A8" s="1329">
        <v>44802</v>
      </c>
      <c r="B8" s="1047" t="s">
        <v>50</v>
      </c>
      <c r="C8" s="1431">
        <v>580865260</v>
      </c>
      <c r="D8" s="1039">
        <f t="shared" si="0"/>
        <v>44832</v>
      </c>
      <c r="E8" s="1040">
        <f t="shared" si="1"/>
        <v>-5</v>
      </c>
      <c r="F8" s="1045">
        <v>580865260</v>
      </c>
      <c r="G8" s="1041">
        <v>44837</v>
      </c>
      <c r="H8" s="1358">
        <f t="shared" si="2"/>
        <v>35</v>
      </c>
      <c r="I8" s="1044">
        <f t="shared" si="3"/>
        <v>0</v>
      </c>
      <c r="J8" s="1045">
        <f t="shared" si="4"/>
        <v>4630786.9338888889</v>
      </c>
      <c r="K8" s="1414">
        <v>8.9599999999999999E-2</v>
      </c>
      <c r="L8" s="1044">
        <v>32</v>
      </c>
      <c r="M8" s="1368">
        <v>44830</v>
      </c>
      <c r="N8" s="1428">
        <f t="shared" si="5"/>
        <v>4626269.0929777771</v>
      </c>
      <c r="O8" s="1041">
        <v>44830</v>
      </c>
      <c r="P8" s="1433">
        <v>8.9599999999999999E-2</v>
      </c>
      <c r="Q8" s="1434">
        <v>4</v>
      </c>
      <c r="R8" s="1041">
        <v>44838</v>
      </c>
      <c r="S8" s="1045">
        <f t="shared" si="6"/>
        <v>578283.63662222214</v>
      </c>
      <c r="T8" s="1046">
        <v>44837</v>
      </c>
      <c r="U8" s="1334"/>
      <c r="V8" s="1334"/>
      <c r="W8" s="1334"/>
      <c r="X8" s="1334"/>
      <c r="Y8" s="1334"/>
    </row>
    <row r="9" spans="1:248" ht="15" customHeight="1" x14ac:dyDescent="0.25">
      <c r="A9" s="1329">
        <v>44802</v>
      </c>
      <c r="B9" s="1047" t="s">
        <v>38</v>
      </c>
      <c r="C9" s="1431">
        <v>1786606223</v>
      </c>
      <c r="D9" s="1039">
        <f t="shared" si="0"/>
        <v>44832</v>
      </c>
      <c r="E9" s="1040">
        <f t="shared" si="1"/>
        <v>-5</v>
      </c>
      <c r="F9" s="1045">
        <v>1786606223</v>
      </c>
      <c r="G9" s="1041">
        <v>44837</v>
      </c>
      <c r="H9" s="1358">
        <f t="shared" si="2"/>
        <v>35</v>
      </c>
      <c r="I9" s="1044">
        <f t="shared" si="3"/>
        <v>0</v>
      </c>
      <c r="J9" s="1045">
        <f t="shared" si="4"/>
        <v>14243221.833361112</v>
      </c>
      <c r="K9" s="1414">
        <v>8.9599999999999999E-2</v>
      </c>
      <c r="L9" s="1044">
        <v>32</v>
      </c>
      <c r="M9" s="1368">
        <v>44833</v>
      </c>
      <c r="N9" s="1428">
        <f t="shared" si="5"/>
        <v>14229326.007182222</v>
      </c>
      <c r="O9" s="1041">
        <v>44830</v>
      </c>
      <c r="P9" s="1433">
        <v>8.9599999999999999E-2</v>
      </c>
      <c r="Q9" s="1434">
        <v>4</v>
      </c>
      <c r="R9" s="1041">
        <v>44838</v>
      </c>
      <c r="S9" s="1045">
        <f t="shared" si="6"/>
        <v>1778665.7508977777</v>
      </c>
      <c r="T9" s="1046">
        <v>44837</v>
      </c>
      <c r="U9" s="1334"/>
      <c r="V9" s="1334"/>
      <c r="W9" s="1334"/>
      <c r="X9" s="1334"/>
      <c r="Y9" s="1334"/>
    </row>
    <row r="10" spans="1:248" ht="15" customHeight="1" x14ac:dyDescent="0.25">
      <c r="A10" s="1329">
        <v>44802</v>
      </c>
      <c r="B10" s="1047" t="s">
        <v>59</v>
      </c>
      <c r="C10" s="1432">
        <v>1713371262</v>
      </c>
      <c r="D10" s="1039">
        <f t="shared" si="0"/>
        <v>44832</v>
      </c>
      <c r="E10" s="1040">
        <f t="shared" si="1"/>
        <v>-5</v>
      </c>
      <c r="F10" s="1045">
        <v>1713371262</v>
      </c>
      <c r="G10" s="1041">
        <v>44837</v>
      </c>
      <c r="H10" s="1358">
        <f t="shared" si="2"/>
        <v>35</v>
      </c>
      <c r="I10" s="1044">
        <f t="shared" si="3"/>
        <v>0</v>
      </c>
      <c r="J10" s="1045">
        <f t="shared" si="4"/>
        <v>13659376.449833332</v>
      </c>
      <c r="K10" s="1414">
        <v>8.9399999999999993E-2</v>
      </c>
      <c r="L10" s="1044">
        <v>32</v>
      </c>
      <c r="M10" s="1368">
        <v>44833</v>
      </c>
      <c r="N10" s="1428">
        <f t="shared" si="5"/>
        <v>13615590.295359997</v>
      </c>
      <c r="O10" s="1041">
        <v>44830</v>
      </c>
      <c r="P10" s="1414">
        <v>8.9399999999999993E-2</v>
      </c>
      <c r="Q10" s="1434">
        <v>4</v>
      </c>
      <c r="R10" s="1041">
        <v>44838</v>
      </c>
      <c r="S10" s="1045">
        <f t="shared" si="6"/>
        <v>1701948.7869199996</v>
      </c>
      <c r="T10" s="1046">
        <v>44837</v>
      </c>
      <c r="U10" s="1334"/>
      <c r="V10" s="1334"/>
      <c r="W10" s="1334"/>
      <c r="X10" s="1334"/>
      <c r="Y10" s="1334"/>
    </row>
    <row r="11" spans="1:248" ht="15" customHeight="1" x14ac:dyDescent="0.25">
      <c r="A11" s="1329">
        <v>44802</v>
      </c>
      <c r="B11" s="1047" t="s">
        <v>59</v>
      </c>
      <c r="C11" s="1432">
        <v>546971911</v>
      </c>
      <c r="D11" s="1039">
        <f t="shared" si="0"/>
        <v>44832</v>
      </c>
      <c r="E11" s="1040">
        <f t="shared" si="1"/>
        <v>-5</v>
      </c>
      <c r="F11" s="1045">
        <v>546971911</v>
      </c>
      <c r="G11" s="1041">
        <v>44837</v>
      </c>
      <c r="H11" s="1358">
        <f t="shared" si="2"/>
        <v>35</v>
      </c>
      <c r="I11" s="1044">
        <f t="shared" si="3"/>
        <v>0</v>
      </c>
      <c r="J11" s="1045">
        <f t="shared" si="4"/>
        <v>4360581.6238055555</v>
      </c>
      <c r="K11" s="1414">
        <v>8.9399999999999993E-2</v>
      </c>
      <c r="L11" s="1044">
        <v>32</v>
      </c>
      <c r="M11" s="1368">
        <v>44833</v>
      </c>
      <c r="N11" s="1428">
        <f t="shared" si="5"/>
        <v>4346603.452746666</v>
      </c>
      <c r="O11" s="1041">
        <v>44830</v>
      </c>
      <c r="P11" s="1414">
        <v>8.9399999999999993E-2</v>
      </c>
      <c r="Q11" s="1434">
        <v>4</v>
      </c>
      <c r="R11" s="1041">
        <v>44838</v>
      </c>
      <c r="S11" s="1045">
        <f t="shared" si="6"/>
        <v>543325.43159333325</v>
      </c>
      <c r="T11" s="1046">
        <v>44837</v>
      </c>
      <c r="U11" s="1334"/>
      <c r="V11" s="1334"/>
      <c r="W11" s="1334"/>
      <c r="X11" s="1334"/>
      <c r="Y11" s="1334"/>
    </row>
    <row r="12" spans="1:248" ht="15" customHeight="1" x14ac:dyDescent="0.25">
      <c r="A12" s="1329">
        <v>44804</v>
      </c>
      <c r="B12" s="1047" t="s">
        <v>50</v>
      </c>
      <c r="C12" s="1432">
        <v>1453980128</v>
      </c>
      <c r="D12" s="1039">
        <f t="shared" si="0"/>
        <v>44834</v>
      </c>
      <c r="E12" s="1040">
        <f t="shared" si="1"/>
        <v>-3</v>
      </c>
      <c r="F12" s="1045">
        <v>1453980128</v>
      </c>
      <c r="G12" s="1041">
        <v>44837</v>
      </c>
      <c r="H12" s="1358">
        <f t="shared" si="2"/>
        <v>33</v>
      </c>
      <c r="I12" s="1044">
        <f t="shared" si="3"/>
        <v>0</v>
      </c>
      <c r="J12" s="1045">
        <f t="shared" si="4"/>
        <v>10929083.962133333</v>
      </c>
      <c r="K12" s="1414">
        <v>8.9399999999999993E-2</v>
      </c>
      <c r="L12" s="1044">
        <v>31</v>
      </c>
      <c r="M12" s="1368">
        <v>44834</v>
      </c>
      <c r="N12" s="1428">
        <f t="shared" si="5"/>
        <v>11193223.685386665</v>
      </c>
      <c r="O12" s="1041">
        <v>44830</v>
      </c>
      <c r="P12" s="1414">
        <v>8.9399999999999993E-2</v>
      </c>
      <c r="Q12" s="1434">
        <v>3</v>
      </c>
      <c r="R12" s="1041">
        <v>44838</v>
      </c>
      <c r="S12" s="1045">
        <f t="shared" si="6"/>
        <v>1083215.19536</v>
      </c>
      <c r="T12" s="1046">
        <v>44837</v>
      </c>
      <c r="U12" s="1334"/>
      <c r="V12" s="1334"/>
      <c r="W12" s="1334"/>
      <c r="X12" s="1334"/>
      <c r="Y12" s="1334"/>
    </row>
    <row r="13" spans="1:248" s="1421" customFormat="1" ht="15" customHeight="1" x14ac:dyDescent="0.25">
      <c r="A13" s="1329">
        <v>44806</v>
      </c>
      <c r="B13" s="1047" t="s">
        <v>50</v>
      </c>
      <c r="C13" s="1432">
        <v>1246148033</v>
      </c>
      <c r="D13" s="1039">
        <f t="shared" si="0"/>
        <v>44836</v>
      </c>
      <c r="E13" s="1040">
        <f t="shared" si="1"/>
        <v>-1</v>
      </c>
      <c r="F13" s="1314">
        <v>1246148033</v>
      </c>
      <c r="G13" s="1041">
        <v>44837</v>
      </c>
      <c r="H13" s="1358">
        <f t="shared" si="2"/>
        <v>31</v>
      </c>
      <c r="I13" s="1044">
        <f t="shared" si="3"/>
        <v>0</v>
      </c>
      <c r="J13" s="1045">
        <f t="shared" si="4"/>
        <v>8799189.7219055556</v>
      </c>
      <c r="K13" s="1414"/>
      <c r="L13" s="1044"/>
      <c r="M13" s="1368"/>
      <c r="N13" s="1314"/>
      <c r="O13" s="1416"/>
      <c r="P13" s="1414">
        <v>8.9300000000000004E-2</v>
      </c>
      <c r="Q13" s="1435">
        <v>32</v>
      </c>
      <c r="R13" s="1041">
        <v>44838</v>
      </c>
      <c r="S13" s="1045">
        <f t="shared" si="6"/>
        <v>9891646.1641688887</v>
      </c>
      <c r="T13" s="1046">
        <v>44837</v>
      </c>
      <c r="U13" s="1419"/>
      <c r="V13" s="1419"/>
      <c r="W13" s="1419"/>
      <c r="X13" s="1419"/>
      <c r="Y13" s="1419"/>
      <c r="Z13" s="1420"/>
      <c r="AA13" s="1420"/>
      <c r="AB13" s="1420"/>
      <c r="AC13" s="1420"/>
      <c r="AD13" s="1420"/>
      <c r="AE13" s="1420"/>
      <c r="AF13" s="1420"/>
      <c r="AG13" s="1420"/>
      <c r="AH13" s="1420"/>
      <c r="AI13" s="1420"/>
      <c r="AJ13" s="1420"/>
      <c r="AK13" s="1420"/>
      <c r="AL13" s="1420"/>
      <c r="AM13" s="1420"/>
      <c r="AN13" s="1420"/>
      <c r="AO13" s="1420"/>
      <c r="AP13" s="1420"/>
      <c r="AQ13" s="1420"/>
      <c r="AR13" s="1420"/>
      <c r="AS13" s="1420"/>
      <c r="AT13" s="1420"/>
      <c r="AU13" s="1420"/>
      <c r="AV13" s="1420"/>
      <c r="AW13" s="1420"/>
      <c r="AX13" s="1420"/>
      <c r="AY13" s="1420"/>
      <c r="AZ13" s="1420"/>
      <c r="BA13" s="1420"/>
      <c r="BB13" s="1420"/>
      <c r="BC13" s="1420"/>
      <c r="BD13" s="1420"/>
      <c r="BE13" s="1420"/>
      <c r="BF13" s="1420"/>
      <c r="BG13" s="1420"/>
      <c r="BH13" s="1420"/>
      <c r="BI13" s="1420"/>
      <c r="BJ13" s="1420"/>
      <c r="BK13" s="1420"/>
      <c r="BL13" s="1420"/>
      <c r="BM13" s="1420"/>
      <c r="BN13" s="1420"/>
      <c r="BO13" s="1420"/>
      <c r="BP13" s="1420"/>
      <c r="BQ13" s="1420"/>
      <c r="BR13" s="1420"/>
      <c r="BS13" s="1420"/>
      <c r="BT13" s="1420"/>
      <c r="BU13" s="1420"/>
      <c r="BV13" s="1420"/>
      <c r="BW13" s="1420"/>
      <c r="BX13" s="1420"/>
      <c r="BY13" s="1420"/>
      <c r="BZ13" s="1420"/>
      <c r="CA13" s="1420"/>
      <c r="CB13" s="1420"/>
      <c r="CC13" s="1420"/>
      <c r="CD13" s="1420"/>
      <c r="CE13" s="1420"/>
      <c r="CF13" s="1420"/>
      <c r="CG13" s="1420"/>
      <c r="CH13" s="1420"/>
      <c r="CI13" s="1420"/>
      <c r="CJ13" s="1420"/>
      <c r="CK13" s="1420"/>
      <c r="CL13" s="1420"/>
      <c r="CM13" s="1420"/>
      <c r="CN13" s="1420"/>
      <c r="CO13" s="1420"/>
      <c r="CP13" s="1420"/>
      <c r="CQ13" s="1420"/>
      <c r="CR13" s="1420"/>
      <c r="CS13" s="1420"/>
      <c r="CT13" s="1420"/>
      <c r="CU13" s="1420"/>
      <c r="CV13" s="1420"/>
      <c r="CW13" s="1420"/>
      <c r="CX13" s="1420"/>
      <c r="CY13" s="1420"/>
      <c r="CZ13" s="1420"/>
      <c r="DA13" s="1420"/>
      <c r="DB13" s="1420"/>
      <c r="DC13" s="1420"/>
      <c r="DD13" s="1420"/>
      <c r="DE13" s="1420"/>
      <c r="DF13" s="1420"/>
      <c r="DG13" s="1420"/>
      <c r="DH13" s="1420"/>
      <c r="DI13" s="1420"/>
      <c r="DJ13" s="1420"/>
      <c r="DK13" s="1420"/>
      <c r="DL13" s="1420"/>
      <c r="DM13" s="1420"/>
      <c r="DN13" s="1420"/>
      <c r="DO13" s="1420"/>
      <c r="DP13" s="1420"/>
      <c r="DQ13" s="1420"/>
      <c r="DR13" s="1420"/>
      <c r="DS13" s="1420"/>
      <c r="DT13" s="1420"/>
      <c r="DU13" s="1420"/>
      <c r="DV13" s="1420"/>
      <c r="DW13" s="1420"/>
      <c r="DX13" s="1420"/>
      <c r="DY13" s="1420"/>
      <c r="DZ13" s="1420"/>
      <c r="EA13" s="1420"/>
      <c r="EB13" s="1420"/>
      <c r="EC13" s="1420"/>
      <c r="ED13" s="1420"/>
      <c r="EE13" s="1420"/>
      <c r="EF13" s="1420"/>
      <c r="EG13" s="1420"/>
      <c r="EH13" s="1420"/>
      <c r="EI13" s="1420"/>
      <c r="EJ13" s="1420"/>
      <c r="EK13" s="1420"/>
      <c r="EL13" s="1420"/>
      <c r="EM13" s="1420"/>
      <c r="EN13" s="1420"/>
      <c r="EO13" s="1420"/>
      <c r="EP13" s="1420"/>
      <c r="EQ13" s="1420"/>
      <c r="ER13" s="1420"/>
      <c r="ES13" s="1420"/>
      <c r="ET13" s="1420"/>
      <c r="EU13" s="1420"/>
      <c r="EV13" s="1420"/>
      <c r="EW13" s="1420"/>
      <c r="EX13" s="1420"/>
      <c r="EY13" s="1420"/>
      <c r="EZ13" s="1420"/>
      <c r="FA13" s="1420"/>
      <c r="FB13" s="1420"/>
      <c r="FC13" s="1420"/>
      <c r="FD13" s="1420"/>
      <c r="FE13" s="1420"/>
      <c r="FF13" s="1420"/>
      <c r="FG13" s="1420"/>
      <c r="FH13" s="1420"/>
      <c r="FI13" s="1420"/>
      <c r="FJ13" s="1420"/>
      <c r="FK13" s="1420"/>
      <c r="FL13" s="1420"/>
      <c r="FM13" s="1420"/>
      <c r="FN13" s="1420"/>
      <c r="FO13" s="1420"/>
      <c r="FP13" s="1420"/>
      <c r="FQ13" s="1420"/>
      <c r="FR13" s="1420"/>
      <c r="FS13" s="1420"/>
      <c r="FT13" s="1420"/>
      <c r="FU13" s="1420"/>
      <c r="FV13" s="1420"/>
      <c r="FW13" s="1420"/>
      <c r="FX13" s="1420"/>
      <c r="FY13" s="1420"/>
      <c r="FZ13" s="1420"/>
      <c r="GA13" s="1420"/>
      <c r="GB13" s="1420"/>
      <c r="GC13" s="1420"/>
      <c r="GD13" s="1420"/>
      <c r="GE13" s="1420"/>
      <c r="GF13" s="1420"/>
      <c r="GG13" s="1420"/>
      <c r="GH13" s="1420"/>
      <c r="GI13" s="1420"/>
      <c r="GJ13" s="1420"/>
      <c r="GK13" s="1420"/>
      <c r="GL13" s="1420"/>
      <c r="GM13" s="1420"/>
      <c r="GN13" s="1420"/>
      <c r="GO13" s="1420"/>
      <c r="GP13" s="1420"/>
      <c r="GQ13" s="1420"/>
      <c r="GR13" s="1420"/>
      <c r="GS13" s="1420"/>
      <c r="GT13" s="1420"/>
      <c r="GU13" s="1420"/>
      <c r="GV13" s="1420"/>
      <c r="GW13" s="1420"/>
      <c r="GX13" s="1420"/>
      <c r="GY13" s="1420"/>
      <c r="GZ13" s="1420"/>
      <c r="HA13" s="1420"/>
      <c r="HB13" s="1420"/>
      <c r="HC13" s="1420"/>
      <c r="HD13" s="1420"/>
      <c r="HE13" s="1420"/>
      <c r="HF13" s="1420"/>
      <c r="HG13" s="1420"/>
      <c r="HH13" s="1420"/>
      <c r="HI13" s="1420"/>
      <c r="HJ13" s="1420"/>
      <c r="HK13" s="1420"/>
      <c r="HL13" s="1420"/>
      <c r="HM13" s="1420"/>
      <c r="HN13" s="1420"/>
      <c r="HO13" s="1420"/>
      <c r="HP13" s="1420"/>
      <c r="HQ13" s="1420"/>
      <c r="HR13" s="1420"/>
      <c r="HS13" s="1420"/>
      <c r="HT13" s="1420"/>
      <c r="HU13" s="1420"/>
      <c r="HV13" s="1420"/>
      <c r="HW13" s="1420"/>
      <c r="HX13" s="1420"/>
      <c r="HY13" s="1420"/>
      <c r="HZ13" s="1420"/>
      <c r="IA13" s="1420"/>
      <c r="IB13" s="1420"/>
      <c r="IC13" s="1420"/>
      <c r="ID13" s="1420"/>
      <c r="IE13" s="1420"/>
      <c r="IF13" s="1420"/>
      <c r="IG13" s="1420"/>
      <c r="IH13" s="1420"/>
      <c r="II13" s="1420"/>
      <c r="IJ13" s="1420"/>
      <c r="IK13" s="1420"/>
      <c r="IL13" s="1420"/>
      <c r="IM13" s="1420"/>
      <c r="IN13" s="1420"/>
    </row>
    <row r="14" spans="1:248" s="1421" customFormat="1" ht="15" customHeight="1" x14ac:dyDescent="0.25">
      <c r="A14" s="1329">
        <v>44806</v>
      </c>
      <c r="B14" s="1047" t="s">
        <v>59</v>
      </c>
      <c r="C14" s="1430">
        <v>718871012</v>
      </c>
      <c r="D14" s="1039">
        <f t="shared" si="0"/>
        <v>44836</v>
      </c>
      <c r="E14" s="1040">
        <f t="shared" si="1"/>
        <v>-1</v>
      </c>
      <c r="F14" s="1314">
        <v>718871012</v>
      </c>
      <c r="G14" s="1041">
        <v>44837</v>
      </c>
      <c r="H14" s="1358">
        <f t="shared" si="2"/>
        <v>31</v>
      </c>
      <c r="I14" s="1044">
        <f t="shared" si="3"/>
        <v>0</v>
      </c>
      <c r="J14" s="1045">
        <f t="shared" si="4"/>
        <v>5076028.0902888896</v>
      </c>
      <c r="K14" s="1044"/>
      <c r="L14" s="1044"/>
      <c r="M14" s="1368"/>
      <c r="N14" s="1314"/>
      <c r="O14" s="1416"/>
      <c r="P14" s="1414">
        <v>8.9200000000000002E-2</v>
      </c>
      <c r="Q14" s="1435">
        <v>32</v>
      </c>
      <c r="R14" s="1041">
        <v>44838</v>
      </c>
      <c r="S14" s="1045">
        <f t="shared" si="6"/>
        <v>5699848.3795911111</v>
      </c>
      <c r="T14" s="1046">
        <v>44837</v>
      </c>
      <c r="U14" s="1419"/>
      <c r="V14" s="1419"/>
      <c r="W14" s="1419"/>
      <c r="X14" s="1419"/>
      <c r="Y14" s="1419"/>
      <c r="Z14" s="1420"/>
      <c r="AA14" s="1420"/>
      <c r="AB14" s="1420"/>
      <c r="AC14" s="1420"/>
      <c r="AD14" s="1420"/>
      <c r="AE14" s="1420"/>
      <c r="AF14" s="1420"/>
      <c r="AG14" s="1420"/>
      <c r="AH14" s="1420"/>
      <c r="AI14" s="1420"/>
      <c r="AJ14" s="1420"/>
      <c r="AK14" s="1420"/>
      <c r="AL14" s="1420"/>
      <c r="AM14" s="1420"/>
      <c r="AN14" s="1420"/>
      <c r="AO14" s="1420"/>
      <c r="AP14" s="1420"/>
      <c r="AQ14" s="1420"/>
      <c r="AR14" s="1420"/>
      <c r="AS14" s="1420"/>
      <c r="AT14" s="1420"/>
      <c r="AU14" s="1420"/>
      <c r="AV14" s="1420"/>
      <c r="AW14" s="1420"/>
      <c r="AX14" s="1420"/>
      <c r="AY14" s="1420"/>
      <c r="AZ14" s="1420"/>
      <c r="BA14" s="1420"/>
      <c r="BB14" s="1420"/>
      <c r="BC14" s="1420"/>
      <c r="BD14" s="1420"/>
      <c r="BE14" s="1420"/>
      <c r="BF14" s="1420"/>
      <c r="BG14" s="1420"/>
      <c r="BH14" s="1420"/>
      <c r="BI14" s="1420"/>
      <c r="BJ14" s="1420"/>
      <c r="BK14" s="1420"/>
      <c r="BL14" s="1420"/>
      <c r="BM14" s="1420"/>
      <c r="BN14" s="1420"/>
      <c r="BO14" s="1420"/>
      <c r="BP14" s="1420"/>
      <c r="BQ14" s="1420"/>
      <c r="BR14" s="1420"/>
      <c r="BS14" s="1420"/>
      <c r="BT14" s="1420"/>
      <c r="BU14" s="1420"/>
      <c r="BV14" s="1420"/>
      <c r="BW14" s="1420"/>
      <c r="BX14" s="1420"/>
      <c r="BY14" s="1420"/>
      <c r="BZ14" s="1420"/>
      <c r="CA14" s="1420"/>
      <c r="CB14" s="1420"/>
      <c r="CC14" s="1420"/>
      <c r="CD14" s="1420"/>
      <c r="CE14" s="1420"/>
      <c r="CF14" s="1420"/>
      <c r="CG14" s="1420"/>
      <c r="CH14" s="1420"/>
      <c r="CI14" s="1420"/>
      <c r="CJ14" s="1420"/>
      <c r="CK14" s="1420"/>
      <c r="CL14" s="1420"/>
      <c r="CM14" s="1420"/>
      <c r="CN14" s="1420"/>
      <c r="CO14" s="1420"/>
      <c r="CP14" s="1420"/>
      <c r="CQ14" s="1420"/>
      <c r="CR14" s="1420"/>
      <c r="CS14" s="1420"/>
      <c r="CT14" s="1420"/>
      <c r="CU14" s="1420"/>
      <c r="CV14" s="1420"/>
      <c r="CW14" s="1420"/>
      <c r="CX14" s="1420"/>
      <c r="CY14" s="1420"/>
      <c r="CZ14" s="1420"/>
      <c r="DA14" s="1420"/>
      <c r="DB14" s="1420"/>
      <c r="DC14" s="1420"/>
      <c r="DD14" s="1420"/>
      <c r="DE14" s="1420"/>
      <c r="DF14" s="1420"/>
      <c r="DG14" s="1420"/>
      <c r="DH14" s="1420"/>
      <c r="DI14" s="1420"/>
      <c r="DJ14" s="1420"/>
      <c r="DK14" s="1420"/>
      <c r="DL14" s="1420"/>
      <c r="DM14" s="1420"/>
      <c r="DN14" s="1420"/>
      <c r="DO14" s="1420"/>
      <c r="DP14" s="1420"/>
      <c r="DQ14" s="1420"/>
      <c r="DR14" s="1420"/>
      <c r="DS14" s="1420"/>
      <c r="DT14" s="1420"/>
      <c r="DU14" s="1420"/>
      <c r="DV14" s="1420"/>
      <c r="DW14" s="1420"/>
      <c r="DX14" s="1420"/>
      <c r="DY14" s="1420"/>
      <c r="DZ14" s="1420"/>
      <c r="EA14" s="1420"/>
      <c r="EB14" s="1420"/>
      <c r="EC14" s="1420"/>
      <c r="ED14" s="1420"/>
      <c r="EE14" s="1420"/>
      <c r="EF14" s="1420"/>
      <c r="EG14" s="1420"/>
      <c r="EH14" s="1420"/>
      <c r="EI14" s="1420"/>
      <c r="EJ14" s="1420"/>
      <c r="EK14" s="1420"/>
      <c r="EL14" s="1420"/>
      <c r="EM14" s="1420"/>
      <c r="EN14" s="1420"/>
      <c r="EO14" s="1420"/>
      <c r="EP14" s="1420"/>
      <c r="EQ14" s="1420"/>
      <c r="ER14" s="1420"/>
      <c r="ES14" s="1420"/>
      <c r="ET14" s="1420"/>
      <c r="EU14" s="1420"/>
      <c r="EV14" s="1420"/>
      <c r="EW14" s="1420"/>
      <c r="EX14" s="1420"/>
      <c r="EY14" s="1420"/>
      <c r="EZ14" s="1420"/>
      <c r="FA14" s="1420"/>
      <c r="FB14" s="1420"/>
      <c r="FC14" s="1420"/>
      <c r="FD14" s="1420"/>
      <c r="FE14" s="1420"/>
      <c r="FF14" s="1420"/>
      <c r="FG14" s="1420"/>
      <c r="FH14" s="1420"/>
      <c r="FI14" s="1420"/>
      <c r="FJ14" s="1420"/>
      <c r="FK14" s="1420"/>
      <c r="FL14" s="1420"/>
      <c r="FM14" s="1420"/>
      <c r="FN14" s="1420"/>
      <c r="FO14" s="1420"/>
      <c r="FP14" s="1420"/>
      <c r="FQ14" s="1420"/>
      <c r="FR14" s="1420"/>
      <c r="FS14" s="1420"/>
      <c r="FT14" s="1420"/>
      <c r="FU14" s="1420"/>
      <c r="FV14" s="1420"/>
      <c r="FW14" s="1420"/>
      <c r="FX14" s="1420"/>
      <c r="FY14" s="1420"/>
      <c r="FZ14" s="1420"/>
      <c r="GA14" s="1420"/>
      <c r="GB14" s="1420"/>
      <c r="GC14" s="1420"/>
      <c r="GD14" s="1420"/>
      <c r="GE14" s="1420"/>
      <c r="GF14" s="1420"/>
      <c r="GG14" s="1420"/>
      <c r="GH14" s="1420"/>
      <c r="GI14" s="1420"/>
      <c r="GJ14" s="1420"/>
      <c r="GK14" s="1420"/>
      <c r="GL14" s="1420"/>
      <c r="GM14" s="1420"/>
      <c r="GN14" s="1420"/>
      <c r="GO14" s="1420"/>
      <c r="GP14" s="1420"/>
      <c r="GQ14" s="1420"/>
      <c r="GR14" s="1420"/>
      <c r="GS14" s="1420"/>
      <c r="GT14" s="1420"/>
      <c r="GU14" s="1420"/>
      <c r="GV14" s="1420"/>
      <c r="GW14" s="1420"/>
      <c r="GX14" s="1420"/>
      <c r="GY14" s="1420"/>
      <c r="GZ14" s="1420"/>
      <c r="HA14" s="1420"/>
      <c r="HB14" s="1420"/>
      <c r="HC14" s="1420"/>
      <c r="HD14" s="1420"/>
      <c r="HE14" s="1420"/>
      <c r="HF14" s="1420"/>
      <c r="HG14" s="1420"/>
      <c r="HH14" s="1420"/>
      <c r="HI14" s="1420"/>
      <c r="HJ14" s="1420"/>
      <c r="HK14" s="1420"/>
      <c r="HL14" s="1420"/>
      <c r="HM14" s="1420"/>
      <c r="HN14" s="1420"/>
      <c r="HO14" s="1420"/>
      <c r="HP14" s="1420"/>
      <c r="HQ14" s="1420"/>
      <c r="HR14" s="1420"/>
      <c r="HS14" s="1420"/>
      <c r="HT14" s="1420"/>
      <c r="HU14" s="1420"/>
      <c r="HV14" s="1420"/>
      <c r="HW14" s="1420"/>
      <c r="HX14" s="1420"/>
      <c r="HY14" s="1420"/>
      <c r="HZ14" s="1420"/>
      <c r="IA14" s="1420"/>
      <c r="IB14" s="1420"/>
      <c r="IC14" s="1420"/>
      <c r="ID14" s="1420"/>
      <c r="IE14" s="1420"/>
      <c r="IF14" s="1420"/>
      <c r="IG14" s="1420"/>
      <c r="IH14" s="1420"/>
      <c r="II14" s="1420"/>
      <c r="IJ14" s="1420"/>
      <c r="IK14" s="1420"/>
      <c r="IL14" s="1420"/>
      <c r="IM14" s="1420"/>
      <c r="IN14" s="1420"/>
    </row>
    <row r="15" spans="1:248" s="1421" customFormat="1" ht="15" customHeight="1" x14ac:dyDescent="0.25">
      <c r="A15" s="1329">
        <v>44809</v>
      </c>
      <c r="B15" s="1047" t="s">
        <v>50</v>
      </c>
      <c r="C15" s="1430">
        <v>1388700289</v>
      </c>
      <c r="D15" s="1039">
        <f t="shared" si="0"/>
        <v>44839</v>
      </c>
      <c r="E15" s="1040">
        <f t="shared" si="1"/>
        <v>2</v>
      </c>
      <c r="F15" s="1314">
        <v>1388700289</v>
      </c>
      <c r="G15" s="1041">
        <v>44837</v>
      </c>
      <c r="H15" s="1358">
        <f t="shared" si="2"/>
        <v>28</v>
      </c>
      <c r="I15" s="1044">
        <f t="shared" si="3"/>
        <v>0</v>
      </c>
      <c r="J15" s="1045">
        <f t="shared" si="4"/>
        <v>8856821.8431777786</v>
      </c>
      <c r="K15" s="1044"/>
      <c r="L15" s="1044"/>
      <c r="M15" s="1368"/>
      <c r="N15" s="1314"/>
      <c r="O15" s="1416"/>
      <c r="P15" s="1414">
        <v>8.9099999999999999E-2</v>
      </c>
      <c r="Q15" s="1435">
        <v>29</v>
      </c>
      <c r="R15" s="1041">
        <v>44838</v>
      </c>
      <c r="S15" s="1045">
        <f t="shared" si="6"/>
        <v>9967396.3242975008</v>
      </c>
      <c r="T15" s="1046">
        <v>44837</v>
      </c>
      <c r="U15" s="1419"/>
      <c r="V15" s="1419"/>
      <c r="W15" s="1419"/>
      <c r="X15" s="1419"/>
      <c r="Y15" s="1419"/>
      <c r="Z15" s="1420"/>
      <c r="AA15" s="1420"/>
      <c r="AB15" s="1420"/>
      <c r="AC15" s="1420"/>
      <c r="AD15" s="1420"/>
      <c r="AE15" s="1420"/>
      <c r="AF15" s="1420"/>
      <c r="AG15" s="1420"/>
      <c r="AH15" s="1420"/>
      <c r="AI15" s="1420"/>
      <c r="AJ15" s="1420"/>
      <c r="AK15" s="1420"/>
      <c r="AL15" s="1420"/>
      <c r="AM15" s="1420"/>
      <c r="AN15" s="1420"/>
      <c r="AO15" s="1420"/>
      <c r="AP15" s="1420"/>
      <c r="AQ15" s="1420"/>
      <c r="AR15" s="1420"/>
      <c r="AS15" s="1420"/>
      <c r="AT15" s="1420"/>
      <c r="AU15" s="1420"/>
      <c r="AV15" s="1420"/>
      <c r="AW15" s="1420"/>
      <c r="AX15" s="1420"/>
      <c r="AY15" s="1420"/>
      <c r="AZ15" s="1420"/>
      <c r="BA15" s="1420"/>
      <c r="BB15" s="1420"/>
      <c r="BC15" s="1420"/>
      <c r="BD15" s="1420"/>
      <c r="BE15" s="1420"/>
      <c r="BF15" s="1420"/>
      <c r="BG15" s="1420"/>
      <c r="BH15" s="1420"/>
      <c r="BI15" s="1420"/>
      <c r="BJ15" s="1420"/>
      <c r="BK15" s="1420"/>
      <c r="BL15" s="1420"/>
      <c r="BM15" s="1420"/>
      <c r="BN15" s="1420"/>
      <c r="BO15" s="1420"/>
      <c r="BP15" s="1420"/>
      <c r="BQ15" s="1420"/>
      <c r="BR15" s="1420"/>
      <c r="BS15" s="1420"/>
      <c r="BT15" s="1420"/>
      <c r="BU15" s="1420"/>
      <c r="BV15" s="1420"/>
      <c r="BW15" s="1420"/>
      <c r="BX15" s="1420"/>
      <c r="BY15" s="1420"/>
      <c r="BZ15" s="1420"/>
      <c r="CA15" s="1420"/>
      <c r="CB15" s="1420"/>
      <c r="CC15" s="1420"/>
      <c r="CD15" s="1420"/>
      <c r="CE15" s="1420"/>
      <c r="CF15" s="1420"/>
      <c r="CG15" s="1420"/>
      <c r="CH15" s="1420"/>
      <c r="CI15" s="1420"/>
      <c r="CJ15" s="1420"/>
      <c r="CK15" s="1420"/>
      <c r="CL15" s="1420"/>
      <c r="CM15" s="1420"/>
      <c r="CN15" s="1420"/>
      <c r="CO15" s="1420"/>
      <c r="CP15" s="1420"/>
      <c r="CQ15" s="1420"/>
      <c r="CR15" s="1420"/>
      <c r="CS15" s="1420"/>
      <c r="CT15" s="1420"/>
      <c r="CU15" s="1420"/>
      <c r="CV15" s="1420"/>
      <c r="CW15" s="1420"/>
      <c r="CX15" s="1420"/>
      <c r="CY15" s="1420"/>
      <c r="CZ15" s="1420"/>
      <c r="DA15" s="1420"/>
      <c r="DB15" s="1420"/>
      <c r="DC15" s="1420"/>
      <c r="DD15" s="1420"/>
      <c r="DE15" s="1420"/>
      <c r="DF15" s="1420"/>
      <c r="DG15" s="1420"/>
      <c r="DH15" s="1420"/>
      <c r="DI15" s="1420"/>
      <c r="DJ15" s="1420"/>
      <c r="DK15" s="1420"/>
      <c r="DL15" s="1420"/>
      <c r="DM15" s="1420"/>
      <c r="DN15" s="1420"/>
      <c r="DO15" s="1420"/>
      <c r="DP15" s="1420"/>
      <c r="DQ15" s="1420"/>
      <c r="DR15" s="1420"/>
      <c r="DS15" s="1420"/>
      <c r="DT15" s="1420"/>
      <c r="DU15" s="1420"/>
      <c r="DV15" s="1420"/>
      <c r="DW15" s="1420"/>
      <c r="DX15" s="1420"/>
      <c r="DY15" s="1420"/>
      <c r="DZ15" s="1420"/>
      <c r="EA15" s="1420"/>
      <c r="EB15" s="1420"/>
      <c r="EC15" s="1420"/>
      <c r="ED15" s="1420"/>
      <c r="EE15" s="1420"/>
      <c r="EF15" s="1420"/>
      <c r="EG15" s="1420"/>
      <c r="EH15" s="1420"/>
      <c r="EI15" s="1420"/>
      <c r="EJ15" s="1420"/>
      <c r="EK15" s="1420"/>
      <c r="EL15" s="1420"/>
      <c r="EM15" s="1420"/>
      <c r="EN15" s="1420"/>
      <c r="EO15" s="1420"/>
      <c r="EP15" s="1420"/>
      <c r="EQ15" s="1420"/>
      <c r="ER15" s="1420"/>
      <c r="ES15" s="1420"/>
      <c r="ET15" s="1420"/>
      <c r="EU15" s="1420"/>
      <c r="EV15" s="1420"/>
      <c r="EW15" s="1420"/>
      <c r="EX15" s="1420"/>
      <c r="EY15" s="1420"/>
      <c r="EZ15" s="1420"/>
      <c r="FA15" s="1420"/>
      <c r="FB15" s="1420"/>
      <c r="FC15" s="1420"/>
      <c r="FD15" s="1420"/>
      <c r="FE15" s="1420"/>
      <c r="FF15" s="1420"/>
      <c r="FG15" s="1420"/>
      <c r="FH15" s="1420"/>
      <c r="FI15" s="1420"/>
      <c r="FJ15" s="1420"/>
      <c r="FK15" s="1420"/>
      <c r="FL15" s="1420"/>
      <c r="FM15" s="1420"/>
      <c r="FN15" s="1420"/>
      <c r="FO15" s="1420"/>
      <c r="FP15" s="1420"/>
      <c r="FQ15" s="1420"/>
      <c r="FR15" s="1420"/>
      <c r="FS15" s="1420"/>
      <c r="FT15" s="1420"/>
      <c r="FU15" s="1420"/>
      <c r="FV15" s="1420"/>
      <c r="FW15" s="1420"/>
      <c r="FX15" s="1420"/>
      <c r="FY15" s="1420"/>
      <c r="FZ15" s="1420"/>
      <c r="GA15" s="1420"/>
      <c r="GB15" s="1420"/>
      <c r="GC15" s="1420"/>
      <c r="GD15" s="1420"/>
      <c r="GE15" s="1420"/>
      <c r="GF15" s="1420"/>
      <c r="GG15" s="1420"/>
      <c r="GH15" s="1420"/>
      <c r="GI15" s="1420"/>
      <c r="GJ15" s="1420"/>
      <c r="GK15" s="1420"/>
      <c r="GL15" s="1420"/>
      <c r="GM15" s="1420"/>
      <c r="GN15" s="1420"/>
      <c r="GO15" s="1420"/>
      <c r="GP15" s="1420"/>
      <c r="GQ15" s="1420"/>
      <c r="GR15" s="1420"/>
      <c r="GS15" s="1420"/>
      <c r="GT15" s="1420"/>
      <c r="GU15" s="1420"/>
      <c r="GV15" s="1420"/>
      <c r="GW15" s="1420"/>
      <c r="GX15" s="1420"/>
      <c r="GY15" s="1420"/>
      <c r="GZ15" s="1420"/>
      <c r="HA15" s="1420"/>
      <c r="HB15" s="1420"/>
      <c r="HC15" s="1420"/>
      <c r="HD15" s="1420"/>
      <c r="HE15" s="1420"/>
      <c r="HF15" s="1420"/>
      <c r="HG15" s="1420"/>
      <c r="HH15" s="1420"/>
      <c r="HI15" s="1420"/>
      <c r="HJ15" s="1420"/>
      <c r="HK15" s="1420"/>
      <c r="HL15" s="1420"/>
      <c r="HM15" s="1420"/>
      <c r="HN15" s="1420"/>
      <c r="HO15" s="1420"/>
      <c r="HP15" s="1420"/>
      <c r="HQ15" s="1420"/>
      <c r="HR15" s="1420"/>
      <c r="HS15" s="1420"/>
      <c r="HT15" s="1420"/>
      <c r="HU15" s="1420"/>
      <c r="HV15" s="1420"/>
      <c r="HW15" s="1420"/>
      <c r="HX15" s="1420"/>
      <c r="HY15" s="1420"/>
      <c r="HZ15" s="1420"/>
      <c r="IA15" s="1420"/>
      <c r="IB15" s="1420"/>
      <c r="IC15" s="1420"/>
      <c r="ID15" s="1420"/>
      <c r="IE15" s="1420"/>
      <c r="IF15" s="1420"/>
      <c r="IG15" s="1420"/>
      <c r="IH15" s="1420"/>
      <c r="II15" s="1420"/>
      <c r="IJ15" s="1420"/>
      <c r="IK15" s="1420"/>
      <c r="IL15" s="1420"/>
      <c r="IM15" s="1420"/>
      <c r="IN15" s="1420"/>
    </row>
    <row r="16" spans="1:248" s="1421" customFormat="1" ht="15" customHeight="1" x14ac:dyDescent="0.25">
      <c r="A16" s="1329">
        <v>44809</v>
      </c>
      <c r="B16" s="1047" t="s">
        <v>38</v>
      </c>
      <c r="C16" s="1430">
        <v>822309819</v>
      </c>
      <c r="D16" s="1039">
        <f t="shared" si="0"/>
        <v>44839</v>
      </c>
      <c r="E16" s="1040">
        <f t="shared" si="1"/>
        <v>2</v>
      </c>
      <c r="F16" s="1314">
        <v>822309819</v>
      </c>
      <c r="G16" s="1041">
        <v>44837</v>
      </c>
      <c r="H16" s="1358">
        <f t="shared" si="2"/>
        <v>28</v>
      </c>
      <c r="I16" s="1044">
        <f t="shared" si="3"/>
        <v>0</v>
      </c>
      <c r="J16" s="1045">
        <f t="shared" si="4"/>
        <v>5244509.2900666678</v>
      </c>
      <c r="K16" s="1044"/>
      <c r="L16" s="1044"/>
      <c r="M16" s="1368"/>
      <c r="N16" s="1314"/>
      <c r="O16" s="1416"/>
      <c r="P16" s="1414">
        <v>8.9099999999999999E-2</v>
      </c>
      <c r="Q16" s="1435">
        <v>29</v>
      </c>
      <c r="R16" s="1041">
        <v>44838</v>
      </c>
      <c r="S16" s="1045">
        <f t="shared" si="6"/>
        <v>5902128.7258724999</v>
      </c>
      <c r="T16" s="1046">
        <v>44837</v>
      </c>
      <c r="U16" s="1419"/>
      <c r="V16" s="1419"/>
      <c r="W16" s="1419"/>
      <c r="X16" s="1419"/>
      <c r="Y16" s="1419"/>
      <c r="Z16" s="1420"/>
      <c r="AA16" s="1420"/>
      <c r="AB16" s="1420"/>
      <c r="AC16" s="1420"/>
      <c r="AD16" s="1420"/>
      <c r="AE16" s="1420"/>
      <c r="AF16" s="1420"/>
      <c r="AG16" s="1420"/>
      <c r="AH16" s="1420"/>
      <c r="AI16" s="1420"/>
      <c r="AJ16" s="1420"/>
      <c r="AK16" s="1420"/>
      <c r="AL16" s="1420"/>
      <c r="AM16" s="1420"/>
      <c r="AN16" s="1420"/>
      <c r="AO16" s="1420"/>
      <c r="AP16" s="1420"/>
      <c r="AQ16" s="1420"/>
      <c r="AR16" s="1420"/>
      <c r="AS16" s="1420"/>
      <c r="AT16" s="1420"/>
      <c r="AU16" s="1420"/>
      <c r="AV16" s="1420"/>
      <c r="AW16" s="1420"/>
      <c r="AX16" s="1420"/>
      <c r="AY16" s="1420"/>
      <c r="AZ16" s="1420"/>
      <c r="BA16" s="1420"/>
      <c r="BB16" s="1420"/>
      <c r="BC16" s="1420"/>
      <c r="BD16" s="1420"/>
      <c r="BE16" s="1420"/>
      <c r="BF16" s="1420"/>
      <c r="BG16" s="1420"/>
      <c r="BH16" s="1420"/>
      <c r="BI16" s="1420"/>
      <c r="BJ16" s="1420"/>
      <c r="BK16" s="1420"/>
      <c r="BL16" s="1420"/>
      <c r="BM16" s="1420"/>
      <c r="BN16" s="1420"/>
      <c r="BO16" s="1420"/>
      <c r="BP16" s="1420"/>
      <c r="BQ16" s="1420"/>
      <c r="BR16" s="1420"/>
      <c r="BS16" s="1420"/>
      <c r="BT16" s="1420"/>
      <c r="BU16" s="1420"/>
      <c r="BV16" s="1420"/>
      <c r="BW16" s="1420"/>
      <c r="BX16" s="1420"/>
      <c r="BY16" s="1420"/>
      <c r="BZ16" s="1420"/>
      <c r="CA16" s="1420"/>
      <c r="CB16" s="1420"/>
      <c r="CC16" s="1420"/>
      <c r="CD16" s="1420"/>
      <c r="CE16" s="1420"/>
      <c r="CF16" s="1420"/>
      <c r="CG16" s="1420"/>
      <c r="CH16" s="1420"/>
      <c r="CI16" s="1420"/>
      <c r="CJ16" s="1420"/>
      <c r="CK16" s="1420"/>
      <c r="CL16" s="1420"/>
      <c r="CM16" s="1420"/>
      <c r="CN16" s="1420"/>
      <c r="CO16" s="1420"/>
      <c r="CP16" s="1420"/>
      <c r="CQ16" s="1420"/>
      <c r="CR16" s="1420"/>
      <c r="CS16" s="1420"/>
      <c r="CT16" s="1420"/>
      <c r="CU16" s="1420"/>
      <c r="CV16" s="1420"/>
      <c r="CW16" s="1420"/>
      <c r="CX16" s="1420"/>
      <c r="CY16" s="1420"/>
      <c r="CZ16" s="1420"/>
      <c r="DA16" s="1420"/>
      <c r="DB16" s="1420"/>
      <c r="DC16" s="1420"/>
      <c r="DD16" s="1420"/>
      <c r="DE16" s="1420"/>
      <c r="DF16" s="1420"/>
      <c r="DG16" s="1420"/>
      <c r="DH16" s="1420"/>
      <c r="DI16" s="1420"/>
      <c r="DJ16" s="1420"/>
      <c r="DK16" s="1420"/>
      <c r="DL16" s="1420"/>
      <c r="DM16" s="1420"/>
      <c r="DN16" s="1420"/>
      <c r="DO16" s="1420"/>
      <c r="DP16" s="1420"/>
      <c r="DQ16" s="1420"/>
      <c r="DR16" s="1420"/>
      <c r="DS16" s="1420"/>
      <c r="DT16" s="1420"/>
      <c r="DU16" s="1420"/>
      <c r="DV16" s="1420"/>
      <c r="DW16" s="1420"/>
      <c r="DX16" s="1420"/>
      <c r="DY16" s="1420"/>
      <c r="DZ16" s="1420"/>
      <c r="EA16" s="1420"/>
      <c r="EB16" s="1420"/>
      <c r="EC16" s="1420"/>
      <c r="ED16" s="1420"/>
      <c r="EE16" s="1420"/>
      <c r="EF16" s="1420"/>
      <c r="EG16" s="1420"/>
      <c r="EH16" s="1420"/>
      <c r="EI16" s="1420"/>
      <c r="EJ16" s="1420"/>
      <c r="EK16" s="1420"/>
      <c r="EL16" s="1420"/>
      <c r="EM16" s="1420"/>
      <c r="EN16" s="1420"/>
      <c r="EO16" s="1420"/>
      <c r="EP16" s="1420"/>
      <c r="EQ16" s="1420"/>
      <c r="ER16" s="1420"/>
      <c r="ES16" s="1420"/>
      <c r="ET16" s="1420"/>
      <c r="EU16" s="1420"/>
      <c r="EV16" s="1420"/>
      <c r="EW16" s="1420"/>
      <c r="EX16" s="1420"/>
      <c r="EY16" s="1420"/>
      <c r="EZ16" s="1420"/>
      <c r="FA16" s="1420"/>
      <c r="FB16" s="1420"/>
      <c r="FC16" s="1420"/>
      <c r="FD16" s="1420"/>
      <c r="FE16" s="1420"/>
      <c r="FF16" s="1420"/>
      <c r="FG16" s="1420"/>
      <c r="FH16" s="1420"/>
      <c r="FI16" s="1420"/>
      <c r="FJ16" s="1420"/>
      <c r="FK16" s="1420"/>
      <c r="FL16" s="1420"/>
      <c r="FM16" s="1420"/>
      <c r="FN16" s="1420"/>
      <c r="FO16" s="1420"/>
      <c r="FP16" s="1420"/>
      <c r="FQ16" s="1420"/>
      <c r="FR16" s="1420"/>
      <c r="FS16" s="1420"/>
      <c r="FT16" s="1420"/>
      <c r="FU16" s="1420"/>
      <c r="FV16" s="1420"/>
      <c r="FW16" s="1420"/>
      <c r="FX16" s="1420"/>
      <c r="FY16" s="1420"/>
      <c r="FZ16" s="1420"/>
      <c r="GA16" s="1420"/>
      <c r="GB16" s="1420"/>
      <c r="GC16" s="1420"/>
      <c r="GD16" s="1420"/>
      <c r="GE16" s="1420"/>
      <c r="GF16" s="1420"/>
      <c r="GG16" s="1420"/>
      <c r="GH16" s="1420"/>
      <c r="GI16" s="1420"/>
      <c r="GJ16" s="1420"/>
      <c r="GK16" s="1420"/>
      <c r="GL16" s="1420"/>
      <c r="GM16" s="1420"/>
      <c r="GN16" s="1420"/>
      <c r="GO16" s="1420"/>
      <c r="GP16" s="1420"/>
      <c r="GQ16" s="1420"/>
      <c r="GR16" s="1420"/>
      <c r="GS16" s="1420"/>
      <c r="GT16" s="1420"/>
      <c r="GU16" s="1420"/>
      <c r="GV16" s="1420"/>
      <c r="GW16" s="1420"/>
      <c r="GX16" s="1420"/>
      <c r="GY16" s="1420"/>
      <c r="GZ16" s="1420"/>
      <c r="HA16" s="1420"/>
      <c r="HB16" s="1420"/>
      <c r="HC16" s="1420"/>
      <c r="HD16" s="1420"/>
      <c r="HE16" s="1420"/>
      <c r="HF16" s="1420"/>
      <c r="HG16" s="1420"/>
      <c r="HH16" s="1420"/>
      <c r="HI16" s="1420"/>
      <c r="HJ16" s="1420"/>
      <c r="HK16" s="1420"/>
      <c r="HL16" s="1420"/>
      <c r="HM16" s="1420"/>
      <c r="HN16" s="1420"/>
      <c r="HO16" s="1420"/>
      <c r="HP16" s="1420"/>
      <c r="HQ16" s="1420"/>
      <c r="HR16" s="1420"/>
      <c r="HS16" s="1420"/>
      <c r="HT16" s="1420"/>
      <c r="HU16" s="1420"/>
      <c r="HV16" s="1420"/>
      <c r="HW16" s="1420"/>
      <c r="HX16" s="1420"/>
      <c r="HY16" s="1420"/>
      <c r="HZ16" s="1420"/>
      <c r="IA16" s="1420"/>
      <c r="IB16" s="1420"/>
      <c r="IC16" s="1420"/>
      <c r="ID16" s="1420"/>
      <c r="IE16" s="1420"/>
      <c r="IF16" s="1420"/>
      <c r="IG16" s="1420"/>
      <c r="IH16" s="1420"/>
      <c r="II16" s="1420"/>
      <c r="IJ16" s="1420"/>
      <c r="IK16" s="1420"/>
      <c r="IL16" s="1420"/>
      <c r="IM16" s="1420"/>
      <c r="IN16" s="1420"/>
    </row>
    <row r="17" spans="1:248" s="1421" customFormat="1" ht="15" customHeight="1" x14ac:dyDescent="0.25">
      <c r="A17" s="1329">
        <v>44809</v>
      </c>
      <c r="B17" s="1047" t="s">
        <v>29</v>
      </c>
      <c r="C17" s="1430">
        <v>295267038</v>
      </c>
      <c r="D17" s="1039">
        <f t="shared" si="0"/>
        <v>44839</v>
      </c>
      <c r="E17" s="1040">
        <f t="shared" si="1"/>
        <v>2</v>
      </c>
      <c r="F17" s="1314">
        <v>295267038</v>
      </c>
      <c r="G17" s="1041">
        <v>44837</v>
      </c>
      <c r="H17" s="1358">
        <f t="shared" si="2"/>
        <v>28</v>
      </c>
      <c r="I17" s="1044">
        <f t="shared" si="3"/>
        <v>0</v>
      </c>
      <c r="J17" s="1045">
        <f t="shared" si="4"/>
        <v>1883147.5534666667</v>
      </c>
      <c r="K17" s="1044"/>
      <c r="L17" s="1044"/>
      <c r="M17" s="1368"/>
      <c r="N17" s="1314"/>
      <c r="O17" s="1416"/>
      <c r="P17" s="1414">
        <v>8.9099999999999999E-2</v>
      </c>
      <c r="Q17" s="1435">
        <v>29</v>
      </c>
      <c r="R17" s="1041">
        <v>44838</v>
      </c>
      <c r="S17" s="1045">
        <f t="shared" si="6"/>
        <v>2119279.1652450003</v>
      </c>
      <c r="T17" s="1046">
        <v>44837</v>
      </c>
      <c r="U17" s="1419"/>
      <c r="V17" s="1419"/>
      <c r="W17" s="1419"/>
      <c r="X17" s="1419"/>
      <c r="Y17" s="1419"/>
      <c r="Z17" s="1420"/>
      <c r="AA17" s="1420"/>
      <c r="AB17" s="1420"/>
      <c r="AC17" s="1420"/>
      <c r="AD17" s="1420"/>
      <c r="AE17" s="1420"/>
      <c r="AF17" s="1420"/>
      <c r="AG17" s="1420"/>
      <c r="AH17" s="1420"/>
      <c r="AI17" s="1420"/>
      <c r="AJ17" s="1420"/>
      <c r="AK17" s="1420"/>
      <c r="AL17" s="1420"/>
      <c r="AM17" s="1420"/>
      <c r="AN17" s="1420"/>
      <c r="AO17" s="1420"/>
      <c r="AP17" s="1420"/>
      <c r="AQ17" s="1420"/>
      <c r="AR17" s="1420"/>
      <c r="AS17" s="1420"/>
      <c r="AT17" s="1420"/>
      <c r="AU17" s="1420"/>
      <c r="AV17" s="1420"/>
      <c r="AW17" s="1420"/>
      <c r="AX17" s="1420"/>
      <c r="AY17" s="1420"/>
      <c r="AZ17" s="1420"/>
      <c r="BA17" s="1420"/>
      <c r="BB17" s="1420"/>
      <c r="BC17" s="1420"/>
      <c r="BD17" s="1420"/>
      <c r="BE17" s="1420"/>
      <c r="BF17" s="1420"/>
      <c r="BG17" s="1420"/>
      <c r="BH17" s="1420"/>
      <c r="BI17" s="1420"/>
      <c r="BJ17" s="1420"/>
      <c r="BK17" s="1420"/>
      <c r="BL17" s="1420"/>
      <c r="BM17" s="1420"/>
      <c r="BN17" s="1420"/>
      <c r="BO17" s="1420"/>
      <c r="BP17" s="1420"/>
      <c r="BQ17" s="1420"/>
      <c r="BR17" s="1420"/>
      <c r="BS17" s="1420"/>
      <c r="BT17" s="1420"/>
      <c r="BU17" s="1420"/>
      <c r="BV17" s="1420"/>
      <c r="BW17" s="1420"/>
      <c r="BX17" s="1420"/>
      <c r="BY17" s="1420"/>
      <c r="BZ17" s="1420"/>
      <c r="CA17" s="1420"/>
      <c r="CB17" s="1420"/>
      <c r="CC17" s="1420"/>
      <c r="CD17" s="1420"/>
      <c r="CE17" s="1420"/>
      <c r="CF17" s="1420"/>
      <c r="CG17" s="1420"/>
      <c r="CH17" s="1420"/>
      <c r="CI17" s="1420"/>
      <c r="CJ17" s="1420"/>
      <c r="CK17" s="1420"/>
      <c r="CL17" s="1420"/>
      <c r="CM17" s="1420"/>
      <c r="CN17" s="1420"/>
      <c r="CO17" s="1420"/>
      <c r="CP17" s="1420"/>
      <c r="CQ17" s="1420"/>
      <c r="CR17" s="1420"/>
      <c r="CS17" s="1420"/>
      <c r="CT17" s="1420"/>
      <c r="CU17" s="1420"/>
      <c r="CV17" s="1420"/>
      <c r="CW17" s="1420"/>
      <c r="CX17" s="1420"/>
      <c r="CY17" s="1420"/>
      <c r="CZ17" s="1420"/>
      <c r="DA17" s="1420"/>
      <c r="DB17" s="1420"/>
      <c r="DC17" s="1420"/>
      <c r="DD17" s="1420"/>
      <c r="DE17" s="1420"/>
      <c r="DF17" s="1420"/>
      <c r="DG17" s="1420"/>
      <c r="DH17" s="1420"/>
      <c r="DI17" s="1420"/>
      <c r="DJ17" s="1420"/>
      <c r="DK17" s="1420"/>
      <c r="DL17" s="1420"/>
      <c r="DM17" s="1420"/>
      <c r="DN17" s="1420"/>
      <c r="DO17" s="1420"/>
      <c r="DP17" s="1420"/>
      <c r="DQ17" s="1420"/>
      <c r="DR17" s="1420"/>
      <c r="DS17" s="1420"/>
      <c r="DT17" s="1420"/>
      <c r="DU17" s="1420"/>
      <c r="DV17" s="1420"/>
      <c r="DW17" s="1420"/>
      <c r="DX17" s="1420"/>
      <c r="DY17" s="1420"/>
      <c r="DZ17" s="1420"/>
      <c r="EA17" s="1420"/>
      <c r="EB17" s="1420"/>
      <c r="EC17" s="1420"/>
      <c r="ED17" s="1420"/>
      <c r="EE17" s="1420"/>
      <c r="EF17" s="1420"/>
      <c r="EG17" s="1420"/>
      <c r="EH17" s="1420"/>
      <c r="EI17" s="1420"/>
      <c r="EJ17" s="1420"/>
      <c r="EK17" s="1420"/>
      <c r="EL17" s="1420"/>
      <c r="EM17" s="1420"/>
      <c r="EN17" s="1420"/>
      <c r="EO17" s="1420"/>
      <c r="EP17" s="1420"/>
      <c r="EQ17" s="1420"/>
      <c r="ER17" s="1420"/>
      <c r="ES17" s="1420"/>
      <c r="ET17" s="1420"/>
      <c r="EU17" s="1420"/>
      <c r="EV17" s="1420"/>
      <c r="EW17" s="1420"/>
      <c r="EX17" s="1420"/>
      <c r="EY17" s="1420"/>
      <c r="EZ17" s="1420"/>
      <c r="FA17" s="1420"/>
      <c r="FB17" s="1420"/>
      <c r="FC17" s="1420"/>
      <c r="FD17" s="1420"/>
      <c r="FE17" s="1420"/>
      <c r="FF17" s="1420"/>
      <c r="FG17" s="1420"/>
      <c r="FH17" s="1420"/>
      <c r="FI17" s="1420"/>
      <c r="FJ17" s="1420"/>
      <c r="FK17" s="1420"/>
      <c r="FL17" s="1420"/>
      <c r="FM17" s="1420"/>
      <c r="FN17" s="1420"/>
      <c r="FO17" s="1420"/>
      <c r="FP17" s="1420"/>
      <c r="FQ17" s="1420"/>
      <c r="FR17" s="1420"/>
      <c r="FS17" s="1420"/>
      <c r="FT17" s="1420"/>
      <c r="FU17" s="1420"/>
      <c r="FV17" s="1420"/>
      <c r="FW17" s="1420"/>
      <c r="FX17" s="1420"/>
      <c r="FY17" s="1420"/>
      <c r="FZ17" s="1420"/>
      <c r="GA17" s="1420"/>
      <c r="GB17" s="1420"/>
      <c r="GC17" s="1420"/>
      <c r="GD17" s="1420"/>
      <c r="GE17" s="1420"/>
      <c r="GF17" s="1420"/>
      <c r="GG17" s="1420"/>
      <c r="GH17" s="1420"/>
      <c r="GI17" s="1420"/>
      <c r="GJ17" s="1420"/>
      <c r="GK17" s="1420"/>
      <c r="GL17" s="1420"/>
      <c r="GM17" s="1420"/>
      <c r="GN17" s="1420"/>
      <c r="GO17" s="1420"/>
      <c r="GP17" s="1420"/>
      <c r="GQ17" s="1420"/>
      <c r="GR17" s="1420"/>
      <c r="GS17" s="1420"/>
      <c r="GT17" s="1420"/>
      <c r="GU17" s="1420"/>
      <c r="GV17" s="1420"/>
      <c r="GW17" s="1420"/>
      <c r="GX17" s="1420"/>
      <c r="GY17" s="1420"/>
      <c r="GZ17" s="1420"/>
      <c r="HA17" s="1420"/>
      <c r="HB17" s="1420"/>
      <c r="HC17" s="1420"/>
      <c r="HD17" s="1420"/>
      <c r="HE17" s="1420"/>
      <c r="HF17" s="1420"/>
      <c r="HG17" s="1420"/>
      <c r="HH17" s="1420"/>
      <c r="HI17" s="1420"/>
      <c r="HJ17" s="1420"/>
      <c r="HK17" s="1420"/>
      <c r="HL17" s="1420"/>
      <c r="HM17" s="1420"/>
      <c r="HN17" s="1420"/>
      <c r="HO17" s="1420"/>
      <c r="HP17" s="1420"/>
      <c r="HQ17" s="1420"/>
      <c r="HR17" s="1420"/>
      <c r="HS17" s="1420"/>
      <c r="HT17" s="1420"/>
      <c r="HU17" s="1420"/>
      <c r="HV17" s="1420"/>
      <c r="HW17" s="1420"/>
      <c r="HX17" s="1420"/>
      <c r="HY17" s="1420"/>
      <c r="HZ17" s="1420"/>
      <c r="IA17" s="1420"/>
      <c r="IB17" s="1420"/>
      <c r="IC17" s="1420"/>
      <c r="ID17" s="1420"/>
      <c r="IE17" s="1420"/>
      <c r="IF17" s="1420"/>
      <c r="IG17" s="1420"/>
      <c r="IH17" s="1420"/>
      <c r="II17" s="1420"/>
      <c r="IJ17" s="1420"/>
      <c r="IK17" s="1420"/>
      <c r="IL17" s="1420"/>
      <c r="IM17" s="1420"/>
      <c r="IN17" s="1420"/>
    </row>
    <row r="18" spans="1:248" s="1421" customFormat="1" ht="15" customHeight="1" x14ac:dyDescent="0.25">
      <c r="A18" s="1329">
        <v>44811</v>
      </c>
      <c r="B18" s="1047" t="s">
        <v>38</v>
      </c>
      <c r="C18" s="1384">
        <v>2613312657</v>
      </c>
      <c r="D18" s="1039">
        <f t="shared" si="0"/>
        <v>44841</v>
      </c>
      <c r="E18" s="1040">
        <f t="shared" si="1"/>
        <v>4</v>
      </c>
      <c r="F18" s="1314">
        <v>2613312657</v>
      </c>
      <c r="G18" s="1041">
        <v>44837</v>
      </c>
      <c r="H18" s="1358">
        <f t="shared" si="2"/>
        <v>26</v>
      </c>
      <c r="I18" s="1044">
        <f t="shared" si="3"/>
        <v>0</v>
      </c>
      <c r="J18" s="1045">
        <f t="shared" si="4"/>
        <v>15476618.290900001</v>
      </c>
      <c r="K18" s="1044"/>
      <c r="L18" s="1044"/>
      <c r="M18" s="1368"/>
      <c r="N18" s="1314"/>
      <c r="O18" s="1416"/>
      <c r="P18" s="1414">
        <v>8.9099999999999999E-2</v>
      </c>
      <c r="Q18" s="1435">
        <v>27</v>
      </c>
      <c r="R18" s="1041">
        <v>44838</v>
      </c>
      <c r="S18" s="1045">
        <f t="shared" si="6"/>
        <v>17463461.830402501</v>
      </c>
      <c r="T18" s="1046">
        <v>44837</v>
      </c>
      <c r="U18" s="1419"/>
      <c r="V18" s="1419"/>
      <c r="W18" s="1419"/>
      <c r="X18" s="1419"/>
      <c r="Y18" s="1419"/>
      <c r="Z18" s="1420"/>
      <c r="AA18" s="1420"/>
      <c r="AB18" s="1420"/>
      <c r="AC18" s="1420"/>
      <c r="AD18" s="1420"/>
      <c r="AE18" s="1420"/>
      <c r="AF18" s="1420"/>
      <c r="AG18" s="1420"/>
      <c r="AH18" s="1420"/>
      <c r="AI18" s="1420"/>
      <c r="AJ18" s="1420"/>
      <c r="AK18" s="1420"/>
      <c r="AL18" s="1420"/>
      <c r="AM18" s="1420"/>
      <c r="AN18" s="1420"/>
      <c r="AO18" s="1420"/>
      <c r="AP18" s="1420"/>
      <c r="AQ18" s="1420"/>
      <c r="AR18" s="1420"/>
      <c r="AS18" s="1420"/>
      <c r="AT18" s="1420"/>
      <c r="AU18" s="1420"/>
      <c r="AV18" s="1420"/>
      <c r="AW18" s="1420"/>
      <c r="AX18" s="1420"/>
      <c r="AY18" s="1420"/>
      <c r="AZ18" s="1420"/>
      <c r="BA18" s="1420"/>
      <c r="BB18" s="1420"/>
      <c r="BC18" s="1420"/>
      <c r="BD18" s="1420"/>
      <c r="BE18" s="1420"/>
      <c r="BF18" s="1420"/>
      <c r="BG18" s="1420"/>
      <c r="BH18" s="1420"/>
      <c r="BI18" s="1420"/>
      <c r="BJ18" s="1420"/>
      <c r="BK18" s="1420"/>
      <c r="BL18" s="1420"/>
      <c r="BM18" s="1420"/>
      <c r="BN18" s="1420"/>
      <c r="BO18" s="1420"/>
      <c r="BP18" s="1420"/>
      <c r="BQ18" s="1420"/>
      <c r="BR18" s="1420"/>
      <c r="BS18" s="1420"/>
      <c r="BT18" s="1420"/>
      <c r="BU18" s="1420"/>
      <c r="BV18" s="1420"/>
      <c r="BW18" s="1420"/>
      <c r="BX18" s="1420"/>
      <c r="BY18" s="1420"/>
      <c r="BZ18" s="1420"/>
      <c r="CA18" s="1420"/>
      <c r="CB18" s="1420"/>
      <c r="CC18" s="1420"/>
      <c r="CD18" s="1420"/>
      <c r="CE18" s="1420"/>
      <c r="CF18" s="1420"/>
      <c r="CG18" s="1420"/>
      <c r="CH18" s="1420"/>
      <c r="CI18" s="1420"/>
      <c r="CJ18" s="1420"/>
      <c r="CK18" s="1420"/>
      <c r="CL18" s="1420"/>
      <c r="CM18" s="1420"/>
      <c r="CN18" s="1420"/>
      <c r="CO18" s="1420"/>
      <c r="CP18" s="1420"/>
      <c r="CQ18" s="1420"/>
      <c r="CR18" s="1420"/>
      <c r="CS18" s="1420"/>
      <c r="CT18" s="1420"/>
      <c r="CU18" s="1420"/>
      <c r="CV18" s="1420"/>
      <c r="CW18" s="1420"/>
      <c r="CX18" s="1420"/>
      <c r="CY18" s="1420"/>
      <c r="CZ18" s="1420"/>
      <c r="DA18" s="1420"/>
      <c r="DB18" s="1420"/>
      <c r="DC18" s="1420"/>
      <c r="DD18" s="1420"/>
      <c r="DE18" s="1420"/>
      <c r="DF18" s="1420"/>
      <c r="DG18" s="1420"/>
      <c r="DH18" s="1420"/>
      <c r="DI18" s="1420"/>
      <c r="DJ18" s="1420"/>
      <c r="DK18" s="1420"/>
      <c r="DL18" s="1420"/>
      <c r="DM18" s="1420"/>
      <c r="DN18" s="1420"/>
      <c r="DO18" s="1420"/>
      <c r="DP18" s="1420"/>
      <c r="DQ18" s="1420"/>
      <c r="DR18" s="1420"/>
      <c r="DS18" s="1420"/>
      <c r="DT18" s="1420"/>
      <c r="DU18" s="1420"/>
      <c r="DV18" s="1420"/>
      <c r="DW18" s="1420"/>
      <c r="DX18" s="1420"/>
      <c r="DY18" s="1420"/>
      <c r="DZ18" s="1420"/>
      <c r="EA18" s="1420"/>
      <c r="EB18" s="1420"/>
      <c r="EC18" s="1420"/>
      <c r="ED18" s="1420"/>
      <c r="EE18" s="1420"/>
      <c r="EF18" s="1420"/>
      <c r="EG18" s="1420"/>
      <c r="EH18" s="1420"/>
      <c r="EI18" s="1420"/>
      <c r="EJ18" s="1420"/>
      <c r="EK18" s="1420"/>
      <c r="EL18" s="1420"/>
      <c r="EM18" s="1420"/>
      <c r="EN18" s="1420"/>
      <c r="EO18" s="1420"/>
      <c r="EP18" s="1420"/>
      <c r="EQ18" s="1420"/>
      <c r="ER18" s="1420"/>
      <c r="ES18" s="1420"/>
      <c r="ET18" s="1420"/>
      <c r="EU18" s="1420"/>
      <c r="EV18" s="1420"/>
      <c r="EW18" s="1420"/>
      <c r="EX18" s="1420"/>
      <c r="EY18" s="1420"/>
      <c r="EZ18" s="1420"/>
      <c r="FA18" s="1420"/>
      <c r="FB18" s="1420"/>
      <c r="FC18" s="1420"/>
      <c r="FD18" s="1420"/>
      <c r="FE18" s="1420"/>
      <c r="FF18" s="1420"/>
      <c r="FG18" s="1420"/>
      <c r="FH18" s="1420"/>
      <c r="FI18" s="1420"/>
      <c r="FJ18" s="1420"/>
      <c r="FK18" s="1420"/>
      <c r="FL18" s="1420"/>
      <c r="FM18" s="1420"/>
      <c r="FN18" s="1420"/>
      <c r="FO18" s="1420"/>
      <c r="FP18" s="1420"/>
      <c r="FQ18" s="1420"/>
      <c r="FR18" s="1420"/>
      <c r="FS18" s="1420"/>
      <c r="FT18" s="1420"/>
      <c r="FU18" s="1420"/>
      <c r="FV18" s="1420"/>
      <c r="FW18" s="1420"/>
      <c r="FX18" s="1420"/>
      <c r="FY18" s="1420"/>
      <c r="FZ18" s="1420"/>
      <c r="GA18" s="1420"/>
      <c r="GB18" s="1420"/>
      <c r="GC18" s="1420"/>
      <c r="GD18" s="1420"/>
      <c r="GE18" s="1420"/>
      <c r="GF18" s="1420"/>
      <c r="GG18" s="1420"/>
      <c r="GH18" s="1420"/>
      <c r="GI18" s="1420"/>
      <c r="GJ18" s="1420"/>
      <c r="GK18" s="1420"/>
      <c r="GL18" s="1420"/>
      <c r="GM18" s="1420"/>
      <c r="GN18" s="1420"/>
      <c r="GO18" s="1420"/>
      <c r="GP18" s="1420"/>
      <c r="GQ18" s="1420"/>
      <c r="GR18" s="1420"/>
      <c r="GS18" s="1420"/>
      <c r="GT18" s="1420"/>
      <c r="GU18" s="1420"/>
      <c r="GV18" s="1420"/>
      <c r="GW18" s="1420"/>
      <c r="GX18" s="1420"/>
      <c r="GY18" s="1420"/>
      <c r="GZ18" s="1420"/>
      <c r="HA18" s="1420"/>
      <c r="HB18" s="1420"/>
      <c r="HC18" s="1420"/>
      <c r="HD18" s="1420"/>
      <c r="HE18" s="1420"/>
      <c r="HF18" s="1420"/>
      <c r="HG18" s="1420"/>
      <c r="HH18" s="1420"/>
      <c r="HI18" s="1420"/>
      <c r="HJ18" s="1420"/>
      <c r="HK18" s="1420"/>
      <c r="HL18" s="1420"/>
      <c r="HM18" s="1420"/>
      <c r="HN18" s="1420"/>
      <c r="HO18" s="1420"/>
      <c r="HP18" s="1420"/>
      <c r="HQ18" s="1420"/>
      <c r="HR18" s="1420"/>
      <c r="HS18" s="1420"/>
      <c r="HT18" s="1420"/>
      <c r="HU18" s="1420"/>
      <c r="HV18" s="1420"/>
      <c r="HW18" s="1420"/>
      <c r="HX18" s="1420"/>
      <c r="HY18" s="1420"/>
      <c r="HZ18" s="1420"/>
      <c r="IA18" s="1420"/>
      <c r="IB18" s="1420"/>
      <c r="IC18" s="1420"/>
      <c r="ID18" s="1420"/>
      <c r="IE18" s="1420"/>
      <c r="IF18" s="1420"/>
      <c r="IG18" s="1420"/>
      <c r="IH18" s="1420"/>
      <c r="II18" s="1420"/>
      <c r="IJ18" s="1420"/>
      <c r="IK18" s="1420"/>
      <c r="IL18" s="1420"/>
      <c r="IM18" s="1420"/>
      <c r="IN18" s="1420"/>
    </row>
    <row r="19" spans="1:248" s="1421" customFormat="1" ht="15" customHeight="1" x14ac:dyDescent="0.25">
      <c r="A19" s="1329">
        <v>44811</v>
      </c>
      <c r="B19" s="1047" t="s">
        <v>59</v>
      </c>
      <c r="C19" s="1384">
        <v>703469728</v>
      </c>
      <c r="D19" s="1039">
        <f t="shared" si="0"/>
        <v>44841</v>
      </c>
      <c r="E19" s="1040">
        <f t="shared" si="1"/>
        <v>4</v>
      </c>
      <c r="F19" s="1314">
        <v>703469728</v>
      </c>
      <c r="G19" s="1041">
        <v>44837</v>
      </c>
      <c r="H19" s="1358">
        <f t="shared" si="2"/>
        <v>26</v>
      </c>
      <c r="I19" s="1044">
        <f t="shared" si="3"/>
        <v>0</v>
      </c>
      <c r="J19" s="1045">
        <f t="shared" si="4"/>
        <v>4166104.0558222225</v>
      </c>
      <c r="K19" s="1044"/>
      <c r="L19" s="1044"/>
      <c r="M19" s="1368"/>
      <c r="N19" s="1314"/>
      <c r="O19" s="1416"/>
      <c r="P19" s="1414">
        <v>8.9099999999999999E-2</v>
      </c>
      <c r="Q19" s="1435">
        <v>27</v>
      </c>
      <c r="R19" s="1041">
        <v>44838</v>
      </c>
      <c r="S19" s="1045">
        <f t="shared" si="6"/>
        <v>4700936.4573600003</v>
      </c>
      <c r="T19" s="1046">
        <v>44837</v>
      </c>
      <c r="U19" s="1419"/>
      <c r="V19" s="1419"/>
      <c r="W19" s="1419"/>
      <c r="X19" s="1419"/>
      <c r="Y19" s="1419"/>
      <c r="Z19" s="1420"/>
      <c r="AA19" s="1420"/>
      <c r="AB19" s="1420"/>
      <c r="AC19" s="1420"/>
      <c r="AD19" s="1420"/>
      <c r="AE19" s="1420"/>
      <c r="AF19" s="1420"/>
      <c r="AG19" s="1420"/>
      <c r="AH19" s="1420"/>
      <c r="AI19" s="1420"/>
      <c r="AJ19" s="1420"/>
      <c r="AK19" s="1420"/>
      <c r="AL19" s="1420"/>
      <c r="AM19" s="1420"/>
      <c r="AN19" s="1420"/>
      <c r="AO19" s="1420"/>
      <c r="AP19" s="1420"/>
      <c r="AQ19" s="1420"/>
      <c r="AR19" s="1420"/>
      <c r="AS19" s="1420"/>
      <c r="AT19" s="1420"/>
      <c r="AU19" s="1420"/>
      <c r="AV19" s="1420"/>
      <c r="AW19" s="1420"/>
      <c r="AX19" s="1420"/>
      <c r="AY19" s="1420"/>
      <c r="AZ19" s="1420"/>
      <c r="BA19" s="1420"/>
      <c r="BB19" s="1420"/>
      <c r="BC19" s="1420"/>
      <c r="BD19" s="1420"/>
      <c r="BE19" s="1420"/>
      <c r="BF19" s="1420"/>
      <c r="BG19" s="1420"/>
      <c r="BH19" s="1420"/>
      <c r="BI19" s="1420"/>
      <c r="BJ19" s="1420"/>
      <c r="BK19" s="1420"/>
      <c r="BL19" s="1420"/>
      <c r="BM19" s="1420"/>
      <c r="BN19" s="1420"/>
      <c r="BO19" s="1420"/>
      <c r="BP19" s="1420"/>
      <c r="BQ19" s="1420"/>
      <c r="BR19" s="1420"/>
      <c r="BS19" s="1420"/>
      <c r="BT19" s="1420"/>
      <c r="BU19" s="1420"/>
      <c r="BV19" s="1420"/>
      <c r="BW19" s="1420"/>
      <c r="BX19" s="1420"/>
      <c r="BY19" s="1420"/>
      <c r="BZ19" s="1420"/>
      <c r="CA19" s="1420"/>
      <c r="CB19" s="1420"/>
      <c r="CC19" s="1420"/>
      <c r="CD19" s="1420"/>
      <c r="CE19" s="1420"/>
      <c r="CF19" s="1420"/>
      <c r="CG19" s="1420"/>
      <c r="CH19" s="1420"/>
      <c r="CI19" s="1420"/>
      <c r="CJ19" s="1420"/>
      <c r="CK19" s="1420"/>
      <c r="CL19" s="1420"/>
      <c r="CM19" s="1420"/>
      <c r="CN19" s="1420"/>
      <c r="CO19" s="1420"/>
      <c r="CP19" s="1420"/>
      <c r="CQ19" s="1420"/>
      <c r="CR19" s="1420"/>
      <c r="CS19" s="1420"/>
      <c r="CT19" s="1420"/>
      <c r="CU19" s="1420"/>
      <c r="CV19" s="1420"/>
      <c r="CW19" s="1420"/>
      <c r="CX19" s="1420"/>
      <c r="CY19" s="1420"/>
      <c r="CZ19" s="1420"/>
      <c r="DA19" s="1420"/>
      <c r="DB19" s="1420"/>
      <c r="DC19" s="1420"/>
      <c r="DD19" s="1420"/>
      <c r="DE19" s="1420"/>
      <c r="DF19" s="1420"/>
      <c r="DG19" s="1420"/>
      <c r="DH19" s="1420"/>
      <c r="DI19" s="1420"/>
      <c r="DJ19" s="1420"/>
      <c r="DK19" s="1420"/>
      <c r="DL19" s="1420"/>
      <c r="DM19" s="1420"/>
      <c r="DN19" s="1420"/>
      <c r="DO19" s="1420"/>
      <c r="DP19" s="1420"/>
      <c r="DQ19" s="1420"/>
      <c r="DR19" s="1420"/>
      <c r="DS19" s="1420"/>
      <c r="DT19" s="1420"/>
      <c r="DU19" s="1420"/>
      <c r="DV19" s="1420"/>
      <c r="DW19" s="1420"/>
      <c r="DX19" s="1420"/>
      <c r="DY19" s="1420"/>
      <c r="DZ19" s="1420"/>
      <c r="EA19" s="1420"/>
      <c r="EB19" s="1420"/>
      <c r="EC19" s="1420"/>
      <c r="ED19" s="1420"/>
      <c r="EE19" s="1420"/>
      <c r="EF19" s="1420"/>
      <c r="EG19" s="1420"/>
      <c r="EH19" s="1420"/>
      <c r="EI19" s="1420"/>
      <c r="EJ19" s="1420"/>
      <c r="EK19" s="1420"/>
      <c r="EL19" s="1420"/>
      <c r="EM19" s="1420"/>
      <c r="EN19" s="1420"/>
      <c r="EO19" s="1420"/>
      <c r="EP19" s="1420"/>
      <c r="EQ19" s="1420"/>
      <c r="ER19" s="1420"/>
      <c r="ES19" s="1420"/>
      <c r="ET19" s="1420"/>
      <c r="EU19" s="1420"/>
      <c r="EV19" s="1420"/>
      <c r="EW19" s="1420"/>
      <c r="EX19" s="1420"/>
      <c r="EY19" s="1420"/>
      <c r="EZ19" s="1420"/>
      <c r="FA19" s="1420"/>
      <c r="FB19" s="1420"/>
      <c r="FC19" s="1420"/>
      <c r="FD19" s="1420"/>
      <c r="FE19" s="1420"/>
      <c r="FF19" s="1420"/>
      <c r="FG19" s="1420"/>
      <c r="FH19" s="1420"/>
      <c r="FI19" s="1420"/>
      <c r="FJ19" s="1420"/>
      <c r="FK19" s="1420"/>
      <c r="FL19" s="1420"/>
      <c r="FM19" s="1420"/>
      <c r="FN19" s="1420"/>
      <c r="FO19" s="1420"/>
      <c r="FP19" s="1420"/>
      <c r="FQ19" s="1420"/>
      <c r="FR19" s="1420"/>
      <c r="FS19" s="1420"/>
      <c r="FT19" s="1420"/>
      <c r="FU19" s="1420"/>
      <c r="FV19" s="1420"/>
      <c r="FW19" s="1420"/>
      <c r="FX19" s="1420"/>
      <c r="FY19" s="1420"/>
      <c r="FZ19" s="1420"/>
      <c r="GA19" s="1420"/>
      <c r="GB19" s="1420"/>
      <c r="GC19" s="1420"/>
      <c r="GD19" s="1420"/>
      <c r="GE19" s="1420"/>
      <c r="GF19" s="1420"/>
      <c r="GG19" s="1420"/>
      <c r="GH19" s="1420"/>
      <c r="GI19" s="1420"/>
      <c r="GJ19" s="1420"/>
      <c r="GK19" s="1420"/>
      <c r="GL19" s="1420"/>
      <c r="GM19" s="1420"/>
      <c r="GN19" s="1420"/>
      <c r="GO19" s="1420"/>
      <c r="GP19" s="1420"/>
      <c r="GQ19" s="1420"/>
      <c r="GR19" s="1420"/>
      <c r="GS19" s="1420"/>
      <c r="GT19" s="1420"/>
      <c r="GU19" s="1420"/>
      <c r="GV19" s="1420"/>
      <c r="GW19" s="1420"/>
      <c r="GX19" s="1420"/>
      <c r="GY19" s="1420"/>
      <c r="GZ19" s="1420"/>
      <c r="HA19" s="1420"/>
      <c r="HB19" s="1420"/>
      <c r="HC19" s="1420"/>
      <c r="HD19" s="1420"/>
      <c r="HE19" s="1420"/>
      <c r="HF19" s="1420"/>
      <c r="HG19" s="1420"/>
      <c r="HH19" s="1420"/>
      <c r="HI19" s="1420"/>
      <c r="HJ19" s="1420"/>
      <c r="HK19" s="1420"/>
      <c r="HL19" s="1420"/>
      <c r="HM19" s="1420"/>
      <c r="HN19" s="1420"/>
      <c r="HO19" s="1420"/>
      <c r="HP19" s="1420"/>
      <c r="HQ19" s="1420"/>
      <c r="HR19" s="1420"/>
      <c r="HS19" s="1420"/>
      <c r="HT19" s="1420"/>
      <c r="HU19" s="1420"/>
      <c r="HV19" s="1420"/>
      <c r="HW19" s="1420"/>
      <c r="HX19" s="1420"/>
      <c r="HY19" s="1420"/>
      <c r="HZ19" s="1420"/>
      <c r="IA19" s="1420"/>
      <c r="IB19" s="1420"/>
      <c r="IC19" s="1420"/>
      <c r="ID19" s="1420"/>
      <c r="IE19" s="1420"/>
      <c r="IF19" s="1420"/>
      <c r="IG19" s="1420"/>
      <c r="IH19" s="1420"/>
      <c r="II19" s="1420"/>
      <c r="IJ19" s="1420"/>
      <c r="IK19" s="1420"/>
      <c r="IL19" s="1420"/>
      <c r="IM19" s="1420"/>
      <c r="IN19" s="1420"/>
    </row>
    <row r="20" spans="1:248" s="1421" customFormat="1" ht="15" customHeight="1" x14ac:dyDescent="0.25">
      <c r="A20" s="1329">
        <v>44813</v>
      </c>
      <c r="B20" s="1047" t="s">
        <v>50</v>
      </c>
      <c r="C20" s="1384">
        <v>495365678</v>
      </c>
      <c r="D20" s="1039">
        <f t="shared" si="0"/>
        <v>44843</v>
      </c>
      <c r="E20" s="1040">
        <f t="shared" si="1"/>
        <v>6</v>
      </c>
      <c r="F20" s="1314">
        <v>495365678</v>
      </c>
      <c r="G20" s="1041">
        <v>44837</v>
      </c>
      <c r="H20" s="1358">
        <f t="shared" si="2"/>
        <v>24</v>
      </c>
      <c r="I20" s="1044">
        <f t="shared" si="3"/>
        <v>0</v>
      </c>
      <c r="J20" s="1045">
        <f t="shared" si="4"/>
        <v>2707999.0397333335</v>
      </c>
      <c r="K20" s="1044"/>
      <c r="L20" s="1044"/>
      <c r="M20" s="1368"/>
      <c r="N20" s="1314"/>
      <c r="O20" s="1416"/>
      <c r="P20" s="1414">
        <v>8.9099999999999999E-2</v>
      </c>
      <c r="Q20" s="1435">
        <v>25</v>
      </c>
      <c r="R20" s="1041">
        <v>44838</v>
      </c>
      <c r="S20" s="1045">
        <f t="shared" si="6"/>
        <v>3065075.1326250006</v>
      </c>
      <c r="T20" s="1046">
        <v>44837</v>
      </c>
      <c r="U20" s="1419"/>
      <c r="V20" s="1419"/>
      <c r="W20" s="1419"/>
      <c r="X20" s="1419"/>
      <c r="Y20" s="1419"/>
      <c r="Z20" s="1420"/>
      <c r="AA20" s="1420"/>
      <c r="AB20" s="1420"/>
      <c r="AC20" s="1420"/>
      <c r="AD20" s="1420"/>
      <c r="AE20" s="1420"/>
      <c r="AF20" s="1420"/>
      <c r="AG20" s="1420"/>
      <c r="AH20" s="1420"/>
      <c r="AI20" s="1420"/>
      <c r="AJ20" s="1420"/>
      <c r="AK20" s="1420"/>
      <c r="AL20" s="1420"/>
      <c r="AM20" s="1420"/>
      <c r="AN20" s="1420"/>
      <c r="AO20" s="1420"/>
      <c r="AP20" s="1420"/>
      <c r="AQ20" s="1420"/>
      <c r="AR20" s="1420"/>
      <c r="AS20" s="1420"/>
      <c r="AT20" s="1420"/>
      <c r="AU20" s="1420"/>
      <c r="AV20" s="1420"/>
      <c r="AW20" s="1420"/>
      <c r="AX20" s="1420"/>
      <c r="AY20" s="1420"/>
      <c r="AZ20" s="1420"/>
      <c r="BA20" s="1420"/>
      <c r="BB20" s="1420"/>
      <c r="BC20" s="1420"/>
      <c r="BD20" s="1420"/>
      <c r="BE20" s="1420"/>
      <c r="BF20" s="1420"/>
      <c r="BG20" s="1420"/>
      <c r="BH20" s="1420"/>
      <c r="BI20" s="1420"/>
      <c r="BJ20" s="1420"/>
      <c r="BK20" s="1420"/>
      <c r="BL20" s="1420"/>
      <c r="BM20" s="1420"/>
      <c r="BN20" s="1420"/>
      <c r="BO20" s="1420"/>
      <c r="BP20" s="1420"/>
      <c r="BQ20" s="1420"/>
      <c r="BR20" s="1420"/>
      <c r="BS20" s="1420"/>
      <c r="BT20" s="1420"/>
      <c r="BU20" s="1420"/>
      <c r="BV20" s="1420"/>
      <c r="BW20" s="1420"/>
      <c r="BX20" s="1420"/>
      <c r="BY20" s="1420"/>
      <c r="BZ20" s="1420"/>
      <c r="CA20" s="1420"/>
      <c r="CB20" s="1420"/>
      <c r="CC20" s="1420"/>
      <c r="CD20" s="1420"/>
      <c r="CE20" s="1420"/>
      <c r="CF20" s="1420"/>
      <c r="CG20" s="1420"/>
      <c r="CH20" s="1420"/>
      <c r="CI20" s="1420"/>
      <c r="CJ20" s="1420"/>
      <c r="CK20" s="1420"/>
      <c r="CL20" s="1420"/>
      <c r="CM20" s="1420"/>
      <c r="CN20" s="1420"/>
      <c r="CO20" s="1420"/>
      <c r="CP20" s="1420"/>
      <c r="CQ20" s="1420"/>
      <c r="CR20" s="1420"/>
      <c r="CS20" s="1420"/>
      <c r="CT20" s="1420"/>
      <c r="CU20" s="1420"/>
      <c r="CV20" s="1420"/>
      <c r="CW20" s="1420"/>
      <c r="CX20" s="1420"/>
      <c r="CY20" s="1420"/>
      <c r="CZ20" s="1420"/>
      <c r="DA20" s="1420"/>
      <c r="DB20" s="1420"/>
      <c r="DC20" s="1420"/>
      <c r="DD20" s="1420"/>
      <c r="DE20" s="1420"/>
      <c r="DF20" s="1420"/>
      <c r="DG20" s="1420"/>
      <c r="DH20" s="1420"/>
      <c r="DI20" s="1420"/>
      <c r="DJ20" s="1420"/>
      <c r="DK20" s="1420"/>
      <c r="DL20" s="1420"/>
      <c r="DM20" s="1420"/>
      <c r="DN20" s="1420"/>
      <c r="DO20" s="1420"/>
      <c r="DP20" s="1420"/>
      <c r="DQ20" s="1420"/>
      <c r="DR20" s="1420"/>
      <c r="DS20" s="1420"/>
      <c r="DT20" s="1420"/>
      <c r="DU20" s="1420"/>
      <c r="DV20" s="1420"/>
      <c r="DW20" s="1420"/>
      <c r="DX20" s="1420"/>
      <c r="DY20" s="1420"/>
      <c r="DZ20" s="1420"/>
      <c r="EA20" s="1420"/>
      <c r="EB20" s="1420"/>
      <c r="EC20" s="1420"/>
      <c r="ED20" s="1420"/>
      <c r="EE20" s="1420"/>
      <c r="EF20" s="1420"/>
      <c r="EG20" s="1420"/>
      <c r="EH20" s="1420"/>
      <c r="EI20" s="1420"/>
      <c r="EJ20" s="1420"/>
      <c r="EK20" s="1420"/>
      <c r="EL20" s="1420"/>
      <c r="EM20" s="1420"/>
      <c r="EN20" s="1420"/>
      <c r="EO20" s="1420"/>
      <c r="EP20" s="1420"/>
      <c r="EQ20" s="1420"/>
      <c r="ER20" s="1420"/>
      <c r="ES20" s="1420"/>
      <c r="ET20" s="1420"/>
      <c r="EU20" s="1420"/>
      <c r="EV20" s="1420"/>
      <c r="EW20" s="1420"/>
      <c r="EX20" s="1420"/>
      <c r="EY20" s="1420"/>
      <c r="EZ20" s="1420"/>
      <c r="FA20" s="1420"/>
      <c r="FB20" s="1420"/>
      <c r="FC20" s="1420"/>
      <c r="FD20" s="1420"/>
      <c r="FE20" s="1420"/>
      <c r="FF20" s="1420"/>
      <c r="FG20" s="1420"/>
      <c r="FH20" s="1420"/>
      <c r="FI20" s="1420"/>
      <c r="FJ20" s="1420"/>
      <c r="FK20" s="1420"/>
      <c r="FL20" s="1420"/>
      <c r="FM20" s="1420"/>
      <c r="FN20" s="1420"/>
      <c r="FO20" s="1420"/>
      <c r="FP20" s="1420"/>
      <c r="FQ20" s="1420"/>
      <c r="FR20" s="1420"/>
      <c r="FS20" s="1420"/>
      <c r="FT20" s="1420"/>
      <c r="FU20" s="1420"/>
      <c r="FV20" s="1420"/>
      <c r="FW20" s="1420"/>
      <c r="FX20" s="1420"/>
      <c r="FY20" s="1420"/>
      <c r="FZ20" s="1420"/>
      <c r="GA20" s="1420"/>
      <c r="GB20" s="1420"/>
      <c r="GC20" s="1420"/>
      <c r="GD20" s="1420"/>
      <c r="GE20" s="1420"/>
      <c r="GF20" s="1420"/>
      <c r="GG20" s="1420"/>
      <c r="GH20" s="1420"/>
      <c r="GI20" s="1420"/>
      <c r="GJ20" s="1420"/>
      <c r="GK20" s="1420"/>
      <c r="GL20" s="1420"/>
      <c r="GM20" s="1420"/>
      <c r="GN20" s="1420"/>
      <c r="GO20" s="1420"/>
      <c r="GP20" s="1420"/>
      <c r="GQ20" s="1420"/>
      <c r="GR20" s="1420"/>
      <c r="GS20" s="1420"/>
      <c r="GT20" s="1420"/>
      <c r="GU20" s="1420"/>
      <c r="GV20" s="1420"/>
      <c r="GW20" s="1420"/>
      <c r="GX20" s="1420"/>
      <c r="GY20" s="1420"/>
      <c r="GZ20" s="1420"/>
      <c r="HA20" s="1420"/>
      <c r="HB20" s="1420"/>
      <c r="HC20" s="1420"/>
      <c r="HD20" s="1420"/>
      <c r="HE20" s="1420"/>
      <c r="HF20" s="1420"/>
      <c r="HG20" s="1420"/>
      <c r="HH20" s="1420"/>
      <c r="HI20" s="1420"/>
      <c r="HJ20" s="1420"/>
      <c r="HK20" s="1420"/>
      <c r="HL20" s="1420"/>
      <c r="HM20" s="1420"/>
      <c r="HN20" s="1420"/>
      <c r="HO20" s="1420"/>
      <c r="HP20" s="1420"/>
      <c r="HQ20" s="1420"/>
      <c r="HR20" s="1420"/>
      <c r="HS20" s="1420"/>
      <c r="HT20" s="1420"/>
      <c r="HU20" s="1420"/>
      <c r="HV20" s="1420"/>
      <c r="HW20" s="1420"/>
      <c r="HX20" s="1420"/>
      <c r="HY20" s="1420"/>
      <c r="HZ20" s="1420"/>
      <c r="IA20" s="1420"/>
      <c r="IB20" s="1420"/>
      <c r="IC20" s="1420"/>
      <c r="ID20" s="1420"/>
      <c r="IE20" s="1420"/>
      <c r="IF20" s="1420"/>
      <c r="IG20" s="1420"/>
      <c r="IH20" s="1420"/>
      <c r="II20" s="1420"/>
      <c r="IJ20" s="1420"/>
      <c r="IK20" s="1420"/>
      <c r="IL20" s="1420"/>
      <c r="IM20" s="1420"/>
      <c r="IN20" s="1420"/>
    </row>
    <row r="21" spans="1:248" s="1421" customFormat="1" ht="15" customHeight="1" x14ac:dyDescent="0.25">
      <c r="A21" s="1329">
        <v>44813</v>
      </c>
      <c r="B21" s="1047" t="s">
        <v>59</v>
      </c>
      <c r="C21" s="1384">
        <v>642559632</v>
      </c>
      <c r="D21" s="1039">
        <f>A21+G$1</f>
        <v>44843</v>
      </c>
      <c r="E21" s="1040">
        <f>D21-G21</f>
        <v>6</v>
      </c>
      <c r="F21" s="1314">
        <v>642559632</v>
      </c>
      <c r="G21" s="1041">
        <v>44837</v>
      </c>
      <c r="H21" s="1358">
        <f t="shared" si="2"/>
        <v>24</v>
      </c>
      <c r="I21" s="1044">
        <f>C21-F21</f>
        <v>0</v>
      </c>
      <c r="J21" s="1045">
        <f t="shared" si="4"/>
        <v>3512659.3215999999</v>
      </c>
      <c r="K21" s="1044"/>
      <c r="L21" s="1044"/>
      <c r="M21" s="1368"/>
      <c r="N21" s="1314"/>
      <c r="O21" s="1416"/>
      <c r="P21" s="1414">
        <v>8.9099999999999999E-2</v>
      </c>
      <c r="Q21" s="1435">
        <v>25</v>
      </c>
      <c r="R21" s="1041">
        <v>44838</v>
      </c>
      <c r="S21" s="1045">
        <f t="shared" si="6"/>
        <v>3975837.7229999998</v>
      </c>
      <c r="T21" s="1046">
        <v>44837</v>
      </c>
      <c r="U21" s="1419"/>
      <c r="V21" s="1419"/>
      <c r="W21" s="1419"/>
      <c r="X21" s="1419"/>
      <c r="Y21" s="1419"/>
      <c r="Z21" s="1420"/>
      <c r="AA21" s="1420"/>
      <c r="AB21" s="1420"/>
      <c r="AC21" s="1420"/>
      <c r="AD21" s="1420"/>
      <c r="AE21" s="1420"/>
      <c r="AF21" s="1420"/>
      <c r="AG21" s="1420"/>
      <c r="AH21" s="1420"/>
      <c r="AI21" s="1420"/>
      <c r="AJ21" s="1420"/>
      <c r="AK21" s="1420"/>
      <c r="AL21" s="1420"/>
      <c r="AM21" s="1420"/>
      <c r="AN21" s="1420"/>
      <c r="AO21" s="1420"/>
      <c r="AP21" s="1420"/>
      <c r="AQ21" s="1420"/>
      <c r="AR21" s="1420"/>
      <c r="AS21" s="1420"/>
      <c r="AT21" s="1420"/>
      <c r="AU21" s="1420"/>
      <c r="AV21" s="1420"/>
      <c r="AW21" s="1420"/>
      <c r="AX21" s="1420"/>
      <c r="AY21" s="1420"/>
      <c r="AZ21" s="1420"/>
      <c r="BA21" s="1420"/>
      <c r="BB21" s="1420"/>
      <c r="BC21" s="1420"/>
      <c r="BD21" s="1420"/>
      <c r="BE21" s="1420"/>
      <c r="BF21" s="1420"/>
      <c r="BG21" s="1420"/>
      <c r="BH21" s="1420"/>
      <c r="BI21" s="1420"/>
      <c r="BJ21" s="1420"/>
      <c r="BK21" s="1420"/>
      <c r="BL21" s="1420"/>
      <c r="BM21" s="1420"/>
      <c r="BN21" s="1420"/>
      <c r="BO21" s="1420"/>
      <c r="BP21" s="1420"/>
      <c r="BQ21" s="1420"/>
      <c r="BR21" s="1420"/>
      <c r="BS21" s="1420"/>
      <c r="BT21" s="1420"/>
      <c r="BU21" s="1420"/>
      <c r="BV21" s="1420"/>
      <c r="BW21" s="1420"/>
      <c r="BX21" s="1420"/>
      <c r="BY21" s="1420"/>
      <c r="BZ21" s="1420"/>
      <c r="CA21" s="1420"/>
      <c r="CB21" s="1420"/>
      <c r="CC21" s="1420"/>
      <c r="CD21" s="1420"/>
      <c r="CE21" s="1420"/>
      <c r="CF21" s="1420"/>
      <c r="CG21" s="1420"/>
      <c r="CH21" s="1420"/>
      <c r="CI21" s="1420"/>
      <c r="CJ21" s="1420"/>
      <c r="CK21" s="1420"/>
      <c r="CL21" s="1420"/>
      <c r="CM21" s="1420"/>
      <c r="CN21" s="1420"/>
      <c r="CO21" s="1420"/>
      <c r="CP21" s="1420"/>
      <c r="CQ21" s="1420"/>
      <c r="CR21" s="1420"/>
      <c r="CS21" s="1420"/>
      <c r="CT21" s="1420"/>
      <c r="CU21" s="1420"/>
      <c r="CV21" s="1420"/>
      <c r="CW21" s="1420"/>
      <c r="CX21" s="1420"/>
      <c r="CY21" s="1420"/>
      <c r="CZ21" s="1420"/>
      <c r="DA21" s="1420"/>
      <c r="DB21" s="1420"/>
      <c r="DC21" s="1420"/>
      <c r="DD21" s="1420"/>
      <c r="DE21" s="1420"/>
      <c r="DF21" s="1420"/>
      <c r="DG21" s="1420"/>
      <c r="DH21" s="1420"/>
      <c r="DI21" s="1420"/>
      <c r="DJ21" s="1420"/>
      <c r="DK21" s="1420"/>
      <c r="DL21" s="1420"/>
      <c r="DM21" s="1420"/>
      <c r="DN21" s="1420"/>
      <c r="DO21" s="1420"/>
      <c r="DP21" s="1420"/>
      <c r="DQ21" s="1420"/>
      <c r="DR21" s="1420"/>
      <c r="DS21" s="1420"/>
      <c r="DT21" s="1420"/>
      <c r="DU21" s="1420"/>
      <c r="DV21" s="1420"/>
      <c r="DW21" s="1420"/>
      <c r="DX21" s="1420"/>
      <c r="DY21" s="1420"/>
      <c r="DZ21" s="1420"/>
      <c r="EA21" s="1420"/>
      <c r="EB21" s="1420"/>
      <c r="EC21" s="1420"/>
      <c r="ED21" s="1420"/>
      <c r="EE21" s="1420"/>
      <c r="EF21" s="1420"/>
      <c r="EG21" s="1420"/>
      <c r="EH21" s="1420"/>
      <c r="EI21" s="1420"/>
      <c r="EJ21" s="1420"/>
      <c r="EK21" s="1420"/>
      <c r="EL21" s="1420"/>
      <c r="EM21" s="1420"/>
      <c r="EN21" s="1420"/>
      <c r="EO21" s="1420"/>
      <c r="EP21" s="1420"/>
      <c r="EQ21" s="1420"/>
      <c r="ER21" s="1420"/>
      <c r="ES21" s="1420"/>
      <c r="ET21" s="1420"/>
      <c r="EU21" s="1420"/>
      <c r="EV21" s="1420"/>
      <c r="EW21" s="1420"/>
      <c r="EX21" s="1420"/>
      <c r="EY21" s="1420"/>
      <c r="EZ21" s="1420"/>
      <c r="FA21" s="1420"/>
      <c r="FB21" s="1420"/>
      <c r="FC21" s="1420"/>
      <c r="FD21" s="1420"/>
      <c r="FE21" s="1420"/>
      <c r="FF21" s="1420"/>
      <c r="FG21" s="1420"/>
      <c r="FH21" s="1420"/>
      <c r="FI21" s="1420"/>
      <c r="FJ21" s="1420"/>
      <c r="FK21" s="1420"/>
      <c r="FL21" s="1420"/>
      <c r="FM21" s="1420"/>
      <c r="FN21" s="1420"/>
      <c r="FO21" s="1420"/>
      <c r="FP21" s="1420"/>
      <c r="FQ21" s="1420"/>
      <c r="FR21" s="1420"/>
      <c r="FS21" s="1420"/>
      <c r="FT21" s="1420"/>
      <c r="FU21" s="1420"/>
      <c r="FV21" s="1420"/>
      <c r="FW21" s="1420"/>
      <c r="FX21" s="1420"/>
      <c r="FY21" s="1420"/>
      <c r="FZ21" s="1420"/>
      <c r="GA21" s="1420"/>
      <c r="GB21" s="1420"/>
      <c r="GC21" s="1420"/>
      <c r="GD21" s="1420"/>
      <c r="GE21" s="1420"/>
      <c r="GF21" s="1420"/>
      <c r="GG21" s="1420"/>
      <c r="GH21" s="1420"/>
      <c r="GI21" s="1420"/>
      <c r="GJ21" s="1420"/>
      <c r="GK21" s="1420"/>
      <c r="GL21" s="1420"/>
      <c r="GM21" s="1420"/>
      <c r="GN21" s="1420"/>
      <c r="GO21" s="1420"/>
      <c r="GP21" s="1420"/>
      <c r="GQ21" s="1420"/>
      <c r="GR21" s="1420"/>
      <c r="GS21" s="1420"/>
      <c r="GT21" s="1420"/>
      <c r="GU21" s="1420"/>
      <c r="GV21" s="1420"/>
      <c r="GW21" s="1420"/>
      <c r="GX21" s="1420"/>
      <c r="GY21" s="1420"/>
      <c r="GZ21" s="1420"/>
      <c r="HA21" s="1420"/>
      <c r="HB21" s="1420"/>
      <c r="HC21" s="1420"/>
      <c r="HD21" s="1420"/>
      <c r="HE21" s="1420"/>
      <c r="HF21" s="1420"/>
      <c r="HG21" s="1420"/>
      <c r="HH21" s="1420"/>
      <c r="HI21" s="1420"/>
      <c r="HJ21" s="1420"/>
      <c r="HK21" s="1420"/>
      <c r="HL21" s="1420"/>
      <c r="HM21" s="1420"/>
      <c r="HN21" s="1420"/>
      <c r="HO21" s="1420"/>
      <c r="HP21" s="1420"/>
      <c r="HQ21" s="1420"/>
      <c r="HR21" s="1420"/>
      <c r="HS21" s="1420"/>
      <c r="HT21" s="1420"/>
      <c r="HU21" s="1420"/>
      <c r="HV21" s="1420"/>
      <c r="HW21" s="1420"/>
      <c r="HX21" s="1420"/>
      <c r="HY21" s="1420"/>
      <c r="HZ21" s="1420"/>
      <c r="IA21" s="1420"/>
      <c r="IB21" s="1420"/>
      <c r="IC21" s="1420"/>
      <c r="ID21" s="1420"/>
      <c r="IE21" s="1420"/>
      <c r="IF21" s="1420"/>
      <c r="IG21" s="1420"/>
      <c r="IH21" s="1420"/>
      <c r="II21" s="1420"/>
      <c r="IJ21" s="1420"/>
      <c r="IK21" s="1420"/>
      <c r="IL21" s="1420"/>
      <c r="IM21" s="1420"/>
      <c r="IN21" s="1420"/>
    </row>
    <row r="22" spans="1:248" s="1421" customFormat="1" ht="15" customHeight="1" x14ac:dyDescent="0.25">
      <c r="A22" s="1329">
        <v>44813</v>
      </c>
      <c r="B22" s="1047" t="s">
        <v>29</v>
      </c>
      <c r="C22" s="1384">
        <v>507058247</v>
      </c>
      <c r="D22" s="1039">
        <f t="shared" si="0"/>
        <v>44843</v>
      </c>
      <c r="E22" s="1040">
        <f t="shared" si="1"/>
        <v>6</v>
      </c>
      <c r="F22" s="1314">
        <v>507058247</v>
      </c>
      <c r="G22" s="1041">
        <v>44837</v>
      </c>
      <c r="H22" s="1358">
        <f t="shared" si="2"/>
        <v>24</v>
      </c>
      <c r="I22" s="1044">
        <f t="shared" si="3"/>
        <v>0</v>
      </c>
      <c r="J22" s="1045">
        <f t="shared" si="4"/>
        <v>2771918.4169333335</v>
      </c>
      <c r="K22" s="1044"/>
      <c r="L22" s="1044"/>
      <c r="M22" s="1368"/>
      <c r="N22" s="1314"/>
      <c r="O22" s="1416"/>
      <c r="P22" s="1414">
        <v>8.9099999999999999E-2</v>
      </c>
      <c r="Q22" s="1435">
        <v>25</v>
      </c>
      <c r="R22" s="1041">
        <v>44838</v>
      </c>
      <c r="S22" s="1045">
        <f t="shared" si="6"/>
        <v>3137422.9033125001</v>
      </c>
      <c r="T22" s="1046">
        <v>44837</v>
      </c>
      <c r="U22" s="1419"/>
      <c r="V22" s="1419"/>
      <c r="W22" s="1419"/>
      <c r="X22" s="1419"/>
      <c r="Y22" s="1419"/>
      <c r="Z22" s="1420"/>
      <c r="AA22" s="1420"/>
      <c r="AB22" s="1420"/>
      <c r="AC22" s="1420"/>
      <c r="AD22" s="1420"/>
      <c r="AE22" s="1420"/>
      <c r="AF22" s="1420"/>
      <c r="AG22" s="1420"/>
      <c r="AH22" s="1420"/>
      <c r="AI22" s="1420"/>
      <c r="AJ22" s="1420"/>
      <c r="AK22" s="1420"/>
      <c r="AL22" s="1420"/>
      <c r="AM22" s="1420"/>
      <c r="AN22" s="1420"/>
      <c r="AO22" s="1420"/>
      <c r="AP22" s="1420"/>
      <c r="AQ22" s="1420"/>
      <c r="AR22" s="1420"/>
      <c r="AS22" s="1420"/>
      <c r="AT22" s="1420"/>
      <c r="AU22" s="1420"/>
      <c r="AV22" s="1420"/>
      <c r="AW22" s="1420"/>
      <c r="AX22" s="1420"/>
      <c r="AY22" s="1420"/>
      <c r="AZ22" s="1420"/>
      <c r="BA22" s="1420"/>
      <c r="BB22" s="1420"/>
      <c r="BC22" s="1420"/>
      <c r="BD22" s="1420"/>
      <c r="BE22" s="1420"/>
      <c r="BF22" s="1420"/>
      <c r="BG22" s="1420"/>
      <c r="BH22" s="1420"/>
      <c r="BI22" s="1420"/>
      <c r="BJ22" s="1420"/>
      <c r="BK22" s="1420"/>
      <c r="BL22" s="1420"/>
      <c r="BM22" s="1420"/>
      <c r="BN22" s="1420"/>
      <c r="BO22" s="1420"/>
      <c r="BP22" s="1420"/>
      <c r="BQ22" s="1420"/>
      <c r="BR22" s="1420"/>
      <c r="BS22" s="1420"/>
      <c r="BT22" s="1420"/>
      <c r="BU22" s="1420"/>
      <c r="BV22" s="1420"/>
      <c r="BW22" s="1420"/>
      <c r="BX22" s="1420"/>
      <c r="BY22" s="1420"/>
      <c r="BZ22" s="1420"/>
      <c r="CA22" s="1420"/>
      <c r="CB22" s="1420"/>
      <c r="CC22" s="1420"/>
      <c r="CD22" s="1420"/>
      <c r="CE22" s="1420"/>
      <c r="CF22" s="1420"/>
      <c r="CG22" s="1420"/>
      <c r="CH22" s="1420"/>
      <c r="CI22" s="1420"/>
      <c r="CJ22" s="1420"/>
      <c r="CK22" s="1420"/>
      <c r="CL22" s="1420"/>
      <c r="CM22" s="1420"/>
      <c r="CN22" s="1420"/>
      <c r="CO22" s="1420"/>
      <c r="CP22" s="1420"/>
      <c r="CQ22" s="1420"/>
      <c r="CR22" s="1420"/>
      <c r="CS22" s="1420"/>
      <c r="CT22" s="1420"/>
      <c r="CU22" s="1420"/>
      <c r="CV22" s="1420"/>
      <c r="CW22" s="1420"/>
      <c r="CX22" s="1420"/>
      <c r="CY22" s="1420"/>
      <c r="CZ22" s="1420"/>
      <c r="DA22" s="1420"/>
      <c r="DB22" s="1420"/>
      <c r="DC22" s="1420"/>
      <c r="DD22" s="1420"/>
      <c r="DE22" s="1420"/>
      <c r="DF22" s="1420"/>
      <c r="DG22" s="1420"/>
      <c r="DH22" s="1420"/>
      <c r="DI22" s="1420"/>
      <c r="DJ22" s="1420"/>
      <c r="DK22" s="1420"/>
      <c r="DL22" s="1420"/>
      <c r="DM22" s="1420"/>
      <c r="DN22" s="1420"/>
      <c r="DO22" s="1420"/>
      <c r="DP22" s="1420"/>
      <c r="DQ22" s="1420"/>
      <c r="DR22" s="1420"/>
      <c r="DS22" s="1420"/>
      <c r="DT22" s="1420"/>
      <c r="DU22" s="1420"/>
      <c r="DV22" s="1420"/>
      <c r="DW22" s="1420"/>
      <c r="DX22" s="1420"/>
      <c r="DY22" s="1420"/>
      <c r="DZ22" s="1420"/>
      <c r="EA22" s="1420"/>
      <c r="EB22" s="1420"/>
      <c r="EC22" s="1420"/>
      <c r="ED22" s="1420"/>
      <c r="EE22" s="1420"/>
      <c r="EF22" s="1420"/>
      <c r="EG22" s="1420"/>
      <c r="EH22" s="1420"/>
      <c r="EI22" s="1420"/>
      <c r="EJ22" s="1420"/>
      <c r="EK22" s="1420"/>
      <c r="EL22" s="1420"/>
      <c r="EM22" s="1420"/>
      <c r="EN22" s="1420"/>
      <c r="EO22" s="1420"/>
      <c r="EP22" s="1420"/>
      <c r="EQ22" s="1420"/>
      <c r="ER22" s="1420"/>
      <c r="ES22" s="1420"/>
      <c r="ET22" s="1420"/>
      <c r="EU22" s="1420"/>
      <c r="EV22" s="1420"/>
      <c r="EW22" s="1420"/>
      <c r="EX22" s="1420"/>
      <c r="EY22" s="1420"/>
      <c r="EZ22" s="1420"/>
      <c r="FA22" s="1420"/>
      <c r="FB22" s="1420"/>
      <c r="FC22" s="1420"/>
      <c r="FD22" s="1420"/>
      <c r="FE22" s="1420"/>
      <c r="FF22" s="1420"/>
      <c r="FG22" s="1420"/>
      <c r="FH22" s="1420"/>
      <c r="FI22" s="1420"/>
      <c r="FJ22" s="1420"/>
      <c r="FK22" s="1420"/>
      <c r="FL22" s="1420"/>
      <c r="FM22" s="1420"/>
      <c r="FN22" s="1420"/>
      <c r="FO22" s="1420"/>
      <c r="FP22" s="1420"/>
      <c r="FQ22" s="1420"/>
      <c r="FR22" s="1420"/>
      <c r="FS22" s="1420"/>
      <c r="FT22" s="1420"/>
      <c r="FU22" s="1420"/>
      <c r="FV22" s="1420"/>
      <c r="FW22" s="1420"/>
      <c r="FX22" s="1420"/>
      <c r="FY22" s="1420"/>
      <c r="FZ22" s="1420"/>
      <c r="GA22" s="1420"/>
      <c r="GB22" s="1420"/>
      <c r="GC22" s="1420"/>
      <c r="GD22" s="1420"/>
      <c r="GE22" s="1420"/>
      <c r="GF22" s="1420"/>
      <c r="GG22" s="1420"/>
      <c r="GH22" s="1420"/>
      <c r="GI22" s="1420"/>
      <c r="GJ22" s="1420"/>
      <c r="GK22" s="1420"/>
      <c r="GL22" s="1420"/>
      <c r="GM22" s="1420"/>
      <c r="GN22" s="1420"/>
      <c r="GO22" s="1420"/>
      <c r="GP22" s="1420"/>
      <c r="GQ22" s="1420"/>
      <c r="GR22" s="1420"/>
      <c r="GS22" s="1420"/>
      <c r="GT22" s="1420"/>
      <c r="GU22" s="1420"/>
      <c r="GV22" s="1420"/>
      <c r="GW22" s="1420"/>
      <c r="GX22" s="1420"/>
      <c r="GY22" s="1420"/>
      <c r="GZ22" s="1420"/>
      <c r="HA22" s="1420"/>
      <c r="HB22" s="1420"/>
      <c r="HC22" s="1420"/>
      <c r="HD22" s="1420"/>
      <c r="HE22" s="1420"/>
      <c r="HF22" s="1420"/>
      <c r="HG22" s="1420"/>
      <c r="HH22" s="1420"/>
      <c r="HI22" s="1420"/>
      <c r="HJ22" s="1420"/>
      <c r="HK22" s="1420"/>
      <c r="HL22" s="1420"/>
      <c r="HM22" s="1420"/>
      <c r="HN22" s="1420"/>
      <c r="HO22" s="1420"/>
      <c r="HP22" s="1420"/>
      <c r="HQ22" s="1420"/>
      <c r="HR22" s="1420"/>
      <c r="HS22" s="1420"/>
      <c r="HT22" s="1420"/>
      <c r="HU22" s="1420"/>
      <c r="HV22" s="1420"/>
      <c r="HW22" s="1420"/>
      <c r="HX22" s="1420"/>
      <c r="HY22" s="1420"/>
      <c r="HZ22" s="1420"/>
      <c r="IA22" s="1420"/>
      <c r="IB22" s="1420"/>
      <c r="IC22" s="1420"/>
      <c r="ID22" s="1420"/>
      <c r="IE22" s="1420"/>
      <c r="IF22" s="1420"/>
      <c r="IG22" s="1420"/>
      <c r="IH22" s="1420"/>
      <c r="II22" s="1420"/>
      <c r="IJ22" s="1420"/>
      <c r="IK22" s="1420"/>
      <c r="IL22" s="1420"/>
      <c r="IM22" s="1420"/>
      <c r="IN22" s="1420"/>
    </row>
    <row r="23" spans="1:248" s="1421" customFormat="1" ht="15" customHeight="1" x14ac:dyDescent="0.25">
      <c r="A23" s="1329">
        <v>44816</v>
      </c>
      <c r="B23" s="1047" t="s">
        <v>50</v>
      </c>
      <c r="C23" s="1381">
        <v>516597448</v>
      </c>
      <c r="D23" s="1039">
        <f t="shared" si="0"/>
        <v>44846</v>
      </c>
      <c r="E23" s="1040">
        <f t="shared" si="1"/>
        <v>-5</v>
      </c>
      <c r="F23" s="1314">
        <v>516597448</v>
      </c>
      <c r="G23" s="1416">
        <v>44851</v>
      </c>
      <c r="H23" s="1358">
        <f t="shared" si="2"/>
        <v>35</v>
      </c>
      <c r="I23" s="1044">
        <f t="shared" si="3"/>
        <v>0</v>
      </c>
      <c r="J23" s="1045">
        <f t="shared" si="4"/>
        <v>4118429.6548888888</v>
      </c>
      <c r="K23" s="1414">
        <v>7.9799999999999996E-2</v>
      </c>
      <c r="L23" s="1044">
        <v>31</v>
      </c>
      <c r="M23" s="1368">
        <v>44846</v>
      </c>
      <c r="N23" s="1428">
        <f t="shared" ref="N23:N34" si="7">C23/360*L23*K23</f>
        <v>3549885.4635066665</v>
      </c>
      <c r="O23" s="1416">
        <v>44848</v>
      </c>
      <c r="P23" s="1414">
        <v>8.0399999999999999E-2</v>
      </c>
      <c r="Q23" s="1435">
        <v>5</v>
      </c>
      <c r="R23" s="1416">
        <v>44852</v>
      </c>
      <c r="S23" s="1045">
        <f t="shared" si="6"/>
        <v>576867.15026666666</v>
      </c>
      <c r="T23" s="1418">
        <v>44851</v>
      </c>
      <c r="U23" s="1419"/>
      <c r="V23" s="1419"/>
      <c r="W23" s="1419"/>
      <c r="X23" s="1419"/>
      <c r="Y23" s="1419"/>
      <c r="Z23" s="1420"/>
      <c r="AA23" s="1420"/>
      <c r="AB23" s="1420"/>
      <c r="AC23" s="1420"/>
      <c r="AD23" s="1420"/>
      <c r="AE23" s="1420"/>
      <c r="AF23" s="1420"/>
      <c r="AG23" s="1420"/>
      <c r="AH23" s="1420"/>
      <c r="AI23" s="1420"/>
      <c r="AJ23" s="1420"/>
      <c r="AK23" s="1420"/>
      <c r="AL23" s="1420"/>
      <c r="AM23" s="1420"/>
      <c r="AN23" s="1420"/>
      <c r="AO23" s="1420"/>
      <c r="AP23" s="1420"/>
      <c r="AQ23" s="1420"/>
      <c r="AR23" s="1420"/>
      <c r="AS23" s="1420"/>
      <c r="AT23" s="1420"/>
      <c r="AU23" s="1420"/>
      <c r="AV23" s="1420"/>
      <c r="AW23" s="1420"/>
      <c r="AX23" s="1420"/>
      <c r="AY23" s="1420"/>
      <c r="AZ23" s="1420"/>
      <c r="BA23" s="1420"/>
      <c r="BB23" s="1420"/>
      <c r="BC23" s="1420"/>
      <c r="BD23" s="1420"/>
      <c r="BE23" s="1420"/>
      <c r="BF23" s="1420"/>
      <c r="BG23" s="1420"/>
      <c r="BH23" s="1420"/>
      <c r="BI23" s="1420"/>
      <c r="BJ23" s="1420"/>
      <c r="BK23" s="1420"/>
      <c r="BL23" s="1420"/>
      <c r="BM23" s="1420"/>
      <c r="BN23" s="1420"/>
      <c r="BO23" s="1420"/>
      <c r="BP23" s="1420"/>
      <c r="BQ23" s="1420"/>
      <c r="BR23" s="1420"/>
      <c r="BS23" s="1420"/>
      <c r="BT23" s="1420"/>
      <c r="BU23" s="1420"/>
      <c r="BV23" s="1420"/>
      <c r="BW23" s="1420"/>
      <c r="BX23" s="1420"/>
      <c r="BY23" s="1420"/>
      <c r="BZ23" s="1420"/>
      <c r="CA23" s="1420"/>
      <c r="CB23" s="1420"/>
      <c r="CC23" s="1420"/>
      <c r="CD23" s="1420"/>
      <c r="CE23" s="1420"/>
      <c r="CF23" s="1420"/>
      <c r="CG23" s="1420"/>
      <c r="CH23" s="1420"/>
      <c r="CI23" s="1420"/>
      <c r="CJ23" s="1420"/>
      <c r="CK23" s="1420"/>
      <c r="CL23" s="1420"/>
      <c r="CM23" s="1420"/>
      <c r="CN23" s="1420"/>
      <c r="CO23" s="1420"/>
      <c r="CP23" s="1420"/>
      <c r="CQ23" s="1420"/>
      <c r="CR23" s="1420"/>
      <c r="CS23" s="1420"/>
      <c r="CT23" s="1420"/>
      <c r="CU23" s="1420"/>
      <c r="CV23" s="1420"/>
      <c r="CW23" s="1420"/>
      <c r="CX23" s="1420"/>
      <c r="CY23" s="1420"/>
      <c r="CZ23" s="1420"/>
      <c r="DA23" s="1420"/>
      <c r="DB23" s="1420"/>
      <c r="DC23" s="1420"/>
      <c r="DD23" s="1420"/>
      <c r="DE23" s="1420"/>
      <c r="DF23" s="1420"/>
      <c r="DG23" s="1420"/>
      <c r="DH23" s="1420"/>
      <c r="DI23" s="1420"/>
      <c r="DJ23" s="1420"/>
      <c r="DK23" s="1420"/>
      <c r="DL23" s="1420"/>
      <c r="DM23" s="1420"/>
      <c r="DN23" s="1420"/>
      <c r="DO23" s="1420"/>
      <c r="DP23" s="1420"/>
      <c r="DQ23" s="1420"/>
      <c r="DR23" s="1420"/>
      <c r="DS23" s="1420"/>
      <c r="DT23" s="1420"/>
      <c r="DU23" s="1420"/>
      <c r="DV23" s="1420"/>
      <c r="DW23" s="1420"/>
      <c r="DX23" s="1420"/>
      <c r="DY23" s="1420"/>
      <c r="DZ23" s="1420"/>
      <c r="EA23" s="1420"/>
      <c r="EB23" s="1420"/>
      <c r="EC23" s="1420"/>
      <c r="ED23" s="1420"/>
      <c r="EE23" s="1420"/>
      <c r="EF23" s="1420"/>
      <c r="EG23" s="1420"/>
      <c r="EH23" s="1420"/>
      <c r="EI23" s="1420"/>
      <c r="EJ23" s="1420"/>
      <c r="EK23" s="1420"/>
      <c r="EL23" s="1420"/>
      <c r="EM23" s="1420"/>
      <c r="EN23" s="1420"/>
      <c r="EO23" s="1420"/>
      <c r="EP23" s="1420"/>
      <c r="EQ23" s="1420"/>
      <c r="ER23" s="1420"/>
      <c r="ES23" s="1420"/>
      <c r="ET23" s="1420"/>
      <c r="EU23" s="1420"/>
      <c r="EV23" s="1420"/>
      <c r="EW23" s="1420"/>
      <c r="EX23" s="1420"/>
      <c r="EY23" s="1420"/>
      <c r="EZ23" s="1420"/>
      <c r="FA23" s="1420"/>
      <c r="FB23" s="1420"/>
      <c r="FC23" s="1420"/>
      <c r="FD23" s="1420"/>
      <c r="FE23" s="1420"/>
      <c r="FF23" s="1420"/>
      <c r="FG23" s="1420"/>
      <c r="FH23" s="1420"/>
      <c r="FI23" s="1420"/>
      <c r="FJ23" s="1420"/>
      <c r="FK23" s="1420"/>
      <c r="FL23" s="1420"/>
      <c r="FM23" s="1420"/>
      <c r="FN23" s="1420"/>
      <c r="FO23" s="1420"/>
      <c r="FP23" s="1420"/>
      <c r="FQ23" s="1420"/>
      <c r="FR23" s="1420"/>
      <c r="FS23" s="1420"/>
      <c r="FT23" s="1420"/>
      <c r="FU23" s="1420"/>
      <c r="FV23" s="1420"/>
      <c r="FW23" s="1420"/>
      <c r="FX23" s="1420"/>
      <c r="FY23" s="1420"/>
      <c r="FZ23" s="1420"/>
      <c r="GA23" s="1420"/>
      <c r="GB23" s="1420"/>
      <c r="GC23" s="1420"/>
      <c r="GD23" s="1420"/>
      <c r="GE23" s="1420"/>
      <c r="GF23" s="1420"/>
      <c r="GG23" s="1420"/>
      <c r="GH23" s="1420"/>
      <c r="GI23" s="1420"/>
      <c r="GJ23" s="1420"/>
      <c r="GK23" s="1420"/>
      <c r="GL23" s="1420"/>
      <c r="GM23" s="1420"/>
      <c r="GN23" s="1420"/>
      <c r="GO23" s="1420"/>
      <c r="GP23" s="1420"/>
      <c r="GQ23" s="1420"/>
      <c r="GR23" s="1420"/>
      <c r="GS23" s="1420"/>
      <c r="GT23" s="1420"/>
      <c r="GU23" s="1420"/>
      <c r="GV23" s="1420"/>
      <c r="GW23" s="1420"/>
      <c r="GX23" s="1420"/>
      <c r="GY23" s="1420"/>
      <c r="GZ23" s="1420"/>
      <c r="HA23" s="1420"/>
      <c r="HB23" s="1420"/>
      <c r="HC23" s="1420"/>
      <c r="HD23" s="1420"/>
      <c r="HE23" s="1420"/>
      <c r="HF23" s="1420"/>
      <c r="HG23" s="1420"/>
      <c r="HH23" s="1420"/>
      <c r="HI23" s="1420"/>
      <c r="HJ23" s="1420"/>
      <c r="HK23" s="1420"/>
      <c r="HL23" s="1420"/>
      <c r="HM23" s="1420"/>
      <c r="HN23" s="1420"/>
      <c r="HO23" s="1420"/>
      <c r="HP23" s="1420"/>
      <c r="HQ23" s="1420"/>
      <c r="HR23" s="1420"/>
      <c r="HS23" s="1420"/>
      <c r="HT23" s="1420"/>
      <c r="HU23" s="1420"/>
      <c r="HV23" s="1420"/>
      <c r="HW23" s="1420"/>
      <c r="HX23" s="1420"/>
      <c r="HY23" s="1420"/>
      <c r="HZ23" s="1420"/>
      <c r="IA23" s="1420"/>
      <c r="IB23" s="1420"/>
      <c r="IC23" s="1420"/>
      <c r="ID23" s="1420"/>
      <c r="IE23" s="1420"/>
      <c r="IF23" s="1420"/>
      <c r="IG23" s="1420"/>
      <c r="IH23" s="1420"/>
      <c r="II23" s="1420"/>
      <c r="IJ23" s="1420"/>
      <c r="IK23" s="1420"/>
      <c r="IL23" s="1420"/>
      <c r="IM23" s="1420"/>
      <c r="IN23" s="1420"/>
    </row>
    <row r="24" spans="1:248" s="1421" customFormat="1" ht="15" customHeight="1" x14ac:dyDescent="0.25">
      <c r="A24" s="1329">
        <v>44816</v>
      </c>
      <c r="B24" s="1047" t="s">
        <v>38</v>
      </c>
      <c r="C24" s="1381">
        <v>828789873</v>
      </c>
      <c r="D24" s="1039">
        <f t="shared" si="0"/>
        <v>44846</v>
      </c>
      <c r="E24" s="1040">
        <f t="shared" si="1"/>
        <v>-5</v>
      </c>
      <c r="F24" s="1314">
        <v>828789873</v>
      </c>
      <c r="G24" s="1416">
        <v>44851</v>
      </c>
      <c r="H24" s="1358">
        <f t="shared" si="2"/>
        <v>35</v>
      </c>
      <c r="I24" s="1044">
        <f t="shared" si="3"/>
        <v>0</v>
      </c>
      <c r="J24" s="1045">
        <f t="shared" si="4"/>
        <v>6607297.0430833343</v>
      </c>
      <c r="K24" s="1414">
        <v>7.9799999999999996E-2</v>
      </c>
      <c r="L24" s="1044">
        <v>31</v>
      </c>
      <c r="M24" s="1368">
        <v>44846</v>
      </c>
      <c r="N24" s="1428">
        <f t="shared" si="7"/>
        <v>5695167.7439649999</v>
      </c>
      <c r="O24" s="1416">
        <v>44848</v>
      </c>
      <c r="P24" s="1414">
        <v>8.0399999999999999E-2</v>
      </c>
      <c r="Q24" s="1435">
        <v>5</v>
      </c>
      <c r="R24" s="1416">
        <v>44852</v>
      </c>
      <c r="S24" s="1045">
        <f t="shared" si="6"/>
        <v>925482.02485000005</v>
      </c>
      <c r="T24" s="1418">
        <v>44851</v>
      </c>
      <c r="U24" s="1419"/>
      <c r="V24" s="1419"/>
      <c r="W24" s="1419"/>
      <c r="X24" s="1419"/>
      <c r="Y24" s="1419"/>
      <c r="Z24" s="1420"/>
      <c r="AA24" s="1420"/>
      <c r="AB24" s="1420"/>
      <c r="AC24" s="1420"/>
      <c r="AD24" s="1420"/>
      <c r="AE24" s="1420"/>
      <c r="AF24" s="1420"/>
      <c r="AG24" s="1420"/>
      <c r="AH24" s="1420"/>
      <c r="AI24" s="1420"/>
      <c r="AJ24" s="1420"/>
      <c r="AK24" s="1420"/>
      <c r="AL24" s="1420"/>
      <c r="AM24" s="1420"/>
      <c r="AN24" s="1420"/>
      <c r="AO24" s="1420"/>
      <c r="AP24" s="1420"/>
      <c r="AQ24" s="1420"/>
      <c r="AR24" s="1420"/>
      <c r="AS24" s="1420"/>
      <c r="AT24" s="1420"/>
      <c r="AU24" s="1420"/>
      <c r="AV24" s="1420"/>
      <c r="AW24" s="1420"/>
      <c r="AX24" s="1420"/>
      <c r="AY24" s="1420"/>
      <c r="AZ24" s="1420"/>
      <c r="BA24" s="1420"/>
      <c r="BB24" s="1420"/>
      <c r="BC24" s="1420"/>
      <c r="BD24" s="1420"/>
      <c r="BE24" s="1420"/>
      <c r="BF24" s="1420"/>
      <c r="BG24" s="1420"/>
      <c r="BH24" s="1420"/>
      <c r="BI24" s="1420"/>
      <c r="BJ24" s="1420"/>
      <c r="BK24" s="1420"/>
      <c r="BL24" s="1420"/>
      <c r="BM24" s="1420"/>
      <c r="BN24" s="1420"/>
      <c r="BO24" s="1420"/>
      <c r="BP24" s="1420"/>
      <c r="BQ24" s="1420"/>
      <c r="BR24" s="1420"/>
      <c r="BS24" s="1420"/>
      <c r="BT24" s="1420"/>
      <c r="BU24" s="1420"/>
      <c r="BV24" s="1420"/>
      <c r="BW24" s="1420"/>
      <c r="BX24" s="1420"/>
      <c r="BY24" s="1420"/>
      <c r="BZ24" s="1420"/>
      <c r="CA24" s="1420"/>
      <c r="CB24" s="1420"/>
      <c r="CC24" s="1420"/>
      <c r="CD24" s="1420"/>
      <c r="CE24" s="1420"/>
      <c r="CF24" s="1420"/>
      <c r="CG24" s="1420"/>
      <c r="CH24" s="1420"/>
      <c r="CI24" s="1420"/>
      <c r="CJ24" s="1420"/>
      <c r="CK24" s="1420"/>
      <c r="CL24" s="1420"/>
      <c r="CM24" s="1420"/>
      <c r="CN24" s="1420"/>
      <c r="CO24" s="1420"/>
      <c r="CP24" s="1420"/>
      <c r="CQ24" s="1420"/>
      <c r="CR24" s="1420"/>
      <c r="CS24" s="1420"/>
      <c r="CT24" s="1420"/>
      <c r="CU24" s="1420"/>
      <c r="CV24" s="1420"/>
      <c r="CW24" s="1420"/>
      <c r="CX24" s="1420"/>
      <c r="CY24" s="1420"/>
      <c r="CZ24" s="1420"/>
      <c r="DA24" s="1420"/>
      <c r="DB24" s="1420"/>
      <c r="DC24" s="1420"/>
      <c r="DD24" s="1420"/>
      <c r="DE24" s="1420"/>
      <c r="DF24" s="1420"/>
      <c r="DG24" s="1420"/>
      <c r="DH24" s="1420"/>
      <c r="DI24" s="1420"/>
      <c r="DJ24" s="1420"/>
      <c r="DK24" s="1420"/>
      <c r="DL24" s="1420"/>
      <c r="DM24" s="1420"/>
      <c r="DN24" s="1420"/>
      <c r="DO24" s="1420"/>
      <c r="DP24" s="1420"/>
      <c r="DQ24" s="1420"/>
      <c r="DR24" s="1420"/>
      <c r="DS24" s="1420"/>
      <c r="DT24" s="1420"/>
      <c r="DU24" s="1420"/>
      <c r="DV24" s="1420"/>
      <c r="DW24" s="1420"/>
      <c r="DX24" s="1420"/>
      <c r="DY24" s="1420"/>
      <c r="DZ24" s="1420"/>
      <c r="EA24" s="1420"/>
      <c r="EB24" s="1420"/>
      <c r="EC24" s="1420"/>
      <c r="ED24" s="1420"/>
      <c r="EE24" s="1420"/>
      <c r="EF24" s="1420"/>
      <c r="EG24" s="1420"/>
      <c r="EH24" s="1420"/>
      <c r="EI24" s="1420"/>
      <c r="EJ24" s="1420"/>
      <c r="EK24" s="1420"/>
      <c r="EL24" s="1420"/>
      <c r="EM24" s="1420"/>
      <c r="EN24" s="1420"/>
      <c r="EO24" s="1420"/>
      <c r="EP24" s="1420"/>
      <c r="EQ24" s="1420"/>
      <c r="ER24" s="1420"/>
      <c r="ES24" s="1420"/>
      <c r="ET24" s="1420"/>
      <c r="EU24" s="1420"/>
      <c r="EV24" s="1420"/>
      <c r="EW24" s="1420"/>
      <c r="EX24" s="1420"/>
      <c r="EY24" s="1420"/>
      <c r="EZ24" s="1420"/>
      <c r="FA24" s="1420"/>
      <c r="FB24" s="1420"/>
      <c r="FC24" s="1420"/>
      <c r="FD24" s="1420"/>
      <c r="FE24" s="1420"/>
      <c r="FF24" s="1420"/>
      <c r="FG24" s="1420"/>
      <c r="FH24" s="1420"/>
      <c r="FI24" s="1420"/>
      <c r="FJ24" s="1420"/>
      <c r="FK24" s="1420"/>
      <c r="FL24" s="1420"/>
      <c r="FM24" s="1420"/>
      <c r="FN24" s="1420"/>
      <c r="FO24" s="1420"/>
      <c r="FP24" s="1420"/>
      <c r="FQ24" s="1420"/>
      <c r="FR24" s="1420"/>
      <c r="FS24" s="1420"/>
      <c r="FT24" s="1420"/>
      <c r="FU24" s="1420"/>
      <c r="FV24" s="1420"/>
      <c r="FW24" s="1420"/>
      <c r="FX24" s="1420"/>
      <c r="FY24" s="1420"/>
      <c r="FZ24" s="1420"/>
      <c r="GA24" s="1420"/>
      <c r="GB24" s="1420"/>
      <c r="GC24" s="1420"/>
      <c r="GD24" s="1420"/>
      <c r="GE24" s="1420"/>
      <c r="GF24" s="1420"/>
      <c r="GG24" s="1420"/>
      <c r="GH24" s="1420"/>
      <c r="GI24" s="1420"/>
      <c r="GJ24" s="1420"/>
      <c r="GK24" s="1420"/>
      <c r="GL24" s="1420"/>
      <c r="GM24" s="1420"/>
      <c r="GN24" s="1420"/>
      <c r="GO24" s="1420"/>
      <c r="GP24" s="1420"/>
      <c r="GQ24" s="1420"/>
      <c r="GR24" s="1420"/>
      <c r="GS24" s="1420"/>
      <c r="GT24" s="1420"/>
      <c r="GU24" s="1420"/>
      <c r="GV24" s="1420"/>
      <c r="GW24" s="1420"/>
      <c r="GX24" s="1420"/>
      <c r="GY24" s="1420"/>
      <c r="GZ24" s="1420"/>
      <c r="HA24" s="1420"/>
      <c r="HB24" s="1420"/>
      <c r="HC24" s="1420"/>
      <c r="HD24" s="1420"/>
      <c r="HE24" s="1420"/>
      <c r="HF24" s="1420"/>
      <c r="HG24" s="1420"/>
      <c r="HH24" s="1420"/>
      <c r="HI24" s="1420"/>
      <c r="HJ24" s="1420"/>
      <c r="HK24" s="1420"/>
      <c r="HL24" s="1420"/>
      <c r="HM24" s="1420"/>
      <c r="HN24" s="1420"/>
      <c r="HO24" s="1420"/>
      <c r="HP24" s="1420"/>
      <c r="HQ24" s="1420"/>
      <c r="HR24" s="1420"/>
      <c r="HS24" s="1420"/>
      <c r="HT24" s="1420"/>
      <c r="HU24" s="1420"/>
      <c r="HV24" s="1420"/>
      <c r="HW24" s="1420"/>
      <c r="HX24" s="1420"/>
      <c r="HY24" s="1420"/>
      <c r="HZ24" s="1420"/>
      <c r="IA24" s="1420"/>
      <c r="IB24" s="1420"/>
      <c r="IC24" s="1420"/>
      <c r="ID24" s="1420"/>
      <c r="IE24" s="1420"/>
      <c r="IF24" s="1420"/>
      <c r="IG24" s="1420"/>
      <c r="IH24" s="1420"/>
      <c r="II24" s="1420"/>
      <c r="IJ24" s="1420"/>
      <c r="IK24" s="1420"/>
      <c r="IL24" s="1420"/>
      <c r="IM24" s="1420"/>
      <c r="IN24" s="1420"/>
    </row>
    <row r="25" spans="1:248" s="1421" customFormat="1" ht="15" customHeight="1" x14ac:dyDescent="0.25">
      <c r="A25" s="1329">
        <v>44818</v>
      </c>
      <c r="B25" s="1047" t="s">
        <v>50</v>
      </c>
      <c r="C25" s="1381">
        <v>1418736802</v>
      </c>
      <c r="D25" s="1039">
        <f t="shared" si="0"/>
        <v>44848</v>
      </c>
      <c r="E25" s="1040">
        <f t="shared" si="1"/>
        <v>-3</v>
      </c>
      <c r="F25" s="1314">
        <v>1418736802</v>
      </c>
      <c r="G25" s="1416">
        <v>44851</v>
      </c>
      <c r="H25" s="1358">
        <f t="shared" si="2"/>
        <v>33</v>
      </c>
      <c r="I25" s="1044">
        <f t="shared" si="3"/>
        <v>0</v>
      </c>
      <c r="J25" s="1045">
        <f t="shared" si="4"/>
        <v>10664171.628366668</v>
      </c>
      <c r="K25" s="1414">
        <v>7.9699999999999993E-2</v>
      </c>
      <c r="L25" s="1044">
        <v>31</v>
      </c>
      <c r="M25" s="1368">
        <v>44848</v>
      </c>
      <c r="N25" s="1428">
        <f t="shared" si="7"/>
        <v>9736869.490837222</v>
      </c>
      <c r="O25" s="1416">
        <v>44848</v>
      </c>
      <c r="P25" s="1414">
        <v>8.0399999999999999E-2</v>
      </c>
      <c r="Q25" s="1435">
        <v>3</v>
      </c>
      <c r="R25" s="1416">
        <v>44852</v>
      </c>
      <c r="S25" s="1045">
        <f t="shared" si="6"/>
        <v>950553.65734000003</v>
      </c>
      <c r="T25" s="1418">
        <v>44851</v>
      </c>
      <c r="U25" s="1419"/>
      <c r="V25" s="1419"/>
      <c r="W25" s="1419"/>
      <c r="X25" s="1419"/>
      <c r="Y25" s="1419"/>
      <c r="Z25" s="1420"/>
      <c r="AA25" s="1420"/>
      <c r="AB25" s="1420"/>
      <c r="AC25" s="1420"/>
      <c r="AD25" s="1420"/>
      <c r="AE25" s="1420"/>
      <c r="AF25" s="1420"/>
      <c r="AG25" s="1420"/>
      <c r="AH25" s="1420"/>
      <c r="AI25" s="1420"/>
      <c r="AJ25" s="1420"/>
      <c r="AK25" s="1420"/>
      <c r="AL25" s="1420"/>
      <c r="AM25" s="1420"/>
      <c r="AN25" s="1420"/>
      <c r="AO25" s="1420"/>
      <c r="AP25" s="1420"/>
      <c r="AQ25" s="1420"/>
      <c r="AR25" s="1420"/>
      <c r="AS25" s="1420"/>
      <c r="AT25" s="1420"/>
      <c r="AU25" s="1420"/>
      <c r="AV25" s="1420"/>
      <c r="AW25" s="1420"/>
      <c r="AX25" s="1420"/>
      <c r="AY25" s="1420"/>
      <c r="AZ25" s="1420"/>
      <c r="BA25" s="1420"/>
      <c r="BB25" s="1420"/>
      <c r="BC25" s="1420"/>
      <c r="BD25" s="1420"/>
      <c r="BE25" s="1420"/>
      <c r="BF25" s="1420"/>
      <c r="BG25" s="1420"/>
      <c r="BH25" s="1420"/>
      <c r="BI25" s="1420"/>
      <c r="BJ25" s="1420"/>
      <c r="BK25" s="1420"/>
      <c r="BL25" s="1420"/>
      <c r="BM25" s="1420"/>
      <c r="BN25" s="1420"/>
      <c r="BO25" s="1420"/>
      <c r="BP25" s="1420"/>
      <c r="BQ25" s="1420"/>
      <c r="BR25" s="1420"/>
      <c r="BS25" s="1420"/>
      <c r="BT25" s="1420"/>
      <c r="BU25" s="1420"/>
      <c r="BV25" s="1420"/>
      <c r="BW25" s="1420"/>
      <c r="BX25" s="1420"/>
      <c r="BY25" s="1420"/>
      <c r="BZ25" s="1420"/>
      <c r="CA25" s="1420"/>
      <c r="CB25" s="1420"/>
      <c r="CC25" s="1420"/>
      <c r="CD25" s="1420"/>
      <c r="CE25" s="1420"/>
      <c r="CF25" s="1420"/>
      <c r="CG25" s="1420"/>
      <c r="CH25" s="1420"/>
      <c r="CI25" s="1420"/>
      <c r="CJ25" s="1420"/>
      <c r="CK25" s="1420"/>
      <c r="CL25" s="1420"/>
      <c r="CM25" s="1420"/>
      <c r="CN25" s="1420"/>
      <c r="CO25" s="1420"/>
      <c r="CP25" s="1420"/>
      <c r="CQ25" s="1420"/>
      <c r="CR25" s="1420"/>
      <c r="CS25" s="1420"/>
      <c r="CT25" s="1420"/>
      <c r="CU25" s="1420"/>
      <c r="CV25" s="1420"/>
      <c r="CW25" s="1420"/>
      <c r="CX25" s="1420"/>
      <c r="CY25" s="1420"/>
      <c r="CZ25" s="1420"/>
      <c r="DA25" s="1420"/>
      <c r="DB25" s="1420"/>
      <c r="DC25" s="1420"/>
      <c r="DD25" s="1420"/>
      <c r="DE25" s="1420"/>
      <c r="DF25" s="1420"/>
      <c r="DG25" s="1420"/>
      <c r="DH25" s="1420"/>
      <c r="DI25" s="1420"/>
      <c r="DJ25" s="1420"/>
      <c r="DK25" s="1420"/>
      <c r="DL25" s="1420"/>
      <c r="DM25" s="1420"/>
      <c r="DN25" s="1420"/>
      <c r="DO25" s="1420"/>
      <c r="DP25" s="1420"/>
      <c r="DQ25" s="1420"/>
      <c r="DR25" s="1420"/>
      <c r="DS25" s="1420"/>
      <c r="DT25" s="1420"/>
      <c r="DU25" s="1420"/>
      <c r="DV25" s="1420"/>
      <c r="DW25" s="1420"/>
      <c r="DX25" s="1420"/>
      <c r="DY25" s="1420"/>
      <c r="DZ25" s="1420"/>
      <c r="EA25" s="1420"/>
      <c r="EB25" s="1420"/>
      <c r="EC25" s="1420"/>
      <c r="ED25" s="1420"/>
      <c r="EE25" s="1420"/>
      <c r="EF25" s="1420"/>
      <c r="EG25" s="1420"/>
      <c r="EH25" s="1420"/>
      <c r="EI25" s="1420"/>
      <c r="EJ25" s="1420"/>
      <c r="EK25" s="1420"/>
      <c r="EL25" s="1420"/>
      <c r="EM25" s="1420"/>
      <c r="EN25" s="1420"/>
      <c r="EO25" s="1420"/>
      <c r="EP25" s="1420"/>
      <c r="EQ25" s="1420"/>
      <c r="ER25" s="1420"/>
      <c r="ES25" s="1420"/>
      <c r="ET25" s="1420"/>
      <c r="EU25" s="1420"/>
      <c r="EV25" s="1420"/>
      <c r="EW25" s="1420"/>
      <c r="EX25" s="1420"/>
      <c r="EY25" s="1420"/>
      <c r="EZ25" s="1420"/>
      <c r="FA25" s="1420"/>
      <c r="FB25" s="1420"/>
      <c r="FC25" s="1420"/>
      <c r="FD25" s="1420"/>
      <c r="FE25" s="1420"/>
      <c r="FF25" s="1420"/>
      <c r="FG25" s="1420"/>
      <c r="FH25" s="1420"/>
      <c r="FI25" s="1420"/>
      <c r="FJ25" s="1420"/>
      <c r="FK25" s="1420"/>
      <c r="FL25" s="1420"/>
      <c r="FM25" s="1420"/>
      <c r="FN25" s="1420"/>
      <c r="FO25" s="1420"/>
      <c r="FP25" s="1420"/>
      <c r="FQ25" s="1420"/>
      <c r="FR25" s="1420"/>
      <c r="FS25" s="1420"/>
      <c r="FT25" s="1420"/>
      <c r="FU25" s="1420"/>
      <c r="FV25" s="1420"/>
      <c r="FW25" s="1420"/>
      <c r="FX25" s="1420"/>
      <c r="FY25" s="1420"/>
      <c r="FZ25" s="1420"/>
      <c r="GA25" s="1420"/>
      <c r="GB25" s="1420"/>
      <c r="GC25" s="1420"/>
      <c r="GD25" s="1420"/>
      <c r="GE25" s="1420"/>
      <c r="GF25" s="1420"/>
      <c r="GG25" s="1420"/>
      <c r="GH25" s="1420"/>
      <c r="GI25" s="1420"/>
      <c r="GJ25" s="1420"/>
      <c r="GK25" s="1420"/>
      <c r="GL25" s="1420"/>
      <c r="GM25" s="1420"/>
      <c r="GN25" s="1420"/>
      <c r="GO25" s="1420"/>
      <c r="GP25" s="1420"/>
      <c r="GQ25" s="1420"/>
      <c r="GR25" s="1420"/>
      <c r="GS25" s="1420"/>
      <c r="GT25" s="1420"/>
      <c r="GU25" s="1420"/>
      <c r="GV25" s="1420"/>
      <c r="GW25" s="1420"/>
      <c r="GX25" s="1420"/>
      <c r="GY25" s="1420"/>
      <c r="GZ25" s="1420"/>
      <c r="HA25" s="1420"/>
      <c r="HB25" s="1420"/>
      <c r="HC25" s="1420"/>
      <c r="HD25" s="1420"/>
      <c r="HE25" s="1420"/>
      <c r="HF25" s="1420"/>
      <c r="HG25" s="1420"/>
      <c r="HH25" s="1420"/>
      <c r="HI25" s="1420"/>
      <c r="HJ25" s="1420"/>
      <c r="HK25" s="1420"/>
      <c r="HL25" s="1420"/>
      <c r="HM25" s="1420"/>
      <c r="HN25" s="1420"/>
      <c r="HO25" s="1420"/>
      <c r="HP25" s="1420"/>
      <c r="HQ25" s="1420"/>
      <c r="HR25" s="1420"/>
      <c r="HS25" s="1420"/>
      <c r="HT25" s="1420"/>
      <c r="HU25" s="1420"/>
      <c r="HV25" s="1420"/>
      <c r="HW25" s="1420"/>
      <c r="HX25" s="1420"/>
      <c r="HY25" s="1420"/>
      <c r="HZ25" s="1420"/>
      <c r="IA25" s="1420"/>
      <c r="IB25" s="1420"/>
      <c r="IC25" s="1420"/>
      <c r="ID25" s="1420"/>
      <c r="IE25" s="1420"/>
      <c r="IF25" s="1420"/>
      <c r="IG25" s="1420"/>
      <c r="IH25" s="1420"/>
      <c r="II25" s="1420"/>
      <c r="IJ25" s="1420"/>
      <c r="IK25" s="1420"/>
      <c r="IL25" s="1420"/>
      <c r="IM25" s="1420"/>
      <c r="IN25" s="1420"/>
    </row>
    <row r="26" spans="1:248" s="1421" customFormat="1" ht="15" customHeight="1" x14ac:dyDescent="0.25">
      <c r="A26" s="1329">
        <v>44818</v>
      </c>
      <c r="B26" s="1047" t="s">
        <v>38</v>
      </c>
      <c r="C26" s="1381">
        <v>2193925538</v>
      </c>
      <c r="D26" s="1039">
        <f t="shared" si="0"/>
        <v>44848</v>
      </c>
      <c r="E26" s="1040">
        <f t="shared" si="1"/>
        <v>-3</v>
      </c>
      <c r="F26" s="1314">
        <v>2193925538</v>
      </c>
      <c r="G26" s="1416">
        <v>44851</v>
      </c>
      <c r="H26" s="1358">
        <f t="shared" si="2"/>
        <v>33</v>
      </c>
      <c r="I26" s="1044">
        <f t="shared" si="3"/>
        <v>0</v>
      </c>
      <c r="J26" s="1045">
        <f t="shared" si="4"/>
        <v>16491006.960633336</v>
      </c>
      <c r="K26" s="1414">
        <v>7.9699999999999993E-2</v>
      </c>
      <c r="L26" s="1044">
        <v>31</v>
      </c>
      <c r="M26" s="1368">
        <v>44848</v>
      </c>
      <c r="N26" s="1428">
        <f t="shared" si="7"/>
        <v>15057032.85204611</v>
      </c>
      <c r="O26" s="1416">
        <v>44848</v>
      </c>
      <c r="P26" s="1414">
        <v>8.0399999999999999E-2</v>
      </c>
      <c r="Q26" s="1435">
        <v>3</v>
      </c>
      <c r="R26" s="1416">
        <v>44852</v>
      </c>
      <c r="S26" s="1045">
        <f t="shared" si="6"/>
        <v>1469930.1104599999</v>
      </c>
      <c r="T26" s="1418">
        <v>44851</v>
      </c>
      <c r="U26" s="1419"/>
      <c r="V26" s="1419"/>
      <c r="W26" s="1419"/>
      <c r="X26" s="1419"/>
      <c r="Y26" s="1419"/>
      <c r="Z26" s="1420"/>
      <c r="AA26" s="1420"/>
      <c r="AB26" s="1420"/>
      <c r="AC26" s="1420"/>
      <c r="AD26" s="1420"/>
      <c r="AE26" s="1420"/>
      <c r="AF26" s="1420"/>
      <c r="AG26" s="1420"/>
      <c r="AH26" s="1420"/>
      <c r="AI26" s="1420"/>
      <c r="AJ26" s="1420"/>
      <c r="AK26" s="1420"/>
      <c r="AL26" s="1420"/>
      <c r="AM26" s="1420"/>
      <c r="AN26" s="1420"/>
      <c r="AO26" s="1420"/>
      <c r="AP26" s="1420"/>
      <c r="AQ26" s="1420"/>
      <c r="AR26" s="1420"/>
      <c r="AS26" s="1420"/>
      <c r="AT26" s="1420"/>
      <c r="AU26" s="1420"/>
      <c r="AV26" s="1420"/>
      <c r="AW26" s="1420"/>
      <c r="AX26" s="1420"/>
      <c r="AY26" s="1420"/>
      <c r="AZ26" s="1420"/>
      <c r="BA26" s="1420"/>
      <c r="BB26" s="1420"/>
      <c r="BC26" s="1420"/>
      <c r="BD26" s="1420"/>
      <c r="BE26" s="1420"/>
      <c r="BF26" s="1420"/>
      <c r="BG26" s="1420"/>
      <c r="BH26" s="1420"/>
      <c r="BI26" s="1420"/>
      <c r="BJ26" s="1420"/>
      <c r="BK26" s="1420"/>
      <c r="BL26" s="1420"/>
      <c r="BM26" s="1420"/>
      <c r="BN26" s="1420"/>
      <c r="BO26" s="1420"/>
      <c r="BP26" s="1420"/>
      <c r="BQ26" s="1420"/>
      <c r="BR26" s="1420"/>
      <c r="BS26" s="1420"/>
      <c r="BT26" s="1420"/>
      <c r="BU26" s="1420"/>
      <c r="BV26" s="1420"/>
      <c r="BW26" s="1420"/>
      <c r="BX26" s="1420"/>
      <c r="BY26" s="1420"/>
      <c r="BZ26" s="1420"/>
      <c r="CA26" s="1420"/>
      <c r="CB26" s="1420"/>
      <c r="CC26" s="1420"/>
      <c r="CD26" s="1420"/>
      <c r="CE26" s="1420"/>
      <c r="CF26" s="1420"/>
      <c r="CG26" s="1420"/>
      <c r="CH26" s="1420"/>
      <c r="CI26" s="1420"/>
      <c r="CJ26" s="1420"/>
      <c r="CK26" s="1420"/>
      <c r="CL26" s="1420"/>
      <c r="CM26" s="1420"/>
      <c r="CN26" s="1420"/>
      <c r="CO26" s="1420"/>
      <c r="CP26" s="1420"/>
      <c r="CQ26" s="1420"/>
      <c r="CR26" s="1420"/>
      <c r="CS26" s="1420"/>
      <c r="CT26" s="1420"/>
      <c r="CU26" s="1420"/>
      <c r="CV26" s="1420"/>
      <c r="CW26" s="1420"/>
      <c r="CX26" s="1420"/>
      <c r="CY26" s="1420"/>
      <c r="CZ26" s="1420"/>
      <c r="DA26" s="1420"/>
      <c r="DB26" s="1420"/>
      <c r="DC26" s="1420"/>
      <c r="DD26" s="1420"/>
      <c r="DE26" s="1420"/>
      <c r="DF26" s="1420"/>
      <c r="DG26" s="1420"/>
      <c r="DH26" s="1420"/>
      <c r="DI26" s="1420"/>
      <c r="DJ26" s="1420"/>
      <c r="DK26" s="1420"/>
      <c r="DL26" s="1420"/>
      <c r="DM26" s="1420"/>
      <c r="DN26" s="1420"/>
      <c r="DO26" s="1420"/>
      <c r="DP26" s="1420"/>
      <c r="DQ26" s="1420"/>
      <c r="DR26" s="1420"/>
      <c r="DS26" s="1420"/>
      <c r="DT26" s="1420"/>
      <c r="DU26" s="1420"/>
      <c r="DV26" s="1420"/>
      <c r="DW26" s="1420"/>
      <c r="DX26" s="1420"/>
      <c r="DY26" s="1420"/>
      <c r="DZ26" s="1420"/>
      <c r="EA26" s="1420"/>
      <c r="EB26" s="1420"/>
      <c r="EC26" s="1420"/>
      <c r="ED26" s="1420"/>
      <c r="EE26" s="1420"/>
      <c r="EF26" s="1420"/>
      <c r="EG26" s="1420"/>
      <c r="EH26" s="1420"/>
      <c r="EI26" s="1420"/>
      <c r="EJ26" s="1420"/>
      <c r="EK26" s="1420"/>
      <c r="EL26" s="1420"/>
      <c r="EM26" s="1420"/>
      <c r="EN26" s="1420"/>
      <c r="EO26" s="1420"/>
      <c r="EP26" s="1420"/>
      <c r="EQ26" s="1420"/>
      <c r="ER26" s="1420"/>
      <c r="ES26" s="1420"/>
      <c r="ET26" s="1420"/>
      <c r="EU26" s="1420"/>
      <c r="EV26" s="1420"/>
      <c r="EW26" s="1420"/>
      <c r="EX26" s="1420"/>
      <c r="EY26" s="1420"/>
      <c r="EZ26" s="1420"/>
      <c r="FA26" s="1420"/>
      <c r="FB26" s="1420"/>
      <c r="FC26" s="1420"/>
      <c r="FD26" s="1420"/>
      <c r="FE26" s="1420"/>
      <c r="FF26" s="1420"/>
      <c r="FG26" s="1420"/>
      <c r="FH26" s="1420"/>
      <c r="FI26" s="1420"/>
      <c r="FJ26" s="1420"/>
      <c r="FK26" s="1420"/>
      <c r="FL26" s="1420"/>
      <c r="FM26" s="1420"/>
      <c r="FN26" s="1420"/>
      <c r="FO26" s="1420"/>
      <c r="FP26" s="1420"/>
      <c r="FQ26" s="1420"/>
      <c r="FR26" s="1420"/>
      <c r="FS26" s="1420"/>
      <c r="FT26" s="1420"/>
      <c r="FU26" s="1420"/>
      <c r="FV26" s="1420"/>
      <c r="FW26" s="1420"/>
      <c r="FX26" s="1420"/>
      <c r="FY26" s="1420"/>
      <c r="FZ26" s="1420"/>
      <c r="GA26" s="1420"/>
      <c r="GB26" s="1420"/>
      <c r="GC26" s="1420"/>
      <c r="GD26" s="1420"/>
      <c r="GE26" s="1420"/>
      <c r="GF26" s="1420"/>
      <c r="GG26" s="1420"/>
      <c r="GH26" s="1420"/>
      <c r="GI26" s="1420"/>
      <c r="GJ26" s="1420"/>
      <c r="GK26" s="1420"/>
      <c r="GL26" s="1420"/>
      <c r="GM26" s="1420"/>
      <c r="GN26" s="1420"/>
      <c r="GO26" s="1420"/>
      <c r="GP26" s="1420"/>
      <c r="GQ26" s="1420"/>
      <c r="GR26" s="1420"/>
      <c r="GS26" s="1420"/>
      <c r="GT26" s="1420"/>
      <c r="GU26" s="1420"/>
      <c r="GV26" s="1420"/>
      <c r="GW26" s="1420"/>
      <c r="GX26" s="1420"/>
      <c r="GY26" s="1420"/>
      <c r="GZ26" s="1420"/>
      <c r="HA26" s="1420"/>
      <c r="HB26" s="1420"/>
      <c r="HC26" s="1420"/>
      <c r="HD26" s="1420"/>
      <c r="HE26" s="1420"/>
      <c r="HF26" s="1420"/>
      <c r="HG26" s="1420"/>
      <c r="HH26" s="1420"/>
      <c r="HI26" s="1420"/>
      <c r="HJ26" s="1420"/>
      <c r="HK26" s="1420"/>
      <c r="HL26" s="1420"/>
      <c r="HM26" s="1420"/>
      <c r="HN26" s="1420"/>
      <c r="HO26" s="1420"/>
      <c r="HP26" s="1420"/>
      <c r="HQ26" s="1420"/>
      <c r="HR26" s="1420"/>
      <c r="HS26" s="1420"/>
      <c r="HT26" s="1420"/>
      <c r="HU26" s="1420"/>
      <c r="HV26" s="1420"/>
      <c r="HW26" s="1420"/>
      <c r="HX26" s="1420"/>
      <c r="HY26" s="1420"/>
      <c r="HZ26" s="1420"/>
      <c r="IA26" s="1420"/>
      <c r="IB26" s="1420"/>
      <c r="IC26" s="1420"/>
      <c r="ID26" s="1420"/>
      <c r="IE26" s="1420"/>
      <c r="IF26" s="1420"/>
      <c r="IG26" s="1420"/>
      <c r="IH26" s="1420"/>
      <c r="II26" s="1420"/>
      <c r="IJ26" s="1420"/>
      <c r="IK26" s="1420"/>
      <c r="IL26" s="1420"/>
      <c r="IM26" s="1420"/>
      <c r="IN26" s="1420"/>
    </row>
    <row r="27" spans="1:248" s="1421" customFormat="1" ht="15" customHeight="1" x14ac:dyDescent="0.25">
      <c r="A27" s="1329">
        <v>44818</v>
      </c>
      <c r="B27" s="1047" t="s">
        <v>59</v>
      </c>
      <c r="C27" s="1381">
        <v>626849893</v>
      </c>
      <c r="D27" s="1039">
        <f>A27+G$1</f>
        <v>44848</v>
      </c>
      <c r="E27" s="1040">
        <f>D27-G27</f>
        <v>-3</v>
      </c>
      <c r="F27" s="1314">
        <v>626849893</v>
      </c>
      <c r="G27" s="1416">
        <v>44851</v>
      </c>
      <c r="H27" s="1358">
        <f t="shared" si="2"/>
        <v>33</v>
      </c>
      <c r="I27" s="1044">
        <f>C27-F27</f>
        <v>0</v>
      </c>
      <c r="J27" s="1045">
        <f t="shared" si="4"/>
        <v>4711821.695716667</v>
      </c>
      <c r="K27" s="1414">
        <v>7.9699999999999993E-2</v>
      </c>
      <c r="L27" s="1044">
        <v>31</v>
      </c>
      <c r="M27" s="1368">
        <v>44848</v>
      </c>
      <c r="N27" s="1428">
        <f t="shared" si="7"/>
        <v>4302105.6406530552</v>
      </c>
      <c r="O27" s="1416">
        <v>44848</v>
      </c>
      <c r="P27" s="1414">
        <v>8.0399999999999999E-2</v>
      </c>
      <c r="Q27" s="1435">
        <v>3</v>
      </c>
      <c r="R27" s="1416">
        <v>44852</v>
      </c>
      <c r="S27" s="1045">
        <f t="shared" si="6"/>
        <v>419989.42830999999</v>
      </c>
      <c r="T27" s="1418">
        <v>44851</v>
      </c>
      <c r="U27" s="1419"/>
      <c r="V27" s="1419"/>
      <c r="W27" s="1419"/>
      <c r="X27" s="1419"/>
      <c r="Y27" s="1419"/>
      <c r="Z27" s="1420"/>
      <c r="AA27" s="1420"/>
      <c r="AB27" s="1420"/>
      <c r="AC27" s="1420"/>
      <c r="AD27" s="1420"/>
      <c r="AE27" s="1420"/>
      <c r="AF27" s="1420"/>
      <c r="AG27" s="1420"/>
      <c r="AH27" s="1420"/>
      <c r="AI27" s="1420"/>
      <c r="AJ27" s="1420"/>
      <c r="AK27" s="1420"/>
      <c r="AL27" s="1420"/>
      <c r="AM27" s="1420"/>
      <c r="AN27" s="1420"/>
      <c r="AO27" s="1420"/>
      <c r="AP27" s="1420"/>
      <c r="AQ27" s="1420"/>
      <c r="AR27" s="1420"/>
      <c r="AS27" s="1420"/>
      <c r="AT27" s="1420"/>
      <c r="AU27" s="1420"/>
      <c r="AV27" s="1420"/>
      <c r="AW27" s="1420"/>
      <c r="AX27" s="1420"/>
      <c r="AY27" s="1420"/>
      <c r="AZ27" s="1420"/>
      <c r="BA27" s="1420"/>
      <c r="BB27" s="1420"/>
      <c r="BC27" s="1420"/>
      <c r="BD27" s="1420"/>
      <c r="BE27" s="1420"/>
      <c r="BF27" s="1420"/>
      <c r="BG27" s="1420"/>
      <c r="BH27" s="1420"/>
      <c r="BI27" s="1420"/>
      <c r="BJ27" s="1420"/>
      <c r="BK27" s="1420"/>
      <c r="BL27" s="1420"/>
      <c r="BM27" s="1420"/>
      <c r="BN27" s="1420"/>
      <c r="BO27" s="1420"/>
      <c r="BP27" s="1420"/>
      <c r="BQ27" s="1420"/>
      <c r="BR27" s="1420"/>
      <c r="BS27" s="1420"/>
      <c r="BT27" s="1420"/>
      <c r="BU27" s="1420"/>
      <c r="BV27" s="1420"/>
      <c r="BW27" s="1420"/>
      <c r="BX27" s="1420"/>
      <c r="BY27" s="1420"/>
      <c r="BZ27" s="1420"/>
      <c r="CA27" s="1420"/>
      <c r="CB27" s="1420"/>
      <c r="CC27" s="1420"/>
      <c r="CD27" s="1420"/>
      <c r="CE27" s="1420"/>
      <c r="CF27" s="1420"/>
      <c r="CG27" s="1420"/>
      <c r="CH27" s="1420"/>
      <c r="CI27" s="1420"/>
      <c r="CJ27" s="1420"/>
      <c r="CK27" s="1420"/>
      <c r="CL27" s="1420"/>
      <c r="CM27" s="1420"/>
      <c r="CN27" s="1420"/>
      <c r="CO27" s="1420"/>
      <c r="CP27" s="1420"/>
      <c r="CQ27" s="1420"/>
      <c r="CR27" s="1420"/>
      <c r="CS27" s="1420"/>
      <c r="CT27" s="1420"/>
      <c r="CU27" s="1420"/>
      <c r="CV27" s="1420"/>
      <c r="CW27" s="1420"/>
      <c r="CX27" s="1420"/>
      <c r="CY27" s="1420"/>
      <c r="CZ27" s="1420"/>
      <c r="DA27" s="1420"/>
      <c r="DB27" s="1420"/>
      <c r="DC27" s="1420"/>
      <c r="DD27" s="1420"/>
      <c r="DE27" s="1420"/>
      <c r="DF27" s="1420"/>
      <c r="DG27" s="1420"/>
      <c r="DH27" s="1420"/>
      <c r="DI27" s="1420"/>
      <c r="DJ27" s="1420"/>
      <c r="DK27" s="1420"/>
      <c r="DL27" s="1420"/>
      <c r="DM27" s="1420"/>
      <c r="DN27" s="1420"/>
      <c r="DO27" s="1420"/>
      <c r="DP27" s="1420"/>
      <c r="DQ27" s="1420"/>
      <c r="DR27" s="1420"/>
      <c r="DS27" s="1420"/>
      <c r="DT27" s="1420"/>
      <c r="DU27" s="1420"/>
      <c r="DV27" s="1420"/>
      <c r="DW27" s="1420"/>
      <c r="DX27" s="1420"/>
      <c r="DY27" s="1420"/>
      <c r="DZ27" s="1420"/>
      <c r="EA27" s="1420"/>
      <c r="EB27" s="1420"/>
      <c r="EC27" s="1420"/>
      <c r="ED27" s="1420"/>
      <c r="EE27" s="1420"/>
      <c r="EF27" s="1420"/>
      <c r="EG27" s="1420"/>
      <c r="EH27" s="1420"/>
      <c r="EI27" s="1420"/>
      <c r="EJ27" s="1420"/>
      <c r="EK27" s="1420"/>
      <c r="EL27" s="1420"/>
      <c r="EM27" s="1420"/>
      <c r="EN27" s="1420"/>
      <c r="EO27" s="1420"/>
      <c r="EP27" s="1420"/>
      <c r="EQ27" s="1420"/>
      <c r="ER27" s="1420"/>
      <c r="ES27" s="1420"/>
      <c r="ET27" s="1420"/>
      <c r="EU27" s="1420"/>
      <c r="EV27" s="1420"/>
      <c r="EW27" s="1420"/>
      <c r="EX27" s="1420"/>
      <c r="EY27" s="1420"/>
      <c r="EZ27" s="1420"/>
      <c r="FA27" s="1420"/>
      <c r="FB27" s="1420"/>
      <c r="FC27" s="1420"/>
      <c r="FD27" s="1420"/>
      <c r="FE27" s="1420"/>
      <c r="FF27" s="1420"/>
      <c r="FG27" s="1420"/>
      <c r="FH27" s="1420"/>
      <c r="FI27" s="1420"/>
      <c r="FJ27" s="1420"/>
      <c r="FK27" s="1420"/>
      <c r="FL27" s="1420"/>
      <c r="FM27" s="1420"/>
      <c r="FN27" s="1420"/>
      <c r="FO27" s="1420"/>
      <c r="FP27" s="1420"/>
      <c r="FQ27" s="1420"/>
      <c r="FR27" s="1420"/>
      <c r="FS27" s="1420"/>
      <c r="FT27" s="1420"/>
      <c r="FU27" s="1420"/>
      <c r="FV27" s="1420"/>
      <c r="FW27" s="1420"/>
      <c r="FX27" s="1420"/>
      <c r="FY27" s="1420"/>
      <c r="FZ27" s="1420"/>
      <c r="GA27" s="1420"/>
      <c r="GB27" s="1420"/>
      <c r="GC27" s="1420"/>
      <c r="GD27" s="1420"/>
      <c r="GE27" s="1420"/>
      <c r="GF27" s="1420"/>
      <c r="GG27" s="1420"/>
      <c r="GH27" s="1420"/>
      <c r="GI27" s="1420"/>
      <c r="GJ27" s="1420"/>
      <c r="GK27" s="1420"/>
      <c r="GL27" s="1420"/>
      <c r="GM27" s="1420"/>
      <c r="GN27" s="1420"/>
      <c r="GO27" s="1420"/>
      <c r="GP27" s="1420"/>
      <c r="GQ27" s="1420"/>
      <c r="GR27" s="1420"/>
      <c r="GS27" s="1420"/>
      <c r="GT27" s="1420"/>
      <c r="GU27" s="1420"/>
      <c r="GV27" s="1420"/>
      <c r="GW27" s="1420"/>
      <c r="GX27" s="1420"/>
      <c r="GY27" s="1420"/>
      <c r="GZ27" s="1420"/>
      <c r="HA27" s="1420"/>
      <c r="HB27" s="1420"/>
      <c r="HC27" s="1420"/>
      <c r="HD27" s="1420"/>
      <c r="HE27" s="1420"/>
      <c r="HF27" s="1420"/>
      <c r="HG27" s="1420"/>
      <c r="HH27" s="1420"/>
      <c r="HI27" s="1420"/>
      <c r="HJ27" s="1420"/>
      <c r="HK27" s="1420"/>
      <c r="HL27" s="1420"/>
      <c r="HM27" s="1420"/>
      <c r="HN27" s="1420"/>
      <c r="HO27" s="1420"/>
      <c r="HP27" s="1420"/>
      <c r="HQ27" s="1420"/>
      <c r="HR27" s="1420"/>
      <c r="HS27" s="1420"/>
      <c r="HT27" s="1420"/>
      <c r="HU27" s="1420"/>
      <c r="HV27" s="1420"/>
      <c r="HW27" s="1420"/>
      <c r="HX27" s="1420"/>
      <c r="HY27" s="1420"/>
      <c r="HZ27" s="1420"/>
      <c r="IA27" s="1420"/>
      <c r="IB27" s="1420"/>
      <c r="IC27" s="1420"/>
      <c r="ID27" s="1420"/>
      <c r="IE27" s="1420"/>
      <c r="IF27" s="1420"/>
      <c r="IG27" s="1420"/>
      <c r="IH27" s="1420"/>
      <c r="II27" s="1420"/>
      <c r="IJ27" s="1420"/>
      <c r="IK27" s="1420"/>
      <c r="IL27" s="1420"/>
      <c r="IM27" s="1420"/>
      <c r="IN27" s="1420"/>
    </row>
    <row r="28" spans="1:248" s="1421" customFormat="1" ht="15" customHeight="1" x14ac:dyDescent="0.25">
      <c r="A28" s="1329">
        <v>44818</v>
      </c>
      <c r="B28" s="1047" t="s">
        <v>59</v>
      </c>
      <c r="C28" s="1381">
        <v>399697742</v>
      </c>
      <c r="D28" s="1039">
        <f t="shared" si="0"/>
        <v>44848</v>
      </c>
      <c r="E28" s="1040">
        <f t="shared" si="1"/>
        <v>-3</v>
      </c>
      <c r="F28" s="1314">
        <v>399697742</v>
      </c>
      <c r="G28" s="1416">
        <v>44851</v>
      </c>
      <c r="H28" s="1358">
        <f t="shared" si="2"/>
        <v>33</v>
      </c>
      <c r="I28" s="1044">
        <f t="shared" si="3"/>
        <v>0</v>
      </c>
      <c r="J28" s="1045">
        <f t="shared" si="4"/>
        <v>3004394.6940333331</v>
      </c>
      <c r="K28" s="1414">
        <v>7.9799999999999996E-2</v>
      </c>
      <c r="L28" s="1044">
        <v>31</v>
      </c>
      <c r="M28" s="1368">
        <v>44848</v>
      </c>
      <c r="N28" s="1428">
        <f t="shared" si="7"/>
        <v>2746589.6504433332</v>
      </c>
      <c r="O28" s="1416">
        <v>44848</v>
      </c>
      <c r="P28" s="1414">
        <v>8.0399999999999999E-2</v>
      </c>
      <c r="Q28" s="1435">
        <v>3</v>
      </c>
      <c r="R28" s="1416">
        <v>44852</v>
      </c>
      <c r="S28" s="1045">
        <f t="shared" si="6"/>
        <v>267797.48713999998</v>
      </c>
      <c r="T28" s="1418">
        <v>44851</v>
      </c>
      <c r="U28" s="1419"/>
      <c r="V28" s="1419"/>
      <c r="W28" s="1419"/>
      <c r="X28" s="1419"/>
      <c r="Y28" s="1419"/>
      <c r="Z28" s="1420"/>
      <c r="AA28" s="1420"/>
      <c r="AB28" s="1420"/>
      <c r="AC28" s="1420"/>
      <c r="AD28" s="1420"/>
      <c r="AE28" s="1420"/>
      <c r="AF28" s="1420"/>
      <c r="AG28" s="1420"/>
      <c r="AH28" s="1420"/>
      <c r="AI28" s="1420"/>
      <c r="AJ28" s="1420"/>
      <c r="AK28" s="1420"/>
      <c r="AL28" s="1420"/>
      <c r="AM28" s="1420"/>
      <c r="AN28" s="1420"/>
      <c r="AO28" s="1420"/>
      <c r="AP28" s="1420"/>
      <c r="AQ28" s="1420"/>
      <c r="AR28" s="1420"/>
      <c r="AS28" s="1420"/>
      <c r="AT28" s="1420"/>
      <c r="AU28" s="1420"/>
      <c r="AV28" s="1420"/>
      <c r="AW28" s="1420"/>
      <c r="AX28" s="1420"/>
      <c r="AY28" s="1420"/>
      <c r="AZ28" s="1420"/>
      <c r="BA28" s="1420"/>
      <c r="BB28" s="1420"/>
      <c r="BC28" s="1420"/>
      <c r="BD28" s="1420"/>
      <c r="BE28" s="1420"/>
      <c r="BF28" s="1420"/>
      <c r="BG28" s="1420"/>
      <c r="BH28" s="1420"/>
      <c r="BI28" s="1420"/>
      <c r="BJ28" s="1420"/>
      <c r="BK28" s="1420"/>
      <c r="BL28" s="1420"/>
      <c r="BM28" s="1420"/>
      <c r="BN28" s="1420"/>
      <c r="BO28" s="1420"/>
      <c r="BP28" s="1420"/>
      <c r="BQ28" s="1420"/>
      <c r="BR28" s="1420"/>
      <c r="BS28" s="1420"/>
      <c r="BT28" s="1420"/>
      <c r="BU28" s="1420"/>
      <c r="BV28" s="1420"/>
      <c r="BW28" s="1420"/>
      <c r="BX28" s="1420"/>
      <c r="BY28" s="1420"/>
      <c r="BZ28" s="1420"/>
      <c r="CA28" s="1420"/>
      <c r="CB28" s="1420"/>
      <c r="CC28" s="1420"/>
      <c r="CD28" s="1420"/>
      <c r="CE28" s="1420"/>
      <c r="CF28" s="1420"/>
      <c r="CG28" s="1420"/>
      <c r="CH28" s="1420"/>
      <c r="CI28" s="1420"/>
      <c r="CJ28" s="1420"/>
      <c r="CK28" s="1420"/>
      <c r="CL28" s="1420"/>
      <c r="CM28" s="1420"/>
      <c r="CN28" s="1420"/>
      <c r="CO28" s="1420"/>
      <c r="CP28" s="1420"/>
      <c r="CQ28" s="1420"/>
      <c r="CR28" s="1420"/>
      <c r="CS28" s="1420"/>
      <c r="CT28" s="1420"/>
      <c r="CU28" s="1420"/>
      <c r="CV28" s="1420"/>
      <c r="CW28" s="1420"/>
      <c r="CX28" s="1420"/>
      <c r="CY28" s="1420"/>
      <c r="CZ28" s="1420"/>
      <c r="DA28" s="1420"/>
      <c r="DB28" s="1420"/>
      <c r="DC28" s="1420"/>
      <c r="DD28" s="1420"/>
      <c r="DE28" s="1420"/>
      <c r="DF28" s="1420"/>
      <c r="DG28" s="1420"/>
      <c r="DH28" s="1420"/>
      <c r="DI28" s="1420"/>
      <c r="DJ28" s="1420"/>
      <c r="DK28" s="1420"/>
      <c r="DL28" s="1420"/>
      <c r="DM28" s="1420"/>
      <c r="DN28" s="1420"/>
      <c r="DO28" s="1420"/>
      <c r="DP28" s="1420"/>
      <c r="DQ28" s="1420"/>
      <c r="DR28" s="1420"/>
      <c r="DS28" s="1420"/>
      <c r="DT28" s="1420"/>
      <c r="DU28" s="1420"/>
      <c r="DV28" s="1420"/>
      <c r="DW28" s="1420"/>
      <c r="DX28" s="1420"/>
      <c r="DY28" s="1420"/>
      <c r="DZ28" s="1420"/>
      <c r="EA28" s="1420"/>
      <c r="EB28" s="1420"/>
      <c r="EC28" s="1420"/>
      <c r="ED28" s="1420"/>
      <c r="EE28" s="1420"/>
      <c r="EF28" s="1420"/>
      <c r="EG28" s="1420"/>
      <c r="EH28" s="1420"/>
      <c r="EI28" s="1420"/>
      <c r="EJ28" s="1420"/>
      <c r="EK28" s="1420"/>
      <c r="EL28" s="1420"/>
      <c r="EM28" s="1420"/>
      <c r="EN28" s="1420"/>
      <c r="EO28" s="1420"/>
      <c r="EP28" s="1420"/>
      <c r="EQ28" s="1420"/>
      <c r="ER28" s="1420"/>
      <c r="ES28" s="1420"/>
      <c r="ET28" s="1420"/>
      <c r="EU28" s="1420"/>
      <c r="EV28" s="1420"/>
      <c r="EW28" s="1420"/>
      <c r="EX28" s="1420"/>
      <c r="EY28" s="1420"/>
      <c r="EZ28" s="1420"/>
      <c r="FA28" s="1420"/>
      <c r="FB28" s="1420"/>
      <c r="FC28" s="1420"/>
      <c r="FD28" s="1420"/>
      <c r="FE28" s="1420"/>
      <c r="FF28" s="1420"/>
      <c r="FG28" s="1420"/>
      <c r="FH28" s="1420"/>
      <c r="FI28" s="1420"/>
      <c r="FJ28" s="1420"/>
      <c r="FK28" s="1420"/>
      <c r="FL28" s="1420"/>
      <c r="FM28" s="1420"/>
      <c r="FN28" s="1420"/>
      <c r="FO28" s="1420"/>
      <c r="FP28" s="1420"/>
      <c r="FQ28" s="1420"/>
      <c r="FR28" s="1420"/>
      <c r="FS28" s="1420"/>
      <c r="FT28" s="1420"/>
      <c r="FU28" s="1420"/>
      <c r="FV28" s="1420"/>
      <c r="FW28" s="1420"/>
      <c r="FX28" s="1420"/>
      <c r="FY28" s="1420"/>
      <c r="FZ28" s="1420"/>
      <c r="GA28" s="1420"/>
      <c r="GB28" s="1420"/>
      <c r="GC28" s="1420"/>
      <c r="GD28" s="1420"/>
      <c r="GE28" s="1420"/>
      <c r="GF28" s="1420"/>
      <c r="GG28" s="1420"/>
      <c r="GH28" s="1420"/>
      <c r="GI28" s="1420"/>
      <c r="GJ28" s="1420"/>
      <c r="GK28" s="1420"/>
      <c r="GL28" s="1420"/>
      <c r="GM28" s="1420"/>
      <c r="GN28" s="1420"/>
      <c r="GO28" s="1420"/>
      <c r="GP28" s="1420"/>
      <c r="GQ28" s="1420"/>
      <c r="GR28" s="1420"/>
      <c r="GS28" s="1420"/>
      <c r="GT28" s="1420"/>
      <c r="GU28" s="1420"/>
      <c r="GV28" s="1420"/>
      <c r="GW28" s="1420"/>
      <c r="GX28" s="1420"/>
      <c r="GY28" s="1420"/>
      <c r="GZ28" s="1420"/>
      <c r="HA28" s="1420"/>
      <c r="HB28" s="1420"/>
      <c r="HC28" s="1420"/>
      <c r="HD28" s="1420"/>
      <c r="HE28" s="1420"/>
      <c r="HF28" s="1420"/>
      <c r="HG28" s="1420"/>
      <c r="HH28" s="1420"/>
      <c r="HI28" s="1420"/>
      <c r="HJ28" s="1420"/>
      <c r="HK28" s="1420"/>
      <c r="HL28" s="1420"/>
      <c r="HM28" s="1420"/>
      <c r="HN28" s="1420"/>
      <c r="HO28" s="1420"/>
      <c r="HP28" s="1420"/>
      <c r="HQ28" s="1420"/>
      <c r="HR28" s="1420"/>
      <c r="HS28" s="1420"/>
      <c r="HT28" s="1420"/>
      <c r="HU28" s="1420"/>
      <c r="HV28" s="1420"/>
      <c r="HW28" s="1420"/>
      <c r="HX28" s="1420"/>
      <c r="HY28" s="1420"/>
      <c r="HZ28" s="1420"/>
      <c r="IA28" s="1420"/>
      <c r="IB28" s="1420"/>
      <c r="IC28" s="1420"/>
      <c r="ID28" s="1420"/>
      <c r="IE28" s="1420"/>
      <c r="IF28" s="1420"/>
      <c r="IG28" s="1420"/>
      <c r="IH28" s="1420"/>
      <c r="II28" s="1420"/>
      <c r="IJ28" s="1420"/>
      <c r="IK28" s="1420"/>
      <c r="IL28" s="1420"/>
      <c r="IM28" s="1420"/>
      <c r="IN28" s="1420"/>
    </row>
    <row r="29" spans="1:248" s="1421" customFormat="1" ht="15" customHeight="1" x14ac:dyDescent="0.25">
      <c r="A29" s="1329">
        <v>44820</v>
      </c>
      <c r="B29" s="1047" t="s">
        <v>50</v>
      </c>
      <c r="C29" s="1381">
        <v>1729587622</v>
      </c>
      <c r="D29" s="1039">
        <f t="shared" si="0"/>
        <v>44850</v>
      </c>
      <c r="E29" s="1040">
        <f t="shared" si="1"/>
        <v>-1</v>
      </c>
      <c r="F29" s="1314">
        <v>1729587622</v>
      </c>
      <c r="G29" s="1416">
        <v>44851</v>
      </c>
      <c r="H29" s="1358">
        <f t="shared" si="2"/>
        <v>31</v>
      </c>
      <c r="I29" s="1044">
        <f t="shared" si="3"/>
        <v>0</v>
      </c>
      <c r="J29" s="1045">
        <f t="shared" si="4"/>
        <v>12212810.375344444</v>
      </c>
      <c r="K29" s="1414">
        <v>7.9799999999999996E-2</v>
      </c>
      <c r="L29" s="1044">
        <v>31</v>
      </c>
      <c r="M29" s="1368">
        <v>44850</v>
      </c>
      <c r="N29" s="1428">
        <f t="shared" si="7"/>
        <v>11885149.609176666</v>
      </c>
      <c r="O29" s="1416">
        <v>44848</v>
      </c>
      <c r="P29" s="1414">
        <v>8.0399999999999999E-2</v>
      </c>
      <c r="Q29" s="1435">
        <v>1</v>
      </c>
      <c r="R29" s="1416">
        <v>44852</v>
      </c>
      <c r="S29" s="1045">
        <f t="shared" si="6"/>
        <v>386274.56891333335</v>
      </c>
      <c r="T29" s="1418">
        <v>44851</v>
      </c>
      <c r="U29" s="1419"/>
      <c r="V29" s="1419"/>
      <c r="W29" s="1419"/>
      <c r="X29" s="1419"/>
      <c r="Y29" s="1419"/>
      <c r="Z29" s="1420"/>
      <c r="AA29" s="1420"/>
      <c r="AB29" s="1420"/>
      <c r="AC29" s="1420"/>
      <c r="AD29" s="1420"/>
      <c r="AE29" s="1420"/>
      <c r="AF29" s="1420"/>
      <c r="AG29" s="1420"/>
      <c r="AH29" s="1420"/>
      <c r="AI29" s="1420"/>
      <c r="AJ29" s="1420"/>
      <c r="AK29" s="1420"/>
      <c r="AL29" s="1420"/>
      <c r="AM29" s="1420"/>
      <c r="AN29" s="1420"/>
      <c r="AO29" s="1420"/>
      <c r="AP29" s="1420"/>
      <c r="AQ29" s="1420"/>
      <c r="AR29" s="1420"/>
      <c r="AS29" s="1420"/>
      <c r="AT29" s="1420"/>
      <c r="AU29" s="1420"/>
      <c r="AV29" s="1420"/>
      <c r="AW29" s="1420"/>
      <c r="AX29" s="1420"/>
      <c r="AY29" s="1420"/>
      <c r="AZ29" s="1420"/>
      <c r="BA29" s="1420"/>
      <c r="BB29" s="1420"/>
      <c r="BC29" s="1420"/>
      <c r="BD29" s="1420"/>
      <c r="BE29" s="1420"/>
      <c r="BF29" s="1420"/>
      <c r="BG29" s="1420"/>
      <c r="BH29" s="1420"/>
      <c r="BI29" s="1420"/>
      <c r="BJ29" s="1420"/>
      <c r="BK29" s="1420"/>
      <c r="BL29" s="1420"/>
      <c r="BM29" s="1420"/>
      <c r="BN29" s="1420"/>
      <c r="BO29" s="1420"/>
      <c r="BP29" s="1420"/>
      <c r="BQ29" s="1420"/>
      <c r="BR29" s="1420"/>
      <c r="BS29" s="1420"/>
      <c r="BT29" s="1420"/>
      <c r="BU29" s="1420"/>
      <c r="BV29" s="1420"/>
      <c r="BW29" s="1420"/>
      <c r="BX29" s="1420"/>
      <c r="BY29" s="1420"/>
      <c r="BZ29" s="1420"/>
      <c r="CA29" s="1420"/>
      <c r="CB29" s="1420"/>
      <c r="CC29" s="1420"/>
      <c r="CD29" s="1420"/>
      <c r="CE29" s="1420"/>
      <c r="CF29" s="1420"/>
      <c r="CG29" s="1420"/>
      <c r="CH29" s="1420"/>
      <c r="CI29" s="1420"/>
      <c r="CJ29" s="1420"/>
      <c r="CK29" s="1420"/>
      <c r="CL29" s="1420"/>
      <c r="CM29" s="1420"/>
      <c r="CN29" s="1420"/>
      <c r="CO29" s="1420"/>
      <c r="CP29" s="1420"/>
      <c r="CQ29" s="1420"/>
      <c r="CR29" s="1420"/>
      <c r="CS29" s="1420"/>
      <c r="CT29" s="1420"/>
      <c r="CU29" s="1420"/>
      <c r="CV29" s="1420"/>
      <c r="CW29" s="1420"/>
      <c r="CX29" s="1420"/>
      <c r="CY29" s="1420"/>
      <c r="CZ29" s="1420"/>
      <c r="DA29" s="1420"/>
      <c r="DB29" s="1420"/>
      <c r="DC29" s="1420"/>
      <c r="DD29" s="1420"/>
      <c r="DE29" s="1420"/>
      <c r="DF29" s="1420"/>
      <c r="DG29" s="1420"/>
      <c r="DH29" s="1420"/>
      <c r="DI29" s="1420"/>
      <c r="DJ29" s="1420"/>
      <c r="DK29" s="1420"/>
      <c r="DL29" s="1420"/>
      <c r="DM29" s="1420"/>
      <c r="DN29" s="1420"/>
      <c r="DO29" s="1420"/>
      <c r="DP29" s="1420"/>
      <c r="DQ29" s="1420"/>
      <c r="DR29" s="1420"/>
      <c r="DS29" s="1420"/>
      <c r="DT29" s="1420"/>
      <c r="DU29" s="1420"/>
      <c r="DV29" s="1420"/>
      <c r="DW29" s="1420"/>
      <c r="DX29" s="1420"/>
      <c r="DY29" s="1420"/>
      <c r="DZ29" s="1420"/>
      <c r="EA29" s="1420"/>
      <c r="EB29" s="1420"/>
      <c r="EC29" s="1420"/>
      <c r="ED29" s="1420"/>
      <c r="EE29" s="1420"/>
      <c r="EF29" s="1420"/>
      <c r="EG29" s="1420"/>
      <c r="EH29" s="1420"/>
      <c r="EI29" s="1420"/>
      <c r="EJ29" s="1420"/>
      <c r="EK29" s="1420"/>
      <c r="EL29" s="1420"/>
      <c r="EM29" s="1420"/>
      <c r="EN29" s="1420"/>
      <c r="EO29" s="1420"/>
      <c r="EP29" s="1420"/>
      <c r="EQ29" s="1420"/>
      <c r="ER29" s="1420"/>
      <c r="ES29" s="1420"/>
      <c r="ET29" s="1420"/>
      <c r="EU29" s="1420"/>
      <c r="EV29" s="1420"/>
      <c r="EW29" s="1420"/>
      <c r="EX29" s="1420"/>
      <c r="EY29" s="1420"/>
      <c r="EZ29" s="1420"/>
      <c r="FA29" s="1420"/>
      <c r="FB29" s="1420"/>
      <c r="FC29" s="1420"/>
      <c r="FD29" s="1420"/>
      <c r="FE29" s="1420"/>
      <c r="FF29" s="1420"/>
      <c r="FG29" s="1420"/>
      <c r="FH29" s="1420"/>
      <c r="FI29" s="1420"/>
      <c r="FJ29" s="1420"/>
      <c r="FK29" s="1420"/>
      <c r="FL29" s="1420"/>
      <c r="FM29" s="1420"/>
      <c r="FN29" s="1420"/>
      <c r="FO29" s="1420"/>
      <c r="FP29" s="1420"/>
      <c r="FQ29" s="1420"/>
      <c r="FR29" s="1420"/>
      <c r="FS29" s="1420"/>
      <c r="FT29" s="1420"/>
      <c r="FU29" s="1420"/>
      <c r="FV29" s="1420"/>
      <c r="FW29" s="1420"/>
      <c r="FX29" s="1420"/>
      <c r="FY29" s="1420"/>
      <c r="FZ29" s="1420"/>
      <c r="GA29" s="1420"/>
      <c r="GB29" s="1420"/>
      <c r="GC29" s="1420"/>
      <c r="GD29" s="1420"/>
      <c r="GE29" s="1420"/>
      <c r="GF29" s="1420"/>
      <c r="GG29" s="1420"/>
      <c r="GH29" s="1420"/>
      <c r="GI29" s="1420"/>
      <c r="GJ29" s="1420"/>
      <c r="GK29" s="1420"/>
      <c r="GL29" s="1420"/>
      <c r="GM29" s="1420"/>
      <c r="GN29" s="1420"/>
      <c r="GO29" s="1420"/>
      <c r="GP29" s="1420"/>
      <c r="GQ29" s="1420"/>
      <c r="GR29" s="1420"/>
      <c r="GS29" s="1420"/>
      <c r="GT29" s="1420"/>
      <c r="GU29" s="1420"/>
      <c r="GV29" s="1420"/>
      <c r="GW29" s="1420"/>
      <c r="GX29" s="1420"/>
      <c r="GY29" s="1420"/>
      <c r="GZ29" s="1420"/>
      <c r="HA29" s="1420"/>
      <c r="HB29" s="1420"/>
      <c r="HC29" s="1420"/>
      <c r="HD29" s="1420"/>
      <c r="HE29" s="1420"/>
      <c r="HF29" s="1420"/>
      <c r="HG29" s="1420"/>
      <c r="HH29" s="1420"/>
      <c r="HI29" s="1420"/>
      <c r="HJ29" s="1420"/>
      <c r="HK29" s="1420"/>
      <c r="HL29" s="1420"/>
      <c r="HM29" s="1420"/>
      <c r="HN29" s="1420"/>
      <c r="HO29" s="1420"/>
      <c r="HP29" s="1420"/>
      <c r="HQ29" s="1420"/>
      <c r="HR29" s="1420"/>
      <c r="HS29" s="1420"/>
      <c r="HT29" s="1420"/>
      <c r="HU29" s="1420"/>
      <c r="HV29" s="1420"/>
      <c r="HW29" s="1420"/>
      <c r="HX29" s="1420"/>
      <c r="HY29" s="1420"/>
      <c r="HZ29" s="1420"/>
      <c r="IA29" s="1420"/>
      <c r="IB29" s="1420"/>
      <c r="IC29" s="1420"/>
      <c r="ID29" s="1420"/>
      <c r="IE29" s="1420"/>
      <c r="IF29" s="1420"/>
      <c r="IG29" s="1420"/>
      <c r="IH29" s="1420"/>
      <c r="II29" s="1420"/>
      <c r="IJ29" s="1420"/>
      <c r="IK29" s="1420"/>
      <c r="IL29" s="1420"/>
      <c r="IM29" s="1420"/>
      <c r="IN29" s="1420"/>
    </row>
    <row r="30" spans="1:248" s="1421" customFormat="1" ht="15" customHeight="1" x14ac:dyDescent="0.25">
      <c r="A30" s="1329">
        <v>44820</v>
      </c>
      <c r="B30" s="1047" t="s">
        <v>29</v>
      </c>
      <c r="C30" s="1381">
        <v>318432838</v>
      </c>
      <c r="D30" s="1039">
        <f t="shared" si="0"/>
        <v>44850</v>
      </c>
      <c r="E30" s="1040">
        <f t="shared" si="1"/>
        <v>-1</v>
      </c>
      <c r="F30" s="1314">
        <v>318432838</v>
      </c>
      <c r="G30" s="1416">
        <v>44851</v>
      </c>
      <c r="H30" s="1358">
        <f t="shared" si="2"/>
        <v>31</v>
      </c>
      <c r="I30" s="1044">
        <f t="shared" si="3"/>
        <v>0</v>
      </c>
      <c r="J30" s="1045">
        <f t="shared" si="4"/>
        <v>2248489.6505444441</v>
      </c>
      <c r="K30" s="1414">
        <v>7.9799999999999996E-2</v>
      </c>
      <c r="L30" s="1044">
        <v>31</v>
      </c>
      <c r="M30" s="1368">
        <v>44850</v>
      </c>
      <c r="N30" s="1428">
        <f t="shared" si="7"/>
        <v>2188164.3184566661</v>
      </c>
      <c r="O30" s="1416">
        <v>44848</v>
      </c>
      <c r="P30" s="1414">
        <v>8.0399999999999999E-2</v>
      </c>
      <c r="Q30" s="1435">
        <v>1</v>
      </c>
      <c r="R30" s="1416">
        <v>44852</v>
      </c>
      <c r="S30" s="1045">
        <f t="shared" si="6"/>
        <v>71116.667153333328</v>
      </c>
      <c r="T30" s="1418">
        <v>44851</v>
      </c>
      <c r="U30" s="1419"/>
      <c r="V30" s="1419"/>
      <c r="W30" s="1419"/>
      <c r="X30" s="1419"/>
      <c r="Y30" s="1419"/>
      <c r="Z30" s="1420"/>
      <c r="AA30" s="1420"/>
      <c r="AB30" s="1420"/>
      <c r="AC30" s="1420"/>
      <c r="AD30" s="1420"/>
      <c r="AE30" s="1420"/>
      <c r="AF30" s="1420"/>
      <c r="AG30" s="1420"/>
      <c r="AH30" s="1420"/>
      <c r="AI30" s="1420"/>
      <c r="AJ30" s="1420"/>
      <c r="AK30" s="1420"/>
      <c r="AL30" s="1420"/>
      <c r="AM30" s="1420"/>
      <c r="AN30" s="1420"/>
      <c r="AO30" s="1420"/>
      <c r="AP30" s="1420"/>
      <c r="AQ30" s="1420"/>
      <c r="AR30" s="1420"/>
      <c r="AS30" s="1420"/>
      <c r="AT30" s="1420"/>
      <c r="AU30" s="1420"/>
      <c r="AV30" s="1420"/>
      <c r="AW30" s="1420"/>
      <c r="AX30" s="1420"/>
      <c r="AY30" s="1420"/>
      <c r="AZ30" s="1420"/>
      <c r="BA30" s="1420"/>
      <c r="BB30" s="1420"/>
      <c r="BC30" s="1420"/>
      <c r="BD30" s="1420"/>
      <c r="BE30" s="1420"/>
      <c r="BF30" s="1420"/>
      <c r="BG30" s="1420"/>
      <c r="BH30" s="1420"/>
      <c r="BI30" s="1420"/>
      <c r="BJ30" s="1420"/>
      <c r="BK30" s="1420"/>
      <c r="BL30" s="1420"/>
      <c r="BM30" s="1420"/>
      <c r="BN30" s="1420"/>
      <c r="BO30" s="1420"/>
      <c r="BP30" s="1420"/>
      <c r="BQ30" s="1420"/>
      <c r="BR30" s="1420"/>
      <c r="BS30" s="1420"/>
      <c r="BT30" s="1420"/>
      <c r="BU30" s="1420"/>
      <c r="BV30" s="1420"/>
      <c r="BW30" s="1420"/>
      <c r="BX30" s="1420"/>
      <c r="BY30" s="1420"/>
      <c r="BZ30" s="1420"/>
      <c r="CA30" s="1420"/>
      <c r="CB30" s="1420"/>
      <c r="CC30" s="1420"/>
      <c r="CD30" s="1420"/>
      <c r="CE30" s="1420"/>
      <c r="CF30" s="1420"/>
      <c r="CG30" s="1420"/>
      <c r="CH30" s="1420"/>
      <c r="CI30" s="1420"/>
      <c r="CJ30" s="1420"/>
      <c r="CK30" s="1420"/>
      <c r="CL30" s="1420"/>
      <c r="CM30" s="1420"/>
      <c r="CN30" s="1420"/>
      <c r="CO30" s="1420"/>
      <c r="CP30" s="1420"/>
      <c r="CQ30" s="1420"/>
      <c r="CR30" s="1420"/>
      <c r="CS30" s="1420"/>
      <c r="CT30" s="1420"/>
      <c r="CU30" s="1420"/>
      <c r="CV30" s="1420"/>
      <c r="CW30" s="1420"/>
      <c r="CX30" s="1420"/>
      <c r="CY30" s="1420"/>
      <c r="CZ30" s="1420"/>
      <c r="DA30" s="1420"/>
      <c r="DB30" s="1420"/>
      <c r="DC30" s="1420"/>
      <c r="DD30" s="1420"/>
      <c r="DE30" s="1420"/>
      <c r="DF30" s="1420"/>
      <c r="DG30" s="1420"/>
      <c r="DH30" s="1420"/>
      <c r="DI30" s="1420"/>
      <c r="DJ30" s="1420"/>
      <c r="DK30" s="1420"/>
      <c r="DL30" s="1420"/>
      <c r="DM30" s="1420"/>
      <c r="DN30" s="1420"/>
      <c r="DO30" s="1420"/>
      <c r="DP30" s="1420"/>
      <c r="DQ30" s="1420"/>
      <c r="DR30" s="1420"/>
      <c r="DS30" s="1420"/>
      <c r="DT30" s="1420"/>
      <c r="DU30" s="1420"/>
      <c r="DV30" s="1420"/>
      <c r="DW30" s="1420"/>
      <c r="DX30" s="1420"/>
      <c r="DY30" s="1420"/>
      <c r="DZ30" s="1420"/>
      <c r="EA30" s="1420"/>
      <c r="EB30" s="1420"/>
      <c r="EC30" s="1420"/>
      <c r="ED30" s="1420"/>
      <c r="EE30" s="1420"/>
      <c r="EF30" s="1420"/>
      <c r="EG30" s="1420"/>
      <c r="EH30" s="1420"/>
      <c r="EI30" s="1420"/>
      <c r="EJ30" s="1420"/>
      <c r="EK30" s="1420"/>
      <c r="EL30" s="1420"/>
      <c r="EM30" s="1420"/>
      <c r="EN30" s="1420"/>
      <c r="EO30" s="1420"/>
      <c r="EP30" s="1420"/>
      <c r="EQ30" s="1420"/>
      <c r="ER30" s="1420"/>
      <c r="ES30" s="1420"/>
      <c r="ET30" s="1420"/>
      <c r="EU30" s="1420"/>
      <c r="EV30" s="1420"/>
      <c r="EW30" s="1420"/>
      <c r="EX30" s="1420"/>
      <c r="EY30" s="1420"/>
      <c r="EZ30" s="1420"/>
      <c r="FA30" s="1420"/>
      <c r="FB30" s="1420"/>
      <c r="FC30" s="1420"/>
      <c r="FD30" s="1420"/>
      <c r="FE30" s="1420"/>
      <c r="FF30" s="1420"/>
      <c r="FG30" s="1420"/>
      <c r="FH30" s="1420"/>
      <c r="FI30" s="1420"/>
      <c r="FJ30" s="1420"/>
      <c r="FK30" s="1420"/>
      <c r="FL30" s="1420"/>
      <c r="FM30" s="1420"/>
      <c r="FN30" s="1420"/>
      <c r="FO30" s="1420"/>
      <c r="FP30" s="1420"/>
      <c r="FQ30" s="1420"/>
      <c r="FR30" s="1420"/>
      <c r="FS30" s="1420"/>
      <c r="FT30" s="1420"/>
      <c r="FU30" s="1420"/>
      <c r="FV30" s="1420"/>
      <c r="FW30" s="1420"/>
      <c r="FX30" s="1420"/>
      <c r="FY30" s="1420"/>
      <c r="FZ30" s="1420"/>
      <c r="GA30" s="1420"/>
      <c r="GB30" s="1420"/>
      <c r="GC30" s="1420"/>
      <c r="GD30" s="1420"/>
      <c r="GE30" s="1420"/>
      <c r="GF30" s="1420"/>
      <c r="GG30" s="1420"/>
      <c r="GH30" s="1420"/>
      <c r="GI30" s="1420"/>
      <c r="GJ30" s="1420"/>
      <c r="GK30" s="1420"/>
      <c r="GL30" s="1420"/>
      <c r="GM30" s="1420"/>
      <c r="GN30" s="1420"/>
      <c r="GO30" s="1420"/>
      <c r="GP30" s="1420"/>
      <c r="GQ30" s="1420"/>
      <c r="GR30" s="1420"/>
      <c r="GS30" s="1420"/>
      <c r="GT30" s="1420"/>
      <c r="GU30" s="1420"/>
      <c r="GV30" s="1420"/>
      <c r="GW30" s="1420"/>
      <c r="GX30" s="1420"/>
      <c r="GY30" s="1420"/>
      <c r="GZ30" s="1420"/>
      <c r="HA30" s="1420"/>
      <c r="HB30" s="1420"/>
      <c r="HC30" s="1420"/>
      <c r="HD30" s="1420"/>
      <c r="HE30" s="1420"/>
      <c r="HF30" s="1420"/>
      <c r="HG30" s="1420"/>
      <c r="HH30" s="1420"/>
      <c r="HI30" s="1420"/>
      <c r="HJ30" s="1420"/>
      <c r="HK30" s="1420"/>
      <c r="HL30" s="1420"/>
      <c r="HM30" s="1420"/>
      <c r="HN30" s="1420"/>
      <c r="HO30" s="1420"/>
      <c r="HP30" s="1420"/>
      <c r="HQ30" s="1420"/>
      <c r="HR30" s="1420"/>
      <c r="HS30" s="1420"/>
      <c r="HT30" s="1420"/>
      <c r="HU30" s="1420"/>
      <c r="HV30" s="1420"/>
      <c r="HW30" s="1420"/>
      <c r="HX30" s="1420"/>
      <c r="HY30" s="1420"/>
      <c r="HZ30" s="1420"/>
      <c r="IA30" s="1420"/>
      <c r="IB30" s="1420"/>
      <c r="IC30" s="1420"/>
      <c r="ID30" s="1420"/>
      <c r="IE30" s="1420"/>
      <c r="IF30" s="1420"/>
      <c r="IG30" s="1420"/>
      <c r="IH30" s="1420"/>
      <c r="II30" s="1420"/>
      <c r="IJ30" s="1420"/>
      <c r="IK30" s="1420"/>
      <c r="IL30" s="1420"/>
      <c r="IM30" s="1420"/>
      <c r="IN30" s="1420"/>
    </row>
    <row r="31" spans="1:248" s="1421" customFormat="1" ht="15" customHeight="1" x14ac:dyDescent="0.25">
      <c r="A31" s="1329">
        <v>44823</v>
      </c>
      <c r="B31" s="1047" t="s">
        <v>50</v>
      </c>
      <c r="C31" s="1381">
        <v>871073050</v>
      </c>
      <c r="D31" s="1039">
        <f t="shared" si="0"/>
        <v>44853</v>
      </c>
      <c r="E31" s="1040">
        <f t="shared" si="1"/>
        <v>2</v>
      </c>
      <c r="F31" s="1314">
        <v>871073050</v>
      </c>
      <c r="G31" s="1416">
        <v>44851</v>
      </c>
      <c r="H31" s="1358">
        <f t="shared" si="2"/>
        <v>28</v>
      </c>
      <c r="I31" s="1044">
        <f t="shared" si="3"/>
        <v>0</v>
      </c>
      <c r="J31" s="1045">
        <f t="shared" si="4"/>
        <v>5555510.3411111105</v>
      </c>
      <c r="K31" s="1414">
        <v>7.9699999999999993E-2</v>
      </c>
      <c r="L31" s="1435">
        <v>29</v>
      </c>
      <c r="M31" s="1416">
        <v>44852</v>
      </c>
      <c r="N31" s="1314">
        <f>C31/360*L31*K31</f>
        <v>5592530.9457361111</v>
      </c>
      <c r="O31" s="1418">
        <v>44851</v>
      </c>
      <c r="P31" s="1416"/>
      <c r="Q31" s="1435"/>
      <c r="R31" s="1416"/>
      <c r="S31" s="1045"/>
      <c r="T31" s="1418"/>
      <c r="U31" s="1419"/>
      <c r="V31" s="1419"/>
      <c r="W31" s="1419"/>
      <c r="X31" s="1419"/>
      <c r="Y31" s="1419"/>
      <c r="Z31" s="1420"/>
      <c r="AA31" s="1420"/>
      <c r="AB31" s="1420"/>
      <c r="AC31" s="1420"/>
      <c r="AD31" s="1420"/>
      <c r="AE31" s="1420"/>
      <c r="AF31" s="1420"/>
      <c r="AG31" s="1420"/>
      <c r="AH31" s="1420"/>
      <c r="AI31" s="1420"/>
      <c r="AJ31" s="1420"/>
      <c r="AK31" s="1420"/>
      <c r="AL31" s="1420"/>
      <c r="AM31" s="1420"/>
      <c r="AN31" s="1420"/>
      <c r="AO31" s="1420"/>
      <c r="AP31" s="1420"/>
      <c r="AQ31" s="1420"/>
      <c r="AR31" s="1420"/>
      <c r="AS31" s="1420"/>
      <c r="AT31" s="1420"/>
      <c r="AU31" s="1420"/>
      <c r="AV31" s="1420"/>
      <c r="AW31" s="1420"/>
      <c r="AX31" s="1420"/>
      <c r="AY31" s="1420"/>
      <c r="AZ31" s="1420"/>
      <c r="BA31" s="1420"/>
      <c r="BB31" s="1420"/>
      <c r="BC31" s="1420"/>
      <c r="BD31" s="1420"/>
      <c r="BE31" s="1420"/>
      <c r="BF31" s="1420"/>
      <c r="BG31" s="1420"/>
      <c r="BH31" s="1420"/>
      <c r="BI31" s="1420"/>
      <c r="BJ31" s="1420"/>
      <c r="BK31" s="1420"/>
      <c r="BL31" s="1420"/>
      <c r="BM31" s="1420"/>
      <c r="BN31" s="1420"/>
      <c r="BO31" s="1420"/>
      <c r="BP31" s="1420"/>
      <c r="BQ31" s="1420"/>
      <c r="BR31" s="1420"/>
      <c r="BS31" s="1420"/>
      <c r="BT31" s="1420"/>
      <c r="BU31" s="1420"/>
      <c r="BV31" s="1420"/>
      <c r="BW31" s="1420"/>
      <c r="BX31" s="1420"/>
      <c r="BY31" s="1420"/>
      <c r="BZ31" s="1420"/>
      <c r="CA31" s="1420"/>
      <c r="CB31" s="1420"/>
      <c r="CC31" s="1420"/>
      <c r="CD31" s="1420"/>
      <c r="CE31" s="1420"/>
      <c r="CF31" s="1420"/>
      <c r="CG31" s="1420"/>
      <c r="CH31" s="1420"/>
      <c r="CI31" s="1420"/>
      <c r="CJ31" s="1420"/>
      <c r="CK31" s="1420"/>
      <c r="CL31" s="1420"/>
      <c r="CM31" s="1420"/>
      <c r="CN31" s="1420"/>
      <c r="CO31" s="1420"/>
      <c r="CP31" s="1420"/>
      <c r="CQ31" s="1420"/>
      <c r="CR31" s="1420"/>
      <c r="CS31" s="1420"/>
      <c r="CT31" s="1420"/>
      <c r="CU31" s="1420"/>
      <c r="CV31" s="1420"/>
      <c r="CW31" s="1420"/>
      <c r="CX31" s="1420"/>
      <c r="CY31" s="1420"/>
      <c r="CZ31" s="1420"/>
      <c r="DA31" s="1420"/>
      <c r="DB31" s="1420"/>
      <c r="DC31" s="1420"/>
      <c r="DD31" s="1420"/>
      <c r="DE31" s="1420"/>
      <c r="DF31" s="1420"/>
      <c r="DG31" s="1420"/>
      <c r="DH31" s="1420"/>
      <c r="DI31" s="1420"/>
      <c r="DJ31" s="1420"/>
      <c r="DK31" s="1420"/>
      <c r="DL31" s="1420"/>
      <c r="DM31" s="1420"/>
      <c r="DN31" s="1420"/>
      <c r="DO31" s="1420"/>
      <c r="DP31" s="1420"/>
      <c r="DQ31" s="1420"/>
      <c r="DR31" s="1420"/>
      <c r="DS31" s="1420"/>
      <c r="DT31" s="1420"/>
      <c r="DU31" s="1420"/>
      <c r="DV31" s="1420"/>
      <c r="DW31" s="1420"/>
      <c r="DX31" s="1420"/>
      <c r="DY31" s="1420"/>
      <c r="DZ31" s="1420"/>
      <c r="EA31" s="1420"/>
      <c r="EB31" s="1420"/>
      <c r="EC31" s="1420"/>
      <c r="ED31" s="1420"/>
      <c r="EE31" s="1420"/>
      <c r="EF31" s="1420"/>
      <c r="EG31" s="1420"/>
      <c r="EH31" s="1420"/>
      <c r="EI31" s="1420"/>
      <c r="EJ31" s="1420"/>
      <c r="EK31" s="1420"/>
      <c r="EL31" s="1420"/>
      <c r="EM31" s="1420"/>
      <c r="EN31" s="1420"/>
      <c r="EO31" s="1420"/>
      <c r="EP31" s="1420"/>
      <c r="EQ31" s="1420"/>
      <c r="ER31" s="1420"/>
      <c r="ES31" s="1420"/>
      <c r="ET31" s="1420"/>
      <c r="EU31" s="1420"/>
      <c r="EV31" s="1420"/>
      <c r="EW31" s="1420"/>
      <c r="EX31" s="1420"/>
      <c r="EY31" s="1420"/>
      <c r="EZ31" s="1420"/>
      <c r="FA31" s="1420"/>
      <c r="FB31" s="1420"/>
      <c r="FC31" s="1420"/>
      <c r="FD31" s="1420"/>
      <c r="FE31" s="1420"/>
      <c r="FF31" s="1420"/>
      <c r="FG31" s="1420"/>
      <c r="FH31" s="1420"/>
      <c r="FI31" s="1420"/>
      <c r="FJ31" s="1420"/>
      <c r="FK31" s="1420"/>
      <c r="FL31" s="1420"/>
      <c r="FM31" s="1420"/>
      <c r="FN31" s="1420"/>
      <c r="FO31" s="1420"/>
      <c r="FP31" s="1420"/>
      <c r="FQ31" s="1420"/>
      <c r="FR31" s="1420"/>
      <c r="FS31" s="1420"/>
      <c r="FT31" s="1420"/>
      <c r="FU31" s="1420"/>
      <c r="FV31" s="1420"/>
      <c r="FW31" s="1420"/>
      <c r="FX31" s="1420"/>
      <c r="FY31" s="1420"/>
      <c r="FZ31" s="1420"/>
      <c r="GA31" s="1420"/>
      <c r="GB31" s="1420"/>
      <c r="GC31" s="1420"/>
      <c r="GD31" s="1420"/>
      <c r="GE31" s="1420"/>
      <c r="GF31" s="1420"/>
      <c r="GG31" s="1420"/>
      <c r="GH31" s="1420"/>
      <c r="GI31" s="1420"/>
      <c r="GJ31" s="1420"/>
      <c r="GK31" s="1420"/>
      <c r="GL31" s="1420"/>
      <c r="GM31" s="1420"/>
      <c r="GN31" s="1420"/>
      <c r="GO31" s="1420"/>
      <c r="GP31" s="1420"/>
      <c r="GQ31" s="1420"/>
      <c r="GR31" s="1420"/>
      <c r="GS31" s="1420"/>
      <c r="GT31" s="1420"/>
      <c r="GU31" s="1420"/>
      <c r="GV31" s="1420"/>
      <c r="GW31" s="1420"/>
      <c r="GX31" s="1420"/>
      <c r="GY31" s="1420"/>
      <c r="GZ31" s="1420"/>
      <c r="HA31" s="1420"/>
      <c r="HB31" s="1420"/>
      <c r="HC31" s="1420"/>
      <c r="HD31" s="1420"/>
      <c r="HE31" s="1420"/>
      <c r="HF31" s="1420"/>
      <c r="HG31" s="1420"/>
      <c r="HH31" s="1420"/>
      <c r="HI31" s="1420"/>
      <c r="HJ31" s="1420"/>
      <c r="HK31" s="1420"/>
      <c r="HL31" s="1420"/>
      <c r="HM31" s="1420"/>
      <c r="HN31" s="1420"/>
      <c r="HO31" s="1420"/>
      <c r="HP31" s="1420"/>
      <c r="HQ31" s="1420"/>
      <c r="HR31" s="1420"/>
      <c r="HS31" s="1420"/>
      <c r="HT31" s="1420"/>
      <c r="HU31" s="1420"/>
      <c r="HV31" s="1420"/>
      <c r="HW31" s="1420"/>
      <c r="HX31" s="1420"/>
      <c r="HY31" s="1420"/>
      <c r="HZ31" s="1420"/>
      <c r="IA31" s="1420"/>
      <c r="IB31" s="1420"/>
      <c r="IC31" s="1420"/>
      <c r="ID31" s="1420"/>
      <c r="IE31" s="1420"/>
      <c r="IF31" s="1420"/>
      <c r="IG31" s="1420"/>
      <c r="IH31" s="1420"/>
      <c r="II31" s="1420"/>
      <c r="IJ31" s="1420"/>
      <c r="IK31" s="1420"/>
      <c r="IL31" s="1420"/>
      <c r="IM31" s="1420"/>
      <c r="IN31" s="1420"/>
    </row>
    <row r="32" spans="1:248" s="1421" customFormat="1" ht="15" customHeight="1" x14ac:dyDescent="0.25">
      <c r="A32" s="1329">
        <v>44823</v>
      </c>
      <c r="B32" s="1047" t="s">
        <v>38</v>
      </c>
      <c r="C32" s="1381">
        <v>2001573220</v>
      </c>
      <c r="D32" s="1039">
        <f t="shared" si="0"/>
        <v>44853</v>
      </c>
      <c r="E32" s="1040">
        <f t="shared" si="1"/>
        <v>2</v>
      </c>
      <c r="F32" s="1314">
        <v>2001573220</v>
      </c>
      <c r="G32" s="1416">
        <v>44851</v>
      </c>
      <c r="H32" s="1358">
        <f t="shared" si="2"/>
        <v>28</v>
      </c>
      <c r="I32" s="1044">
        <f t="shared" si="3"/>
        <v>0</v>
      </c>
      <c r="J32" s="1045">
        <f t="shared" si="4"/>
        <v>12765589.20311111</v>
      </c>
      <c r="K32" s="1414">
        <v>7.9699999999999993E-2</v>
      </c>
      <c r="L32" s="1435">
        <v>29</v>
      </c>
      <c r="M32" s="1416">
        <v>44852</v>
      </c>
      <c r="N32" s="1314">
        <f t="shared" si="7"/>
        <v>12850656.064961109</v>
      </c>
      <c r="O32" s="1418">
        <v>44851</v>
      </c>
      <c r="P32" s="1416"/>
      <c r="Q32" s="1435"/>
      <c r="R32" s="1416"/>
      <c r="S32" s="1045"/>
      <c r="T32" s="1418"/>
      <c r="U32" s="1419"/>
      <c r="V32" s="1419"/>
      <c r="W32" s="1419"/>
      <c r="X32" s="1419"/>
      <c r="Y32" s="1419"/>
      <c r="Z32" s="1420"/>
      <c r="AA32" s="1420"/>
      <c r="AB32" s="1420"/>
      <c r="AC32" s="1420"/>
      <c r="AD32" s="1420"/>
      <c r="AE32" s="1420"/>
      <c r="AF32" s="1420"/>
      <c r="AG32" s="1420"/>
      <c r="AH32" s="1420"/>
      <c r="AI32" s="1420"/>
      <c r="AJ32" s="1420"/>
      <c r="AK32" s="1420"/>
      <c r="AL32" s="1420"/>
      <c r="AM32" s="1420"/>
      <c r="AN32" s="1420"/>
      <c r="AO32" s="1420"/>
      <c r="AP32" s="1420"/>
      <c r="AQ32" s="1420"/>
      <c r="AR32" s="1420"/>
      <c r="AS32" s="1420"/>
      <c r="AT32" s="1420"/>
      <c r="AU32" s="1420"/>
      <c r="AV32" s="1420"/>
      <c r="AW32" s="1420"/>
      <c r="AX32" s="1420"/>
      <c r="AY32" s="1420"/>
      <c r="AZ32" s="1420"/>
      <c r="BA32" s="1420"/>
      <c r="BB32" s="1420"/>
      <c r="BC32" s="1420"/>
      <c r="BD32" s="1420"/>
      <c r="BE32" s="1420"/>
      <c r="BF32" s="1420"/>
      <c r="BG32" s="1420"/>
      <c r="BH32" s="1420"/>
      <c r="BI32" s="1420"/>
      <c r="BJ32" s="1420"/>
      <c r="BK32" s="1420"/>
      <c r="BL32" s="1420"/>
      <c r="BM32" s="1420"/>
      <c r="BN32" s="1420"/>
      <c r="BO32" s="1420"/>
      <c r="BP32" s="1420"/>
      <c r="BQ32" s="1420"/>
      <c r="BR32" s="1420"/>
      <c r="BS32" s="1420"/>
      <c r="BT32" s="1420"/>
      <c r="BU32" s="1420"/>
      <c r="BV32" s="1420"/>
      <c r="BW32" s="1420"/>
      <c r="BX32" s="1420"/>
      <c r="BY32" s="1420"/>
      <c r="BZ32" s="1420"/>
      <c r="CA32" s="1420"/>
      <c r="CB32" s="1420"/>
      <c r="CC32" s="1420"/>
      <c r="CD32" s="1420"/>
      <c r="CE32" s="1420"/>
      <c r="CF32" s="1420"/>
      <c r="CG32" s="1420"/>
      <c r="CH32" s="1420"/>
      <c r="CI32" s="1420"/>
      <c r="CJ32" s="1420"/>
      <c r="CK32" s="1420"/>
      <c r="CL32" s="1420"/>
      <c r="CM32" s="1420"/>
      <c r="CN32" s="1420"/>
      <c r="CO32" s="1420"/>
      <c r="CP32" s="1420"/>
      <c r="CQ32" s="1420"/>
      <c r="CR32" s="1420"/>
      <c r="CS32" s="1420"/>
      <c r="CT32" s="1420"/>
      <c r="CU32" s="1420"/>
      <c r="CV32" s="1420"/>
      <c r="CW32" s="1420"/>
      <c r="CX32" s="1420"/>
      <c r="CY32" s="1420"/>
      <c r="CZ32" s="1420"/>
      <c r="DA32" s="1420"/>
      <c r="DB32" s="1420"/>
      <c r="DC32" s="1420"/>
      <c r="DD32" s="1420"/>
      <c r="DE32" s="1420"/>
      <c r="DF32" s="1420"/>
      <c r="DG32" s="1420"/>
      <c r="DH32" s="1420"/>
      <c r="DI32" s="1420"/>
      <c r="DJ32" s="1420"/>
      <c r="DK32" s="1420"/>
      <c r="DL32" s="1420"/>
      <c r="DM32" s="1420"/>
      <c r="DN32" s="1420"/>
      <c r="DO32" s="1420"/>
      <c r="DP32" s="1420"/>
      <c r="DQ32" s="1420"/>
      <c r="DR32" s="1420"/>
      <c r="DS32" s="1420"/>
      <c r="DT32" s="1420"/>
      <c r="DU32" s="1420"/>
      <c r="DV32" s="1420"/>
      <c r="DW32" s="1420"/>
      <c r="DX32" s="1420"/>
      <c r="DY32" s="1420"/>
      <c r="DZ32" s="1420"/>
      <c r="EA32" s="1420"/>
      <c r="EB32" s="1420"/>
      <c r="EC32" s="1420"/>
      <c r="ED32" s="1420"/>
      <c r="EE32" s="1420"/>
      <c r="EF32" s="1420"/>
      <c r="EG32" s="1420"/>
      <c r="EH32" s="1420"/>
      <c r="EI32" s="1420"/>
      <c r="EJ32" s="1420"/>
      <c r="EK32" s="1420"/>
      <c r="EL32" s="1420"/>
      <c r="EM32" s="1420"/>
      <c r="EN32" s="1420"/>
      <c r="EO32" s="1420"/>
      <c r="EP32" s="1420"/>
      <c r="EQ32" s="1420"/>
      <c r="ER32" s="1420"/>
      <c r="ES32" s="1420"/>
      <c r="ET32" s="1420"/>
      <c r="EU32" s="1420"/>
      <c r="EV32" s="1420"/>
      <c r="EW32" s="1420"/>
      <c r="EX32" s="1420"/>
      <c r="EY32" s="1420"/>
      <c r="EZ32" s="1420"/>
      <c r="FA32" s="1420"/>
      <c r="FB32" s="1420"/>
      <c r="FC32" s="1420"/>
      <c r="FD32" s="1420"/>
      <c r="FE32" s="1420"/>
      <c r="FF32" s="1420"/>
      <c r="FG32" s="1420"/>
      <c r="FH32" s="1420"/>
      <c r="FI32" s="1420"/>
      <c r="FJ32" s="1420"/>
      <c r="FK32" s="1420"/>
      <c r="FL32" s="1420"/>
      <c r="FM32" s="1420"/>
      <c r="FN32" s="1420"/>
      <c r="FO32" s="1420"/>
      <c r="FP32" s="1420"/>
      <c r="FQ32" s="1420"/>
      <c r="FR32" s="1420"/>
      <c r="FS32" s="1420"/>
      <c r="FT32" s="1420"/>
      <c r="FU32" s="1420"/>
      <c r="FV32" s="1420"/>
      <c r="FW32" s="1420"/>
      <c r="FX32" s="1420"/>
      <c r="FY32" s="1420"/>
      <c r="FZ32" s="1420"/>
      <c r="GA32" s="1420"/>
      <c r="GB32" s="1420"/>
      <c r="GC32" s="1420"/>
      <c r="GD32" s="1420"/>
      <c r="GE32" s="1420"/>
      <c r="GF32" s="1420"/>
      <c r="GG32" s="1420"/>
      <c r="GH32" s="1420"/>
      <c r="GI32" s="1420"/>
      <c r="GJ32" s="1420"/>
      <c r="GK32" s="1420"/>
      <c r="GL32" s="1420"/>
      <c r="GM32" s="1420"/>
      <c r="GN32" s="1420"/>
      <c r="GO32" s="1420"/>
      <c r="GP32" s="1420"/>
      <c r="GQ32" s="1420"/>
      <c r="GR32" s="1420"/>
      <c r="GS32" s="1420"/>
      <c r="GT32" s="1420"/>
      <c r="GU32" s="1420"/>
      <c r="GV32" s="1420"/>
      <c r="GW32" s="1420"/>
      <c r="GX32" s="1420"/>
      <c r="GY32" s="1420"/>
      <c r="GZ32" s="1420"/>
      <c r="HA32" s="1420"/>
      <c r="HB32" s="1420"/>
      <c r="HC32" s="1420"/>
      <c r="HD32" s="1420"/>
      <c r="HE32" s="1420"/>
      <c r="HF32" s="1420"/>
      <c r="HG32" s="1420"/>
      <c r="HH32" s="1420"/>
      <c r="HI32" s="1420"/>
      <c r="HJ32" s="1420"/>
      <c r="HK32" s="1420"/>
      <c r="HL32" s="1420"/>
      <c r="HM32" s="1420"/>
      <c r="HN32" s="1420"/>
      <c r="HO32" s="1420"/>
      <c r="HP32" s="1420"/>
      <c r="HQ32" s="1420"/>
      <c r="HR32" s="1420"/>
      <c r="HS32" s="1420"/>
      <c r="HT32" s="1420"/>
      <c r="HU32" s="1420"/>
      <c r="HV32" s="1420"/>
      <c r="HW32" s="1420"/>
      <c r="HX32" s="1420"/>
      <c r="HY32" s="1420"/>
      <c r="HZ32" s="1420"/>
      <c r="IA32" s="1420"/>
      <c r="IB32" s="1420"/>
      <c r="IC32" s="1420"/>
      <c r="ID32" s="1420"/>
      <c r="IE32" s="1420"/>
      <c r="IF32" s="1420"/>
      <c r="IG32" s="1420"/>
      <c r="IH32" s="1420"/>
      <c r="II32" s="1420"/>
      <c r="IJ32" s="1420"/>
      <c r="IK32" s="1420"/>
      <c r="IL32" s="1420"/>
      <c r="IM32" s="1420"/>
      <c r="IN32" s="1420"/>
    </row>
    <row r="33" spans="1:248" s="1421" customFormat="1" ht="15" customHeight="1" x14ac:dyDescent="0.25">
      <c r="A33" s="1329">
        <v>44823</v>
      </c>
      <c r="B33" s="1047" t="s">
        <v>59</v>
      </c>
      <c r="C33" s="1381">
        <v>536627450</v>
      </c>
      <c r="D33" s="1039">
        <f t="shared" si="0"/>
        <v>44853</v>
      </c>
      <c r="E33" s="1040">
        <f t="shared" si="1"/>
        <v>2</v>
      </c>
      <c r="F33" s="1314">
        <v>536627450</v>
      </c>
      <c r="G33" s="1416">
        <v>44851</v>
      </c>
      <c r="H33" s="1358">
        <f t="shared" si="2"/>
        <v>28</v>
      </c>
      <c r="I33" s="1044">
        <f t="shared" si="3"/>
        <v>0</v>
      </c>
      <c r="J33" s="1045">
        <f t="shared" si="4"/>
        <v>3422490.6255555553</v>
      </c>
      <c r="K33" s="1414">
        <v>7.9699999999999993E-2</v>
      </c>
      <c r="L33" s="1435">
        <v>29</v>
      </c>
      <c r="M33" s="1416">
        <v>44852</v>
      </c>
      <c r="N33" s="1314">
        <f t="shared" si="7"/>
        <v>3445297.2921805554</v>
      </c>
      <c r="O33" s="1418">
        <v>44851</v>
      </c>
      <c r="P33" s="1416"/>
      <c r="Q33" s="1435"/>
      <c r="R33" s="1416"/>
      <c r="S33" s="1045"/>
      <c r="T33" s="1418"/>
      <c r="U33" s="1419"/>
      <c r="V33" s="1419"/>
      <c r="W33" s="1419"/>
      <c r="X33" s="1419"/>
      <c r="Y33" s="1419"/>
      <c r="Z33" s="1420"/>
      <c r="AA33" s="1420"/>
      <c r="AB33" s="1420"/>
      <c r="AC33" s="1420"/>
      <c r="AD33" s="1420"/>
      <c r="AE33" s="1420"/>
      <c r="AF33" s="1420"/>
      <c r="AG33" s="1420"/>
      <c r="AH33" s="1420"/>
      <c r="AI33" s="1420"/>
      <c r="AJ33" s="1420"/>
      <c r="AK33" s="1420"/>
      <c r="AL33" s="1420"/>
      <c r="AM33" s="1420"/>
      <c r="AN33" s="1420"/>
      <c r="AO33" s="1420"/>
      <c r="AP33" s="1420"/>
      <c r="AQ33" s="1420"/>
      <c r="AR33" s="1420"/>
      <c r="AS33" s="1420"/>
      <c r="AT33" s="1420"/>
      <c r="AU33" s="1420"/>
      <c r="AV33" s="1420"/>
      <c r="AW33" s="1420"/>
      <c r="AX33" s="1420"/>
      <c r="AY33" s="1420"/>
      <c r="AZ33" s="1420"/>
      <c r="BA33" s="1420"/>
      <c r="BB33" s="1420"/>
      <c r="BC33" s="1420"/>
      <c r="BD33" s="1420"/>
      <c r="BE33" s="1420"/>
      <c r="BF33" s="1420"/>
      <c r="BG33" s="1420"/>
      <c r="BH33" s="1420"/>
      <c r="BI33" s="1420"/>
      <c r="BJ33" s="1420"/>
      <c r="BK33" s="1420"/>
      <c r="BL33" s="1420"/>
      <c r="BM33" s="1420"/>
      <c r="BN33" s="1420"/>
      <c r="BO33" s="1420"/>
      <c r="BP33" s="1420"/>
      <c r="BQ33" s="1420"/>
      <c r="BR33" s="1420"/>
      <c r="BS33" s="1420"/>
      <c r="BT33" s="1420"/>
      <c r="BU33" s="1420"/>
      <c r="BV33" s="1420"/>
      <c r="BW33" s="1420"/>
      <c r="BX33" s="1420"/>
      <c r="BY33" s="1420"/>
      <c r="BZ33" s="1420"/>
      <c r="CA33" s="1420"/>
      <c r="CB33" s="1420"/>
      <c r="CC33" s="1420"/>
      <c r="CD33" s="1420"/>
      <c r="CE33" s="1420"/>
      <c r="CF33" s="1420"/>
      <c r="CG33" s="1420"/>
      <c r="CH33" s="1420"/>
      <c r="CI33" s="1420"/>
      <c r="CJ33" s="1420"/>
      <c r="CK33" s="1420"/>
      <c r="CL33" s="1420"/>
      <c r="CM33" s="1420"/>
      <c r="CN33" s="1420"/>
      <c r="CO33" s="1420"/>
      <c r="CP33" s="1420"/>
      <c r="CQ33" s="1420"/>
      <c r="CR33" s="1420"/>
      <c r="CS33" s="1420"/>
      <c r="CT33" s="1420"/>
      <c r="CU33" s="1420"/>
      <c r="CV33" s="1420"/>
      <c r="CW33" s="1420"/>
      <c r="CX33" s="1420"/>
      <c r="CY33" s="1420"/>
      <c r="CZ33" s="1420"/>
      <c r="DA33" s="1420"/>
      <c r="DB33" s="1420"/>
      <c r="DC33" s="1420"/>
      <c r="DD33" s="1420"/>
      <c r="DE33" s="1420"/>
      <c r="DF33" s="1420"/>
      <c r="DG33" s="1420"/>
      <c r="DH33" s="1420"/>
      <c r="DI33" s="1420"/>
      <c r="DJ33" s="1420"/>
      <c r="DK33" s="1420"/>
      <c r="DL33" s="1420"/>
      <c r="DM33" s="1420"/>
      <c r="DN33" s="1420"/>
      <c r="DO33" s="1420"/>
      <c r="DP33" s="1420"/>
      <c r="DQ33" s="1420"/>
      <c r="DR33" s="1420"/>
      <c r="DS33" s="1420"/>
      <c r="DT33" s="1420"/>
      <c r="DU33" s="1420"/>
      <c r="DV33" s="1420"/>
      <c r="DW33" s="1420"/>
      <c r="DX33" s="1420"/>
      <c r="DY33" s="1420"/>
      <c r="DZ33" s="1420"/>
      <c r="EA33" s="1420"/>
      <c r="EB33" s="1420"/>
      <c r="EC33" s="1420"/>
      <c r="ED33" s="1420"/>
      <c r="EE33" s="1420"/>
      <c r="EF33" s="1420"/>
      <c r="EG33" s="1420"/>
      <c r="EH33" s="1420"/>
      <c r="EI33" s="1420"/>
      <c r="EJ33" s="1420"/>
      <c r="EK33" s="1420"/>
      <c r="EL33" s="1420"/>
      <c r="EM33" s="1420"/>
      <c r="EN33" s="1420"/>
      <c r="EO33" s="1420"/>
      <c r="EP33" s="1420"/>
      <c r="EQ33" s="1420"/>
      <c r="ER33" s="1420"/>
      <c r="ES33" s="1420"/>
      <c r="ET33" s="1420"/>
      <c r="EU33" s="1420"/>
      <c r="EV33" s="1420"/>
      <c r="EW33" s="1420"/>
      <c r="EX33" s="1420"/>
      <c r="EY33" s="1420"/>
      <c r="EZ33" s="1420"/>
      <c r="FA33" s="1420"/>
      <c r="FB33" s="1420"/>
      <c r="FC33" s="1420"/>
      <c r="FD33" s="1420"/>
      <c r="FE33" s="1420"/>
      <c r="FF33" s="1420"/>
      <c r="FG33" s="1420"/>
      <c r="FH33" s="1420"/>
      <c r="FI33" s="1420"/>
      <c r="FJ33" s="1420"/>
      <c r="FK33" s="1420"/>
      <c r="FL33" s="1420"/>
      <c r="FM33" s="1420"/>
      <c r="FN33" s="1420"/>
      <c r="FO33" s="1420"/>
      <c r="FP33" s="1420"/>
      <c r="FQ33" s="1420"/>
      <c r="FR33" s="1420"/>
      <c r="FS33" s="1420"/>
      <c r="FT33" s="1420"/>
      <c r="FU33" s="1420"/>
      <c r="FV33" s="1420"/>
      <c r="FW33" s="1420"/>
      <c r="FX33" s="1420"/>
      <c r="FY33" s="1420"/>
      <c r="FZ33" s="1420"/>
      <c r="GA33" s="1420"/>
      <c r="GB33" s="1420"/>
      <c r="GC33" s="1420"/>
      <c r="GD33" s="1420"/>
      <c r="GE33" s="1420"/>
      <c r="GF33" s="1420"/>
      <c r="GG33" s="1420"/>
      <c r="GH33" s="1420"/>
      <c r="GI33" s="1420"/>
      <c r="GJ33" s="1420"/>
      <c r="GK33" s="1420"/>
      <c r="GL33" s="1420"/>
      <c r="GM33" s="1420"/>
      <c r="GN33" s="1420"/>
      <c r="GO33" s="1420"/>
      <c r="GP33" s="1420"/>
      <c r="GQ33" s="1420"/>
      <c r="GR33" s="1420"/>
      <c r="GS33" s="1420"/>
      <c r="GT33" s="1420"/>
      <c r="GU33" s="1420"/>
      <c r="GV33" s="1420"/>
      <c r="GW33" s="1420"/>
      <c r="GX33" s="1420"/>
      <c r="GY33" s="1420"/>
      <c r="GZ33" s="1420"/>
      <c r="HA33" s="1420"/>
      <c r="HB33" s="1420"/>
      <c r="HC33" s="1420"/>
      <c r="HD33" s="1420"/>
      <c r="HE33" s="1420"/>
      <c r="HF33" s="1420"/>
      <c r="HG33" s="1420"/>
      <c r="HH33" s="1420"/>
      <c r="HI33" s="1420"/>
      <c r="HJ33" s="1420"/>
      <c r="HK33" s="1420"/>
      <c r="HL33" s="1420"/>
      <c r="HM33" s="1420"/>
      <c r="HN33" s="1420"/>
      <c r="HO33" s="1420"/>
      <c r="HP33" s="1420"/>
      <c r="HQ33" s="1420"/>
      <c r="HR33" s="1420"/>
      <c r="HS33" s="1420"/>
      <c r="HT33" s="1420"/>
      <c r="HU33" s="1420"/>
      <c r="HV33" s="1420"/>
      <c r="HW33" s="1420"/>
      <c r="HX33" s="1420"/>
      <c r="HY33" s="1420"/>
      <c r="HZ33" s="1420"/>
      <c r="IA33" s="1420"/>
      <c r="IB33" s="1420"/>
      <c r="IC33" s="1420"/>
      <c r="ID33" s="1420"/>
      <c r="IE33" s="1420"/>
      <c r="IF33" s="1420"/>
      <c r="IG33" s="1420"/>
      <c r="IH33" s="1420"/>
      <c r="II33" s="1420"/>
      <c r="IJ33" s="1420"/>
      <c r="IK33" s="1420"/>
      <c r="IL33" s="1420"/>
      <c r="IM33" s="1420"/>
      <c r="IN33" s="1420"/>
    </row>
    <row r="34" spans="1:248" s="1421" customFormat="1" ht="15" customHeight="1" x14ac:dyDescent="0.25">
      <c r="A34" s="1329">
        <v>44823</v>
      </c>
      <c r="B34" s="1047" t="s">
        <v>29</v>
      </c>
      <c r="C34" s="1381">
        <v>496906590</v>
      </c>
      <c r="D34" s="1039">
        <f t="shared" si="0"/>
        <v>44853</v>
      </c>
      <c r="E34" s="1040">
        <f t="shared" si="1"/>
        <v>2</v>
      </c>
      <c r="F34" s="1314">
        <v>496906590</v>
      </c>
      <c r="G34" s="1416">
        <v>44851</v>
      </c>
      <c r="H34" s="1358">
        <f t="shared" si="2"/>
        <v>28</v>
      </c>
      <c r="I34" s="1044">
        <f t="shared" si="3"/>
        <v>0</v>
      </c>
      <c r="J34" s="1045">
        <f t="shared" si="4"/>
        <v>3169159.807333333</v>
      </c>
      <c r="K34" s="1414">
        <v>7.9699999999999993E-2</v>
      </c>
      <c r="L34" s="1435">
        <v>29</v>
      </c>
      <c r="M34" s="1416">
        <v>44852</v>
      </c>
      <c r="N34" s="1314">
        <f t="shared" si="7"/>
        <v>3190278.3374083331</v>
      </c>
      <c r="O34" s="1418">
        <v>44851</v>
      </c>
      <c r="P34" s="1416"/>
      <c r="Q34" s="1435"/>
      <c r="R34" s="1416"/>
      <c r="S34" s="1045"/>
      <c r="T34" s="1418"/>
      <c r="U34" s="1419"/>
      <c r="V34" s="1419"/>
      <c r="W34" s="1419"/>
      <c r="X34" s="1419"/>
      <c r="Y34" s="1419"/>
      <c r="Z34" s="1420"/>
      <c r="AA34" s="1420"/>
      <c r="AB34" s="1420"/>
      <c r="AC34" s="1420"/>
      <c r="AD34" s="1420"/>
      <c r="AE34" s="1420"/>
      <c r="AF34" s="1420"/>
      <c r="AG34" s="1420"/>
      <c r="AH34" s="1420"/>
      <c r="AI34" s="1420"/>
      <c r="AJ34" s="1420"/>
      <c r="AK34" s="1420"/>
      <c r="AL34" s="1420"/>
      <c r="AM34" s="1420"/>
      <c r="AN34" s="1420"/>
      <c r="AO34" s="1420"/>
      <c r="AP34" s="1420"/>
      <c r="AQ34" s="1420"/>
      <c r="AR34" s="1420"/>
      <c r="AS34" s="1420"/>
      <c r="AT34" s="1420"/>
      <c r="AU34" s="1420"/>
      <c r="AV34" s="1420"/>
      <c r="AW34" s="1420"/>
      <c r="AX34" s="1420"/>
      <c r="AY34" s="1420"/>
      <c r="AZ34" s="1420"/>
      <c r="BA34" s="1420"/>
      <c r="BB34" s="1420"/>
      <c r="BC34" s="1420"/>
      <c r="BD34" s="1420"/>
      <c r="BE34" s="1420"/>
      <c r="BF34" s="1420"/>
      <c r="BG34" s="1420"/>
      <c r="BH34" s="1420"/>
      <c r="BI34" s="1420"/>
      <c r="BJ34" s="1420"/>
      <c r="BK34" s="1420"/>
      <c r="BL34" s="1420"/>
      <c r="BM34" s="1420"/>
      <c r="BN34" s="1420"/>
      <c r="BO34" s="1420"/>
      <c r="BP34" s="1420"/>
      <c r="BQ34" s="1420"/>
      <c r="BR34" s="1420"/>
      <c r="BS34" s="1420"/>
      <c r="BT34" s="1420"/>
      <c r="BU34" s="1420"/>
      <c r="BV34" s="1420"/>
      <c r="BW34" s="1420"/>
      <c r="BX34" s="1420"/>
      <c r="BY34" s="1420"/>
      <c r="BZ34" s="1420"/>
      <c r="CA34" s="1420"/>
      <c r="CB34" s="1420"/>
      <c r="CC34" s="1420"/>
      <c r="CD34" s="1420"/>
      <c r="CE34" s="1420"/>
      <c r="CF34" s="1420"/>
      <c r="CG34" s="1420"/>
      <c r="CH34" s="1420"/>
      <c r="CI34" s="1420"/>
      <c r="CJ34" s="1420"/>
      <c r="CK34" s="1420"/>
      <c r="CL34" s="1420"/>
      <c r="CM34" s="1420"/>
      <c r="CN34" s="1420"/>
      <c r="CO34" s="1420"/>
      <c r="CP34" s="1420"/>
      <c r="CQ34" s="1420"/>
      <c r="CR34" s="1420"/>
      <c r="CS34" s="1420"/>
      <c r="CT34" s="1420"/>
      <c r="CU34" s="1420"/>
      <c r="CV34" s="1420"/>
      <c r="CW34" s="1420"/>
      <c r="CX34" s="1420"/>
      <c r="CY34" s="1420"/>
      <c r="CZ34" s="1420"/>
      <c r="DA34" s="1420"/>
      <c r="DB34" s="1420"/>
      <c r="DC34" s="1420"/>
      <c r="DD34" s="1420"/>
      <c r="DE34" s="1420"/>
      <c r="DF34" s="1420"/>
      <c r="DG34" s="1420"/>
      <c r="DH34" s="1420"/>
      <c r="DI34" s="1420"/>
      <c r="DJ34" s="1420"/>
      <c r="DK34" s="1420"/>
      <c r="DL34" s="1420"/>
      <c r="DM34" s="1420"/>
      <c r="DN34" s="1420"/>
      <c r="DO34" s="1420"/>
      <c r="DP34" s="1420"/>
      <c r="DQ34" s="1420"/>
      <c r="DR34" s="1420"/>
      <c r="DS34" s="1420"/>
      <c r="DT34" s="1420"/>
      <c r="DU34" s="1420"/>
      <c r="DV34" s="1420"/>
      <c r="DW34" s="1420"/>
      <c r="DX34" s="1420"/>
      <c r="DY34" s="1420"/>
      <c r="DZ34" s="1420"/>
      <c r="EA34" s="1420"/>
      <c r="EB34" s="1420"/>
      <c r="EC34" s="1420"/>
      <c r="ED34" s="1420"/>
      <c r="EE34" s="1420"/>
      <c r="EF34" s="1420"/>
      <c r="EG34" s="1420"/>
      <c r="EH34" s="1420"/>
      <c r="EI34" s="1420"/>
      <c r="EJ34" s="1420"/>
      <c r="EK34" s="1420"/>
      <c r="EL34" s="1420"/>
      <c r="EM34" s="1420"/>
      <c r="EN34" s="1420"/>
      <c r="EO34" s="1420"/>
      <c r="EP34" s="1420"/>
      <c r="EQ34" s="1420"/>
      <c r="ER34" s="1420"/>
      <c r="ES34" s="1420"/>
      <c r="ET34" s="1420"/>
      <c r="EU34" s="1420"/>
      <c r="EV34" s="1420"/>
      <c r="EW34" s="1420"/>
      <c r="EX34" s="1420"/>
      <c r="EY34" s="1420"/>
      <c r="EZ34" s="1420"/>
      <c r="FA34" s="1420"/>
      <c r="FB34" s="1420"/>
      <c r="FC34" s="1420"/>
      <c r="FD34" s="1420"/>
      <c r="FE34" s="1420"/>
      <c r="FF34" s="1420"/>
      <c r="FG34" s="1420"/>
      <c r="FH34" s="1420"/>
      <c r="FI34" s="1420"/>
      <c r="FJ34" s="1420"/>
      <c r="FK34" s="1420"/>
      <c r="FL34" s="1420"/>
      <c r="FM34" s="1420"/>
      <c r="FN34" s="1420"/>
      <c r="FO34" s="1420"/>
      <c r="FP34" s="1420"/>
      <c r="FQ34" s="1420"/>
      <c r="FR34" s="1420"/>
      <c r="FS34" s="1420"/>
      <c r="FT34" s="1420"/>
      <c r="FU34" s="1420"/>
      <c r="FV34" s="1420"/>
      <c r="FW34" s="1420"/>
      <c r="FX34" s="1420"/>
      <c r="FY34" s="1420"/>
      <c r="FZ34" s="1420"/>
      <c r="GA34" s="1420"/>
      <c r="GB34" s="1420"/>
      <c r="GC34" s="1420"/>
      <c r="GD34" s="1420"/>
      <c r="GE34" s="1420"/>
      <c r="GF34" s="1420"/>
      <c r="GG34" s="1420"/>
      <c r="GH34" s="1420"/>
      <c r="GI34" s="1420"/>
      <c r="GJ34" s="1420"/>
      <c r="GK34" s="1420"/>
      <c r="GL34" s="1420"/>
      <c r="GM34" s="1420"/>
      <c r="GN34" s="1420"/>
      <c r="GO34" s="1420"/>
      <c r="GP34" s="1420"/>
      <c r="GQ34" s="1420"/>
      <c r="GR34" s="1420"/>
      <c r="GS34" s="1420"/>
      <c r="GT34" s="1420"/>
      <c r="GU34" s="1420"/>
      <c r="GV34" s="1420"/>
      <c r="GW34" s="1420"/>
      <c r="GX34" s="1420"/>
      <c r="GY34" s="1420"/>
      <c r="GZ34" s="1420"/>
      <c r="HA34" s="1420"/>
      <c r="HB34" s="1420"/>
      <c r="HC34" s="1420"/>
      <c r="HD34" s="1420"/>
      <c r="HE34" s="1420"/>
      <c r="HF34" s="1420"/>
      <c r="HG34" s="1420"/>
      <c r="HH34" s="1420"/>
      <c r="HI34" s="1420"/>
      <c r="HJ34" s="1420"/>
      <c r="HK34" s="1420"/>
      <c r="HL34" s="1420"/>
      <c r="HM34" s="1420"/>
      <c r="HN34" s="1420"/>
      <c r="HO34" s="1420"/>
      <c r="HP34" s="1420"/>
      <c r="HQ34" s="1420"/>
      <c r="HR34" s="1420"/>
      <c r="HS34" s="1420"/>
      <c r="HT34" s="1420"/>
      <c r="HU34" s="1420"/>
      <c r="HV34" s="1420"/>
      <c r="HW34" s="1420"/>
      <c r="HX34" s="1420"/>
      <c r="HY34" s="1420"/>
      <c r="HZ34" s="1420"/>
      <c r="IA34" s="1420"/>
      <c r="IB34" s="1420"/>
      <c r="IC34" s="1420"/>
      <c r="ID34" s="1420"/>
      <c r="IE34" s="1420"/>
      <c r="IF34" s="1420"/>
      <c r="IG34" s="1420"/>
      <c r="IH34" s="1420"/>
      <c r="II34" s="1420"/>
      <c r="IJ34" s="1420"/>
      <c r="IK34" s="1420"/>
      <c r="IL34" s="1420"/>
      <c r="IM34" s="1420"/>
      <c r="IN34" s="1420"/>
    </row>
    <row r="35" spans="1:248" s="1421" customFormat="1" ht="15" customHeight="1" x14ac:dyDescent="0.25">
      <c r="A35" s="1329">
        <v>44825</v>
      </c>
      <c r="B35" s="1047" t="s">
        <v>50</v>
      </c>
      <c r="C35" s="1381">
        <v>1431881995</v>
      </c>
      <c r="D35" s="1039">
        <f t="shared" si="0"/>
        <v>44855</v>
      </c>
      <c r="E35" s="1040">
        <f t="shared" si="1"/>
        <v>44855</v>
      </c>
      <c r="F35" s="1314"/>
      <c r="G35" s="1416"/>
      <c r="H35" s="1417"/>
      <c r="I35" s="1044">
        <f t="shared" si="3"/>
        <v>1431881995</v>
      </c>
      <c r="J35" s="1314"/>
      <c r="K35" s="1044"/>
      <c r="L35" s="1044"/>
      <c r="M35" s="1368"/>
      <c r="N35" s="1314"/>
      <c r="O35" s="1416"/>
      <c r="P35" s="1416"/>
      <c r="Q35" s="1435"/>
      <c r="R35" s="1416"/>
      <c r="S35" s="1314"/>
      <c r="T35" s="1418"/>
      <c r="U35" s="1419"/>
      <c r="V35" s="1419"/>
      <c r="W35" s="1419"/>
      <c r="X35" s="1419"/>
      <c r="Y35" s="1419"/>
      <c r="Z35" s="1420"/>
      <c r="AA35" s="1420"/>
      <c r="AB35" s="1420"/>
      <c r="AC35" s="1420"/>
      <c r="AD35" s="1420"/>
      <c r="AE35" s="1420"/>
      <c r="AF35" s="1420"/>
      <c r="AG35" s="1420"/>
      <c r="AH35" s="1420"/>
      <c r="AI35" s="1420"/>
      <c r="AJ35" s="1420"/>
      <c r="AK35" s="1420"/>
      <c r="AL35" s="1420"/>
      <c r="AM35" s="1420"/>
      <c r="AN35" s="1420"/>
      <c r="AO35" s="1420"/>
      <c r="AP35" s="1420"/>
      <c r="AQ35" s="1420"/>
      <c r="AR35" s="1420"/>
      <c r="AS35" s="1420"/>
      <c r="AT35" s="1420"/>
      <c r="AU35" s="1420"/>
      <c r="AV35" s="1420"/>
      <c r="AW35" s="1420"/>
      <c r="AX35" s="1420"/>
      <c r="AY35" s="1420"/>
      <c r="AZ35" s="1420"/>
      <c r="BA35" s="1420"/>
      <c r="BB35" s="1420"/>
      <c r="BC35" s="1420"/>
      <c r="BD35" s="1420"/>
      <c r="BE35" s="1420"/>
      <c r="BF35" s="1420"/>
      <c r="BG35" s="1420"/>
      <c r="BH35" s="1420"/>
      <c r="BI35" s="1420"/>
      <c r="BJ35" s="1420"/>
      <c r="BK35" s="1420"/>
      <c r="BL35" s="1420"/>
      <c r="BM35" s="1420"/>
      <c r="BN35" s="1420"/>
      <c r="BO35" s="1420"/>
      <c r="BP35" s="1420"/>
      <c r="BQ35" s="1420"/>
      <c r="BR35" s="1420"/>
      <c r="BS35" s="1420"/>
      <c r="BT35" s="1420"/>
      <c r="BU35" s="1420"/>
      <c r="BV35" s="1420"/>
      <c r="BW35" s="1420"/>
      <c r="BX35" s="1420"/>
      <c r="BY35" s="1420"/>
      <c r="BZ35" s="1420"/>
      <c r="CA35" s="1420"/>
      <c r="CB35" s="1420"/>
      <c r="CC35" s="1420"/>
      <c r="CD35" s="1420"/>
      <c r="CE35" s="1420"/>
      <c r="CF35" s="1420"/>
      <c r="CG35" s="1420"/>
      <c r="CH35" s="1420"/>
      <c r="CI35" s="1420"/>
      <c r="CJ35" s="1420"/>
      <c r="CK35" s="1420"/>
      <c r="CL35" s="1420"/>
      <c r="CM35" s="1420"/>
      <c r="CN35" s="1420"/>
      <c r="CO35" s="1420"/>
      <c r="CP35" s="1420"/>
      <c r="CQ35" s="1420"/>
      <c r="CR35" s="1420"/>
      <c r="CS35" s="1420"/>
      <c r="CT35" s="1420"/>
      <c r="CU35" s="1420"/>
      <c r="CV35" s="1420"/>
      <c r="CW35" s="1420"/>
      <c r="CX35" s="1420"/>
      <c r="CY35" s="1420"/>
      <c r="CZ35" s="1420"/>
      <c r="DA35" s="1420"/>
      <c r="DB35" s="1420"/>
      <c r="DC35" s="1420"/>
      <c r="DD35" s="1420"/>
      <c r="DE35" s="1420"/>
      <c r="DF35" s="1420"/>
      <c r="DG35" s="1420"/>
      <c r="DH35" s="1420"/>
      <c r="DI35" s="1420"/>
      <c r="DJ35" s="1420"/>
      <c r="DK35" s="1420"/>
      <c r="DL35" s="1420"/>
      <c r="DM35" s="1420"/>
      <c r="DN35" s="1420"/>
      <c r="DO35" s="1420"/>
      <c r="DP35" s="1420"/>
      <c r="DQ35" s="1420"/>
      <c r="DR35" s="1420"/>
      <c r="DS35" s="1420"/>
      <c r="DT35" s="1420"/>
      <c r="DU35" s="1420"/>
      <c r="DV35" s="1420"/>
      <c r="DW35" s="1420"/>
      <c r="DX35" s="1420"/>
      <c r="DY35" s="1420"/>
      <c r="DZ35" s="1420"/>
      <c r="EA35" s="1420"/>
      <c r="EB35" s="1420"/>
      <c r="EC35" s="1420"/>
      <c r="ED35" s="1420"/>
      <c r="EE35" s="1420"/>
      <c r="EF35" s="1420"/>
      <c r="EG35" s="1420"/>
      <c r="EH35" s="1420"/>
      <c r="EI35" s="1420"/>
      <c r="EJ35" s="1420"/>
      <c r="EK35" s="1420"/>
      <c r="EL35" s="1420"/>
      <c r="EM35" s="1420"/>
      <c r="EN35" s="1420"/>
      <c r="EO35" s="1420"/>
      <c r="EP35" s="1420"/>
      <c r="EQ35" s="1420"/>
      <c r="ER35" s="1420"/>
      <c r="ES35" s="1420"/>
      <c r="ET35" s="1420"/>
      <c r="EU35" s="1420"/>
      <c r="EV35" s="1420"/>
      <c r="EW35" s="1420"/>
      <c r="EX35" s="1420"/>
      <c r="EY35" s="1420"/>
      <c r="EZ35" s="1420"/>
      <c r="FA35" s="1420"/>
      <c r="FB35" s="1420"/>
      <c r="FC35" s="1420"/>
      <c r="FD35" s="1420"/>
      <c r="FE35" s="1420"/>
      <c r="FF35" s="1420"/>
      <c r="FG35" s="1420"/>
      <c r="FH35" s="1420"/>
      <c r="FI35" s="1420"/>
      <c r="FJ35" s="1420"/>
      <c r="FK35" s="1420"/>
      <c r="FL35" s="1420"/>
      <c r="FM35" s="1420"/>
      <c r="FN35" s="1420"/>
      <c r="FO35" s="1420"/>
      <c r="FP35" s="1420"/>
      <c r="FQ35" s="1420"/>
      <c r="FR35" s="1420"/>
      <c r="FS35" s="1420"/>
      <c r="FT35" s="1420"/>
      <c r="FU35" s="1420"/>
      <c r="FV35" s="1420"/>
      <c r="FW35" s="1420"/>
      <c r="FX35" s="1420"/>
      <c r="FY35" s="1420"/>
      <c r="FZ35" s="1420"/>
      <c r="GA35" s="1420"/>
      <c r="GB35" s="1420"/>
      <c r="GC35" s="1420"/>
      <c r="GD35" s="1420"/>
      <c r="GE35" s="1420"/>
      <c r="GF35" s="1420"/>
      <c r="GG35" s="1420"/>
      <c r="GH35" s="1420"/>
      <c r="GI35" s="1420"/>
      <c r="GJ35" s="1420"/>
      <c r="GK35" s="1420"/>
      <c r="GL35" s="1420"/>
      <c r="GM35" s="1420"/>
      <c r="GN35" s="1420"/>
      <c r="GO35" s="1420"/>
      <c r="GP35" s="1420"/>
      <c r="GQ35" s="1420"/>
      <c r="GR35" s="1420"/>
      <c r="GS35" s="1420"/>
      <c r="GT35" s="1420"/>
      <c r="GU35" s="1420"/>
      <c r="GV35" s="1420"/>
      <c r="GW35" s="1420"/>
      <c r="GX35" s="1420"/>
      <c r="GY35" s="1420"/>
      <c r="GZ35" s="1420"/>
      <c r="HA35" s="1420"/>
      <c r="HB35" s="1420"/>
      <c r="HC35" s="1420"/>
      <c r="HD35" s="1420"/>
      <c r="HE35" s="1420"/>
      <c r="HF35" s="1420"/>
      <c r="HG35" s="1420"/>
      <c r="HH35" s="1420"/>
      <c r="HI35" s="1420"/>
      <c r="HJ35" s="1420"/>
      <c r="HK35" s="1420"/>
      <c r="HL35" s="1420"/>
      <c r="HM35" s="1420"/>
      <c r="HN35" s="1420"/>
      <c r="HO35" s="1420"/>
      <c r="HP35" s="1420"/>
      <c r="HQ35" s="1420"/>
      <c r="HR35" s="1420"/>
      <c r="HS35" s="1420"/>
      <c r="HT35" s="1420"/>
      <c r="HU35" s="1420"/>
      <c r="HV35" s="1420"/>
      <c r="HW35" s="1420"/>
      <c r="HX35" s="1420"/>
      <c r="HY35" s="1420"/>
      <c r="HZ35" s="1420"/>
      <c r="IA35" s="1420"/>
      <c r="IB35" s="1420"/>
      <c r="IC35" s="1420"/>
      <c r="ID35" s="1420"/>
      <c r="IE35" s="1420"/>
      <c r="IF35" s="1420"/>
      <c r="IG35" s="1420"/>
      <c r="IH35" s="1420"/>
      <c r="II35" s="1420"/>
      <c r="IJ35" s="1420"/>
      <c r="IK35" s="1420"/>
      <c r="IL35" s="1420"/>
      <c r="IM35" s="1420"/>
      <c r="IN35" s="1420"/>
    </row>
    <row r="36" spans="1:248" s="1421" customFormat="1" ht="15" customHeight="1" x14ac:dyDescent="0.25">
      <c r="A36" s="1329">
        <v>44825</v>
      </c>
      <c r="B36" s="1047" t="s">
        <v>38</v>
      </c>
      <c r="C36" s="1381">
        <v>1533563234</v>
      </c>
      <c r="D36" s="1039">
        <f t="shared" si="0"/>
        <v>44855</v>
      </c>
      <c r="E36" s="1040">
        <f t="shared" si="1"/>
        <v>44855</v>
      </c>
      <c r="F36" s="1314"/>
      <c r="G36" s="1416"/>
      <c r="H36" s="1417"/>
      <c r="I36" s="1044">
        <f t="shared" si="3"/>
        <v>1533563234</v>
      </c>
      <c r="J36" s="1314"/>
      <c r="K36" s="1044"/>
      <c r="L36" s="1044"/>
      <c r="M36" s="1368"/>
      <c r="N36" s="1314"/>
      <c r="O36" s="1416"/>
      <c r="P36" s="1416"/>
      <c r="Q36" s="1435"/>
      <c r="R36" s="1416"/>
      <c r="S36" s="1314"/>
      <c r="T36" s="1418"/>
      <c r="U36" s="1419"/>
      <c r="V36" s="1419"/>
      <c r="W36" s="1419"/>
      <c r="X36" s="1419"/>
      <c r="Y36" s="1419"/>
      <c r="Z36" s="1420"/>
      <c r="AA36" s="1420"/>
      <c r="AB36" s="1420"/>
      <c r="AC36" s="1420"/>
      <c r="AD36" s="1420"/>
      <c r="AE36" s="1420"/>
      <c r="AF36" s="1420"/>
      <c r="AG36" s="1420"/>
      <c r="AH36" s="1420"/>
      <c r="AI36" s="1420"/>
      <c r="AJ36" s="1420"/>
      <c r="AK36" s="1420"/>
      <c r="AL36" s="1420"/>
      <c r="AM36" s="1420"/>
      <c r="AN36" s="1420"/>
      <c r="AO36" s="1420"/>
      <c r="AP36" s="1420"/>
      <c r="AQ36" s="1420"/>
      <c r="AR36" s="1420"/>
      <c r="AS36" s="1420"/>
      <c r="AT36" s="1420"/>
      <c r="AU36" s="1420"/>
      <c r="AV36" s="1420"/>
      <c r="AW36" s="1420"/>
      <c r="AX36" s="1420"/>
      <c r="AY36" s="1420"/>
      <c r="AZ36" s="1420"/>
      <c r="BA36" s="1420"/>
      <c r="BB36" s="1420"/>
      <c r="BC36" s="1420"/>
      <c r="BD36" s="1420"/>
      <c r="BE36" s="1420"/>
      <c r="BF36" s="1420"/>
      <c r="BG36" s="1420"/>
      <c r="BH36" s="1420"/>
      <c r="BI36" s="1420"/>
      <c r="BJ36" s="1420"/>
      <c r="BK36" s="1420"/>
      <c r="BL36" s="1420"/>
      <c r="BM36" s="1420"/>
      <c r="BN36" s="1420"/>
      <c r="BO36" s="1420"/>
      <c r="BP36" s="1420"/>
      <c r="BQ36" s="1420"/>
      <c r="BR36" s="1420"/>
      <c r="BS36" s="1420"/>
      <c r="BT36" s="1420"/>
      <c r="BU36" s="1420"/>
      <c r="BV36" s="1420"/>
      <c r="BW36" s="1420"/>
      <c r="BX36" s="1420"/>
      <c r="BY36" s="1420"/>
      <c r="BZ36" s="1420"/>
      <c r="CA36" s="1420"/>
      <c r="CB36" s="1420"/>
      <c r="CC36" s="1420"/>
      <c r="CD36" s="1420"/>
      <c r="CE36" s="1420"/>
      <c r="CF36" s="1420"/>
      <c r="CG36" s="1420"/>
      <c r="CH36" s="1420"/>
      <c r="CI36" s="1420"/>
      <c r="CJ36" s="1420"/>
      <c r="CK36" s="1420"/>
      <c r="CL36" s="1420"/>
      <c r="CM36" s="1420"/>
      <c r="CN36" s="1420"/>
      <c r="CO36" s="1420"/>
      <c r="CP36" s="1420"/>
      <c r="CQ36" s="1420"/>
      <c r="CR36" s="1420"/>
      <c r="CS36" s="1420"/>
      <c r="CT36" s="1420"/>
      <c r="CU36" s="1420"/>
      <c r="CV36" s="1420"/>
      <c r="CW36" s="1420"/>
      <c r="CX36" s="1420"/>
      <c r="CY36" s="1420"/>
      <c r="CZ36" s="1420"/>
      <c r="DA36" s="1420"/>
      <c r="DB36" s="1420"/>
      <c r="DC36" s="1420"/>
      <c r="DD36" s="1420"/>
      <c r="DE36" s="1420"/>
      <c r="DF36" s="1420"/>
      <c r="DG36" s="1420"/>
      <c r="DH36" s="1420"/>
      <c r="DI36" s="1420"/>
      <c r="DJ36" s="1420"/>
      <c r="DK36" s="1420"/>
      <c r="DL36" s="1420"/>
      <c r="DM36" s="1420"/>
      <c r="DN36" s="1420"/>
      <c r="DO36" s="1420"/>
      <c r="DP36" s="1420"/>
      <c r="DQ36" s="1420"/>
      <c r="DR36" s="1420"/>
      <c r="DS36" s="1420"/>
      <c r="DT36" s="1420"/>
      <c r="DU36" s="1420"/>
      <c r="DV36" s="1420"/>
      <c r="DW36" s="1420"/>
      <c r="DX36" s="1420"/>
      <c r="DY36" s="1420"/>
      <c r="DZ36" s="1420"/>
      <c r="EA36" s="1420"/>
      <c r="EB36" s="1420"/>
      <c r="EC36" s="1420"/>
      <c r="ED36" s="1420"/>
      <c r="EE36" s="1420"/>
      <c r="EF36" s="1420"/>
      <c r="EG36" s="1420"/>
      <c r="EH36" s="1420"/>
      <c r="EI36" s="1420"/>
      <c r="EJ36" s="1420"/>
      <c r="EK36" s="1420"/>
      <c r="EL36" s="1420"/>
      <c r="EM36" s="1420"/>
      <c r="EN36" s="1420"/>
      <c r="EO36" s="1420"/>
      <c r="EP36" s="1420"/>
      <c r="EQ36" s="1420"/>
      <c r="ER36" s="1420"/>
      <c r="ES36" s="1420"/>
      <c r="ET36" s="1420"/>
      <c r="EU36" s="1420"/>
      <c r="EV36" s="1420"/>
      <c r="EW36" s="1420"/>
      <c r="EX36" s="1420"/>
      <c r="EY36" s="1420"/>
      <c r="EZ36" s="1420"/>
      <c r="FA36" s="1420"/>
      <c r="FB36" s="1420"/>
      <c r="FC36" s="1420"/>
      <c r="FD36" s="1420"/>
      <c r="FE36" s="1420"/>
      <c r="FF36" s="1420"/>
      <c r="FG36" s="1420"/>
      <c r="FH36" s="1420"/>
      <c r="FI36" s="1420"/>
      <c r="FJ36" s="1420"/>
      <c r="FK36" s="1420"/>
      <c r="FL36" s="1420"/>
      <c r="FM36" s="1420"/>
      <c r="FN36" s="1420"/>
      <c r="FO36" s="1420"/>
      <c r="FP36" s="1420"/>
      <c r="FQ36" s="1420"/>
      <c r="FR36" s="1420"/>
      <c r="FS36" s="1420"/>
      <c r="FT36" s="1420"/>
      <c r="FU36" s="1420"/>
      <c r="FV36" s="1420"/>
      <c r="FW36" s="1420"/>
      <c r="FX36" s="1420"/>
      <c r="FY36" s="1420"/>
      <c r="FZ36" s="1420"/>
      <c r="GA36" s="1420"/>
      <c r="GB36" s="1420"/>
      <c r="GC36" s="1420"/>
      <c r="GD36" s="1420"/>
      <c r="GE36" s="1420"/>
      <c r="GF36" s="1420"/>
      <c r="GG36" s="1420"/>
      <c r="GH36" s="1420"/>
      <c r="GI36" s="1420"/>
      <c r="GJ36" s="1420"/>
      <c r="GK36" s="1420"/>
      <c r="GL36" s="1420"/>
      <c r="GM36" s="1420"/>
      <c r="GN36" s="1420"/>
      <c r="GO36" s="1420"/>
      <c r="GP36" s="1420"/>
      <c r="GQ36" s="1420"/>
      <c r="GR36" s="1420"/>
      <c r="GS36" s="1420"/>
      <c r="GT36" s="1420"/>
      <c r="GU36" s="1420"/>
      <c r="GV36" s="1420"/>
      <c r="GW36" s="1420"/>
      <c r="GX36" s="1420"/>
      <c r="GY36" s="1420"/>
      <c r="GZ36" s="1420"/>
      <c r="HA36" s="1420"/>
      <c r="HB36" s="1420"/>
      <c r="HC36" s="1420"/>
      <c r="HD36" s="1420"/>
      <c r="HE36" s="1420"/>
      <c r="HF36" s="1420"/>
      <c r="HG36" s="1420"/>
      <c r="HH36" s="1420"/>
      <c r="HI36" s="1420"/>
      <c r="HJ36" s="1420"/>
      <c r="HK36" s="1420"/>
      <c r="HL36" s="1420"/>
      <c r="HM36" s="1420"/>
      <c r="HN36" s="1420"/>
      <c r="HO36" s="1420"/>
      <c r="HP36" s="1420"/>
      <c r="HQ36" s="1420"/>
      <c r="HR36" s="1420"/>
      <c r="HS36" s="1420"/>
      <c r="HT36" s="1420"/>
      <c r="HU36" s="1420"/>
      <c r="HV36" s="1420"/>
      <c r="HW36" s="1420"/>
      <c r="HX36" s="1420"/>
      <c r="HY36" s="1420"/>
      <c r="HZ36" s="1420"/>
      <c r="IA36" s="1420"/>
      <c r="IB36" s="1420"/>
      <c r="IC36" s="1420"/>
      <c r="ID36" s="1420"/>
      <c r="IE36" s="1420"/>
      <c r="IF36" s="1420"/>
      <c r="IG36" s="1420"/>
      <c r="IH36" s="1420"/>
      <c r="II36" s="1420"/>
      <c r="IJ36" s="1420"/>
      <c r="IK36" s="1420"/>
      <c r="IL36" s="1420"/>
      <c r="IM36" s="1420"/>
      <c r="IN36" s="1420"/>
    </row>
    <row r="37" spans="1:248" s="1421" customFormat="1" ht="15" customHeight="1" x14ac:dyDescent="0.25">
      <c r="A37" s="1329">
        <v>44825</v>
      </c>
      <c r="B37" s="1047" t="s">
        <v>59</v>
      </c>
      <c r="C37" s="1381">
        <v>322744477</v>
      </c>
      <c r="D37" s="1039">
        <f t="shared" si="0"/>
        <v>44855</v>
      </c>
      <c r="E37" s="1040">
        <f t="shared" si="1"/>
        <v>44855</v>
      </c>
      <c r="F37" s="1314"/>
      <c r="G37" s="1416"/>
      <c r="H37" s="1417"/>
      <c r="I37" s="1044">
        <f t="shared" si="3"/>
        <v>322744477</v>
      </c>
      <c r="J37" s="1314"/>
      <c r="K37" s="1044"/>
      <c r="L37" s="1044"/>
      <c r="M37" s="1368"/>
      <c r="N37" s="1314"/>
      <c r="O37" s="1416"/>
      <c r="P37" s="1416"/>
      <c r="Q37" s="1435"/>
      <c r="R37" s="1416"/>
      <c r="S37" s="1314"/>
      <c r="T37" s="1418"/>
      <c r="U37" s="1419"/>
      <c r="V37" s="1419"/>
      <c r="W37" s="1419"/>
      <c r="X37" s="1419"/>
      <c r="Y37" s="1419"/>
      <c r="Z37" s="1420"/>
      <c r="AA37" s="1420"/>
      <c r="AB37" s="1420"/>
      <c r="AC37" s="1420"/>
      <c r="AD37" s="1420"/>
      <c r="AE37" s="1420"/>
      <c r="AF37" s="1420"/>
      <c r="AG37" s="1420"/>
      <c r="AH37" s="1420"/>
      <c r="AI37" s="1420"/>
      <c r="AJ37" s="1420"/>
      <c r="AK37" s="1420"/>
      <c r="AL37" s="1420"/>
      <c r="AM37" s="1420"/>
      <c r="AN37" s="1420"/>
      <c r="AO37" s="1420"/>
      <c r="AP37" s="1420"/>
      <c r="AQ37" s="1420"/>
      <c r="AR37" s="1420"/>
      <c r="AS37" s="1420"/>
      <c r="AT37" s="1420"/>
      <c r="AU37" s="1420"/>
      <c r="AV37" s="1420"/>
      <c r="AW37" s="1420"/>
      <c r="AX37" s="1420"/>
      <c r="AY37" s="1420"/>
      <c r="AZ37" s="1420"/>
      <c r="BA37" s="1420"/>
      <c r="BB37" s="1420"/>
      <c r="BC37" s="1420"/>
      <c r="BD37" s="1420"/>
      <c r="BE37" s="1420"/>
      <c r="BF37" s="1420"/>
      <c r="BG37" s="1420"/>
      <c r="BH37" s="1420"/>
      <c r="BI37" s="1420"/>
      <c r="BJ37" s="1420"/>
      <c r="BK37" s="1420"/>
      <c r="BL37" s="1420"/>
      <c r="BM37" s="1420"/>
      <c r="BN37" s="1420"/>
      <c r="BO37" s="1420"/>
      <c r="BP37" s="1420"/>
      <c r="BQ37" s="1420"/>
      <c r="BR37" s="1420"/>
      <c r="BS37" s="1420"/>
      <c r="BT37" s="1420"/>
      <c r="BU37" s="1420"/>
      <c r="BV37" s="1420"/>
      <c r="BW37" s="1420"/>
      <c r="BX37" s="1420"/>
      <c r="BY37" s="1420"/>
      <c r="BZ37" s="1420"/>
      <c r="CA37" s="1420"/>
      <c r="CB37" s="1420"/>
      <c r="CC37" s="1420"/>
      <c r="CD37" s="1420"/>
      <c r="CE37" s="1420"/>
      <c r="CF37" s="1420"/>
      <c r="CG37" s="1420"/>
      <c r="CH37" s="1420"/>
      <c r="CI37" s="1420"/>
      <c r="CJ37" s="1420"/>
      <c r="CK37" s="1420"/>
      <c r="CL37" s="1420"/>
      <c r="CM37" s="1420"/>
      <c r="CN37" s="1420"/>
      <c r="CO37" s="1420"/>
      <c r="CP37" s="1420"/>
      <c r="CQ37" s="1420"/>
      <c r="CR37" s="1420"/>
      <c r="CS37" s="1420"/>
      <c r="CT37" s="1420"/>
      <c r="CU37" s="1420"/>
      <c r="CV37" s="1420"/>
      <c r="CW37" s="1420"/>
      <c r="CX37" s="1420"/>
      <c r="CY37" s="1420"/>
      <c r="CZ37" s="1420"/>
      <c r="DA37" s="1420"/>
      <c r="DB37" s="1420"/>
      <c r="DC37" s="1420"/>
      <c r="DD37" s="1420"/>
      <c r="DE37" s="1420"/>
      <c r="DF37" s="1420"/>
      <c r="DG37" s="1420"/>
      <c r="DH37" s="1420"/>
      <c r="DI37" s="1420"/>
      <c r="DJ37" s="1420"/>
      <c r="DK37" s="1420"/>
      <c r="DL37" s="1420"/>
      <c r="DM37" s="1420"/>
      <c r="DN37" s="1420"/>
      <c r="DO37" s="1420"/>
      <c r="DP37" s="1420"/>
      <c r="DQ37" s="1420"/>
      <c r="DR37" s="1420"/>
      <c r="DS37" s="1420"/>
      <c r="DT37" s="1420"/>
      <c r="DU37" s="1420"/>
      <c r="DV37" s="1420"/>
      <c r="DW37" s="1420"/>
      <c r="DX37" s="1420"/>
      <c r="DY37" s="1420"/>
      <c r="DZ37" s="1420"/>
      <c r="EA37" s="1420"/>
      <c r="EB37" s="1420"/>
      <c r="EC37" s="1420"/>
      <c r="ED37" s="1420"/>
      <c r="EE37" s="1420"/>
      <c r="EF37" s="1420"/>
      <c r="EG37" s="1420"/>
      <c r="EH37" s="1420"/>
      <c r="EI37" s="1420"/>
      <c r="EJ37" s="1420"/>
      <c r="EK37" s="1420"/>
      <c r="EL37" s="1420"/>
      <c r="EM37" s="1420"/>
      <c r="EN37" s="1420"/>
      <c r="EO37" s="1420"/>
      <c r="EP37" s="1420"/>
      <c r="EQ37" s="1420"/>
      <c r="ER37" s="1420"/>
      <c r="ES37" s="1420"/>
      <c r="ET37" s="1420"/>
      <c r="EU37" s="1420"/>
      <c r="EV37" s="1420"/>
      <c r="EW37" s="1420"/>
      <c r="EX37" s="1420"/>
      <c r="EY37" s="1420"/>
      <c r="EZ37" s="1420"/>
      <c r="FA37" s="1420"/>
      <c r="FB37" s="1420"/>
      <c r="FC37" s="1420"/>
      <c r="FD37" s="1420"/>
      <c r="FE37" s="1420"/>
      <c r="FF37" s="1420"/>
      <c r="FG37" s="1420"/>
      <c r="FH37" s="1420"/>
      <c r="FI37" s="1420"/>
      <c r="FJ37" s="1420"/>
      <c r="FK37" s="1420"/>
      <c r="FL37" s="1420"/>
      <c r="FM37" s="1420"/>
      <c r="FN37" s="1420"/>
      <c r="FO37" s="1420"/>
      <c r="FP37" s="1420"/>
      <c r="FQ37" s="1420"/>
      <c r="FR37" s="1420"/>
      <c r="FS37" s="1420"/>
      <c r="FT37" s="1420"/>
      <c r="FU37" s="1420"/>
      <c r="FV37" s="1420"/>
      <c r="FW37" s="1420"/>
      <c r="FX37" s="1420"/>
      <c r="FY37" s="1420"/>
      <c r="FZ37" s="1420"/>
      <c r="GA37" s="1420"/>
      <c r="GB37" s="1420"/>
      <c r="GC37" s="1420"/>
      <c r="GD37" s="1420"/>
      <c r="GE37" s="1420"/>
      <c r="GF37" s="1420"/>
      <c r="GG37" s="1420"/>
      <c r="GH37" s="1420"/>
      <c r="GI37" s="1420"/>
      <c r="GJ37" s="1420"/>
      <c r="GK37" s="1420"/>
      <c r="GL37" s="1420"/>
      <c r="GM37" s="1420"/>
      <c r="GN37" s="1420"/>
      <c r="GO37" s="1420"/>
      <c r="GP37" s="1420"/>
      <c r="GQ37" s="1420"/>
      <c r="GR37" s="1420"/>
      <c r="GS37" s="1420"/>
      <c r="GT37" s="1420"/>
      <c r="GU37" s="1420"/>
      <c r="GV37" s="1420"/>
      <c r="GW37" s="1420"/>
      <c r="GX37" s="1420"/>
      <c r="GY37" s="1420"/>
      <c r="GZ37" s="1420"/>
      <c r="HA37" s="1420"/>
      <c r="HB37" s="1420"/>
      <c r="HC37" s="1420"/>
      <c r="HD37" s="1420"/>
      <c r="HE37" s="1420"/>
      <c r="HF37" s="1420"/>
      <c r="HG37" s="1420"/>
      <c r="HH37" s="1420"/>
      <c r="HI37" s="1420"/>
      <c r="HJ37" s="1420"/>
      <c r="HK37" s="1420"/>
      <c r="HL37" s="1420"/>
      <c r="HM37" s="1420"/>
      <c r="HN37" s="1420"/>
      <c r="HO37" s="1420"/>
      <c r="HP37" s="1420"/>
      <c r="HQ37" s="1420"/>
      <c r="HR37" s="1420"/>
      <c r="HS37" s="1420"/>
      <c r="HT37" s="1420"/>
      <c r="HU37" s="1420"/>
      <c r="HV37" s="1420"/>
      <c r="HW37" s="1420"/>
      <c r="HX37" s="1420"/>
      <c r="HY37" s="1420"/>
      <c r="HZ37" s="1420"/>
      <c r="IA37" s="1420"/>
      <c r="IB37" s="1420"/>
      <c r="IC37" s="1420"/>
      <c r="ID37" s="1420"/>
      <c r="IE37" s="1420"/>
      <c r="IF37" s="1420"/>
      <c r="IG37" s="1420"/>
      <c r="IH37" s="1420"/>
      <c r="II37" s="1420"/>
      <c r="IJ37" s="1420"/>
      <c r="IK37" s="1420"/>
      <c r="IL37" s="1420"/>
      <c r="IM37" s="1420"/>
      <c r="IN37" s="1420"/>
    </row>
    <row r="38" spans="1:248" s="1421" customFormat="1" ht="15" customHeight="1" x14ac:dyDescent="0.25">
      <c r="A38" s="1329">
        <v>44830</v>
      </c>
      <c r="B38" s="1047" t="s">
        <v>50</v>
      </c>
      <c r="C38" s="1381">
        <v>1184701616</v>
      </c>
      <c r="D38" s="1039">
        <f t="shared" si="0"/>
        <v>44860</v>
      </c>
      <c r="E38" s="1040">
        <f t="shared" si="1"/>
        <v>44860</v>
      </c>
      <c r="F38" s="1314"/>
      <c r="G38" s="1416"/>
      <c r="H38" s="1417"/>
      <c r="I38" s="1044">
        <f t="shared" si="3"/>
        <v>1184701616</v>
      </c>
      <c r="J38" s="1314"/>
      <c r="K38" s="1044"/>
      <c r="L38" s="1044"/>
      <c r="M38" s="1368"/>
      <c r="N38" s="1314"/>
      <c r="O38" s="1416"/>
      <c r="P38" s="1416"/>
      <c r="Q38" s="1435"/>
      <c r="R38" s="1416"/>
      <c r="S38" s="1314"/>
      <c r="T38" s="1418"/>
      <c r="U38" s="1419"/>
      <c r="V38" s="1419"/>
      <c r="W38" s="1419"/>
      <c r="X38" s="1419"/>
      <c r="Y38" s="1419"/>
      <c r="Z38" s="1420"/>
      <c r="AA38" s="1420"/>
      <c r="AB38" s="1420"/>
      <c r="AC38" s="1420"/>
      <c r="AD38" s="1420"/>
      <c r="AE38" s="1420"/>
      <c r="AF38" s="1420"/>
      <c r="AG38" s="1420"/>
      <c r="AH38" s="1420"/>
      <c r="AI38" s="1420"/>
      <c r="AJ38" s="1420"/>
      <c r="AK38" s="1420"/>
      <c r="AL38" s="1420"/>
      <c r="AM38" s="1420"/>
      <c r="AN38" s="1420"/>
      <c r="AO38" s="1420"/>
      <c r="AP38" s="1420"/>
      <c r="AQ38" s="1420"/>
      <c r="AR38" s="1420"/>
      <c r="AS38" s="1420"/>
      <c r="AT38" s="1420"/>
      <c r="AU38" s="1420"/>
      <c r="AV38" s="1420"/>
      <c r="AW38" s="1420"/>
      <c r="AX38" s="1420"/>
      <c r="AY38" s="1420"/>
      <c r="AZ38" s="1420"/>
      <c r="BA38" s="1420"/>
      <c r="BB38" s="1420"/>
      <c r="BC38" s="1420"/>
      <c r="BD38" s="1420"/>
      <c r="BE38" s="1420"/>
      <c r="BF38" s="1420"/>
      <c r="BG38" s="1420"/>
      <c r="BH38" s="1420"/>
      <c r="BI38" s="1420"/>
      <c r="BJ38" s="1420"/>
      <c r="BK38" s="1420"/>
      <c r="BL38" s="1420"/>
      <c r="BM38" s="1420"/>
      <c r="BN38" s="1420"/>
      <c r="BO38" s="1420"/>
      <c r="BP38" s="1420"/>
      <c r="BQ38" s="1420"/>
      <c r="BR38" s="1420"/>
      <c r="BS38" s="1420"/>
      <c r="BT38" s="1420"/>
      <c r="BU38" s="1420"/>
      <c r="BV38" s="1420"/>
      <c r="BW38" s="1420"/>
      <c r="BX38" s="1420"/>
      <c r="BY38" s="1420"/>
      <c r="BZ38" s="1420"/>
      <c r="CA38" s="1420"/>
      <c r="CB38" s="1420"/>
      <c r="CC38" s="1420"/>
      <c r="CD38" s="1420"/>
      <c r="CE38" s="1420"/>
      <c r="CF38" s="1420"/>
      <c r="CG38" s="1420"/>
      <c r="CH38" s="1420"/>
      <c r="CI38" s="1420"/>
      <c r="CJ38" s="1420"/>
      <c r="CK38" s="1420"/>
      <c r="CL38" s="1420"/>
      <c r="CM38" s="1420"/>
      <c r="CN38" s="1420"/>
      <c r="CO38" s="1420"/>
      <c r="CP38" s="1420"/>
      <c r="CQ38" s="1420"/>
      <c r="CR38" s="1420"/>
      <c r="CS38" s="1420"/>
      <c r="CT38" s="1420"/>
      <c r="CU38" s="1420"/>
      <c r="CV38" s="1420"/>
      <c r="CW38" s="1420"/>
      <c r="CX38" s="1420"/>
      <c r="CY38" s="1420"/>
      <c r="CZ38" s="1420"/>
      <c r="DA38" s="1420"/>
      <c r="DB38" s="1420"/>
      <c r="DC38" s="1420"/>
      <c r="DD38" s="1420"/>
      <c r="DE38" s="1420"/>
      <c r="DF38" s="1420"/>
      <c r="DG38" s="1420"/>
      <c r="DH38" s="1420"/>
      <c r="DI38" s="1420"/>
      <c r="DJ38" s="1420"/>
      <c r="DK38" s="1420"/>
      <c r="DL38" s="1420"/>
      <c r="DM38" s="1420"/>
      <c r="DN38" s="1420"/>
      <c r="DO38" s="1420"/>
      <c r="DP38" s="1420"/>
      <c r="DQ38" s="1420"/>
      <c r="DR38" s="1420"/>
      <c r="DS38" s="1420"/>
      <c r="DT38" s="1420"/>
      <c r="DU38" s="1420"/>
      <c r="DV38" s="1420"/>
      <c r="DW38" s="1420"/>
      <c r="DX38" s="1420"/>
      <c r="DY38" s="1420"/>
      <c r="DZ38" s="1420"/>
      <c r="EA38" s="1420"/>
      <c r="EB38" s="1420"/>
      <c r="EC38" s="1420"/>
      <c r="ED38" s="1420"/>
      <c r="EE38" s="1420"/>
      <c r="EF38" s="1420"/>
      <c r="EG38" s="1420"/>
      <c r="EH38" s="1420"/>
      <c r="EI38" s="1420"/>
      <c r="EJ38" s="1420"/>
      <c r="EK38" s="1420"/>
      <c r="EL38" s="1420"/>
      <c r="EM38" s="1420"/>
      <c r="EN38" s="1420"/>
      <c r="EO38" s="1420"/>
      <c r="EP38" s="1420"/>
      <c r="EQ38" s="1420"/>
      <c r="ER38" s="1420"/>
      <c r="ES38" s="1420"/>
      <c r="ET38" s="1420"/>
      <c r="EU38" s="1420"/>
      <c r="EV38" s="1420"/>
      <c r="EW38" s="1420"/>
      <c r="EX38" s="1420"/>
      <c r="EY38" s="1420"/>
      <c r="EZ38" s="1420"/>
      <c r="FA38" s="1420"/>
      <c r="FB38" s="1420"/>
      <c r="FC38" s="1420"/>
      <c r="FD38" s="1420"/>
      <c r="FE38" s="1420"/>
      <c r="FF38" s="1420"/>
      <c r="FG38" s="1420"/>
      <c r="FH38" s="1420"/>
      <c r="FI38" s="1420"/>
      <c r="FJ38" s="1420"/>
      <c r="FK38" s="1420"/>
      <c r="FL38" s="1420"/>
      <c r="FM38" s="1420"/>
      <c r="FN38" s="1420"/>
      <c r="FO38" s="1420"/>
      <c r="FP38" s="1420"/>
      <c r="FQ38" s="1420"/>
      <c r="FR38" s="1420"/>
      <c r="FS38" s="1420"/>
      <c r="FT38" s="1420"/>
      <c r="FU38" s="1420"/>
      <c r="FV38" s="1420"/>
      <c r="FW38" s="1420"/>
      <c r="FX38" s="1420"/>
      <c r="FY38" s="1420"/>
      <c r="FZ38" s="1420"/>
      <c r="GA38" s="1420"/>
      <c r="GB38" s="1420"/>
      <c r="GC38" s="1420"/>
      <c r="GD38" s="1420"/>
      <c r="GE38" s="1420"/>
      <c r="GF38" s="1420"/>
      <c r="GG38" s="1420"/>
      <c r="GH38" s="1420"/>
      <c r="GI38" s="1420"/>
      <c r="GJ38" s="1420"/>
      <c r="GK38" s="1420"/>
      <c r="GL38" s="1420"/>
      <c r="GM38" s="1420"/>
      <c r="GN38" s="1420"/>
      <c r="GO38" s="1420"/>
      <c r="GP38" s="1420"/>
      <c r="GQ38" s="1420"/>
      <c r="GR38" s="1420"/>
      <c r="GS38" s="1420"/>
      <c r="GT38" s="1420"/>
      <c r="GU38" s="1420"/>
      <c r="GV38" s="1420"/>
      <c r="GW38" s="1420"/>
      <c r="GX38" s="1420"/>
      <c r="GY38" s="1420"/>
      <c r="GZ38" s="1420"/>
      <c r="HA38" s="1420"/>
      <c r="HB38" s="1420"/>
      <c r="HC38" s="1420"/>
      <c r="HD38" s="1420"/>
      <c r="HE38" s="1420"/>
      <c r="HF38" s="1420"/>
      <c r="HG38" s="1420"/>
      <c r="HH38" s="1420"/>
      <c r="HI38" s="1420"/>
      <c r="HJ38" s="1420"/>
      <c r="HK38" s="1420"/>
      <c r="HL38" s="1420"/>
      <c r="HM38" s="1420"/>
      <c r="HN38" s="1420"/>
      <c r="HO38" s="1420"/>
      <c r="HP38" s="1420"/>
      <c r="HQ38" s="1420"/>
      <c r="HR38" s="1420"/>
      <c r="HS38" s="1420"/>
      <c r="HT38" s="1420"/>
      <c r="HU38" s="1420"/>
      <c r="HV38" s="1420"/>
      <c r="HW38" s="1420"/>
      <c r="HX38" s="1420"/>
      <c r="HY38" s="1420"/>
      <c r="HZ38" s="1420"/>
      <c r="IA38" s="1420"/>
      <c r="IB38" s="1420"/>
      <c r="IC38" s="1420"/>
      <c r="ID38" s="1420"/>
      <c r="IE38" s="1420"/>
      <c r="IF38" s="1420"/>
      <c r="IG38" s="1420"/>
      <c r="IH38" s="1420"/>
      <c r="II38" s="1420"/>
      <c r="IJ38" s="1420"/>
      <c r="IK38" s="1420"/>
      <c r="IL38" s="1420"/>
      <c r="IM38" s="1420"/>
      <c r="IN38" s="1420"/>
    </row>
    <row r="39" spans="1:248" s="1421" customFormat="1" ht="15" customHeight="1" x14ac:dyDescent="0.25">
      <c r="A39" s="1329">
        <v>44830</v>
      </c>
      <c r="B39" s="1047" t="s">
        <v>38</v>
      </c>
      <c r="C39" s="1381">
        <v>3349227680</v>
      </c>
      <c r="D39" s="1039">
        <f t="shared" si="0"/>
        <v>44860</v>
      </c>
      <c r="E39" s="1040">
        <f t="shared" si="1"/>
        <v>44860</v>
      </c>
      <c r="F39" s="1314"/>
      <c r="G39" s="1416"/>
      <c r="H39" s="1417"/>
      <c r="I39" s="1044">
        <f t="shared" si="3"/>
        <v>3349227680</v>
      </c>
      <c r="J39" s="1314"/>
      <c r="K39" s="1044"/>
      <c r="L39" s="1044"/>
      <c r="M39" s="1368"/>
      <c r="N39" s="1314"/>
      <c r="O39" s="1416"/>
      <c r="P39" s="1416"/>
      <c r="Q39" s="1435"/>
      <c r="R39" s="1416"/>
      <c r="S39" s="1314"/>
      <c r="T39" s="1418"/>
      <c r="U39" s="1419"/>
      <c r="V39" s="1419"/>
      <c r="W39" s="1419"/>
      <c r="X39" s="1419"/>
      <c r="Y39" s="1419"/>
      <c r="Z39" s="1420"/>
      <c r="AA39" s="1420"/>
      <c r="AB39" s="1420"/>
      <c r="AC39" s="1420"/>
      <c r="AD39" s="1420"/>
      <c r="AE39" s="1420"/>
      <c r="AF39" s="1420"/>
      <c r="AG39" s="1420"/>
      <c r="AH39" s="1420"/>
      <c r="AI39" s="1420"/>
      <c r="AJ39" s="1420"/>
      <c r="AK39" s="1420"/>
      <c r="AL39" s="1420"/>
      <c r="AM39" s="1420"/>
      <c r="AN39" s="1420"/>
      <c r="AO39" s="1420"/>
      <c r="AP39" s="1420"/>
      <c r="AQ39" s="1420"/>
      <c r="AR39" s="1420"/>
      <c r="AS39" s="1420"/>
      <c r="AT39" s="1420"/>
      <c r="AU39" s="1420"/>
      <c r="AV39" s="1420"/>
      <c r="AW39" s="1420"/>
      <c r="AX39" s="1420"/>
      <c r="AY39" s="1420"/>
      <c r="AZ39" s="1420"/>
      <c r="BA39" s="1420"/>
      <c r="BB39" s="1420"/>
      <c r="BC39" s="1420"/>
      <c r="BD39" s="1420"/>
      <c r="BE39" s="1420"/>
      <c r="BF39" s="1420"/>
      <c r="BG39" s="1420"/>
      <c r="BH39" s="1420"/>
      <c r="BI39" s="1420"/>
      <c r="BJ39" s="1420"/>
      <c r="BK39" s="1420"/>
      <c r="BL39" s="1420"/>
      <c r="BM39" s="1420"/>
      <c r="BN39" s="1420"/>
      <c r="BO39" s="1420"/>
      <c r="BP39" s="1420"/>
      <c r="BQ39" s="1420"/>
      <c r="BR39" s="1420"/>
      <c r="BS39" s="1420"/>
      <c r="BT39" s="1420"/>
      <c r="BU39" s="1420"/>
      <c r="BV39" s="1420"/>
      <c r="BW39" s="1420"/>
      <c r="BX39" s="1420"/>
      <c r="BY39" s="1420"/>
      <c r="BZ39" s="1420"/>
      <c r="CA39" s="1420"/>
      <c r="CB39" s="1420"/>
      <c r="CC39" s="1420"/>
      <c r="CD39" s="1420"/>
      <c r="CE39" s="1420"/>
      <c r="CF39" s="1420"/>
      <c r="CG39" s="1420"/>
      <c r="CH39" s="1420"/>
      <c r="CI39" s="1420"/>
      <c r="CJ39" s="1420"/>
      <c r="CK39" s="1420"/>
      <c r="CL39" s="1420"/>
      <c r="CM39" s="1420"/>
      <c r="CN39" s="1420"/>
      <c r="CO39" s="1420"/>
      <c r="CP39" s="1420"/>
      <c r="CQ39" s="1420"/>
      <c r="CR39" s="1420"/>
      <c r="CS39" s="1420"/>
      <c r="CT39" s="1420"/>
      <c r="CU39" s="1420"/>
      <c r="CV39" s="1420"/>
      <c r="CW39" s="1420"/>
      <c r="CX39" s="1420"/>
      <c r="CY39" s="1420"/>
      <c r="CZ39" s="1420"/>
      <c r="DA39" s="1420"/>
      <c r="DB39" s="1420"/>
      <c r="DC39" s="1420"/>
      <c r="DD39" s="1420"/>
      <c r="DE39" s="1420"/>
      <c r="DF39" s="1420"/>
      <c r="DG39" s="1420"/>
      <c r="DH39" s="1420"/>
      <c r="DI39" s="1420"/>
      <c r="DJ39" s="1420"/>
      <c r="DK39" s="1420"/>
      <c r="DL39" s="1420"/>
      <c r="DM39" s="1420"/>
      <c r="DN39" s="1420"/>
      <c r="DO39" s="1420"/>
      <c r="DP39" s="1420"/>
      <c r="DQ39" s="1420"/>
      <c r="DR39" s="1420"/>
      <c r="DS39" s="1420"/>
      <c r="DT39" s="1420"/>
      <c r="DU39" s="1420"/>
      <c r="DV39" s="1420"/>
      <c r="DW39" s="1420"/>
      <c r="DX39" s="1420"/>
      <c r="DY39" s="1420"/>
      <c r="DZ39" s="1420"/>
      <c r="EA39" s="1420"/>
      <c r="EB39" s="1420"/>
      <c r="EC39" s="1420"/>
      <c r="ED39" s="1420"/>
      <c r="EE39" s="1420"/>
      <c r="EF39" s="1420"/>
      <c r="EG39" s="1420"/>
      <c r="EH39" s="1420"/>
      <c r="EI39" s="1420"/>
      <c r="EJ39" s="1420"/>
      <c r="EK39" s="1420"/>
      <c r="EL39" s="1420"/>
      <c r="EM39" s="1420"/>
      <c r="EN39" s="1420"/>
      <c r="EO39" s="1420"/>
      <c r="EP39" s="1420"/>
      <c r="EQ39" s="1420"/>
      <c r="ER39" s="1420"/>
      <c r="ES39" s="1420"/>
      <c r="ET39" s="1420"/>
      <c r="EU39" s="1420"/>
      <c r="EV39" s="1420"/>
      <c r="EW39" s="1420"/>
      <c r="EX39" s="1420"/>
      <c r="EY39" s="1420"/>
      <c r="EZ39" s="1420"/>
      <c r="FA39" s="1420"/>
      <c r="FB39" s="1420"/>
      <c r="FC39" s="1420"/>
      <c r="FD39" s="1420"/>
      <c r="FE39" s="1420"/>
      <c r="FF39" s="1420"/>
      <c r="FG39" s="1420"/>
      <c r="FH39" s="1420"/>
      <c r="FI39" s="1420"/>
      <c r="FJ39" s="1420"/>
      <c r="FK39" s="1420"/>
      <c r="FL39" s="1420"/>
      <c r="FM39" s="1420"/>
      <c r="FN39" s="1420"/>
      <c r="FO39" s="1420"/>
      <c r="FP39" s="1420"/>
      <c r="FQ39" s="1420"/>
      <c r="FR39" s="1420"/>
      <c r="FS39" s="1420"/>
      <c r="FT39" s="1420"/>
      <c r="FU39" s="1420"/>
      <c r="FV39" s="1420"/>
      <c r="FW39" s="1420"/>
      <c r="FX39" s="1420"/>
      <c r="FY39" s="1420"/>
      <c r="FZ39" s="1420"/>
      <c r="GA39" s="1420"/>
      <c r="GB39" s="1420"/>
      <c r="GC39" s="1420"/>
      <c r="GD39" s="1420"/>
      <c r="GE39" s="1420"/>
      <c r="GF39" s="1420"/>
      <c r="GG39" s="1420"/>
      <c r="GH39" s="1420"/>
      <c r="GI39" s="1420"/>
      <c r="GJ39" s="1420"/>
      <c r="GK39" s="1420"/>
      <c r="GL39" s="1420"/>
      <c r="GM39" s="1420"/>
      <c r="GN39" s="1420"/>
      <c r="GO39" s="1420"/>
      <c r="GP39" s="1420"/>
      <c r="GQ39" s="1420"/>
      <c r="GR39" s="1420"/>
      <c r="GS39" s="1420"/>
      <c r="GT39" s="1420"/>
      <c r="GU39" s="1420"/>
      <c r="GV39" s="1420"/>
      <c r="GW39" s="1420"/>
      <c r="GX39" s="1420"/>
      <c r="GY39" s="1420"/>
      <c r="GZ39" s="1420"/>
      <c r="HA39" s="1420"/>
      <c r="HB39" s="1420"/>
      <c r="HC39" s="1420"/>
      <c r="HD39" s="1420"/>
      <c r="HE39" s="1420"/>
      <c r="HF39" s="1420"/>
      <c r="HG39" s="1420"/>
      <c r="HH39" s="1420"/>
      <c r="HI39" s="1420"/>
      <c r="HJ39" s="1420"/>
      <c r="HK39" s="1420"/>
      <c r="HL39" s="1420"/>
      <c r="HM39" s="1420"/>
      <c r="HN39" s="1420"/>
      <c r="HO39" s="1420"/>
      <c r="HP39" s="1420"/>
      <c r="HQ39" s="1420"/>
      <c r="HR39" s="1420"/>
      <c r="HS39" s="1420"/>
      <c r="HT39" s="1420"/>
      <c r="HU39" s="1420"/>
      <c r="HV39" s="1420"/>
      <c r="HW39" s="1420"/>
      <c r="HX39" s="1420"/>
      <c r="HY39" s="1420"/>
      <c r="HZ39" s="1420"/>
      <c r="IA39" s="1420"/>
      <c r="IB39" s="1420"/>
      <c r="IC39" s="1420"/>
      <c r="ID39" s="1420"/>
      <c r="IE39" s="1420"/>
      <c r="IF39" s="1420"/>
      <c r="IG39" s="1420"/>
      <c r="IH39" s="1420"/>
      <c r="II39" s="1420"/>
      <c r="IJ39" s="1420"/>
      <c r="IK39" s="1420"/>
      <c r="IL39" s="1420"/>
      <c r="IM39" s="1420"/>
      <c r="IN39" s="1420"/>
    </row>
    <row r="40" spans="1:248" s="1421" customFormat="1" ht="15" customHeight="1" x14ac:dyDescent="0.25">
      <c r="A40" s="1329">
        <v>44830</v>
      </c>
      <c r="B40" s="1047" t="s">
        <v>59</v>
      </c>
      <c r="C40" s="1381">
        <v>329304396</v>
      </c>
      <c r="D40" s="1039">
        <f t="shared" si="0"/>
        <v>44860</v>
      </c>
      <c r="E40" s="1040">
        <f t="shared" si="1"/>
        <v>44860</v>
      </c>
      <c r="F40" s="1314"/>
      <c r="G40" s="1416"/>
      <c r="H40" s="1417"/>
      <c r="I40" s="1044">
        <f t="shared" si="3"/>
        <v>329304396</v>
      </c>
      <c r="J40" s="1314"/>
      <c r="K40" s="1044"/>
      <c r="L40" s="1044"/>
      <c r="M40" s="1368"/>
      <c r="N40" s="1314"/>
      <c r="O40" s="1416"/>
      <c r="P40" s="1416"/>
      <c r="Q40" s="1435"/>
      <c r="R40" s="1416"/>
      <c r="S40" s="1314"/>
      <c r="T40" s="1418"/>
      <c r="U40" s="1419"/>
      <c r="V40" s="1419"/>
      <c r="W40" s="1419"/>
      <c r="X40" s="1419"/>
      <c r="Y40" s="1419"/>
      <c r="Z40" s="1420"/>
      <c r="AA40" s="1420"/>
      <c r="AB40" s="1420"/>
      <c r="AC40" s="1420"/>
      <c r="AD40" s="1420"/>
      <c r="AE40" s="1420"/>
      <c r="AF40" s="1420"/>
      <c r="AG40" s="1420"/>
      <c r="AH40" s="1420"/>
      <c r="AI40" s="1420"/>
      <c r="AJ40" s="1420"/>
      <c r="AK40" s="1420"/>
      <c r="AL40" s="1420"/>
      <c r="AM40" s="1420"/>
      <c r="AN40" s="1420"/>
      <c r="AO40" s="1420"/>
      <c r="AP40" s="1420"/>
      <c r="AQ40" s="1420"/>
      <c r="AR40" s="1420"/>
      <c r="AS40" s="1420"/>
      <c r="AT40" s="1420"/>
      <c r="AU40" s="1420"/>
      <c r="AV40" s="1420"/>
      <c r="AW40" s="1420"/>
      <c r="AX40" s="1420"/>
      <c r="AY40" s="1420"/>
      <c r="AZ40" s="1420"/>
      <c r="BA40" s="1420"/>
      <c r="BB40" s="1420"/>
      <c r="BC40" s="1420"/>
      <c r="BD40" s="1420"/>
      <c r="BE40" s="1420"/>
      <c r="BF40" s="1420"/>
      <c r="BG40" s="1420"/>
      <c r="BH40" s="1420"/>
      <c r="BI40" s="1420"/>
      <c r="BJ40" s="1420"/>
      <c r="BK40" s="1420"/>
      <c r="BL40" s="1420"/>
      <c r="BM40" s="1420"/>
      <c r="BN40" s="1420"/>
      <c r="BO40" s="1420"/>
      <c r="BP40" s="1420"/>
      <c r="BQ40" s="1420"/>
      <c r="BR40" s="1420"/>
      <c r="BS40" s="1420"/>
      <c r="BT40" s="1420"/>
      <c r="BU40" s="1420"/>
      <c r="BV40" s="1420"/>
      <c r="BW40" s="1420"/>
      <c r="BX40" s="1420"/>
      <c r="BY40" s="1420"/>
      <c r="BZ40" s="1420"/>
      <c r="CA40" s="1420"/>
      <c r="CB40" s="1420"/>
      <c r="CC40" s="1420"/>
      <c r="CD40" s="1420"/>
      <c r="CE40" s="1420"/>
      <c r="CF40" s="1420"/>
      <c r="CG40" s="1420"/>
      <c r="CH40" s="1420"/>
      <c r="CI40" s="1420"/>
      <c r="CJ40" s="1420"/>
      <c r="CK40" s="1420"/>
      <c r="CL40" s="1420"/>
      <c r="CM40" s="1420"/>
      <c r="CN40" s="1420"/>
      <c r="CO40" s="1420"/>
      <c r="CP40" s="1420"/>
      <c r="CQ40" s="1420"/>
      <c r="CR40" s="1420"/>
      <c r="CS40" s="1420"/>
      <c r="CT40" s="1420"/>
      <c r="CU40" s="1420"/>
      <c r="CV40" s="1420"/>
      <c r="CW40" s="1420"/>
      <c r="CX40" s="1420"/>
      <c r="CY40" s="1420"/>
      <c r="CZ40" s="1420"/>
      <c r="DA40" s="1420"/>
      <c r="DB40" s="1420"/>
      <c r="DC40" s="1420"/>
      <c r="DD40" s="1420"/>
      <c r="DE40" s="1420"/>
      <c r="DF40" s="1420"/>
      <c r="DG40" s="1420"/>
      <c r="DH40" s="1420"/>
      <c r="DI40" s="1420"/>
      <c r="DJ40" s="1420"/>
      <c r="DK40" s="1420"/>
      <c r="DL40" s="1420"/>
      <c r="DM40" s="1420"/>
      <c r="DN40" s="1420"/>
      <c r="DO40" s="1420"/>
      <c r="DP40" s="1420"/>
      <c r="DQ40" s="1420"/>
      <c r="DR40" s="1420"/>
      <c r="DS40" s="1420"/>
      <c r="DT40" s="1420"/>
      <c r="DU40" s="1420"/>
      <c r="DV40" s="1420"/>
      <c r="DW40" s="1420"/>
      <c r="DX40" s="1420"/>
      <c r="DY40" s="1420"/>
      <c r="DZ40" s="1420"/>
      <c r="EA40" s="1420"/>
      <c r="EB40" s="1420"/>
      <c r="EC40" s="1420"/>
      <c r="ED40" s="1420"/>
      <c r="EE40" s="1420"/>
      <c r="EF40" s="1420"/>
      <c r="EG40" s="1420"/>
      <c r="EH40" s="1420"/>
      <c r="EI40" s="1420"/>
      <c r="EJ40" s="1420"/>
      <c r="EK40" s="1420"/>
      <c r="EL40" s="1420"/>
      <c r="EM40" s="1420"/>
      <c r="EN40" s="1420"/>
      <c r="EO40" s="1420"/>
      <c r="EP40" s="1420"/>
      <c r="EQ40" s="1420"/>
      <c r="ER40" s="1420"/>
      <c r="ES40" s="1420"/>
      <c r="ET40" s="1420"/>
      <c r="EU40" s="1420"/>
      <c r="EV40" s="1420"/>
      <c r="EW40" s="1420"/>
      <c r="EX40" s="1420"/>
      <c r="EY40" s="1420"/>
      <c r="EZ40" s="1420"/>
      <c r="FA40" s="1420"/>
      <c r="FB40" s="1420"/>
      <c r="FC40" s="1420"/>
      <c r="FD40" s="1420"/>
      <c r="FE40" s="1420"/>
      <c r="FF40" s="1420"/>
      <c r="FG40" s="1420"/>
      <c r="FH40" s="1420"/>
      <c r="FI40" s="1420"/>
      <c r="FJ40" s="1420"/>
      <c r="FK40" s="1420"/>
      <c r="FL40" s="1420"/>
      <c r="FM40" s="1420"/>
      <c r="FN40" s="1420"/>
      <c r="FO40" s="1420"/>
      <c r="FP40" s="1420"/>
      <c r="FQ40" s="1420"/>
      <c r="FR40" s="1420"/>
      <c r="FS40" s="1420"/>
      <c r="FT40" s="1420"/>
      <c r="FU40" s="1420"/>
      <c r="FV40" s="1420"/>
      <c r="FW40" s="1420"/>
      <c r="FX40" s="1420"/>
      <c r="FY40" s="1420"/>
      <c r="FZ40" s="1420"/>
      <c r="GA40" s="1420"/>
      <c r="GB40" s="1420"/>
      <c r="GC40" s="1420"/>
      <c r="GD40" s="1420"/>
      <c r="GE40" s="1420"/>
      <c r="GF40" s="1420"/>
      <c r="GG40" s="1420"/>
      <c r="GH40" s="1420"/>
      <c r="GI40" s="1420"/>
      <c r="GJ40" s="1420"/>
      <c r="GK40" s="1420"/>
      <c r="GL40" s="1420"/>
      <c r="GM40" s="1420"/>
      <c r="GN40" s="1420"/>
      <c r="GO40" s="1420"/>
      <c r="GP40" s="1420"/>
      <c r="GQ40" s="1420"/>
      <c r="GR40" s="1420"/>
      <c r="GS40" s="1420"/>
      <c r="GT40" s="1420"/>
      <c r="GU40" s="1420"/>
      <c r="GV40" s="1420"/>
      <c r="GW40" s="1420"/>
      <c r="GX40" s="1420"/>
      <c r="GY40" s="1420"/>
      <c r="GZ40" s="1420"/>
      <c r="HA40" s="1420"/>
      <c r="HB40" s="1420"/>
      <c r="HC40" s="1420"/>
      <c r="HD40" s="1420"/>
      <c r="HE40" s="1420"/>
      <c r="HF40" s="1420"/>
      <c r="HG40" s="1420"/>
      <c r="HH40" s="1420"/>
      <c r="HI40" s="1420"/>
      <c r="HJ40" s="1420"/>
      <c r="HK40" s="1420"/>
      <c r="HL40" s="1420"/>
      <c r="HM40" s="1420"/>
      <c r="HN40" s="1420"/>
      <c r="HO40" s="1420"/>
      <c r="HP40" s="1420"/>
      <c r="HQ40" s="1420"/>
      <c r="HR40" s="1420"/>
      <c r="HS40" s="1420"/>
      <c r="HT40" s="1420"/>
      <c r="HU40" s="1420"/>
      <c r="HV40" s="1420"/>
      <c r="HW40" s="1420"/>
      <c r="HX40" s="1420"/>
      <c r="HY40" s="1420"/>
      <c r="HZ40" s="1420"/>
      <c r="IA40" s="1420"/>
      <c r="IB40" s="1420"/>
      <c r="IC40" s="1420"/>
      <c r="ID40" s="1420"/>
      <c r="IE40" s="1420"/>
      <c r="IF40" s="1420"/>
      <c r="IG40" s="1420"/>
      <c r="IH40" s="1420"/>
      <c r="II40" s="1420"/>
      <c r="IJ40" s="1420"/>
      <c r="IK40" s="1420"/>
      <c r="IL40" s="1420"/>
      <c r="IM40" s="1420"/>
      <c r="IN40" s="1420"/>
    </row>
    <row r="41" spans="1:248" s="1421" customFormat="1" ht="15" customHeight="1" x14ac:dyDescent="0.25">
      <c r="A41" s="1329">
        <v>44832</v>
      </c>
      <c r="B41" s="1047" t="s">
        <v>50</v>
      </c>
      <c r="C41" s="1381">
        <v>554539347</v>
      </c>
      <c r="D41" s="1039">
        <f t="shared" si="0"/>
        <v>44862</v>
      </c>
      <c r="E41" s="1040">
        <f t="shared" si="1"/>
        <v>44862</v>
      </c>
      <c r="F41" s="1314"/>
      <c r="G41" s="1416"/>
      <c r="H41" s="1417"/>
      <c r="I41" s="1044">
        <f t="shared" si="3"/>
        <v>554539347</v>
      </c>
      <c r="J41" s="1314"/>
      <c r="K41" s="1044"/>
      <c r="L41" s="1044"/>
      <c r="M41" s="1368"/>
      <c r="N41" s="1314"/>
      <c r="O41" s="1416"/>
      <c r="P41" s="1416"/>
      <c r="Q41" s="1435"/>
      <c r="R41" s="1416"/>
      <c r="S41" s="1314"/>
      <c r="T41" s="1418"/>
      <c r="U41" s="1419"/>
      <c r="V41" s="1419"/>
      <c r="W41" s="1419"/>
      <c r="X41" s="1419"/>
      <c r="Y41" s="1419"/>
      <c r="Z41" s="1420"/>
      <c r="AA41" s="1420"/>
      <c r="AB41" s="1420"/>
      <c r="AC41" s="1420"/>
      <c r="AD41" s="1420"/>
      <c r="AE41" s="1420"/>
      <c r="AF41" s="1420"/>
      <c r="AG41" s="1420"/>
      <c r="AH41" s="1420"/>
      <c r="AI41" s="1420"/>
      <c r="AJ41" s="1420"/>
      <c r="AK41" s="1420"/>
      <c r="AL41" s="1420"/>
      <c r="AM41" s="1420"/>
      <c r="AN41" s="1420"/>
      <c r="AO41" s="1420"/>
      <c r="AP41" s="1420"/>
      <c r="AQ41" s="1420"/>
      <c r="AR41" s="1420"/>
      <c r="AS41" s="1420"/>
      <c r="AT41" s="1420"/>
      <c r="AU41" s="1420"/>
      <c r="AV41" s="1420"/>
      <c r="AW41" s="1420"/>
      <c r="AX41" s="1420"/>
      <c r="AY41" s="1420"/>
      <c r="AZ41" s="1420"/>
      <c r="BA41" s="1420"/>
      <c r="BB41" s="1420"/>
      <c r="BC41" s="1420"/>
      <c r="BD41" s="1420"/>
      <c r="BE41" s="1420"/>
      <c r="BF41" s="1420"/>
      <c r="BG41" s="1420"/>
      <c r="BH41" s="1420"/>
      <c r="BI41" s="1420"/>
      <c r="BJ41" s="1420"/>
      <c r="BK41" s="1420"/>
      <c r="BL41" s="1420"/>
      <c r="BM41" s="1420"/>
      <c r="BN41" s="1420"/>
      <c r="BO41" s="1420"/>
      <c r="BP41" s="1420"/>
      <c r="BQ41" s="1420"/>
      <c r="BR41" s="1420"/>
      <c r="BS41" s="1420"/>
      <c r="BT41" s="1420"/>
      <c r="BU41" s="1420"/>
      <c r="BV41" s="1420"/>
      <c r="BW41" s="1420"/>
      <c r="BX41" s="1420"/>
      <c r="BY41" s="1420"/>
      <c r="BZ41" s="1420"/>
      <c r="CA41" s="1420"/>
      <c r="CB41" s="1420"/>
      <c r="CC41" s="1420"/>
      <c r="CD41" s="1420"/>
      <c r="CE41" s="1420"/>
      <c r="CF41" s="1420"/>
      <c r="CG41" s="1420"/>
      <c r="CH41" s="1420"/>
      <c r="CI41" s="1420"/>
      <c r="CJ41" s="1420"/>
      <c r="CK41" s="1420"/>
      <c r="CL41" s="1420"/>
      <c r="CM41" s="1420"/>
      <c r="CN41" s="1420"/>
      <c r="CO41" s="1420"/>
      <c r="CP41" s="1420"/>
      <c r="CQ41" s="1420"/>
      <c r="CR41" s="1420"/>
      <c r="CS41" s="1420"/>
      <c r="CT41" s="1420"/>
      <c r="CU41" s="1420"/>
      <c r="CV41" s="1420"/>
      <c r="CW41" s="1420"/>
      <c r="CX41" s="1420"/>
      <c r="CY41" s="1420"/>
      <c r="CZ41" s="1420"/>
      <c r="DA41" s="1420"/>
      <c r="DB41" s="1420"/>
      <c r="DC41" s="1420"/>
      <c r="DD41" s="1420"/>
      <c r="DE41" s="1420"/>
      <c r="DF41" s="1420"/>
      <c r="DG41" s="1420"/>
      <c r="DH41" s="1420"/>
      <c r="DI41" s="1420"/>
      <c r="DJ41" s="1420"/>
      <c r="DK41" s="1420"/>
      <c r="DL41" s="1420"/>
      <c r="DM41" s="1420"/>
      <c r="DN41" s="1420"/>
      <c r="DO41" s="1420"/>
      <c r="DP41" s="1420"/>
      <c r="DQ41" s="1420"/>
      <c r="DR41" s="1420"/>
      <c r="DS41" s="1420"/>
      <c r="DT41" s="1420"/>
      <c r="DU41" s="1420"/>
      <c r="DV41" s="1420"/>
      <c r="DW41" s="1420"/>
      <c r="DX41" s="1420"/>
      <c r="DY41" s="1420"/>
      <c r="DZ41" s="1420"/>
      <c r="EA41" s="1420"/>
      <c r="EB41" s="1420"/>
      <c r="EC41" s="1420"/>
      <c r="ED41" s="1420"/>
      <c r="EE41" s="1420"/>
      <c r="EF41" s="1420"/>
      <c r="EG41" s="1420"/>
      <c r="EH41" s="1420"/>
      <c r="EI41" s="1420"/>
      <c r="EJ41" s="1420"/>
      <c r="EK41" s="1420"/>
      <c r="EL41" s="1420"/>
      <c r="EM41" s="1420"/>
      <c r="EN41" s="1420"/>
      <c r="EO41" s="1420"/>
      <c r="EP41" s="1420"/>
      <c r="EQ41" s="1420"/>
      <c r="ER41" s="1420"/>
      <c r="ES41" s="1420"/>
      <c r="ET41" s="1420"/>
      <c r="EU41" s="1420"/>
      <c r="EV41" s="1420"/>
      <c r="EW41" s="1420"/>
      <c r="EX41" s="1420"/>
      <c r="EY41" s="1420"/>
      <c r="EZ41" s="1420"/>
      <c r="FA41" s="1420"/>
      <c r="FB41" s="1420"/>
      <c r="FC41" s="1420"/>
      <c r="FD41" s="1420"/>
      <c r="FE41" s="1420"/>
      <c r="FF41" s="1420"/>
      <c r="FG41" s="1420"/>
      <c r="FH41" s="1420"/>
      <c r="FI41" s="1420"/>
      <c r="FJ41" s="1420"/>
      <c r="FK41" s="1420"/>
      <c r="FL41" s="1420"/>
      <c r="FM41" s="1420"/>
      <c r="FN41" s="1420"/>
      <c r="FO41" s="1420"/>
      <c r="FP41" s="1420"/>
      <c r="FQ41" s="1420"/>
      <c r="FR41" s="1420"/>
      <c r="FS41" s="1420"/>
      <c r="FT41" s="1420"/>
      <c r="FU41" s="1420"/>
      <c r="FV41" s="1420"/>
      <c r="FW41" s="1420"/>
      <c r="FX41" s="1420"/>
      <c r="FY41" s="1420"/>
      <c r="FZ41" s="1420"/>
      <c r="GA41" s="1420"/>
      <c r="GB41" s="1420"/>
      <c r="GC41" s="1420"/>
      <c r="GD41" s="1420"/>
      <c r="GE41" s="1420"/>
      <c r="GF41" s="1420"/>
      <c r="GG41" s="1420"/>
      <c r="GH41" s="1420"/>
      <c r="GI41" s="1420"/>
      <c r="GJ41" s="1420"/>
      <c r="GK41" s="1420"/>
      <c r="GL41" s="1420"/>
      <c r="GM41" s="1420"/>
      <c r="GN41" s="1420"/>
      <c r="GO41" s="1420"/>
      <c r="GP41" s="1420"/>
      <c r="GQ41" s="1420"/>
      <c r="GR41" s="1420"/>
      <c r="GS41" s="1420"/>
      <c r="GT41" s="1420"/>
      <c r="GU41" s="1420"/>
      <c r="GV41" s="1420"/>
      <c r="GW41" s="1420"/>
      <c r="GX41" s="1420"/>
      <c r="GY41" s="1420"/>
      <c r="GZ41" s="1420"/>
      <c r="HA41" s="1420"/>
      <c r="HB41" s="1420"/>
      <c r="HC41" s="1420"/>
      <c r="HD41" s="1420"/>
      <c r="HE41" s="1420"/>
      <c r="HF41" s="1420"/>
      <c r="HG41" s="1420"/>
      <c r="HH41" s="1420"/>
      <c r="HI41" s="1420"/>
      <c r="HJ41" s="1420"/>
      <c r="HK41" s="1420"/>
      <c r="HL41" s="1420"/>
      <c r="HM41" s="1420"/>
      <c r="HN41" s="1420"/>
      <c r="HO41" s="1420"/>
      <c r="HP41" s="1420"/>
      <c r="HQ41" s="1420"/>
      <c r="HR41" s="1420"/>
      <c r="HS41" s="1420"/>
      <c r="HT41" s="1420"/>
      <c r="HU41" s="1420"/>
      <c r="HV41" s="1420"/>
      <c r="HW41" s="1420"/>
      <c r="HX41" s="1420"/>
      <c r="HY41" s="1420"/>
      <c r="HZ41" s="1420"/>
      <c r="IA41" s="1420"/>
      <c r="IB41" s="1420"/>
      <c r="IC41" s="1420"/>
      <c r="ID41" s="1420"/>
      <c r="IE41" s="1420"/>
      <c r="IF41" s="1420"/>
      <c r="IG41" s="1420"/>
      <c r="IH41" s="1420"/>
      <c r="II41" s="1420"/>
      <c r="IJ41" s="1420"/>
      <c r="IK41" s="1420"/>
      <c r="IL41" s="1420"/>
      <c r="IM41" s="1420"/>
      <c r="IN41" s="1420"/>
    </row>
    <row r="42" spans="1:248" s="1421" customFormat="1" ht="15" customHeight="1" x14ac:dyDescent="0.25">
      <c r="A42" s="1329">
        <v>44832</v>
      </c>
      <c r="B42" s="1047" t="s">
        <v>59</v>
      </c>
      <c r="C42" s="1381">
        <v>873312047</v>
      </c>
      <c r="D42" s="1039">
        <f t="shared" si="0"/>
        <v>44862</v>
      </c>
      <c r="E42" s="1040">
        <f t="shared" si="1"/>
        <v>44862</v>
      </c>
      <c r="F42" s="1314"/>
      <c r="G42" s="1416"/>
      <c r="H42" s="1417"/>
      <c r="I42" s="1044">
        <f t="shared" si="3"/>
        <v>873312047</v>
      </c>
      <c r="J42" s="1314"/>
      <c r="K42" s="1044"/>
      <c r="L42" s="1044"/>
      <c r="M42" s="1368"/>
      <c r="N42" s="1314"/>
      <c r="O42" s="1416"/>
      <c r="P42" s="1416"/>
      <c r="Q42" s="1416"/>
      <c r="R42" s="1416"/>
      <c r="S42" s="1314"/>
      <c r="T42" s="1418"/>
      <c r="U42" s="1419"/>
      <c r="V42" s="1419"/>
      <c r="W42" s="1419"/>
      <c r="X42" s="1419"/>
      <c r="Y42" s="1419"/>
      <c r="Z42" s="1420"/>
      <c r="AA42" s="1420"/>
      <c r="AB42" s="1420"/>
      <c r="AC42" s="1420"/>
      <c r="AD42" s="1420"/>
      <c r="AE42" s="1420"/>
      <c r="AF42" s="1420"/>
      <c r="AG42" s="1420"/>
      <c r="AH42" s="1420"/>
      <c r="AI42" s="1420"/>
      <c r="AJ42" s="1420"/>
      <c r="AK42" s="1420"/>
      <c r="AL42" s="1420"/>
      <c r="AM42" s="1420"/>
      <c r="AN42" s="1420"/>
      <c r="AO42" s="1420"/>
      <c r="AP42" s="1420"/>
      <c r="AQ42" s="1420"/>
      <c r="AR42" s="1420"/>
      <c r="AS42" s="1420"/>
      <c r="AT42" s="1420"/>
      <c r="AU42" s="1420"/>
      <c r="AV42" s="1420"/>
      <c r="AW42" s="1420"/>
      <c r="AX42" s="1420"/>
      <c r="AY42" s="1420"/>
      <c r="AZ42" s="1420"/>
      <c r="BA42" s="1420"/>
      <c r="BB42" s="1420"/>
      <c r="BC42" s="1420"/>
      <c r="BD42" s="1420"/>
      <c r="BE42" s="1420"/>
      <c r="BF42" s="1420"/>
      <c r="BG42" s="1420"/>
      <c r="BH42" s="1420"/>
      <c r="BI42" s="1420"/>
      <c r="BJ42" s="1420"/>
      <c r="BK42" s="1420"/>
      <c r="BL42" s="1420"/>
      <c r="BM42" s="1420"/>
      <c r="BN42" s="1420"/>
      <c r="BO42" s="1420"/>
      <c r="BP42" s="1420"/>
      <c r="BQ42" s="1420"/>
      <c r="BR42" s="1420"/>
      <c r="BS42" s="1420"/>
      <c r="BT42" s="1420"/>
      <c r="BU42" s="1420"/>
      <c r="BV42" s="1420"/>
      <c r="BW42" s="1420"/>
      <c r="BX42" s="1420"/>
      <c r="BY42" s="1420"/>
      <c r="BZ42" s="1420"/>
      <c r="CA42" s="1420"/>
      <c r="CB42" s="1420"/>
      <c r="CC42" s="1420"/>
      <c r="CD42" s="1420"/>
      <c r="CE42" s="1420"/>
      <c r="CF42" s="1420"/>
      <c r="CG42" s="1420"/>
      <c r="CH42" s="1420"/>
      <c r="CI42" s="1420"/>
      <c r="CJ42" s="1420"/>
      <c r="CK42" s="1420"/>
      <c r="CL42" s="1420"/>
      <c r="CM42" s="1420"/>
      <c r="CN42" s="1420"/>
      <c r="CO42" s="1420"/>
      <c r="CP42" s="1420"/>
      <c r="CQ42" s="1420"/>
      <c r="CR42" s="1420"/>
      <c r="CS42" s="1420"/>
      <c r="CT42" s="1420"/>
      <c r="CU42" s="1420"/>
      <c r="CV42" s="1420"/>
      <c r="CW42" s="1420"/>
      <c r="CX42" s="1420"/>
      <c r="CY42" s="1420"/>
      <c r="CZ42" s="1420"/>
      <c r="DA42" s="1420"/>
      <c r="DB42" s="1420"/>
      <c r="DC42" s="1420"/>
      <c r="DD42" s="1420"/>
      <c r="DE42" s="1420"/>
      <c r="DF42" s="1420"/>
      <c r="DG42" s="1420"/>
      <c r="DH42" s="1420"/>
      <c r="DI42" s="1420"/>
      <c r="DJ42" s="1420"/>
      <c r="DK42" s="1420"/>
      <c r="DL42" s="1420"/>
      <c r="DM42" s="1420"/>
      <c r="DN42" s="1420"/>
      <c r="DO42" s="1420"/>
      <c r="DP42" s="1420"/>
      <c r="DQ42" s="1420"/>
      <c r="DR42" s="1420"/>
      <c r="DS42" s="1420"/>
      <c r="DT42" s="1420"/>
      <c r="DU42" s="1420"/>
      <c r="DV42" s="1420"/>
      <c r="DW42" s="1420"/>
      <c r="DX42" s="1420"/>
      <c r="DY42" s="1420"/>
      <c r="DZ42" s="1420"/>
      <c r="EA42" s="1420"/>
      <c r="EB42" s="1420"/>
      <c r="EC42" s="1420"/>
      <c r="ED42" s="1420"/>
      <c r="EE42" s="1420"/>
      <c r="EF42" s="1420"/>
      <c r="EG42" s="1420"/>
      <c r="EH42" s="1420"/>
      <c r="EI42" s="1420"/>
      <c r="EJ42" s="1420"/>
      <c r="EK42" s="1420"/>
      <c r="EL42" s="1420"/>
      <c r="EM42" s="1420"/>
      <c r="EN42" s="1420"/>
      <c r="EO42" s="1420"/>
      <c r="EP42" s="1420"/>
      <c r="EQ42" s="1420"/>
      <c r="ER42" s="1420"/>
      <c r="ES42" s="1420"/>
      <c r="ET42" s="1420"/>
      <c r="EU42" s="1420"/>
      <c r="EV42" s="1420"/>
      <c r="EW42" s="1420"/>
      <c r="EX42" s="1420"/>
      <c r="EY42" s="1420"/>
      <c r="EZ42" s="1420"/>
      <c r="FA42" s="1420"/>
      <c r="FB42" s="1420"/>
      <c r="FC42" s="1420"/>
      <c r="FD42" s="1420"/>
      <c r="FE42" s="1420"/>
      <c r="FF42" s="1420"/>
      <c r="FG42" s="1420"/>
      <c r="FH42" s="1420"/>
      <c r="FI42" s="1420"/>
      <c r="FJ42" s="1420"/>
      <c r="FK42" s="1420"/>
      <c r="FL42" s="1420"/>
      <c r="FM42" s="1420"/>
      <c r="FN42" s="1420"/>
      <c r="FO42" s="1420"/>
      <c r="FP42" s="1420"/>
      <c r="FQ42" s="1420"/>
      <c r="FR42" s="1420"/>
      <c r="FS42" s="1420"/>
      <c r="FT42" s="1420"/>
      <c r="FU42" s="1420"/>
      <c r="FV42" s="1420"/>
      <c r="FW42" s="1420"/>
      <c r="FX42" s="1420"/>
      <c r="FY42" s="1420"/>
      <c r="FZ42" s="1420"/>
      <c r="GA42" s="1420"/>
      <c r="GB42" s="1420"/>
      <c r="GC42" s="1420"/>
      <c r="GD42" s="1420"/>
      <c r="GE42" s="1420"/>
      <c r="GF42" s="1420"/>
      <c r="GG42" s="1420"/>
      <c r="GH42" s="1420"/>
      <c r="GI42" s="1420"/>
      <c r="GJ42" s="1420"/>
      <c r="GK42" s="1420"/>
      <c r="GL42" s="1420"/>
      <c r="GM42" s="1420"/>
      <c r="GN42" s="1420"/>
      <c r="GO42" s="1420"/>
      <c r="GP42" s="1420"/>
      <c r="GQ42" s="1420"/>
      <c r="GR42" s="1420"/>
      <c r="GS42" s="1420"/>
      <c r="GT42" s="1420"/>
      <c r="GU42" s="1420"/>
      <c r="GV42" s="1420"/>
      <c r="GW42" s="1420"/>
      <c r="GX42" s="1420"/>
      <c r="GY42" s="1420"/>
      <c r="GZ42" s="1420"/>
      <c r="HA42" s="1420"/>
      <c r="HB42" s="1420"/>
      <c r="HC42" s="1420"/>
      <c r="HD42" s="1420"/>
      <c r="HE42" s="1420"/>
      <c r="HF42" s="1420"/>
      <c r="HG42" s="1420"/>
      <c r="HH42" s="1420"/>
      <c r="HI42" s="1420"/>
      <c r="HJ42" s="1420"/>
      <c r="HK42" s="1420"/>
      <c r="HL42" s="1420"/>
      <c r="HM42" s="1420"/>
      <c r="HN42" s="1420"/>
      <c r="HO42" s="1420"/>
      <c r="HP42" s="1420"/>
      <c r="HQ42" s="1420"/>
      <c r="HR42" s="1420"/>
      <c r="HS42" s="1420"/>
      <c r="HT42" s="1420"/>
      <c r="HU42" s="1420"/>
      <c r="HV42" s="1420"/>
      <c r="HW42" s="1420"/>
      <c r="HX42" s="1420"/>
      <c r="HY42" s="1420"/>
      <c r="HZ42" s="1420"/>
      <c r="IA42" s="1420"/>
      <c r="IB42" s="1420"/>
      <c r="IC42" s="1420"/>
      <c r="ID42" s="1420"/>
      <c r="IE42" s="1420"/>
      <c r="IF42" s="1420"/>
      <c r="IG42" s="1420"/>
      <c r="IH42" s="1420"/>
      <c r="II42" s="1420"/>
      <c r="IJ42" s="1420"/>
      <c r="IK42" s="1420"/>
      <c r="IL42" s="1420"/>
      <c r="IM42" s="1420"/>
      <c r="IN42" s="1420"/>
    </row>
    <row r="43" spans="1:248" s="1421" customFormat="1" ht="15" customHeight="1" x14ac:dyDescent="0.25">
      <c r="A43" s="1329">
        <v>44832</v>
      </c>
      <c r="B43" s="1047" t="s">
        <v>59</v>
      </c>
      <c r="C43" s="1381">
        <v>303308062</v>
      </c>
      <c r="D43" s="1039">
        <f t="shared" si="0"/>
        <v>44862</v>
      </c>
      <c r="E43" s="1040">
        <f t="shared" si="1"/>
        <v>44862</v>
      </c>
      <c r="F43" s="1314"/>
      <c r="G43" s="1416"/>
      <c r="H43" s="1417"/>
      <c r="I43" s="1044">
        <f t="shared" si="3"/>
        <v>303308062</v>
      </c>
      <c r="J43" s="1314"/>
      <c r="K43" s="1044"/>
      <c r="L43" s="1044"/>
      <c r="M43" s="1368"/>
      <c r="N43" s="1314"/>
      <c r="O43" s="1416"/>
      <c r="P43" s="1416"/>
      <c r="Q43" s="1416"/>
      <c r="R43" s="1416"/>
      <c r="S43" s="1314"/>
      <c r="T43" s="1418"/>
      <c r="U43" s="1419"/>
      <c r="V43" s="1419"/>
      <c r="W43" s="1419"/>
      <c r="X43" s="1419"/>
      <c r="Y43" s="1419"/>
      <c r="Z43" s="1420"/>
      <c r="AA43" s="1420"/>
      <c r="AB43" s="1420"/>
      <c r="AC43" s="1420"/>
      <c r="AD43" s="1420"/>
      <c r="AE43" s="1420"/>
      <c r="AF43" s="1420"/>
      <c r="AG43" s="1420"/>
      <c r="AH43" s="1420"/>
      <c r="AI43" s="1420"/>
      <c r="AJ43" s="1420"/>
      <c r="AK43" s="1420"/>
      <c r="AL43" s="1420"/>
      <c r="AM43" s="1420"/>
      <c r="AN43" s="1420"/>
      <c r="AO43" s="1420"/>
      <c r="AP43" s="1420"/>
      <c r="AQ43" s="1420"/>
      <c r="AR43" s="1420"/>
      <c r="AS43" s="1420"/>
      <c r="AT43" s="1420"/>
      <c r="AU43" s="1420"/>
      <c r="AV43" s="1420"/>
      <c r="AW43" s="1420"/>
      <c r="AX43" s="1420"/>
      <c r="AY43" s="1420"/>
      <c r="AZ43" s="1420"/>
      <c r="BA43" s="1420"/>
      <c r="BB43" s="1420"/>
      <c r="BC43" s="1420"/>
      <c r="BD43" s="1420"/>
      <c r="BE43" s="1420"/>
      <c r="BF43" s="1420"/>
      <c r="BG43" s="1420"/>
      <c r="BH43" s="1420"/>
      <c r="BI43" s="1420"/>
      <c r="BJ43" s="1420"/>
      <c r="BK43" s="1420"/>
      <c r="BL43" s="1420"/>
      <c r="BM43" s="1420"/>
      <c r="BN43" s="1420"/>
      <c r="BO43" s="1420"/>
      <c r="BP43" s="1420"/>
      <c r="BQ43" s="1420"/>
      <c r="BR43" s="1420"/>
      <c r="BS43" s="1420"/>
      <c r="BT43" s="1420"/>
      <c r="BU43" s="1420"/>
      <c r="BV43" s="1420"/>
      <c r="BW43" s="1420"/>
      <c r="BX43" s="1420"/>
      <c r="BY43" s="1420"/>
      <c r="BZ43" s="1420"/>
      <c r="CA43" s="1420"/>
      <c r="CB43" s="1420"/>
      <c r="CC43" s="1420"/>
      <c r="CD43" s="1420"/>
      <c r="CE43" s="1420"/>
      <c r="CF43" s="1420"/>
      <c r="CG43" s="1420"/>
      <c r="CH43" s="1420"/>
      <c r="CI43" s="1420"/>
      <c r="CJ43" s="1420"/>
      <c r="CK43" s="1420"/>
      <c r="CL43" s="1420"/>
      <c r="CM43" s="1420"/>
      <c r="CN43" s="1420"/>
      <c r="CO43" s="1420"/>
      <c r="CP43" s="1420"/>
      <c r="CQ43" s="1420"/>
      <c r="CR43" s="1420"/>
      <c r="CS43" s="1420"/>
      <c r="CT43" s="1420"/>
      <c r="CU43" s="1420"/>
      <c r="CV43" s="1420"/>
      <c r="CW43" s="1420"/>
      <c r="CX43" s="1420"/>
      <c r="CY43" s="1420"/>
      <c r="CZ43" s="1420"/>
      <c r="DA43" s="1420"/>
      <c r="DB43" s="1420"/>
      <c r="DC43" s="1420"/>
      <c r="DD43" s="1420"/>
      <c r="DE43" s="1420"/>
      <c r="DF43" s="1420"/>
      <c r="DG43" s="1420"/>
      <c r="DH43" s="1420"/>
      <c r="DI43" s="1420"/>
      <c r="DJ43" s="1420"/>
      <c r="DK43" s="1420"/>
      <c r="DL43" s="1420"/>
      <c r="DM43" s="1420"/>
      <c r="DN43" s="1420"/>
      <c r="DO43" s="1420"/>
      <c r="DP43" s="1420"/>
      <c r="DQ43" s="1420"/>
      <c r="DR43" s="1420"/>
      <c r="DS43" s="1420"/>
      <c r="DT43" s="1420"/>
      <c r="DU43" s="1420"/>
      <c r="DV43" s="1420"/>
      <c r="DW43" s="1420"/>
      <c r="DX43" s="1420"/>
      <c r="DY43" s="1420"/>
      <c r="DZ43" s="1420"/>
      <c r="EA43" s="1420"/>
      <c r="EB43" s="1420"/>
      <c r="EC43" s="1420"/>
      <c r="ED43" s="1420"/>
      <c r="EE43" s="1420"/>
      <c r="EF43" s="1420"/>
      <c r="EG43" s="1420"/>
      <c r="EH43" s="1420"/>
      <c r="EI43" s="1420"/>
      <c r="EJ43" s="1420"/>
      <c r="EK43" s="1420"/>
      <c r="EL43" s="1420"/>
      <c r="EM43" s="1420"/>
      <c r="EN43" s="1420"/>
      <c r="EO43" s="1420"/>
      <c r="EP43" s="1420"/>
      <c r="EQ43" s="1420"/>
      <c r="ER43" s="1420"/>
      <c r="ES43" s="1420"/>
      <c r="ET43" s="1420"/>
      <c r="EU43" s="1420"/>
      <c r="EV43" s="1420"/>
      <c r="EW43" s="1420"/>
      <c r="EX43" s="1420"/>
      <c r="EY43" s="1420"/>
      <c r="EZ43" s="1420"/>
      <c r="FA43" s="1420"/>
      <c r="FB43" s="1420"/>
      <c r="FC43" s="1420"/>
      <c r="FD43" s="1420"/>
      <c r="FE43" s="1420"/>
      <c r="FF43" s="1420"/>
      <c r="FG43" s="1420"/>
      <c r="FH43" s="1420"/>
      <c r="FI43" s="1420"/>
      <c r="FJ43" s="1420"/>
      <c r="FK43" s="1420"/>
      <c r="FL43" s="1420"/>
      <c r="FM43" s="1420"/>
      <c r="FN43" s="1420"/>
      <c r="FO43" s="1420"/>
      <c r="FP43" s="1420"/>
      <c r="FQ43" s="1420"/>
      <c r="FR43" s="1420"/>
      <c r="FS43" s="1420"/>
      <c r="FT43" s="1420"/>
      <c r="FU43" s="1420"/>
      <c r="FV43" s="1420"/>
      <c r="FW43" s="1420"/>
      <c r="FX43" s="1420"/>
      <c r="FY43" s="1420"/>
      <c r="FZ43" s="1420"/>
      <c r="GA43" s="1420"/>
      <c r="GB43" s="1420"/>
      <c r="GC43" s="1420"/>
      <c r="GD43" s="1420"/>
      <c r="GE43" s="1420"/>
      <c r="GF43" s="1420"/>
      <c r="GG43" s="1420"/>
      <c r="GH43" s="1420"/>
      <c r="GI43" s="1420"/>
      <c r="GJ43" s="1420"/>
      <c r="GK43" s="1420"/>
      <c r="GL43" s="1420"/>
      <c r="GM43" s="1420"/>
      <c r="GN43" s="1420"/>
      <c r="GO43" s="1420"/>
      <c r="GP43" s="1420"/>
      <c r="GQ43" s="1420"/>
      <c r="GR43" s="1420"/>
      <c r="GS43" s="1420"/>
      <c r="GT43" s="1420"/>
      <c r="GU43" s="1420"/>
      <c r="GV43" s="1420"/>
      <c r="GW43" s="1420"/>
      <c r="GX43" s="1420"/>
      <c r="GY43" s="1420"/>
      <c r="GZ43" s="1420"/>
      <c r="HA43" s="1420"/>
      <c r="HB43" s="1420"/>
      <c r="HC43" s="1420"/>
      <c r="HD43" s="1420"/>
      <c r="HE43" s="1420"/>
      <c r="HF43" s="1420"/>
      <c r="HG43" s="1420"/>
      <c r="HH43" s="1420"/>
      <c r="HI43" s="1420"/>
      <c r="HJ43" s="1420"/>
      <c r="HK43" s="1420"/>
      <c r="HL43" s="1420"/>
      <c r="HM43" s="1420"/>
      <c r="HN43" s="1420"/>
      <c r="HO43" s="1420"/>
      <c r="HP43" s="1420"/>
      <c r="HQ43" s="1420"/>
      <c r="HR43" s="1420"/>
      <c r="HS43" s="1420"/>
      <c r="HT43" s="1420"/>
      <c r="HU43" s="1420"/>
      <c r="HV43" s="1420"/>
      <c r="HW43" s="1420"/>
      <c r="HX43" s="1420"/>
      <c r="HY43" s="1420"/>
      <c r="HZ43" s="1420"/>
      <c r="IA43" s="1420"/>
      <c r="IB43" s="1420"/>
      <c r="IC43" s="1420"/>
      <c r="ID43" s="1420"/>
      <c r="IE43" s="1420"/>
      <c r="IF43" s="1420"/>
      <c r="IG43" s="1420"/>
      <c r="IH43" s="1420"/>
      <c r="II43" s="1420"/>
      <c r="IJ43" s="1420"/>
      <c r="IK43" s="1420"/>
      <c r="IL43" s="1420"/>
      <c r="IM43" s="1420"/>
      <c r="IN43" s="1420"/>
    </row>
    <row r="44" spans="1:248" s="1421" customFormat="1" ht="15" customHeight="1" x14ac:dyDescent="0.25">
      <c r="A44" s="1329">
        <v>44834</v>
      </c>
      <c r="B44" s="1047" t="s">
        <v>50</v>
      </c>
      <c r="C44" s="1381">
        <v>273754984</v>
      </c>
      <c r="D44" s="1039">
        <f t="shared" si="0"/>
        <v>44864</v>
      </c>
      <c r="E44" s="1040">
        <f t="shared" si="1"/>
        <v>44864</v>
      </c>
      <c r="F44" s="1314"/>
      <c r="G44" s="1416"/>
      <c r="H44" s="1417"/>
      <c r="I44" s="1044">
        <f t="shared" si="3"/>
        <v>273754984</v>
      </c>
      <c r="J44" s="1314"/>
      <c r="K44" s="1044"/>
      <c r="L44" s="1044"/>
      <c r="M44" s="1368"/>
      <c r="N44" s="1314"/>
      <c r="O44" s="1416"/>
      <c r="P44" s="1416"/>
      <c r="Q44" s="1416"/>
      <c r="R44" s="1416"/>
      <c r="S44" s="1314"/>
      <c r="T44" s="1418"/>
      <c r="U44" s="1419"/>
      <c r="V44" s="1419"/>
      <c r="W44" s="1419"/>
      <c r="X44" s="1419"/>
      <c r="Y44" s="1419"/>
      <c r="Z44" s="1420"/>
      <c r="AA44" s="1420"/>
      <c r="AB44" s="1420"/>
      <c r="AC44" s="1420"/>
      <c r="AD44" s="1420"/>
      <c r="AE44" s="1420"/>
      <c r="AF44" s="1420"/>
      <c r="AG44" s="1420"/>
      <c r="AH44" s="1420"/>
      <c r="AI44" s="1420"/>
      <c r="AJ44" s="1420"/>
      <c r="AK44" s="1420"/>
      <c r="AL44" s="1420"/>
      <c r="AM44" s="1420"/>
      <c r="AN44" s="1420"/>
      <c r="AO44" s="1420"/>
      <c r="AP44" s="1420"/>
      <c r="AQ44" s="1420"/>
      <c r="AR44" s="1420"/>
      <c r="AS44" s="1420"/>
      <c r="AT44" s="1420"/>
      <c r="AU44" s="1420"/>
      <c r="AV44" s="1420"/>
      <c r="AW44" s="1420"/>
      <c r="AX44" s="1420"/>
      <c r="AY44" s="1420"/>
      <c r="AZ44" s="1420"/>
      <c r="BA44" s="1420"/>
      <c r="BB44" s="1420"/>
      <c r="BC44" s="1420"/>
      <c r="BD44" s="1420"/>
      <c r="BE44" s="1420"/>
      <c r="BF44" s="1420"/>
      <c r="BG44" s="1420"/>
      <c r="BH44" s="1420"/>
      <c r="BI44" s="1420"/>
      <c r="BJ44" s="1420"/>
      <c r="BK44" s="1420"/>
      <c r="BL44" s="1420"/>
      <c r="BM44" s="1420"/>
      <c r="BN44" s="1420"/>
      <c r="BO44" s="1420"/>
      <c r="BP44" s="1420"/>
      <c r="BQ44" s="1420"/>
      <c r="BR44" s="1420"/>
      <c r="BS44" s="1420"/>
      <c r="BT44" s="1420"/>
      <c r="BU44" s="1420"/>
      <c r="BV44" s="1420"/>
      <c r="BW44" s="1420"/>
      <c r="BX44" s="1420"/>
      <c r="BY44" s="1420"/>
      <c r="BZ44" s="1420"/>
      <c r="CA44" s="1420"/>
      <c r="CB44" s="1420"/>
      <c r="CC44" s="1420"/>
      <c r="CD44" s="1420"/>
      <c r="CE44" s="1420"/>
      <c r="CF44" s="1420"/>
      <c r="CG44" s="1420"/>
      <c r="CH44" s="1420"/>
      <c r="CI44" s="1420"/>
      <c r="CJ44" s="1420"/>
      <c r="CK44" s="1420"/>
      <c r="CL44" s="1420"/>
      <c r="CM44" s="1420"/>
      <c r="CN44" s="1420"/>
      <c r="CO44" s="1420"/>
      <c r="CP44" s="1420"/>
      <c r="CQ44" s="1420"/>
      <c r="CR44" s="1420"/>
      <c r="CS44" s="1420"/>
      <c r="CT44" s="1420"/>
      <c r="CU44" s="1420"/>
      <c r="CV44" s="1420"/>
      <c r="CW44" s="1420"/>
      <c r="CX44" s="1420"/>
      <c r="CY44" s="1420"/>
      <c r="CZ44" s="1420"/>
      <c r="DA44" s="1420"/>
      <c r="DB44" s="1420"/>
      <c r="DC44" s="1420"/>
      <c r="DD44" s="1420"/>
      <c r="DE44" s="1420"/>
      <c r="DF44" s="1420"/>
      <c r="DG44" s="1420"/>
      <c r="DH44" s="1420"/>
      <c r="DI44" s="1420"/>
      <c r="DJ44" s="1420"/>
      <c r="DK44" s="1420"/>
      <c r="DL44" s="1420"/>
      <c r="DM44" s="1420"/>
      <c r="DN44" s="1420"/>
      <c r="DO44" s="1420"/>
      <c r="DP44" s="1420"/>
      <c r="DQ44" s="1420"/>
      <c r="DR44" s="1420"/>
      <c r="DS44" s="1420"/>
      <c r="DT44" s="1420"/>
      <c r="DU44" s="1420"/>
      <c r="DV44" s="1420"/>
      <c r="DW44" s="1420"/>
      <c r="DX44" s="1420"/>
      <c r="DY44" s="1420"/>
      <c r="DZ44" s="1420"/>
      <c r="EA44" s="1420"/>
      <c r="EB44" s="1420"/>
      <c r="EC44" s="1420"/>
      <c r="ED44" s="1420"/>
      <c r="EE44" s="1420"/>
      <c r="EF44" s="1420"/>
      <c r="EG44" s="1420"/>
      <c r="EH44" s="1420"/>
      <c r="EI44" s="1420"/>
      <c r="EJ44" s="1420"/>
      <c r="EK44" s="1420"/>
      <c r="EL44" s="1420"/>
      <c r="EM44" s="1420"/>
      <c r="EN44" s="1420"/>
      <c r="EO44" s="1420"/>
      <c r="EP44" s="1420"/>
      <c r="EQ44" s="1420"/>
      <c r="ER44" s="1420"/>
      <c r="ES44" s="1420"/>
      <c r="ET44" s="1420"/>
      <c r="EU44" s="1420"/>
      <c r="EV44" s="1420"/>
      <c r="EW44" s="1420"/>
      <c r="EX44" s="1420"/>
      <c r="EY44" s="1420"/>
      <c r="EZ44" s="1420"/>
      <c r="FA44" s="1420"/>
      <c r="FB44" s="1420"/>
      <c r="FC44" s="1420"/>
      <c r="FD44" s="1420"/>
      <c r="FE44" s="1420"/>
      <c r="FF44" s="1420"/>
      <c r="FG44" s="1420"/>
      <c r="FH44" s="1420"/>
      <c r="FI44" s="1420"/>
      <c r="FJ44" s="1420"/>
      <c r="FK44" s="1420"/>
      <c r="FL44" s="1420"/>
      <c r="FM44" s="1420"/>
      <c r="FN44" s="1420"/>
      <c r="FO44" s="1420"/>
      <c r="FP44" s="1420"/>
      <c r="FQ44" s="1420"/>
      <c r="FR44" s="1420"/>
      <c r="FS44" s="1420"/>
      <c r="FT44" s="1420"/>
      <c r="FU44" s="1420"/>
      <c r="FV44" s="1420"/>
      <c r="FW44" s="1420"/>
      <c r="FX44" s="1420"/>
      <c r="FY44" s="1420"/>
      <c r="FZ44" s="1420"/>
      <c r="GA44" s="1420"/>
      <c r="GB44" s="1420"/>
      <c r="GC44" s="1420"/>
      <c r="GD44" s="1420"/>
      <c r="GE44" s="1420"/>
      <c r="GF44" s="1420"/>
      <c r="GG44" s="1420"/>
      <c r="GH44" s="1420"/>
      <c r="GI44" s="1420"/>
      <c r="GJ44" s="1420"/>
      <c r="GK44" s="1420"/>
      <c r="GL44" s="1420"/>
      <c r="GM44" s="1420"/>
      <c r="GN44" s="1420"/>
      <c r="GO44" s="1420"/>
      <c r="GP44" s="1420"/>
      <c r="GQ44" s="1420"/>
      <c r="GR44" s="1420"/>
      <c r="GS44" s="1420"/>
      <c r="GT44" s="1420"/>
      <c r="GU44" s="1420"/>
      <c r="GV44" s="1420"/>
      <c r="GW44" s="1420"/>
      <c r="GX44" s="1420"/>
      <c r="GY44" s="1420"/>
      <c r="GZ44" s="1420"/>
      <c r="HA44" s="1420"/>
      <c r="HB44" s="1420"/>
      <c r="HC44" s="1420"/>
      <c r="HD44" s="1420"/>
      <c r="HE44" s="1420"/>
      <c r="HF44" s="1420"/>
      <c r="HG44" s="1420"/>
      <c r="HH44" s="1420"/>
      <c r="HI44" s="1420"/>
      <c r="HJ44" s="1420"/>
      <c r="HK44" s="1420"/>
      <c r="HL44" s="1420"/>
      <c r="HM44" s="1420"/>
      <c r="HN44" s="1420"/>
      <c r="HO44" s="1420"/>
      <c r="HP44" s="1420"/>
      <c r="HQ44" s="1420"/>
      <c r="HR44" s="1420"/>
      <c r="HS44" s="1420"/>
      <c r="HT44" s="1420"/>
      <c r="HU44" s="1420"/>
      <c r="HV44" s="1420"/>
      <c r="HW44" s="1420"/>
      <c r="HX44" s="1420"/>
      <c r="HY44" s="1420"/>
      <c r="HZ44" s="1420"/>
      <c r="IA44" s="1420"/>
      <c r="IB44" s="1420"/>
      <c r="IC44" s="1420"/>
      <c r="ID44" s="1420"/>
      <c r="IE44" s="1420"/>
      <c r="IF44" s="1420"/>
      <c r="IG44" s="1420"/>
      <c r="IH44" s="1420"/>
      <c r="II44" s="1420"/>
      <c r="IJ44" s="1420"/>
      <c r="IK44" s="1420"/>
      <c r="IL44" s="1420"/>
      <c r="IM44" s="1420"/>
      <c r="IN44" s="1420"/>
    </row>
    <row r="45" spans="1:248" s="1421" customFormat="1" ht="15" customHeight="1" x14ac:dyDescent="0.25">
      <c r="A45" s="1329">
        <v>44834</v>
      </c>
      <c r="B45" s="1047" t="s">
        <v>59</v>
      </c>
      <c r="C45" s="1381">
        <v>1289074490</v>
      </c>
      <c r="D45" s="1039">
        <f t="shared" si="0"/>
        <v>44864</v>
      </c>
      <c r="E45" s="1040">
        <f t="shared" si="1"/>
        <v>44864</v>
      </c>
      <c r="F45" s="1314"/>
      <c r="G45" s="1416"/>
      <c r="H45" s="1417"/>
      <c r="I45" s="1044">
        <f t="shared" si="3"/>
        <v>1289074490</v>
      </c>
      <c r="J45" s="1314"/>
      <c r="K45" s="1044"/>
      <c r="L45" s="1044"/>
      <c r="M45" s="1368"/>
      <c r="N45" s="1314"/>
      <c r="O45" s="1416"/>
      <c r="P45" s="1416"/>
      <c r="Q45" s="1416"/>
      <c r="R45" s="1416"/>
      <c r="S45" s="1314"/>
      <c r="T45" s="1418"/>
      <c r="U45" s="1419"/>
      <c r="V45" s="1419"/>
      <c r="W45" s="1419"/>
      <c r="X45" s="1419"/>
      <c r="Y45" s="1419"/>
      <c r="Z45" s="1420"/>
      <c r="AA45" s="1420"/>
      <c r="AB45" s="1420"/>
      <c r="AC45" s="1420"/>
      <c r="AD45" s="1420"/>
      <c r="AE45" s="1420"/>
      <c r="AF45" s="1420"/>
      <c r="AG45" s="1420"/>
      <c r="AH45" s="1420"/>
      <c r="AI45" s="1420"/>
      <c r="AJ45" s="1420"/>
      <c r="AK45" s="1420"/>
      <c r="AL45" s="1420"/>
      <c r="AM45" s="1420"/>
      <c r="AN45" s="1420"/>
      <c r="AO45" s="1420"/>
      <c r="AP45" s="1420"/>
      <c r="AQ45" s="1420"/>
      <c r="AR45" s="1420"/>
      <c r="AS45" s="1420"/>
      <c r="AT45" s="1420"/>
      <c r="AU45" s="1420"/>
      <c r="AV45" s="1420"/>
      <c r="AW45" s="1420"/>
      <c r="AX45" s="1420"/>
      <c r="AY45" s="1420"/>
      <c r="AZ45" s="1420"/>
      <c r="BA45" s="1420"/>
      <c r="BB45" s="1420"/>
      <c r="BC45" s="1420"/>
      <c r="BD45" s="1420"/>
      <c r="BE45" s="1420"/>
      <c r="BF45" s="1420"/>
      <c r="BG45" s="1420"/>
      <c r="BH45" s="1420"/>
      <c r="BI45" s="1420"/>
      <c r="BJ45" s="1420"/>
      <c r="BK45" s="1420"/>
      <c r="BL45" s="1420"/>
      <c r="BM45" s="1420"/>
      <c r="BN45" s="1420"/>
      <c r="BO45" s="1420"/>
      <c r="BP45" s="1420"/>
      <c r="BQ45" s="1420"/>
      <c r="BR45" s="1420"/>
      <c r="BS45" s="1420"/>
      <c r="BT45" s="1420"/>
      <c r="BU45" s="1420"/>
      <c r="BV45" s="1420"/>
      <c r="BW45" s="1420"/>
      <c r="BX45" s="1420"/>
      <c r="BY45" s="1420"/>
      <c r="BZ45" s="1420"/>
      <c r="CA45" s="1420"/>
      <c r="CB45" s="1420"/>
      <c r="CC45" s="1420"/>
      <c r="CD45" s="1420"/>
      <c r="CE45" s="1420"/>
      <c r="CF45" s="1420"/>
      <c r="CG45" s="1420"/>
      <c r="CH45" s="1420"/>
      <c r="CI45" s="1420"/>
      <c r="CJ45" s="1420"/>
      <c r="CK45" s="1420"/>
      <c r="CL45" s="1420"/>
      <c r="CM45" s="1420"/>
      <c r="CN45" s="1420"/>
      <c r="CO45" s="1420"/>
      <c r="CP45" s="1420"/>
      <c r="CQ45" s="1420"/>
      <c r="CR45" s="1420"/>
      <c r="CS45" s="1420"/>
      <c r="CT45" s="1420"/>
      <c r="CU45" s="1420"/>
      <c r="CV45" s="1420"/>
      <c r="CW45" s="1420"/>
      <c r="CX45" s="1420"/>
      <c r="CY45" s="1420"/>
      <c r="CZ45" s="1420"/>
      <c r="DA45" s="1420"/>
      <c r="DB45" s="1420"/>
      <c r="DC45" s="1420"/>
      <c r="DD45" s="1420"/>
      <c r="DE45" s="1420"/>
      <c r="DF45" s="1420"/>
      <c r="DG45" s="1420"/>
      <c r="DH45" s="1420"/>
      <c r="DI45" s="1420"/>
      <c r="DJ45" s="1420"/>
      <c r="DK45" s="1420"/>
      <c r="DL45" s="1420"/>
      <c r="DM45" s="1420"/>
      <c r="DN45" s="1420"/>
      <c r="DO45" s="1420"/>
      <c r="DP45" s="1420"/>
      <c r="DQ45" s="1420"/>
      <c r="DR45" s="1420"/>
      <c r="DS45" s="1420"/>
      <c r="DT45" s="1420"/>
      <c r="DU45" s="1420"/>
      <c r="DV45" s="1420"/>
      <c r="DW45" s="1420"/>
      <c r="DX45" s="1420"/>
      <c r="DY45" s="1420"/>
      <c r="DZ45" s="1420"/>
      <c r="EA45" s="1420"/>
      <c r="EB45" s="1420"/>
      <c r="EC45" s="1420"/>
      <c r="ED45" s="1420"/>
      <c r="EE45" s="1420"/>
      <c r="EF45" s="1420"/>
      <c r="EG45" s="1420"/>
      <c r="EH45" s="1420"/>
      <c r="EI45" s="1420"/>
      <c r="EJ45" s="1420"/>
      <c r="EK45" s="1420"/>
      <c r="EL45" s="1420"/>
      <c r="EM45" s="1420"/>
      <c r="EN45" s="1420"/>
      <c r="EO45" s="1420"/>
      <c r="EP45" s="1420"/>
      <c r="EQ45" s="1420"/>
      <c r="ER45" s="1420"/>
      <c r="ES45" s="1420"/>
      <c r="ET45" s="1420"/>
      <c r="EU45" s="1420"/>
      <c r="EV45" s="1420"/>
      <c r="EW45" s="1420"/>
      <c r="EX45" s="1420"/>
      <c r="EY45" s="1420"/>
      <c r="EZ45" s="1420"/>
      <c r="FA45" s="1420"/>
      <c r="FB45" s="1420"/>
      <c r="FC45" s="1420"/>
      <c r="FD45" s="1420"/>
      <c r="FE45" s="1420"/>
      <c r="FF45" s="1420"/>
      <c r="FG45" s="1420"/>
      <c r="FH45" s="1420"/>
      <c r="FI45" s="1420"/>
      <c r="FJ45" s="1420"/>
      <c r="FK45" s="1420"/>
      <c r="FL45" s="1420"/>
      <c r="FM45" s="1420"/>
      <c r="FN45" s="1420"/>
      <c r="FO45" s="1420"/>
      <c r="FP45" s="1420"/>
      <c r="FQ45" s="1420"/>
      <c r="FR45" s="1420"/>
      <c r="FS45" s="1420"/>
      <c r="FT45" s="1420"/>
      <c r="FU45" s="1420"/>
      <c r="FV45" s="1420"/>
      <c r="FW45" s="1420"/>
      <c r="FX45" s="1420"/>
      <c r="FY45" s="1420"/>
      <c r="FZ45" s="1420"/>
      <c r="GA45" s="1420"/>
      <c r="GB45" s="1420"/>
      <c r="GC45" s="1420"/>
      <c r="GD45" s="1420"/>
      <c r="GE45" s="1420"/>
      <c r="GF45" s="1420"/>
      <c r="GG45" s="1420"/>
      <c r="GH45" s="1420"/>
      <c r="GI45" s="1420"/>
      <c r="GJ45" s="1420"/>
      <c r="GK45" s="1420"/>
      <c r="GL45" s="1420"/>
      <c r="GM45" s="1420"/>
      <c r="GN45" s="1420"/>
      <c r="GO45" s="1420"/>
      <c r="GP45" s="1420"/>
      <c r="GQ45" s="1420"/>
      <c r="GR45" s="1420"/>
      <c r="GS45" s="1420"/>
      <c r="GT45" s="1420"/>
      <c r="GU45" s="1420"/>
      <c r="GV45" s="1420"/>
      <c r="GW45" s="1420"/>
      <c r="GX45" s="1420"/>
      <c r="GY45" s="1420"/>
      <c r="GZ45" s="1420"/>
      <c r="HA45" s="1420"/>
      <c r="HB45" s="1420"/>
      <c r="HC45" s="1420"/>
      <c r="HD45" s="1420"/>
      <c r="HE45" s="1420"/>
      <c r="HF45" s="1420"/>
      <c r="HG45" s="1420"/>
      <c r="HH45" s="1420"/>
      <c r="HI45" s="1420"/>
      <c r="HJ45" s="1420"/>
      <c r="HK45" s="1420"/>
      <c r="HL45" s="1420"/>
      <c r="HM45" s="1420"/>
      <c r="HN45" s="1420"/>
      <c r="HO45" s="1420"/>
      <c r="HP45" s="1420"/>
      <c r="HQ45" s="1420"/>
      <c r="HR45" s="1420"/>
      <c r="HS45" s="1420"/>
      <c r="HT45" s="1420"/>
      <c r="HU45" s="1420"/>
      <c r="HV45" s="1420"/>
      <c r="HW45" s="1420"/>
      <c r="HX45" s="1420"/>
      <c r="HY45" s="1420"/>
      <c r="HZ45" s="1420"/>
      <c r="IA45" s="1420"/>
      <c r="IB45" s="1420"/>
      <c r="IC45" s="1420"/>
      <c r="ID45" s="1420"/>
      <c r="IE45" s="1420"/>
      <c r="IF45" s="1420"/>
      <c r="IG45" s="1420"/>
      <c r="IH45" s="1420"/>
      <c r="II45" s="1420"/>
      <c r="IJ45" s="1420"/>
      <c r="IK45" s="1420"/>
      <c r="IL45" s="1420"/>
      <c r="IM45" s="1420"/>
      <c r="IN45" s="1420"/>
    </row>
    <row r="46" spans="1:248" s="1421" customFormat="1" ht="15" customHeight="1" x14ac:dyDescent="0.25">
      <c r="A46" s="1329">
        <v>44837</v>
      </c>
      <c r="B46" s="1047" t="s">
        <v>50</v>
      </c>
      <c r="C46" s="1381">
        <v>479119437</v>
      </c>
      <c r="D46" s="1039">
        <f t="shared" si="0"/>
        <v>44867</v>
      </c>
      <c r="E46" s="1040">
        <f t="shared" si="1"/>
        <v>44867</v>
      </c>
      <c r="F46" s="1314"/>
      <c r="G46" s="1416"/>
      <c r="H46" s="1417"/>
      <c r="I46" s="1044">
        <f t="shared" si="3"/>
        <v>479119437</v>
      </c>
      <c r="J46" s="1314"/>
      <c r="K46" s="1044"/>
      <c r="L46" s="1044"/>
      <c r="M46" s="1368"/>
      <c r="N46" s="1314"/>
      <c r="O46" s="1416"/>
      <c r="P46" s="1416"/>
      <c r="Q46" s="1416"/>
      <c r="R46" s="1416"/>
      <c r="S46" s="1314"/>
      <c r="T46" s="1418"/>
      <c r="U46" s="1419"/>
      <c r="V46" s="1419"/>
      <c r="W46" s="1419"/>
      <c r="X46" s="1419"/>
      <c r="Y46" s="1419"/>
      <c r="Z46" s="1420"/>
      <c r="AA46" s="1420"/>
      <c r="AB46" s="1420"/>
      <c r="AC46" s="1420"/>
      <c r="AD46" s="1420"/>
      <c r="AE46" s="1420"/>
      <c r="AF46" s="1420"/>
      <c r="AG46" s="1420"/>
      <c r="AH46" s="1420"/>
      <c r="AI46" s="1420"/>
      <c r="AJ46" s="1420"/>
      <c r="AK46" s="1420"/>
      <c r="AL46" s="1420"/>
      <c r="AM46" s="1420"/>
      <c r="AN46" s="1420"/>
      <c r="AO46" s="1420"/>
      <c r="AP46" s="1420"/>
      <c r="AQ46" s="1420"/>
      <c r="AR46" s="1420"/>
      <c r="AS46" s="1420"/>
      <c r="AT46" s="1420"/>
      <c r="AU46" s="1420"/>
      <c r="AV46" s="1420"/>
      <c r="AW46" s="1420"/>
      <c r="AX46" s="1420"/>
      <c r="AY46" s="1420"/>
      <c r="AZ46" s="1420"/>
      <c r="BA46" s="1420"/>
      <c r="BB46" s="1420"/>
      <c r="BC46" s="1420"/>
      <c r="BD46" s="1420"/>
      <c r="BE46" s="1420"/>
      <c r="BF46" s="1420"/>
      <c r="BG46" s="1420"/>
      <c r="BH46" s="1420"/>
      <c r="BI46" s="1420"/>
      <c r="BJ46" s="1420"/>
      <c r="BK46" s="1420"/>
      <c r="BL46" s="1420"/>
      <c r="BM46" s="1420"/>
      <c r="BN46" s="1420"/>
      <c r="BO46" s="1420"/>
      <c r="BP46" s="1420"/>
      <c r="BQ46" s="1420"/>
      <c r="BR46" s="1420"/>
      <c r="BS46" s="1420"/>
      <c r="BT46" s="1420"/>
      <c r="BU46" s="1420"/>
      <c r="BV46" s="1420"/>
      <c r="BW46" s="1420"/>
      <c r="BX46" s="1420"/>
      <c r="BY46" s="1420"/>
      <c r="BZ46" s="1420"/>
      <c r="CA46" s="1420"/>
      <c r="CB46" s="1420"/>
      <c r="CC46" s="1420"/>
      <c r="CD46" s="1420"/>
      <c r="CE46" s="1420"/>
      <c r="CF46" s="1420"/>
      <c r="CG46" s="1420"/>
      <c r="CH46" s="1420"/>
      <c r="CI46" s="1420"/>
      <c r="CJ46" s="1420"/>
      <c r="CK46" s="1420"/>
      <c r="CL46" s="1420"/>
      <c r="CM46" s="1420"/>
      <c r="CN46" s="1420"/>
      <c r="CO46" s="1420"/>
      <c r="CP46" s="1420"/>
      <c r="CQ46" s="1420"/>
      <c r="CR46" s="1420"/>
      <c r="CS46" s="1420"/>
      <c r="CT46" s="1420"/>
      <c r="CU46" s="1420"/>
      <c r="CV46" s="1420"/>
      <c r="CW46" s="1420"/>
      <c r="CX46" s="1420"/>
      <c r="CY46" s="1420"/>
      <c r="CZ46" s="1420"/>
      <c r="DA46" s="1420"/>
      <c r="DB46" s="1420"/>
      <c r="DC46" s="1420"/>
      <c r="DD46" s="1420"/>
      <c r="DE46" s="1420"/>
      <c r="DF46" s="1420"/>
      <c r="DG46" s="1420"/>
      <c r="DH46" s="1420"/>
      <c r="DI46" s="1420"/>
      <c r="DJ46" s="1420"/>
      <c r="DK46" s="1420"/>
      <c r="DL46" s="1420"/>
      <c r="DM46" s="1420"/>
      <c r="DN46" s="1420"/>
      <c r="DO46" s="1420"/>
      <c r="DP46" s="1420"/>
      <c r="DQ46" s="1420"/>
      <c r="DR46" s="1420"/>
      <c r="DS46" s="1420"/>
      <c r="DT46" s="1420"/>
      <c r="DU46" s="1420"/>
      <c r="DV46" s="1420"/>
      <c r="DW46" s="1420"/>
      <c r="DX46" s="1420"/>
      <c r="DY46" s="1420"/>
      <c r="DZ46" s="1420"/>
      <c r="EA46" s="1420"/>
      <c r="EB46" s="1420"/>
      <c r="EC46" s="1420"/>
      <c r="ED46" s="1420"/>
      <c r="EE46" s="1420"/>
      <c r="EF46" s="1420"/>
      <c r="EG46" s="1420"/>
      <c r="EH46" s="1420"/>
      <c r="EI46" s="1420"/>
      <c r="EJ46" s="1420"/>
      <c r="EK46" s="1420"/>
      <c r="EL46" s="1420"/>
      <c r="EM46" s="1420"/>
      <c r="EN46" s="1420"/>
      <c r="EO46" s="1420"/>
      <c r="EP46" s="1420"/>
      <c r="EQ46" s="1420"/>
      <c r="ER46" s="1420"/>
      <c r="ES46" s="1420"/>
      <c r="ET46" s="1420"/>
      <c r="EU46" s="1420"/>
      <c r="EV46" s="1420"/>
      <c r="EW46" s="1420"/>
      <c r="EX46" s="1420"/>
      <c r="EY46" s="1420"/>
      <c r="EZ46" s="1420"/>
      <c r="FA46" s="1420"/>
      <c r="FB46" s="1420"/>
      <c r="FC46" s="1420"/>
      <c r="FD46" s="1420"/>
      <c r="FE46" s="1420"/>
      <c r="FF46" s="1420"/>
      <c r="FG46" s="1420"/>
      <c r="FH46" s="1420"/>
      <c r="FI46" s="1420"/>
      <c r="FJ46" s="1420"/>
      <c r="FK46" s="1420"/>
      <c r="FL46" s="1420"/>
      <c r="FM46" s="1420"/>
      <c r="FN46" s="1420"/>
      <c r="FO46" s="1420"/>
      <c r="FP46" s="1420"/>
      <c r="FQ46" s="1420"/>
      <c r="FR46" s="1420"/>
      <c r="FS46" s="1420"/>
      <c r="FT46" s="1420"/>
      <c r="FU46" s="1420"/>
      <c r="FV46" s="1420"/>
      <c r="FW46" s="1420"/>
      <c r="FX46" s="1420"/>
      <c r="FY46" s="1420"/>
      <c r="FZ46" s="1420"/>
      <c r="GA46" s="1420"/>
      <c r="GB46" s="1420"/>
      <c r="GC46" s="1420"/>
      <c r="GD46" s="1420"/>
      <c r="GE46" s="1420"/>
      <c r="GF46" s="1420"/>
      <c r="GG46" s="1420"/>
      <c r="GH46" s="1420"/>
      <c r="GI46" s="1420"/>
      <c r="GJ46" s="1420"/>
      <c r="GK46" s="1420"/>
      <c r="GL46" s="1420"/>
      <c r="GM46" s="1420"/>
      <c r="GN46" s="1420"/>
      <c r="GO46" s="1420"/>
      <c r="GP46" s="1420"/>
      <c r="GQ46" s="1420"/>
      <c r="GR46" s="1420"/>
      <c r="GS46" s="1420"/>
      <c r="GT46" s="1420"/>
      <c r="GU46" s="1420"/>
      <c r="GV46" s="1420"/>
      <c r="GW46" s="1420"/>
      <c r="GX46" s="1420"/>
      <c r="GY46" s="1420"/>
      <c r="GZ46" s="1420"/>
      <c r="HA46" s="1420"/>
      <c r="HB46" s="1420"/>
      <c r="HC46" s="1420"/>
      <c r="HD46" s="1420"/>
      <c r="HE46" s="1420"/>
      <c r="HF46" s="1420"/>
      <c r="HG46" s="1420"/>
      <c r="HH46" s="1420"/>
      <c r="HI46" s="1420"/>
      <c r="HJ46" s="1420"/>
      <c r="HK46" s="1420"/>
      <c r="HL46" s="1420"/>
      <c r="HM46" s="1420"/>
      <c r="HN46" s="1420"/>
      <c r="HO46" s="1420"/>
      <c r="HP46" s="1420"/>
      <c r="HQ46" s="1420"/>
      <c r="HR46" s="1420"/>
      <c r="HS46" s="1420"/>
      <c r="HT46" s="1420"/>
      <c r="HU46" s="1420"/>
      <c r="HV46" s="1420"/>
      <c r="HW46" s="1420"/>
      <c r="HX46" s="1420"/>
      <c r="HY46" s="1420"/>
      <c r="HZ46" s="1420"/>
      <c r="IA46" s="1420"/>
      <c r="IB46" s="1420"/>
      <c r="IC46" s="1420"/>
      <c r="ID46" s="1420"/>
      <c r="IE46" s="1420"/>
      <c r="IF46" s="1420"/>
      <c r="IG46" s="1420"/>
      <c r="IH46" s="1420"/>
      <c r="II46" s="1420"/>
      <c r="IJ46" s="1420"/>
      <c r="IK46" s="1420"/>
      <c r="IL46" s="1420"/>
      <c r="IM46" s="1420"/>
      <c r="IN46" s="1420"/>
    </row>
    <row r="47" spans="1:248" s="1421" customFormat="1" ht="15" customHeight="1" x14ac:dyDescent="0.25">
      <c r="A47" s="1329">
        <v>44837</v>
      </c>
      <c r="B47" s="1047" t="s">
        <v>38</v>
      </c>
      <c r="C47" s="1381">
        <v>2679651799</v>
      </c>
      <c r="D47" s="1039">
        <f t="shared" si="0"/>
        <v>44867</v>
      </c>
      <c r="E47" s="1040">
        <f t="shared" si="1"/>
        <v>44867</v>
      </c>
      <c r="F47" s="1314"/>
      <c r="G47" s="1416"/>
      <c r="H47" s="1417"/>
      <c r="I47" s="1044">
        <f t="shared" si="3"/>
        <v>2679651799</v>
      </c>
      <c r="J47" s="1314"/>
      <c r="K47" s="1044"/>
      <c r="L47" s="1044"/>
      <c r="M47" s="1368"/>
      <c r="N47" s="1314"/>
      <c r="O47" s="1416"/>
      <c r="P47" s="1416"/>
      <c r="Q47" s="1416"/>
      <c r="R47" s="1416"/>
      <c r="S47" s="1314"/>
      <c r="T47" s="1418"/>
      <c r="U47" s="1419"/>
      <c r="V47" s="1419"/>
      <c r="W47" s="1419"/>
      <c r="X47" s="1419"/>
      <c r="Y47" s="1419"/>
      <c r="Z47" s="1420"/>
      <c r="AA47" s="1420"/>
      <c r="AB47" s="1420"/>
      <c r="AC47" s="1420"/>
      <c r="AD47" s="1420"/>
      <c r="AE47" s="1420"/>
      <c r="AF47" s="1420"/>
      <c r="AG47" s="1420"/>
      <c r="AH47" s="1420"/>
      <c r="AI47" s="1420"/>
      <c r="AJ47" s="1420"/>
      <c r="AK47" s="1420"/>
      <c r="AL47" s="1420"/>
      <c r="AM47" s="1420"/>
      <c r="AN47" s="1420"/>
      <c r="AO47" s="1420"/>
      <c r="AP47" s="1420"/>
      <c r="AQ47" s="1420"/>
      <c r="AR47" s="1420"/>
      <c r="AS47" s="1420"/>
      <c r="AT47" s="1420"/>
      <c r="AU47" s="1420"/>
      <c r="AV47" s="1420"/>
      <c r="AW47" s="1420"/>
      <c r="AX47" s="1420"/>
      <c r="AY47" s="1420"/>
      <c r="AZ47" s="1420"/>
      <c r="BA47" s="1420"/>
      <c r="BB47" s="1420"/>
      <c r="BC47" s="1420"/>
      <c r="BD47" s="1420"/>
      <c r="BE47" s="1420"/>
      <c r="BF47" s="1420"/>
      <c r="BG47" s="1420"/>
      <c r="BH47" s="1420"/>
      <c r="BI47" s="1420"/>
      <c r="BJ47" s="1420"/>
      <c r="BK47" s="1420"/>
      <c r="BL47" s="1420"/>
      <c r="BM47" s="1420"/>
      <c r="BN47" s="1420"/>
      <c r="BO47" s="1420"/>
      <c r="BP47" s="1420"/>
      <c r="BQ47" s="1420"/>
      <c r="BR47" s="1420"/>
      <c r="BS47" s="1420"/>
      <c r="BT47" s="1420"/>
      <c r="BU47" s="1420"/>
      <c r="BV47" s="1420"/>
      <c r="BW47" s="1420"/>
      <c r="BX47" s="1420"/>
      <c r="BY47" s="1420"/>
      <c r="BZ47" s="1420"/>
      <c r="CA47" s="1420"/>
      <c r="CB47" s="1420"/>
      <c r="CC47" s="1420"/>
      <c r="CD47" s="1420"/>
      <c r="CE47" s="1420"/>
      <c r="CF47" s="1420"/>
      <c r="CG47" s="1420"/>
      <c r="CH47" s="1420"/>
      <c r="CI47" s="1420"/>
      <c r="CJ47" s="1420"/>
      <c r="CK47" s="1420"/>
      <c r="CL47" s="1420"/>
      <c r="CM47" s="1420"/>
      <c r="CN47" s="1420"/>
      <c r="CO47" s="1420"/>
      <c r="CP47" s="1420"/>
      <c r="CQ47" s="1420"/>
      <c r="CR47" s="1420"/>
      <c r="CS47" s="1420"/>
      <c r="CT47" s="1420"/>
      <c r="CU47" s="1420"/>
      <c r="CV47" s="1420"/>
      <c r="CW47" s="1420"/>
      <c r="CX47" s="1420"/>
      <c r="CY47" s="1420"/>
      <c r="CZ47" s="1420"/>
      <c r="DA47" s="1420"/>
      <c r="DB47" s="1420"/>
      <c r="DC47" s="1420"/>
      <c r="DD47" s="1420"/>
      <c r="DE47" s="1420"/>
      <c r="DF47" s="1420"/>
      <c r="DG47" s="1420"/>
      <c r="DH47" s="1420"/>
      <c r="DI47" s="1420"/>
      <c r="DJ47" s="1420"/>
      <c r="DK47" s="1420"/>
      <c r="DL47" s="1420"/>
      <c r="DM47" s="1420"/>
      <c r="DN47" s="1420"/>
      <c r="DO47" s="1420"/>
      <c r="DP47" s="1420"/>
      <c r="DQ47" s="1420"/>
      <c r="DR47" s="1420"/>
      <c r="DS47" s="1420"/>
      <c r="DT47" s="1420"/>
      <c r="DU47" s="1420"/>
      <c r="DV47" s="1420"/>
      <c r="DW47" s="1420"/>
      <c r="DX47" s="1420"/>
      <c r="DY47" s="1420"/>
      <c r="DZ47" s="1420"/>
      <c r="EA47" s="1420"/>
      <c r="EB47" s="1420"/>
      <c r="EC47" s="1420"/>
      <c r="ED47" s="1420"/>
      <c r="EE47" s="1420"/>
      <c r="EF47" s="1420"/>
      <c r="EG47" s="1420"/>
      <c r="EH47" s="1420"/>
      <c r="EI47" s="1420"/>
      <c r="EJ47" s="1420"/>
      <c r="EK47" s="1420"/>
      <c r="EL47" s="1420"/>
      <c r="EM47" s="1420"/>
      <c r="EN47" s="1420"/>
      <c r="EO47" s="1420"/>
      <c r="EP47" s="1420"/>
      <c r="EQ47" s="1420"/>
      <c r="ER47" s="1420"/>
      <c r="ES47" s="1420"/>
      <c r="ET47" s="1420"/>
      <c r="EU47" s="1420"/>
      <c r="EV47" s="1420"/>
      <c r="EW47" s="1420"/>
      <c r="EX47" s="1420"/>
      <c r="EY47" s="1420"/>
      <c r="EZ47" s="1420"/>
      <c r="FA47" s="1420"/>
      <c r="FB47" s="1420"/>
      <c r="FC47" s="1420"/>
      <c r="FD47" s="1420"/>
      <c r="FE47" s="1420"/>
      <c r="FF47" s="1420"/>
      <c r="FG47" s="1420"/>
      <c r="FH47" s="1420"/>
      <c r="FI47" s="1420"/>
      <c r="FJ47" s="1420"/>
      <c r="FK47" s="1420"/>
      <c r="FL47" s="1420"/>
      <c r="FM47" s="1420"/>
      <c r="FN47" s="1420"/>
      <c r="FO47" s="1420"/>
      <c r="FP47" s="1420"/>
      <c r="FQ47" s="1420"/>
      <c r="FR47" s="1420"/>
      <c r="FS47" s="1420"/>
      <c r="FT47" s="1420"/>
      <c r="FU47" s="1420"/>
      <c r="FV47" s="1420"/>
      <c r="FW47" s="1420"/>
      <c r="FX47" s="1420"/>
      <c r="FY47" s="1420"/>
      <c r="FZ47" s="1420"/>
      <c r="GA47" s="1420"/>
      <c r="GB47" s="1420"/>
      <c r="GC47" s="1420"/>
      <c r="GD47" s="1420"/>
      <c r="GE47" s="1420"/>
      <c r="GF47" s="1420"/>
      <c r="GG47" s="1420"/>
      <c r="GH47" s="1420"/>
      <c r="GI47" s="1420"/>
      <c r="GJ47" s="1420"/>
      <c r="GK47" s="1420"/>
      <c r="GL47" s="1420"/>
      <c r="GM47" s="1420"/>
      <c r="GN47" s="1420"/>
      <c r="GO47" s="1420"/>
      <c r="GP47" s="1420"/>
      <c r="GQ47" s="1420"/>
      <c r="GR47" s="1420"/>
      <c r="GS47" s="1420"/>
      <c r="GT47" s="1420"/>
      <c r="GU47" s="1420"/>
      <c r="GV47" s="1420"/>
      <c r="GW47" s="1420"/>
      <c r="GX47" s="1420"/>
      <c r="GY47" s="1420"/>
      <c r="GZ47" s="1420"/>
      <c r="HA47" s="1420"/>
      <c r="HB47" s="1420"/>
      <c r="HC47" s="1420"/>
      <c r="HD47" s="1420"/>
      <c r="HE47" s="1420"/>
      <c r="HF47" s="1420"/>
      <c r="HG47" s="1420"/>
      <c r="HH47" s="1420"/>
      <c r="HI47" s="1420"/>
      <c r="HJ47" s="1420"/>
      <c r="HK47" s="1420"/>
      <c r="HL47" s="1420"/>
      <c r="HM47" s="1420"/>
      <c r="HN47" s="1420"/>
      <c r="HO47" s="1420"/>
      <c r="HP47" s="1420"/>
      <c r="HQ47" s="1420"/>
      <c r="HR47" s="1420"/>
      <c r="HS47" s="1420"/>
      <c r="HT47" s="1420"/>
      <c r="HU47" s="1420"/>
      <c r="HV47" s="1420"/>
      <c r="HW47" s="1420"/>
      <c r="HX47" s="1420"/>
      <c r="HY47" s="1420"/>
      <c r="HZ47" s="1420"/>
      <c r="IA47" s="1420"/>
      <c r="IB47" s="1420"/>
      <c r="IC47" s="1420"/>
      <c r="ID47" s="1420"/>
      <c r="IE47" s="1420"/>
      <c r="IF47" s="1420"/>
      <c r="IG47" s="1420"/>
      <c r="IH47" s="1420"/>
      <c r="II47" s="1420"/>
      <c r="IJ47" s="1420"/>
      <c r="IK47" s="1420"/>
      <c r="IL47" s="1420"/>
      <c r="IM47" s="1420"/>
      <c r="IN47" s="1420"/>
    </row>
    <row r="48" spans="1:248" s="1421" customFormat="1" ht="15" customHeight="1" x14ac:dyDescent="0.25">
      <c r="A48" s="1329">
        <v>44837</v>
      </c>
      <c r="B48" s="1047" t="s">
        <v>29</v>
      </c>
      <c r="C48" s="1381">
        <v>636752668</v>
      </c>
      <c r="D48" s="1039">
        <f t="shared" si="0"/>
        <v>44867</v>
      </c>
      <c r="E48" s="1040">
        <f t="shared" si="1"/>
        <v>44867</v>
      </c>
      <c r="F48" s="1314"/>
      <c r="G48" s="1416"/>
      <c r="H48" s="1417"/>
      <c r="I48" s="1044">
        <f t="shared" si="3"/>
        <v>636752668</v>
      </c>
      <c r="J48" s="1314"/>
      <c r="K48" s="1044"/>
      <c r="L48" s="1044"/>
      <c r="M48" s="1368"/>
      <c r="N48" s="1314"/>
      <c r="O48" s="1416"/>
      <c r="P48" s="1416"/>
      <c r="Q48" s="1416"/>
      <c r="R48" s="1416"/>
      <c r="S48" s="1314"/>
      <c r="T48" s="1418"/>
      <c r="U48" s="1419"/>
      <c r="V48" s="1419"/>
      <c r="W48" s="1419"/>
      <c r="X48" s="1419"/>
      <c r="Y48" s="1419"/>
      <c r="Z48" s="1420"/>
      <c r="AA48" s="1420"/>
      <c r="AB48" s="1420"/>
      <c r="AC48" s="1420"/>
      <c r="AD48" s="1420"/>
      <c r="AE48" s="1420"/>
      <c r="AF48" s="1420"/>
      <c r="AG48" s="1420"/>
      <c r="AH48" s="1420"/>
      <c r="AI48" s="1420"/>
      <c r="AJ48" s="1420"/>
      <c r="AK48" s="1420"/>
      <c r="AL48" s="1420"/>
      <c r="AM48" s="1420"/>
      <c r="AN48" s="1420"/>
      <c r="AO48" s="1420"/>
      <c r="AP48" s="1420"/>
      <c r="AQ48" s="1420"/>
      <c r="AR48" s="1420"/>
      <c r="AS48" s="1420"/>
      <c r="AT48" s="1420"/>
      <c r="AU48" s="1420"/>
      <c r="AV48" s="1420"/>
      <c r="AW48" s="1420"/>
      <c r="AX48" s="1420"/>
      <c r="AY48" s="1420"/>
      <c r="AZ48" s="1420"/>
      <c r="BA48" s="1420"/>
      <c r="BB48" s="1420"/>
      <c r="BC48" s="1420"/>
      <c r="BD48" s="1420"/>
      <c r="BE48" s="1420"/>
      <c r="BF48" s="1420"/>
      <c r="BG48" s="1420"/>
      <c r="BH48" s="1420"/>
      <c r="BI48" s="1420"/>
      <c r="BJ48" s="1420"/>
      <c r="BK48" s="1420"/>
      <c r="BL48" s="1420"/>
      <c r="BM48" s="1420"/>
      <c r="BN48" s="1420"/>
      <c r="BO48" s="1420"/>
      <c r="BP48" s="1420"/>
      <c r="BQ48" s="1420"/>
      <c r="BR48" s="1420"/>
      <c r="BS48" s="1420"/>
      <c r="BT48" s="1420"/>
      <c r="BU48" s="1420"/>
      <c r="BV48" s="1420"/>
      <c r="BW48" s="1420"/>
      <c r="BX48" s="1420"/>
      <c r="BY48" s="1420"/>
      <c r="BZ48" s="1420"/>
      <c r="CA48" s="1420"/>
      <c r="CB48" s="1420"/>
      <c r="CC48" s="1420"/>
      <c r="CD48" s="1420"/>
      <c r="CE48" s="1420"/>
      <c r="CF48" s="1420"/>
      <c r="CG48" s="1420"/>
      <c r="CH48" s="1420"/>
      <c r="CI48" s="1420"/>
      <c r="CJ48" s="1420"/>
      <c r="CK48" s="1420"/>
      <c r="CL48" s="1420"/>
      <c r="CM48" s="1420"/>
      <c r="CN48" s="1420"/>
      <c r="CO48" s="1420"/>
      <c r="CP48" s="1420"/>
      <c r="CQ48" s="1420"/>
      <c r="CR48" s="1420"/>
      <c r="CS48" s="1420"/>
      <c r="CT48" s="1420"/>
      <c r="CU48" s="1420"/>
      <c r="CV48" s="1420"/>
      <c r="CW48" s="1420"/>
      <c r="CX48" s="1420"/>
      <c r="CY48" s="1420"/>
      <c r="CZ48" s="1420"/>
      <c r="DA48" s="1420"/>
      <c r="DB48" s="1420"/>
      <c r="DC48" s="1420"/>
      <c r="DD48" s="1420"/>
      <c r="DE48" s="1420"/>
      <c r="DF48" s="1420"/>
      <c r="DG48" s="1420"/>
      <c r="DH48" s="1420"/>
      <c r="DI48" s="1420"/>
      <c r="DJ48" s="1420"/>
      <c r="DK48" s="1420"/>
      <c r="DL48" s="1420"/>
      <c r="DM48" s="1420"/>
      <c r="DN48" s="1420"/>
      <c r="DO48" s="1420"/>
      <c r="DP48" s="1420"/>
      <c r="DQ48" s="1420"/>
      <c r="DR48" s="1420"/>
      <c r="DS48" s="1420"/>
      <c r="DT48" s="1420"/>
      <c r="DU48" s="1420"/>
      <c r="DV48" s="1420"/>
      <c r="DW48" s="1420"/>
      <c r="DX48" s="1420"/>
      <c r="DY48" s="1420"/>
      <c r="DZ48" s="1420"/>
      <c r="EA48" s="1420"/>
      <c r="EB48" s="1420"/>
      <c r="EC48" s="1420"/>
      <c r="ED48" s="1420"/>
      <c r="EE48" s="1420"/>
      <c r="EF48" s="1420"/>
      <c r="EG48" s="1420"/>
      <c r="EH48" s="1420"/>
      <c r="EI48" s="1420"/>
      <c r="EJ48" s="1420"/>
      <c r="EK48" s="1420"/>
      <c r="EL48" s="1420"/>
      <c r="EM48" s="1420"/>
      <c r="EN48" s="1420"/>
      <c r="EO48" s="1420"/>
      <c r="EP48" s="1420"/>
      <c r="EQ48" s="1420"/>
      <c r="ER48" s="1420"/>
      <c r="ES48" s="1420"/>
      <c r="ET48" s="1420"/>
      <c r="EU48" s="1420"/>
      <c r="EV48" s="1420"/>
      <c r="EW48" s="1420"/>
      <c r="EX48" s="1420"/>
      <c r="EY48" s="1420"/>
      <c r="EZ48" s="1420"/>
      <c r="FA48" s="1420"/>
      <c r="FB48" s="1420"/>
      <c r="FC48" s="1420"/>
      <c r="FD48" s="1420"/>
      <c r="FE48" s="1420"/>
      <c r="FF48" s="1420"/>
      <c r="FG48" s="1420"/>
      <c r="FH48" s="1420"/>
      <c r="FI48" s="1420"/>
      <c r="FJ48" s="1420"/>
      <c r="FK48" s="1420"/>
      <c r="FL48" s="1420"/>
      <c r="FM48" s="1420"/>
      <c r="FN48" s="1420"/>
      <c r="FO48" s="1420"/>
      <c r="FP48" s="1420"/>
      <c r="FQ48" s="1420"/>
      <c r="FR48" s="1420"/>
      <c r="FS48" s="1420"/>
      <c r="FT48" s="1420"/>
      <c r="FU48" s="1420"/>
      <c r="FV48" s="1420"/>
      <c r="FW48" s="1420"/>
      <c r="FX48" s="1420"/>
      <c r="FY48" s="1420"/>
      <c r="FZ48" s="1420"/>
      <c r="GA48" s="1420"/>
      <c r="GB48" s="1420"/>
      <c r="GC48" s="1420"/>
      <c r="GD48" s="1420"/>
      <c r="GE48" s="1420"/>
      <c r="GF48" s="1420"/>
      <c r="GG48" s="1420"/>
      <c r="GH48" s="1420"/>
      <c r="GI48" s="1420"/>
      <c r="GJ48" s="1420"/>
      <c r="GK48" s="1420"/>
      <c r="GL48" s="1420"/>
      <c r="GM48" s="1420"/>
      <c r="GN48" s="1420"/>
      <c r="GO48" s="1420"/>
      <c r="GP48" s="1420"/>
      <c r="GQ48" s="1420"/>
      <c r="GR48" s="1420"/>
      <c r="GS48" s="1420"/>
      <c r="GT48" s="1420"/>
      <c r="GU48" s="1420"/>
      <c r="GV48" s="1420"/>
      <c r="GW48" s="1420"/>
      <c r="GX48" s="1420"/>
      <c r="GY48" s="1420"/>
      <c r="GZ48" s="1420"/>
      <c r="HA48" s="1420"/>
      <c r="HB48" s="1420"/>
      <c r="HC48" s="1420"/>
      <c r="HD48" s="1420"/>
      <c r="HE48" s="1420"/>
      <c r="HF48" s="1420"/>
      <c r="HG48" s="1420"/>
      <c r="HH48" s="1420"/>
      <c r="HI48" s="1420"/>
      <c r="HJ48" s="1420"/>
      <c r="HK48" s="1420"/>
      <c r="HL48" s="1420"/>
      <c r="HM48" s="1420"/>
      <c r="HN48" s="1420"/>
      <c r="HO48" s="1420"/>
      <c r="HP48" s="1420"/>
      <c r="HQ48" s="1420"/>
      <c r="HR48" s="1420"/>
      <c r="HS48" s="1420"/>
      <c r="HT48" s="1420"/>
      <c r="HU48" s="1420"/>
      <c r="HV48" s="1420"/>
      <c r="HW48" s="1420"/>
      <c r="HX48" s="1420"/>
      <c r="HY48" s="1420"/>
      <c r="HZ48" s="1420"/>
      <c r="IA48" s="1420"/>
      <c r="IB48" s="1420"/>
      <c r="IC48" s="1420"/>
      <c r="ID48" s="1420"/>
      <c r="IE48" s="1420"/>
      <c r="IF48" s="1420"/>
      <c r="IG48" s="1420"/>
      <c r="IH48" s="1420"/>
      <c r="II48" s="1420"/>
      <c r="IJ48" s="1420"/>
      <c r="IK48" s="1420"/>
      <c r="IL48" s="1420"/>
      <c r="IM48" s="1420"/>
      <c r="IN48" s="1420"/>
    </row>
    <row r="49" spans="1:248" s="1421" customFormat="1" ht="15" customHeight="1" x14ac:dyDescent="0.25">
      <c r="A49" s="1329">
        <v>44839</v>
      </c>
      <c r="B49" s="1047" t="s">
        <v>38</v>
      </c>
      <c r="C49" s="1381">
        <v>2484936414</v>
      </c>
      <c r="D49" s="1039">
        <f t="shared" si="0"/>
        <v>44869</v>
      </c>
      <c r="E49" s="1040">
        <f t="shared" si="1"/>
        <v>44869</v>
      </c>
      <c r="F49" s="1314"/>
      <c r="G49" s="1416"/>
      <c r="H49" s="1417"/>
      <c r="I49" s="1044">
        <f t="shared" si="3"/>
        <v>2484936414</v>
      </c>
      <c r="J49" s="1314"/>
      <c r="K49" s="1044"/>
      <c r="L49" s="1044"/>
      <c r="M49" s="1368"/>
      <c r="N49" s="1314"/>
      <c r="O49" s="1416"/>
      <c r="P49" s="1416"/>
      <c r="Q49" s="1416"/>
      <c r="R49" s="1416"/>
      <c r="S49" s="1314"/>
      <c r="T49" s="1418"/>
      <c r="U49" s="1419"/>
      <c r="V49" s="1419"/>
      <c r="W49" s="1419"/>
      <c r="X49" s="1419"/>
      <c r="Y49" s="1419"/>
      <c r="Z49" s="1420"/>
      <c r="AA49" s="1420"/>
      <c r="AB49" s="1420"/>
      <c r="AC49" s="1420"/>
      <c r="AD49" s="1420"/>
      <c r="AE49" s="1420"/>
      <c r="AF49" s="1420"/>
      <c r="AG49" s="1420"/>
      <c r="AH49" s="1420"/>
      <c r="AI49" s="1420"/>
      <c r="AJ49" s="1420"/>
      <c r="AK49" s="1420"/>
      <c r="AL49" s="1420"/>
      <c r="AM49" s="1420"/>
      <c r="AN49" s="1420"/>
      <c r="AO49" s="1420"/>
      <c r="AP49" s="1420"/>
      <c r="AQ49" s="1420"/>
      <c r="AR49" s="1420"/>
      <c r="AS49" s="1420"/>
      <c r="AT49" s="1420"/>
      <c r="AU49" s="1420"/>
      <c r="AV49" s="1420"/>
      <c r="AW49" s="1420"/>
      <c r="AX49" s="1420"/>
      <c r="AY49" s="1420"/>
      <c r="AZ49" s="1420"/>
      <c r="BA49" s="1420"/>
      <c r="BB49" s="1420"/>
      <c r="BC49" s="1420"/>
      <c r="BD49" s="1420"/>
      <c r="BE49" s="1420"/>
      <c r="BF49" s="1420"/>
      <c r="BG49" s="1420"/>
      <c r="BH49" s="1420"/>
      <c r="BI49" s="1420"/>
      <c r="BJ49" s="1420"/>
      <c r="BK49" s="1420"/>
      <c r="BL49" s="1420"/>
      <c r="BM49" s="1420"/>
      <c r="BN49" s="1420"/>
      <c r="BO49" s="1420"/>
      <c r="BP49" s="1420"/>
      <c r="BQ49" s="1420"/>
      <c r="BR49" s="1420"/>
      <c r="BS49" s="1420"/>
      <c r="BT49" s="1420"/>
      <c r="BU49" s="1420"/>
      <c r="BV49" s="1420"/>
      <c r="BW49" s="1420"/>
      <c r="BX49" s="1420"/>
      <c r="BY49" s="1420"/>
      <c r="BZ49" s="1420"/>
      <c r="CA49" s="1420"/>
      <c r="CB49" s="1420"/>
      <c r="CC49" s="1420"/>
      <c r="CD49" s="1420"/>
      <c r="CE49" s="1420"/>
      <c r="CF49" s="1420"/>
      <c r="CG49" s="1420"/>
      <c r="CH49" s="1420"/>
      <c r="CI49" s="1420"/>
      <c r="CJ49" s="1420"/>
      <c r="CK49" s="1420"/>
      <c r="CL49" s="1420"/>
      <c r="CM49" s="1420"/>
      <c r="CN49" s="1420"/>
      <c r="CO49" s="1420"/>
      <c r="CP49" s="1420"/>
      <c r="CQ49" s="1420"/>
      <c r="CR49" s="1420"/>
      <c r="CS49" s="1420"/>
      <c r="CT49" s="1420"/>
      <c r="CU49" s="1420"/>
      <c r="CV49" s="1420"/>
      <c r="CW49" s="1420"/>
      <c r="CX49" s="1420"/>
      <c r="CY49" s="1420"/>
      <c r="CZ49" s="1420"/>
      <c r="DA49" s="1420"/>
      <c r="DB49" s="1420"/>
      <c r="DC49" s="1420"/>
      <c r="DD49" s="1420"/>
      <c r="DE49" s="1420"/>
      <c r="DF49" s="1420"/>
      <c r="DG49" s="1420"/>
      <c r="DH49" s="1420"/>
      <c r="DI49" s="1420"/>
      <c r="DJ49" s="1420"/>
      <c r="DK49" s="1420"/>
      <c r="DL49" s="1420"/>
      <c r="DM49" s="1420"/>
      <c r="DN49" s="1420"/>
      <c r="DO49" s="1420"/>
      <c r="DP49" s="1420"/>
      <c r="DQ49" s="1420"/>
      <c r="DR49" s="1420"/>
      <c r="DS49" s="1420"/>
      <c r="DT49" s="1420"/>
      <c r="DU49" s="1420"/>
      <c r="DV49" s="1420"/>
      <c r="DW49" s="1420"/>
      <c r="DX49" s="1420"/>
      <c r="DY49" s="1420"/>
      <c r="DZ49" s="1420"/>
      <c r="EA49" s="1420"/>
      <c r="EB49" s="1420"/>
      <c r="EC49" s="1420"/>
      <c r="ED49" s="1420"/>
      <c r="EE49" s="1420"/>
      <c r="EF49" s="1420"/>
      <c r="EG49" s="1420"/>
      <c r="EH49" s="1420"/>
      <c r="EI49" s="1420"/>
      <c r="EJ49" s="1420"/>
      <c r="EK49" s="1420"/>
      <c r="EL49" s="1420"/>
      <c r="EM49" s="1420"/>
      <c r="EN49" s="1420"/>
      <c r="EO49" s="1420"/>
      <c r="EP49" s="1420"/>
      <c r="EQ49" s="1420"/>
      <c r="ER49" s="1420"/>
      <c r="ES49" s="1420"/>
      <c r="ET49" s="1420"/>
      <c r="EU49" s="1420"/>
      <c r="EV49" s="1420"/>
      <c r="EW49" s="1420"/>
      <c r="EX49" s="1420"/>
      <c r="EY49" s="1420"/>
      <c r="EZ49" s="1420"/>
      <c r="FA49" s="1420"/>
      <c r="FB49" s="1420"/>
      <c r="FC49" s="1420"/>
      <c r="FD49" s="1420"/>
      <c r="FE49" s="1420"/>
      <c r="FF49" s="1420"/>
      <c r="FG49" s="1420"/>
      <c r="FH49" s="1420"/>
      <c r="FI49" s="1420"/>
      <c r="FJ49" s="1420"/>
      <c r="FK49" s="1420"/>
      <c r="FL49" s="1420"/>
      <c r="FM49" s="1420"/>
      <c r="FN49" s="1420"/>
      <c r="FO49" s="1420"/>
      <c r="FP49" s="1420"/>
      <c r="FQ49" s="1420"/>
      <c r="FR49" s="1420"/>
      <c r="FS49" s="1420"/>
      <c r="FT49" s="1420"/>
      <c r="FU49" s="1420"/>
      <c r="FV49" s="1420"/>
      <c r="FW49" s="1420"/>
      <c r="FX49" s="1420"/>
      <c r="FY49" s="1420"/>
      <c r="FZ49" s="1420"/>
      <c r="GA49" s="1420"/>
      <c r="GB49" s="1420"/>
      <c r="GC49" s="1420"/>
      <c r="GD49" s="1420"/>
      <c r="GE49" s="1420"/>
      <c r="GF49" s="1420"/>
      <c r="GG49" s="1420"/>
      <c r="GH49" s="1420"/>
      <c r="GI49" s="1420"/>
      <c r="GJ49" s="1420"/>
      <c r="GK49" s="1420"/>
      <c r="GL49" s="1420"/>
      <c r="GM49" s="1420"/>
      <c r="GN49" s="1420"/>
      <c r="GO49" s="1420"/>
      <c r="GP49" s="1420"/>
      <c r="GQ49" s="1420"/>
      <c r="GR49" s="1420"/>
      <c r="GS49" s="1420"/>
      <c r="GT49" s="1420"/>
      <c r="GU49" s="1420"/>
      <c r="GV49" s="1420"/>
      <c r="GW49" s="1420"/>
      <c r="GX49" s="1420"/>
      <c r="GY49" s="1420"/>
      <c r="GZ49" s="1420"/>
      <c r="HA49" s="1420"/>
      <c r="HB49" s="1420"/>
      <c r="HC49" s="1420"/>
      <c r="HD49" s="1420"/>
      <c r="HE49" s="1420"/>
      <c r="HF49" s="1420"/>
      <c r="HG49" s="1420"/>
      <c r="HH49" s="1420"/>
      <c r="HI49" s="1420"/>
      <c r="HJ49" s="1420"/>
      <c r="HK49" s="1420"/>
      <c r="HL49" s="1420"/>
      <c r="HM49" s="1420"/>
      <c r="HN49" s="1420"/>
      <c r="HO49" s="1420"/>
      <c r="HP49" s="1420"/>
      <c r="HQ49" s="1420"/>
      <c r="HR49" s="1420"/>
      <c r="HS49" s="1420"/>
      <c r="HT49" s="1420"/>
      <c r="HU49" s="1420"/>
      <c r="HV49" s="1420"/>
      <c r="HW49" s="1420"/>
      <c r="HX49" s="1420"/>
      <c r="HY49" s="1420"/>
      <c r="HZ49" s="1420"/>
      <c r="IA49" s="1420"/>
      <c r="IB49" s="1420"/>
      <c r="IC49" s="1420"/>
      <c r="ID49" s="1420"/>
      <c r="IE49" s="1420"/>
      <c r="IF49" s="1420"/>
      <c r="IG49" s="1420"/>
      <c r="IH49" s="1420"/>
      <c r="II49" s="1420"/>
      <c r="IJ49" s="1420"/>
      <c r="IK49" s="1420"/>
      <c r="IL49" s="1420"/>
      <c r="IM49" s="1420"/>
      <c r="IN49" s="1420"/>
    </row>
    <row r="50" spans="1:248" s="1421" customFormat="1" ht="15" customHeight="1" x14ac:dyDescent="0.25">
      <c r="A50" s="1329">
        <v>44839</v>
      </c>
      <c r="B50" s="1047" t="s">
        <v>59</v>
      </c>
      <c r="C50" s="1381">
        <v>612900550</v>
      </c>
      <c r="D50" s="1039">
        <f t="shared" si="0"/>
        <v>44869</v>
      </c>
      <c r="E50" s="1040">
        <f t="shared" si="1"/>
        <v>44869</v>
      </c>
      <c r="F50" s="1314"/>
      <c r="G50" s="1416"/>
      <c r="H50" s="1417"/>
      <c r="I50" s="1044">
        <f t="shared" si="3"/>
        <v>612900550</v>
      </c>
      <c r="J50" s="1314"/>
      <c r="K50" s="1044"/>
      <c r="L50" s="1044"/>
      <c r="M50" s="1368"/>
      <c r="N50" s="1314"/>
      <c r="O50" s="1416"/>
      <c r="P50" s="1416"/>
      <c r="Q50" s="1416"/>
      <c r="R50" s="1416"/>
      <c r="S50" s="1314"/>
      <c r="T50" s="1418"/>
      <c r="U50" s="1419"/>
      <c r="V50" s="1419"/>
      <c r="W50" s="1419"/>
      <c r="X50" s="1419"/>
      <c r="Y50" s="1419"/>
      <c r="Z50" s="1420"/>
      <c r="AA50" s="1420"/>
      <c r="AB50" s="1420"/>
      <c r="AC50" s="1420"/>
      <c r="AD50" s="1420"/>
      <c r="AE50" s="1420"/>
      <c r="AF50" s="1420"/>
      <c r="AG50" s="1420"/>
      <c r="AH50" s="1420"/>
      <c r="AI50" s="1420"/>
      <c r="AJ50" s="1420"/>
      <c r="AK50" s="1420"/>
      <c r="AL50" s="1420"/>
      <c r="AM50" s="1420"/>
      <c r="AN50" s="1420"/>
      <c r="AO50" s="1420"/>
      <c r="AP50" s="1420"/>
      <c r="AQ50" s="1420"/>
      <c r="AR50" s="1420"/>
      <c r="AS50" s="1420"/>
      <c r="AT50" s="1420"/>
      <c r="AU50" s="1420"/>
      <c r="AV50" s="1420"/>
      <c r="AW50" s="1420"/>
      <c r="AX50" s="1420"/>
      <c r="AY50" s="1420"/>
      <c r="AZ50" s="1420"/>
      <c r="BA50" s="1420"/>
      <c r="BB50" s="1420"/>
      <c r="BC50" s="1420"/>
      <c r="BD50" s="1420"/>
      <c r="BE50" s="1420"/>
      <c r="BF50" s="1420"/>
      <c r="BG50" s="1420"/>
      <c r="BH50" s="1420"/>
      <c r="BI50" s="1420"/>
      <c r="BJ50" s="1420"/>
      <c r="BK50" s="1420"/>
      <c r="BL50" s="1420"/>
      <c r="BM50" s="1420"/>
      <c r="BN50" s="1420"/>
      <c r="BO50" s="1420"/>
      <c r="BP50" s="1420"/>
      <c r="BQ50" s="1420"/>
      <c r="BR50" s="1420"/>
      <c r="BS50" s="1420"/>
      <c r="BT50" s="1420"/>
      <c r="BU50" s="1420"/>
      <c r="BV50" s="1420"/>
      <c r="BW50" s="1420"/>
      <c r="BX50" s="1420"/>
      <c r="BY50" s="1420"/>
      <c r="BZ50" s="1420"/>
      <c r="CA50" s="1420"/>
      <c r="CB50" s="1420"/>
      <c r="CC50" s="1420"/>
      <c r="CD50" s="1420"/>
      <c r="CE50" s="1420"/>
      <c r="CF50" s="1420"/>
      <c r="CG50" s="1420"/>
      <c r="CH50" s="1420"/>
      <c r="CI50" s="1420"/>
      <c r="CJ50" s="1420"/>
      <c r="CK50" s="1420"/>
      <c r="CL50" s="1420"/>
      <c r="CM50" s="1420"/>
      <c r="CN50" s="1420"/>
      <c r="CO50" s="1420"/>
      <c r="CP50" s="1420"/>
      <c r="CQ50" s="1420"/>
      <c r="CR50" s="1420"/>
      <c r="CS50" s="1420"/>
      <c r="CT50" s="1420"/>
      <c r="CU50" s="1420"/>
      <c r="CV50" s="1420"/>
      <c r="CW50" s="1420"/>
      <c r="CX50" s="1420"/>
      <c r="CY50" s="1420"/>
      <c r="CZ50" s="1420"/>
      <c r="DA50" s="1420"/>
      <c r="DB50" s="1420"/>
      <c r="DC50" s="1420"/>
      <c r="DD50" s="1420"/>
      <c r="DE50" s="1420"/>
      <c r="DF50" s="1420"/>
      <c r="DG50" s="1420"/>
      <c r="DH50" s="1420"/>
      <c r="DI50" s="1420"/>
      <c r="DJ50" s="1420"/>
      <c r="DK50" s="1420"/>
      <c r="DL50" s="1420"/>
      <c r="DM50" s="1420"/>
      <c r="DN50" s="1420"/>
      <c r="DO50" s="1420"/>
      <c r="DP50" s="1420"/>
      <c r="DQ50" s="1420"/>
      <c r="DR50" s="1420"/>
      <c r="DS50" s="1420"/>
      <c r="DT50" s="1420"/>
      <c r="DU50" s="1420"/>
      <c r="DV50" s="1420"/>
      <c r="DW50" s="1420"/>
      <c r="DX50" s="1420"/>
      <c r="DY50" s="1420"/>
      <c r="DZ50" s="1420"/>
      <c r="EA50" s="1420"/>
      <c r="EB50" s="1420"/>
      <c r="EC50" s="1420"/>
      <c r="ED50" s="1420"/>
      <c r="EE50" s="1420"/>
      <c r="EF50" s="1420"/>
      <c r="EG50" s="1420"/>
      <c r="EH50" s="1420"/>
      <c r="EI50" s="1420"/>
      <c r="EJ50" s="1420"/>
      <c r="EK50" s="1420"/>
      <c r="EL50" s="1420"/>
      <c r="EM50" s="1420"/>
      <c r="EN50" s="1420"/>
      <c r="EO50" s="1420"/>
      <c r="EP50" s="1420"/>
      <c r="EQ50" s="1420"/>
      <c r="ER50" s="1420"/>
      <c r="ES50" s="1420"/>
      <c r="ET50" s="1420"/>
      <c r="EU50" s="1420"/>
      <c r="EV50" s="1420"/>
      <c r="EW50" s="1420"/>
      <c r="EX50" s="1420"/>
      <c r="EY50" s="1420"/>
      <c r="EZ50" s="1420"/>
      <c r="FA50" s="1420"/>
      <c r="FB50" s="1420"/>
      <c r="FC50" s="1420"/>
      <c r="FD50" s="1420"/>
      <c r="FE50" s="1420"/>
      <c r="FF50" s="1420"/>
      <c r="FG50" s="1420"/>
      <c r="FH50" s="1420"/>
      <c r="FI50" s="1420"/>
      <c r="FJ50" s="1420"/>
      <c r="FK50" s="1420"/>
      <c r="FL50" s="1420"/>
      <c r="FM50" s="1420"/>
      <c r="FN50" s="1420"/>
      <c r="FO50" s="1420"/>
      <c r="FP50" s="1420"/>
      <c r="FQ50" s="1420"/>
      <c r="FR50" s="1420"/>
      <c r="FS50" s="1420"/>
      <c r="FT50" s="1420"/>
      <c r="FU50" s="1420"/>
      <c r="FV50" s="1420"/>
      <c r="FW50" s="1420"/>
      <c r="FX50" s="1420"/>
      <c r="FY50" s="1420"/>
      <c r="FZ50" s="1420"/>
      <c r="GA50" s="1420"/>
      <c r="GB50" s="1420"/>
      <c r="GC50" s="1420"/>
      <c r="GD50" s="1420"/>
      <c r="GE50" s="1420"/>
      <c r="GF50" s="1420"/>
      <c r="GG50" s="1420"/>
      <c r="GH50" s="1420"/>
      <c r="GI50" s="1420"/>
      <c r="GJ50" s="1420"/>
      <c r="GK50" s="1420"/>
      <c r="GL50" s="1420"/>
      <c r="GM50" s="1420"/>
      <c r="GN50" s="1420"/>
      <c r="GO50" s="1420"/>
      <c r="GP50" s="1420"/>
      <c r="GQ50" s="1420"/>
      <c r="GR50" s="1420"/>
      <c r="GS50" s="1420"/>
      <c r="GT50" s="1420"/>
      <c r="GU50" s="1420"/>
      <c r="GV50" s="1420"/>
      <c r="GW50" s="1420"/>
      <c r="GX50" s="1420"/>
      <c r="GY50" s="1420"/>
      <c r="GZ50" s="1420"/>
      <c r="HA50" s="1420"/>
      <c r="HB50" s="1420"/>
      <c r="HC50" s="1420"/>
      <c r="HD50" s="1420"/>
      <c r="HE50" s="1420"/>
      <c r="HF50" s="1420"/>
      <c r="HG50" s="1420"/>
      <c r="HH50" s="1420"/>
      <c r="HI50" s="1420"/>
      <c r="HJ50" s="1420"/>
      <c r="HK50" s="1420"/>
      <c r="HL50" s="1420"/>
      <c r="HM50" s="1420"/>
      <c r="HN50" s="1420"/>
      <c r="HO50" s="1420"/>
      <c r="HP50" s="1420"/>
      <c r="HQ50" s="1420"/>
      <c r="HR50" s="1420"/>
      <c r="HS50" s="1420"/>
      <c r="HT50" s="1420"/>
      <c r="HU50" s="1420"/>
      <c r="HV50" s="1420"/>
      <c r="HW50" s="1420"/>
      <c r="HX50" s="1420"/>
      <c r="HY50" s="1420"/>
      <c r="HZ50" s="1420"/>
      <c r="IA50" s="1420"/>
      <c r="IB50" s="1420"/>
      <c r="IC50" s="1420"/>
      <c r="ID50" s="1420"/>
      <c r="IE50" s="1420"/>
      <c r="IF50" s="1420"/>
      <c r="IG50" s="1420"/>
      <c r="IH50" s="1420"/>
      <c r="II50" s="1420"/>
      <c r="IJ50" s="1420"/>
      <c r="IK50" s="1420"/>
      <c r="IL50" s="1420"/>
      <c r="IM50" s="1420"/>
      <c r="IN50" s="1420"/>
    </row>
    <row r="51" spans="1:248" s="1421" customFormat="1" ht="15" customHeight="1" x14ac:dyDescent="0.25">
      <c r="A51" s="1329">
        <v>44839</v>
      </c>
      <c r="B51" s="1047" t="s">
        <v>29</v>
      </c>
      <c r="C51" s="1381">
        <v>605159739</v>
      </c>
      <c r="D51" s="1039">
        <f t="shared" si="0"/>
        <v>44869</v>
      </c>
      <c r="E51" s="1040">
        <f t="shared" si="1"/>
        <v>44869</v>
      </c>
      <c r="F51" s="1314"/>
      <c r="G51" s="1416"/>
      <c r="H51" s="1417"/>
      <c r="I51" s="1044">
        <f t="shared" si="3"/>
        <v>605159739</v>
      </c>
      <c r="J51" s="1314"/>
      <c r="K51" s="1044"/>
      <c r="L51" s="1044"/>
      <c r="M51" s="1368"/>
      <c r="N51" s="1314"/>
      <c r="O51" s="1416"/>
      <c r="P51" s="1416"/>
      <c r="Q51" s="1416"/>
      <c r="R51" s="1416"/>
      <c r="S51" s="1314"/>
      <c r="T51" s="1418"/>
      <c r="U51" s="1419"/>
      <c r="V51" s="1419"/>
      <c r="W51" s="1419"/>
      <c r="X51" s="1419"/>
      <c r="Y51" s="1419"/>
      <c r="Z51" s="1420"/>
      <c r="AA51" s="1420"/>
      <c r="AB51" s="1420"/>
      <c r="AC51" s="1420"/>
      <c r="AD51" s="1420"/>
      <c r="AE51" s="1420"/>
      <c r="AF51" s="1420"/>
      <c r="AG51" s="1420"/>
      <c r="AH51" s="1420"/>
      <c r="AI51" s="1420"/>
      <c r="AJ51" s="1420"/>
      <c r="AK51" s="1420"/>
      <c r="AL51" s="1420"/>
      <c r="AM51" s="1420"/>
      <c r="AN51" s="1420"/>
      <c r="AO51" s="1420"/>
      <c r="AP51" s="1420"/>
      <c r="AQ51" s="1420"/>
      <c r="AR51" s="1420"/>
      <c r="AS51" s="1420"/>
      <c r="AT51" s="1420"/>
      <c r="AU51" s="1420"/>
      <c r="AV51" s="1420"/>
      <c r="AW51" s="1420"/>
      <c r="AX51" s="1420"/>
      <c r="AY51" s="1420"/>
      <c r="AZ51" s="1420"/>
      <c r="BA51" s="1420"/>
      <c r="BB51" s="1420"/>
      <c r="BC51" s="1420"/>
      <c r="BD51" s="1420"/>
      <c r="BE51" s="1420"/>
      <c r="BF51" s="1420"/>
      <c r="BG51" s="1420"/>
      <c r="BH51" s="1420"/>
      <c r="BI51" s="1420"/>
      <c r="BJ51" s="1420"/>
      <c r="BK51" s="1420"/>
      <c r="BL51" s="1420"/>
      <c r="BM51" s="1420"/>
      <c r="BN51" s="1420"/>
      <c r="BO51" s="1420"/>
      <c r="BP51" s="1420"/>
      <c r="BQ51" s="1420"/>
      <c r="BR51" s="1420"/>
      <c r="BS51" s="1420"/>
      <c r="BT51" s="1420"/>
      <c r="BU51" s="1420"/>
      <c r="BV51" s="1420"/>
      <c r="BW51" s="1420"/>
      <c r="BX51" s="1420"/>
      <c r="BY51" s="1420"/>
      <c r="BZ51" s="1420"/>
      <c r="CA51" s="1420"/>
      <c r="CB51" s="1420"/>
      <c r="CC51" s="1420"/>
      <c r="CD51" s="1420"/>
      <c r="CE51" s="1420"/>
      <c r="CF51" s="1420"/>
      <c r="CG51" s="1420"/>
      <c r="CH51" s="1420"/>
      <c r="CI51" s="1420"/>
      <c r="CJ51" s="1420"/>
      <c r="CK51" s="1420"/>
      <c r="CL51" s="1420"/>
      <c r="CM51" s="1420"/>
      <c r="CN51" s="1420"/>
      <c r="CO51" s="1420"/>
      <c r="CP51" s="1420"/>
      <c r="CQ51" s="1420"/>
      <c r="CR51" s="1420"/>
      <c r="CS51" s="1420"/>
      <c r="CT51" s="1420"/>
      <c r="CU51" s="1420"/>
      <c r="CV51" s="1420"/>
      <c r="CW51" s="1420"/>
      <c r="CX51" s="1420"/>
      <c r="CY51" s="1420"/>
      <c r="CZ51" s="1420"/>
      <c r="DA51" s="1420"/>
      <c r="DB51" s="1420"/>
      <c r="DC51" s="1420"/>
      <c r="DD51" s="1420"/>
      <c r="DE51" s="1420"/>
      <c r="DF51" s="1420"/>
      <c r="DG51" s="1420"/>
      <c r="DH51" s="1420"/>
      <c r="DI51" s="1420"/>
      <c r="DJ51" s="1420"/>
      <c r="DK51" s="1420"/>
      <c r="DL51" s="1420"/>
      <c r="DM51" s="1420"/>
      <c r="DN51" s="1420"/>
      <c r="DO51" s="1420"/>
      <c r="DP51" s="1420"/>
      <c r="DQ51" s="1420"/>
      <c r="DR51" s="1420"/>
      <c r="DS51" s="1420"/>
      <c r="DT51" s="1420"/>
      <c r="DU51" s="1420"/>
      <c r="DV51" s="1420"/>
      <c r="DW51" s="1420"/>
      <c r="DX51" s="1420"/>
      <c r="DY51" s="1420"/>
      <c r="DZ51" s="1420"/>
      <c r="EA51" s="1420"/>
      <c r="EB51" s="1420"/>
      <c r="EC51" s="1420"/>
      <c r="ED51" s="1420"/>
      <c r="EE51" s="1420"/>
      <c r="EF51" s="1420"/>
      <c r="EG51" s="1420"/>
      <c r="EH51" s="1420"/>
      <c r="EI51" s="1420"/>
      <c r="EJ51" s="1420"/>
      <c r="EK51" s="1420"/>
      <c r="EL51" s="1420"/>
      <c r="EM51" s="1420"/>
      <c r="EN51" s="1420"/>
      <c r="EO51" s="1420"/>
      <c r="EP51" s="1420"/>
      <c r="EQ51" s="1420"/>
      <c r="ER51" s="1420"/>
      <c r="ES51" s="1420"/>
      <c r="ET51" s="1420"/>
      <c r="EU51" s="1420"/>
      <c r="EV51" s="1420"/>
      <c r="EW51" s="1420"/>
      <c r="EX51" s="1420"/>
      <c r="EY51" s="1420"/>
      <c r="EZ51" s="1420"/>
      <c r="FA51" s="1420"/>
      <c r="FB51" s="1420"/>
      <c r="FC51" s="1420"/>
      <c r="FD51" s="1420"/>
      <c r="FE51" s="1420"/>
      <c r="FF51" s="1420"/>
      <c r="FG51" s="1420"/>
      <c r="FH51" s="1420"/>
      <c r="FI51" s="1420"/>
      <c r="FJ51" s="1420"/>
      <c r="FK51" s="1420"/>
      <c r="FL51" s="1420"/>
      <c r="FM51" s="1420"/>
      <c r="FN51" s="1420"/>
      <c r="FO51" s="1420"/>
      <c r="FP51" s="1420"/>
      <c r="FQ51" s="1420"/>
      <c r="FR51" s="1420"/>
      <c r="FS51" s="1420"/>
      <c r="FT51" s="1420"/>
      <c r="FU51" s="1420"/>
      <c r="FV51" s="1420"/>
      <c r="FW51" s="1420"/>
      <c r="FX51" s="1420"/>
      <c r="FY51" s="1420"/>
      <c r="FZ51" s="1420"/>
      <c r="GA51" s="1420"/>
      <c r="GB51" s="1420"/>
      <c r="GC51" s="1420"/>
      <c r="GD51" s="1420"/>
      <c r="GE51" s="1420"/>
      <c r="GF51" s="1420"/>
      <c r="GG51" s="1420"/>
      <c r="GH51" s="1420"/>
      <c r="GI51" s="1420"/>
      <c r="GJ51" s="1420"/>
      <c r="GK51" s="1420"/>
      <c r="GL51" s="1420"/>
      <c r="GM51" s="1420"/>
      <c r="GN51" s="1420"/>
      <c r="GO51" s="1420"/>
      <c r="GP51" s="1420"/>
      <c r="GQ51" s="1420"/>
      <c r="GR51" s="1420"/>
      <c r="GS51" s="1420"/>
      <c r="GT51" s="1420"/>
      <c r="GU51" s="1420"/>
      <c r="GV51" s="1420"/>
      <c r="GW51" s="1420"/>
      <c r="GX51" s="1420"/>
      <c r="GY51" s="1420"/>
      <c r="GZ51" s="1420"/>
      <c r="HA51" s="1420"/>
      <c r="HB51" s="1420"/>
      <c r="HC51" s="1420"/>
      <c r="HD51" s="1420"/>
      <c r="HE51" s="1420"/>
      <c r="HF51" s="1420"/>
      <c r="HG51" s="1420"/>
      <c r="HH51" s="1420"/>
      <c r="HI51" s="1420"/>
      <c r="HJ51" s="1420"/>
      <c r="HK51" s="1420"/>
      <c r="HL51" s="1420"/>
      <c r="HM51" s="1420"/>
      <c r="HN51" s="1420"/>
      <c r="HO51" s="1420"/>
      <c r="HP51" s="1420"/>
      <c r="HQ51" s="1420"/>
      <c r="HR51" s="1420"/>
      <c r="HS51" s="1420"/>
      <c r="HT51" s="1420"/>
      <c r="HU51" s="1420"/>
      <c r="HV51" s="1420"/>
      <c r="HW51" s="1420"/>
      <c r="HX51" s="1420"/>
      <c r="HY51" s="1420"/>
      <c r="HZ51" s="1420"/>
      <c r="IA51" s="1420"/>
      <c r="IB51" s="1420"/>
      <c r="IC51" s="1420"/>
      <c r="ID51" s="1420"/>
      <c r="IE51" s="1420"/>
      <c r="IF51" s="1420"/>
      <c r="IG51" s="1420"/>
      <c r="IH51" s="1420"/>
      <c r="II51" s="1420"/>
      <c r="IJ51" s="1420"/>
      <c r="IK51" s="1420"/>
      <c r="IL51" s="1420"/>
      <c r="IM51" s="1420"/>
      <c r="IN51" s="1420"/>
    </row>
    <row r="52" spans="1:248" s="1421" customFormat="1" ht="15" customHeight="1" x14ac:dyDescent="0.25">
      <c r="A52" s="1329">
        <v>44841</v>
      </c>
      <c r="B52" s="1047" t="s">
        <v>59</v>
      </c>
      <c r="C52" s="1381">
        <v>377029887</v>
      </c>
      <c r="D52" s="1039">
        <f t="shared" si="0"/>
        <v>44871</v>
      </c>
      <c r="E52" s="1040">
        <f t="shared" si="1"/>
        <v>44871</v>
      </c>
      <c r="F52" s="1314"/>
      <c r="G52" s="1416"/>
      <c r="H52" s="1417"/>
      <c r="I52" s="1044">
        <f t="shared" si="3"/>
        <v>377029887</v>
      </c>
      <c r="J52" s="1314"/>
      <c r="K52" s="1044"/>
      <c r="L52" s="1044"/>
      <c r="M52" s="1368"/>
      <c r="N52" s="1314"/>
      <c r="O52" s="1416"/>
      <c r="P52" s="1416"/>
      <c r="Q52" s="1416"/>
      <c r="R52" s="1416"/>
      <c r="S52" s="1314"/>
      <c r="T52" s="1418"/>
      <c r="U52" s="1419"/>
      <c r="V52" s="1419"/>
      <c r="W52" s="1419"/>
      <c r="X52" s="1419"/>
      <c r="Y52" s="1419"/>
      <c r="Z52" s="1420"/>
      <c r="AA52" s="1420"/>
      <c r="AB52" s="1420"/>
      <c r="AC52" s="1420"/>
      <c r="AD52" s="1420"/>
      <c r="AE52" s="1420"/>
      <c r="AF52" s="1420"/>
      <c r="AG52" s="1420"/>
      <c r="AH52" s="1420"/>
      <c r="AI52" s="1420"/>
      <c r="AJ52" s="1420"/>
      <c r="AK52" s="1420"/>
      <c r="AL52" s="1420"/>
      <c r="AM52" s="1420"/>
      <c r="AN52" s="1420"/>
      <c r="AO52" s="1420"/>
      <c r="AP52" s="1420"/>
      <c r="AQ52" s="1420"/>
      <c r="AR52" s="1420"/>
      <c r="AS52" s="1420"/>
      <c r="AT52" s="1420"/>
      <c r="AU52" s="1420"/>
      <c r="AV52" s="1420"/>
      <c r="AW52" s="1420"/>
      <c r="AX52" s="1420"/>
      <c r="AY52" s="1420"/>
      <c r="AZ52" s="1420"/>
      <c r="BA52" s="1420"/>
      <c r="BB52" s="1420"/>
      <c r="BC52" s="1420"/>
      <c r="BD52" s="1420"/>
      <c r="BE52" s="1420"/>
      <c r="BF52" s="1420"/>
      <c r="BG52" s="1420"/>
      <c r="BH52" s="1420"/>
      <c r="BI52" s="1420"/>
      <c r="BJ52" s="1420"/>
      <c r="BK52" s="1420"/>
      <c r="BL52" s="1420"/>
      <c r="BM52" s="1420"/>
      <c r="BN52" s="1420"/>
      <c r="BO52" s="1420"/>
      <c r="BP52" s="1420"/>
      <c r="BQ52" s="1420"/>
      <c r="BR52" s="1420"/>
      <c r="BS52" s="1420"/>
      <c r="BT52" s="1420"/>
      <c r="BU52" s="1420"/>
      <c r="BV52" s="1420"/>
      <c r="BW52" s="1420"/>
      <c r="BX52" s="1420"/>
      <c r="BY52" s="1420"/>
      <c r="BZ52" s="1420"/>
      <c r="CA52" s="1420"/>
      <c r="CB52" s="1420"/>
      <c r="CC52" s="1420"/>
      <c r="CD52" s="1420"/>
      <c r="CE52" s="1420"/>
      <c r="CF52" s="1420"/>
      <c r="CG52" s="1420"/>
      <c r="CH52" s="1420"/>
      <c r="CI52" s="1420"/>
      <c r="CJ52" s="1420"/>
      <c r="CK52" s="1420"/>
      <c r="CL52" s="1420"/>
      <c r="CM52" s="1420"/>
      <c r="CN52" s="1420"/>
      <c r="CO52" s="1420"/>
      <c r="CP52" s="1420"/>
      <c r="CQ52" s="1420"/>
      <c r="CR52" s="1420"/>
      <c r="CS52" s="1420"/>
      <c r="CT52" s="1420"/>
      <c r="CU52" s="1420"/>
      <c r="CV52" s="1420"/>
      <c r="CW52" s="1420"/>
      <c r="CX52" s="1420"/>
      <c r="CY52" s="1420"/>
      <c r="CZ52" s="1420"/>
      <c r="DA52" s="1420"/>
      <c r="DB52" s="1420"/>
      <c r="DC52" s="1420"/>
      <c r="DD52" s="1420"/>
      <c r="DE52" s="1420"/>
      <c r="DF52" s="1420"/>
      <c r="DG52" s="1420"/>
      <c r="DH52" s="1420"/>
      <c r="DI52" s="1420"/>
      <c r="DJ52" s="1420"/>
      <c r="DK52" s="1420"/>
      <c r="DL52" s="1420"/>
      <c r="DM52" s="1420"/>
      <c r="DN52" s="1420"/>
      <c r="DO52" s="1420"/>
      <c r="DP52" s="1420"/>
      <c r="DQ52" s="1420"/>
      <c r="DR52" s="1420"/>
      <c r="DS52" s="1420"/>
      <c r="DT52" s="1420"/>
      <c r="DU52" s="1420"/>
      <c r="DV52" s="1420"/>
      <c r="DW52" s="1420"/>
      <c r="DX52" s="1420"/>
      <c r="DY52" s="1420"/>
      <c r="DZ52" s="1420"/>
      <c r="EA52" s="1420"/>
      <c r="EB52" s="1420"/>
      <c r="EC52" s="1420"/>
      <c r="ED52" s="1420"/>
      <c r="EE52" s="1420"/>
      <c r="EF52" s="1420"/>
      <c r="EG52" s="1420"/>
      <c r="EH52" s="1420"/>
      <c r="EI52" s="1420"/>
      <c r="EJ52" s="1420"/>
      <c r="EK52" s="1420"/>
      <c r="EL52" s="1420"/>
      <c r="EM52" s="1420"/>
      <c r="EN52" s="1420"/>
      <c r="EO52" s="1420"/>
      <c r="EP52" s="1420"/>
      <c r="EQ52" s="1420"/>
      <c r="ER52" s="1420"/>
      <c r="ES52" s="1420"/>
      <c r="ET52" s="1420"/>
      <c r="EU52" s="1420"/>
      <c r="EV52" s="1420"/>
      <c r="EW52" s="1420"/>
      <c r="EX52" s="1420"/>
      <c r="EY52" s="1420"/>
      <c r="EZ52" s="1420"/>
      <c r="FA52" s="1420"/>
      <c r="FB52" s="1420"/>
      <c r="FC52" s="1420"/>
      <c r="FD52" s="1420"/>
      <c r="FE52" s="1420"/>
      <c r="FF52" s="1420"/>
      <c r="FG52" s="1420"/>
      <c r="FH52" s="1420"/>
      <c r="FI52" s="1420"/>
      <c r="FJ52" s="1420"/>
      <c r="FK52" s="1420"/>
      <c r="FL52" s="1420"/>
      <c r="FM52" s="1420"/>
      <c r="FN52" s="1420"/>
      <c r="FO52" s="1420"/>
      <c r="FP52" s="1420"/>
      <c r="FQ52" s="1420"/>
      <c r="FR52" s="1420"/>
      <c r="FS52" s="1420"/>
      <c r="FT52" s="1420"/>
      <c r="FU52" s="1420"/>
      <c r="FV52" s="1420"/>
      <c r="FW52" s="1420"/>
      <c r="FX52" s="1420"/>
      <c r="FY52" s="1420"/>
      <c r="FZ52" s="1420"/>
      <c r="GA52" s="1420"/>
      <c r="GB52" s="1420"/>
      <c r="GC52" s="1420"/>
      <c r="GD52" s="1420"/>
      <c r="GE52" s="1420"/>
      <c r="GF52" s="1420"/>
      <c r="GG52" s="1420"/>
      <c r="GH52" s="1420"/>
      <c r="GI52" s="1420"/>
      <c r="GJ52" s="1420"/>
      <c r="GK52" s="1420"/>
      <c r="GL52" s="1420"/>
      <c r="GM52" s="1420"/>
      <c r="GN52" s="1420"/>
      <c r="GO52" s="1420"/>
      <c r="GP52" s="1420"/>
      <c r="GQ52" s="1420"/>
      <c r="GR52" s="1420"/>
      <c r="GS52" s="1420"/>
      <c r="GT52" s="1420"/>
      <c r="GU52" s="1420"/>
      <c r="GV52" s="1420"/>
      <c r="GW52" s="1420"/>
      <c r="GX52" s="1420"/>
      <c r="GY52" s="1420"/>
      <c r="GZ52" s="1420"/>
      <c r="HA52" s="1420"/>
      <c r="HB52" s="1420"/>
      <c r="HC52" s="1420"/>
      <c r="HD52" s="1420"/>
      <c r="HE52" s="1420"/>
      <c r="HF52" s="1420"/>
      <c r="HG52" s="1420"/>
      <c r="HH52" s="1420"/>
      <c r="HI52" s="1420"/>
      <c r="HJ52" s="1420"/>
      <c r="HK52" s="1420"/>
      <c r="HL52" s="1420"/>
      <c r="HM52" s="1420"/>
      <c r="HN52" s="1420"/>
      <c r="HO52" s="1420"/>
      <c r="HP52" s="1420"/>
      <c r="HQ52" s="1420"/>
      <c r="HR52" s="1420"/>
      <c r="HS52" s="1420"/>
      <c r="HT52" s="1420"/>
      <c r="HU52" s="1420"/>
      <c r="HV52" s="1420"/>
      <c r="HW52" s="1420"/>
      <c r="HX52" s="1420"/>
      <c r="HY52" s="1420"/>
      <c r="HZ52" s="1420"/>
      <c r="IA52" s="1420"/>
      <c r="IB52" s="1420"/>
      <c r="IC52" s="1420"/>
      <c r="ID52" s="1420"/>
      <c r="IE52" s="1420"/>
      <c r="IF52" s="1420"/>
      <c r="IG52" s="1420"/>
      <c r="IH52" s="1420"/>
      <c r="II52" s="1420"/>
      <c r="IJ52" s="1420"/>
      <c r="IK52" s="1420"/>
      <c r="IL52" s="1420"/>
      <c r="IM52" s="1420"/>
      <c r="IN52" s="1420"/>
    </row>
    <row r="53" spans="1:248" s="1421" customFormat="1" ht="15" customHeight="1" x14ac:dyDescent="0.25">
      <c r="A53" s="1329">
        <v>44844</v>
      </c>
      <c r="B53" s="1047" t="s">
        <v>50</v>
      </c>
      <c r="C53" s="1381">
        <v>1956599517</v>
      </c>
      <c r="D53" s="1039">
        <f t="shared" si="0"/>
        <v>44874</v>
      </c>
      <c r="E53" s="1040">
        <f t="shared" si="1"/>
        <v>44874</v>
      </c>
      <c r="F53" s="1314"/>
      <c r="G53" s="1416"/>
      <c r="H53" s="1417"/>
      <c r="I53" s="1044">
        <f t="shared" si="3"/>
        <v>1956599517</v>
      </c>
      <c r="J53" s="1314"/>
      <c r="K53" s="1044"/>
      <c r="L53" s="1044"/>
      <c r="M53" s="1368"/>
      <c r="N53" s="1314"/>
      <c r="O53" s="1416"/>
      <c r="P53" s="1416"/>
      <c r="Q53" s="1416"/>
      <c r="R53" s="1416"/>
      <c r="S53" s="1314"/>
      <c r="T53" s="1418"/>
      <c r="U53" s="1419"/>
      <c r="V53" s="1419"/>
      <c r="W53" s="1419"/>
      <c r="X53" s="1419"/>
      <c r="Y53" s="1419"/>
      <c r="Z53" s="1420"/>
      <c r="AA53" s="1420"/>
      <c r="AB53" s="1420"/>
      <c r="AC53" s="1420"/>
      <c r="AD53" s="1420"/>
      <c r="AE53" s="1420"/>
      <c r="AF53" s="1420"/>
      <c r="AG53" s="1420"/>
      <c r="AH53" s="1420"/>
      <c r="AI53" s="1420"/>
      <c r="AJ53" s="1420"/>
      <c r="AK53" s="1420"/>
      <c r="AL53" s="1420"/>
      <c r="AM53" s="1420"/>
      <c r="AN53" s="1420"/>
      <c r="AO53" s="1420"/>
      <c r="AP53" s="1420"/>
      <c r="AQ53" s="1420"/>
      <c r="AR53" s="1420"/>
      <c r="AS53" s="1420"/>
      <c r="AT53" s="1420"/>
      <c r="AU53" s="1420"/>
      <c r="AV53" s="1420"/>
      <c r="AW53" s="1420"/>
      <c r="AX53" s="1420"/>
      <c r="AY53" s="1420"/>
      <c r="AZ53" s="1420"/>
      <c r="BA53" s="1420"/>
      <c r="BB53" s="1420"/>
      <c r="BC53" s="1420"/>
      <c r="BD53" s="1420"/>
      <c r="BE53" s="1420"/>
      <c r="BF53" s="1420"/>
      <c r="BG53" s="1420"/>
      <c r="BH53" s="1420"/>
      <c r="BI53" s="1420"/>
      <c r="BJ53" s="1420"/>
      <c r="BK53" s="1420"/>
      <c r="BL53" s="1420"/>
      <c r="BM53" s="1420"/>
      <c r="BN53" s="1420"/>
      <c r="BO53" s="1420"/>
      <c r="BP53" s="1420"/>
      <c r="BQ53" s="1420"/>
      <c r="BR53" s="1420"/>
      <c r="BS53" s="1420"/>
      <c r="BT53" s="1420"/>
      <c r="BU53" s="1420"/>
      <c r="BV53" s="1420"/>
      <c r="BW53" s="1420"/>
      <c r="BX53" s="1420"/>
      <c r="BY53" s="1420"/>
      <c r="BZ53" s="1420"/>
      <c r="CA53" s="1420"/>
      <c r="CB53" s="1420"/>
      <c r="CC53" s="1420"/>
      <c r="CD53" s="1420"/>
      <c r="CE53" s="1420"/>
      <c r="CF53" s="1420"/>
      <c r="CG53" s="1420"/>
      <c r="CH53" s="1420"/>
      <c r="CI53" s="1420"/>
      <c r="CJ53" s="1420"/>
      <c r="CK53" s="1420"/>
      <c r="CL53" s="1420"/>
      <c r="CM53" s="1420"/>
      <c r="CN53" s="1420"/>
      <c r="CO53" s="1420"/>
      <c r="CP53" s="1420"/>
      <c r="CQ53" s="1420"/>
      <c r="CR53" s="1420"/>
      <c r="CS53" s="1420"/>
      <c r="CT53" s="1420"/>
      <c r="CU53" s="1420"/>
      <c r="CV53" s="1420"/>
      <c r="CW53" s="1420"/>
      <c r="CX53" s="1420"/>
      <c r="CY53" s="1420"/>
      <c r="CZ53" s="1420"/>
      <c r="DA53" s="1420"/>
      <c r="DB53" s="1420"/>
      <c r="DC53" s="1420"/>
      <c r="DD53" s="1420"/>
      <c r="DE53" s="1420"/>
      <c r="DF53" s="1420"/>
      <c r="DG53" s="1420"/>
      <c r="DH53" s="1420"/>
      <c r="DI53" s="1420"/>
      <c r="DJ53" s="1420"/>
      <c r="DK53" s="1420"/>
      <c r="DL53" s="1420"/>
      <c r="DM53" s="1420"/>
      <c r="DN53" s="1420"/>
      <c r="DO53" s="1420"/>
      <c r="DP53" s="1420"/>
      <c r="DQ53" s="1420"/>
      <c r="DR53" s="1420"/>
      <c r="DS53" s="1420"/>
      <c r="DT53" s="1420"/>
      <c r="DU53" s="1420"/>
      <c r="DV53" s="1420"/>
      <c r="DW53" s="1420"/>
      <c r="DX53" s="1420"/>
      <c r="DY53" s="1420"/>
      <c r="DZ53" s="1420"/>
      <c r="EA53" s="1420"/>
      <c r="EB53" s="1420"/>
      <c r="EC53" s="1420"/>
      <c r="ED53" s="1420"/>
      <c r="EE53" s="1420"/>
      <c r="EF53" s="1420"/>
      <c r="EG53" s="1420"/>
      <c r="EH53" s="1420"/>
      <c r="EI53" s="1420"/>
      <c r="EJ53" s="1420"/>
      <c r="EK53" s="1420"/>
      <c r="EL53" s="1420"/>
      <c r="EM53" s="1420"/>
      <c r="EN53" s="1420"/>
      <c r="EO53" s="1420"/>
      <c r="EP53" s="1420"/>
      <c r="EQ53" s="1420"/>
      <c r="ER53" s="1420"/>
      <c r="ES53" s="1420"/>
      <c r="ET53" s="1420"/>
      <c r="EU53" s="1420"/>
      <c r="EV53" s="1420"/>
      <c r="EW53" s="1420"/>
      <c r="EX53" s="1420"/>
      <c r="EY53" s="1420"/>
      <c r="EZ53" s="1420"/>
      <c r="FA53" s="1420"/>
      <c r="FB53" s="1420"/>
      <c r="FC53" s="1420"/>
      <c r="FD53" s="1420"/>
      <c r="FE53" s="1420"/>
      <c r="FF53" s="1420"/>
      <c r="FG53" s="1420"/>
      <c r="FH53" s="1420"/>
      <c r="FI53" s="1420"/>
      <c r="FJ53" s="1420"/>
      <c r="FK53" s="1420"/>
      <c r="FL53" s="1420"/>
      <c r="FM53" s="1420"/>
      <c r="FN53" s="1420"/>
      <c r="FO53" s="1420"/>
      <c r="FP53" s="1420"/>
      <c r="FQ53" s="1420"/>
      <c r="FR53" s="1420"/>
      <c r="FS53" s="1420"/>
      <c r="FT53" s="1420"/>
      <c r="FU53" s="1420"/>
      <c r="FV53" s="1420"/>
      <c r="FW53" s="1420"/>
      <c r="FX53" s="1420"/>
      <c r="FY53" s="1420"/>
      <c r="FZ53" s="1420"/>
      <c r="GA53" s="1420"/>
      <c r="GB53" s="1420"/>
      <c r="GC53" s="1420"/>
      <c r="GD53" s="1420"/>
      <c r="GE53" s="1420"/>
      <c r="GF53" s="1420"/>
      <c r="GG53" s="1420"/>
      <c r="GH53" s="1420"/>
      <c r="GI53" s="1420"/>
      <c r="GJ53" s="1420"/>
      <c r="GK53" s="1420"/>
      <c r="GL53" s="1420"/>
      <c r="GM53" s="1420"/>
      <c r="GN53" s="1420"/>
      <c r="GO53" s="1420"/>
      <c r="GP53" s="1420"/>
      <c r="GQ53" s="1420"/>
      <c r="GR53" s="1420"/>
      <c r="GS53" s="1420"/>
      <c r="GT53" s="1420"/>
      <c r="GU53" s="1420"/>
      <c r="GV53" s="1420"/>
      <c r="GW53" s="1420"/>
      <c r="GX53" s="1420"/>
      <c r="GY53" s="1420"/>
      <c r="GZ53" s="1420"/>
      <c r="HA53" s="1420"/>
      <c r="HB53" s="1420"/>
      <c r="HC53" s="1420"/>
      <c r="HD53" s="1420"/>
      <c r="HE53" s="1420"/>
      <c r="HF53" s="1420"/>
      <c r="HG53" s="1420"/>
      <c r="HH53" s="1420"/>
      <c r="HI53" s="1420"/>
      <c r="HJ53" s="1420"/>
      <c r="HK53" s="1420"/>
      <c r="HL53" s="1420"/>
      <c r="HM53" s="1420"/>
      <c r="HN53" s="1420"/>
      <c r="HO53" s="1420"/>
      <c r="HP53" s="1420"/>
      <c r="HQ53" s="1420"/>
      <c r="HR53" s="1420"/>
      <c r="HS53" s="1420"/>
      <c r="HT53" s="1420"/>
      <c r="HU53" s="1420"/>
      <c r="HV53" s="1420"/>
      <c r="HW53" s="1420"/>
      <c r="HX53" s="1420"/>
      <c r="HY53" s="1420"/>
      <c r="HZ53" s="1420"/>
      <c r="IA53" s="1420"/>
      <c r="IB53" s="1420"/>
      <c r="IC53" s="1420"/>
      <c r="ID53" s="1420"/>
      <c r="IE53" s="1420"/>
      <c r="IF53" s="1420"/>
      <c r="IG53" s="1420"/>
      <c r="IH53" s="1420"/>
      <c r="II53" s="1420"/>
      <c r="IJ53" s="1420"/>
      <c r="IK53" s="1420"/>
      <c r="IL53" s="1420"/>
      <c r="IM53" s="1420"/>
      <c r="IN53" s="1420"/>
    </row>
    <row r="54" spans="1:248" s="1421" customFormat="1" ht="15" customHeight="1" x14ac:dyDescent="0.25">
      <c r="A54" s="1329">
        <v>44844</v>
      </c>
      <c r="B54" s="1047" t="s">
        <v>38</v>
      </c>
      <c r="C54" s="1381">
        <v>1474188851</v>
      </c>
      <c r="D54" s="1039">
        <f t="shared" si="0"/>
        <v>44874</v>
      </c>
      <c r="E54" s="1040">
        <f t="shared" si="1"/>
        <v>44874</v>
      </c>
      <c r="F54" s="1314"/>
      <c r="G54" s="1416"/>
      <c r="H54" s="1417"/>
      <c r="I54" s="1044">
        <f t="shared" si="3"/>
        <v>1474188851</v>
      </c>
      <c r="J54" s="1314"/>
      <c r="K54" s="1044"/>
      <c r="L54" s="1044"/>
      <c r="M54" s="1368"/>
      <c r="N54" s="1314"/>
      <c r="O54" s="1416"/>
      <c r="P54" s="1416"/>
      <c r="Q54" s="1416"/>
      <c r="R54" s="1416"/>
      <c r="S54" s="1314"/>
      <c r="T54" s="1418"/>
      <c r="U54" s="1419"/>
      <c r="V54" s="1419"/>
      <c r="W54" s="1419"/>
      <c r="X54" s="1419"/>
      <c r="Y54" s="1419"/>
      <c r="Z54" s="1420"/>
      <c r="AA54" s="1420"/>
      <c r="AB54" s="1420"/>
      <c r="AC54" s="1420"/>
      <c r="AD54" s="1420"/>
      <c r="AE54" s="1420"/>
      <c r="AF54" s="1420"/>
      <c r="AG54" s="1420"/>
      <c r="AH54" s="1420"/>
      <c r="AI54" s="1420"/>
      <c r="AJ54" s="1420"/>
      <c r="AK54" s="1420"/>
      <c r="AL54" s="1420"/>
      <c r="AM54" s="1420"/>
      <c r="AN54" s="1420"/>
      <c r="AO54" s="1420"/>
      <c r="AP54" s="1420"/>
      <c r="AQ54" s="1420"/>
      <c r="AR54" s="1420"/>
      <c r="AS54" s="1420"/>
      <c r="AT54" s="1420"/>
      <c r="AU54" s="1420"/>
      <c r="AV54" s="1420"/>
      <c r="AW54" s="1420"/>
      <c r="AX54" s="1420"/>
      <c r="AY54" s="1420"/>
      <c r="AZ54" s="1420"/>
      <c r="BA54" s="1420"/>
      <c r="BB54" s="1420"/>
      <c r="BC54" s="1420"/>
      <c r="BD54" s="1420"/>
      <c r="BE54" s="1420"/>
      <c r="BF54" s="1420"/>
      <c r="BG54" s="1420"/>
      <c r="BH54" s="1420"/>
      <c r="BI54" s="1420"/>
      <c r="BJ54" s="1420"/>
      <c r="BK54" s="1420"/>
      <c r="BL54" s="1420"/>
      <c r="BM54" s="1420"/>
      <c r="BN54" s="1420"/>
      <c r="BO54" s="1420"/>
      <c r="BP54" s="1420"/>
      <c r="BQ54" s="1420"/>
      <c r="BR54" s="1420"/>
      <c r="BS54" s="1420"/>
      <c r="BT54" s="1420"/>
      <c r="BU54" s="1420"/>
      <c r="BV54" s="1420"/>
      <c r="BW54" s="1420"/>
      <c r="BX54" s="1420"/>
      <c r="BY54" s="1420"/>
      <c r="BZ54" s="1420"/>
      <c r="CA54" s="1420"/>
      <c r="CB54" s="1420"/>
      <c r="CC54" s="1420"/>
      <c r="CD54" s="1420"/>
      <c r="CE54" s="1420"/>
      <c r="CF54" s="1420"/>
      <c r="CG54" s="1420"/>
      <c r="CH54" s="1420"/>
      <c r="CI54" s="1420"/>
      <c r="CJ54" s="1420"/>
      <c r="CK54" s="1420"/>
      <c r="CL54" s="1420"/>
      <c r="CM54" s="1420"/>
      <c r="CN54" s="1420"/>
      <c r="CO54" s="1420"/>
      <c r="CP54" s="1420"/>
      <c r="CQ54" s="1420"/>
      <c r="CR54" s="1420"/>
      <c r="CS54" s="1420"/>
      <c r="CT54" s="1420"/>
      <c r="CU54" s="1420"/>
      <c r="CV54" s="1420"/>
      <c r="CW54" s="1420"/>
      <c r="CX54" s="1420"/>
      <c r="CY54" s="1420"/>
      <c r="CZ54" s="1420"/>
      <c r="DA54" s="1420"/>
      <c r="DB54" s="1420"/>
      <c r="DC54" s="1420"/>
      <c r="DD54" s="1420"/>
      <c r="DE54" s="1420"/>
      <c r="DF54" s="1420"/>
      <c r="DG54" s="1420"/>
      <c r="DH54" s="1420"/>
      <c r="DI54" s="1420"/>
      <c r="DJ54" s="1420"/>
      <c r="DK54" s="1420"/>
      <c r="DL54" s="1420"/>
      <c r="DM54" s="1420"/>
      <c r="DN54" s="1420"/>
      <c r="DO54" s="1420"/>
      <c r="DP54" s="1420"/>
      <c r="DQ54" s="1420"/>
      <c r="DR54" s="1420"/>
      <c r="DS54" s="1420"/>
      <c r="DT54" s="1420"/>
      <c r="DU54" s="1420"/>
      <c r="DV54" s="1420"/>
      <c r="DW54" s="1420"/>
      <c r="DX54" s="1420"/>
      <c r="DY54" s="1420"/>
      <c r="DZ54" s="1420"/>
      <c r="EA54" s="1420"/>
      <c r="EB54" s="1420"/>
      <c r="EC54" s="1420"/>
      <c r="ED54" s="1420"/>
      <c r="EE54" s="1420"/>
      <c r="EF54" s="1420"/>
      <c r="EG54" s="1420"/>
      <c r="EH54" s="1420"/>
      <c r="EI54" s="1420"/>
      <c r="EJ54" s="1420"/>
      <c r="EK54" s="1420"/>
      <c r="EL54" s="1420"/>
      <c r="EM54" s="1420"/>
      <c r="EN54" s="1420"/>
      <c r="EO54" s="1420"/>
      <c r="EP54" s="1420"/>
      <c r="EQ54" s="1420"/>
      <c r="ER54" s="1420"/>
      <c r="ES54" s="1420"/>
      <c r="ET54" s="1420"/>
      <c r="EU54" s="1420"/>
      <c r="EV54" s="1420"/>
      <c r="EW54" s="1420"/>
      <c r="EX54" s="1420"/>
      <c r="EY54" s="1420"/>
      <c r="EZ54" s="1420"/>
      <c r="FA54" s="1420"/>
      <c r="FB54" s="1420"/>
      <c r="FC54" s="1420"/>
      <c r="FD54" s="1420"/>
      <c r="FE54" s="1420"/>
      <c r="FF54" s="1420"/>
      <c r="FG54" s="1420"/>
      <c r="FH54" s="1420"/>
      <c r="FI54" s="1420"/>
      <c r="FJ54" s="1420"/>
      <c r="FK54" s="1420"/>
      <c r="FL54" s="1420"/>
      <c r="FM54" s="1420"/>
      <c r="FN54" s="1420"/>
      <c r="FO54" s="1420"/>
      <c r="FP54" s="1420"/>
      <c r="FQ54" s="1420"/>
      <c r="FR54" s="1420"/>
      <c r="FS54" s="1420"/>
      <c r="FT54" s="1420"/>
      <c r="FU54" s="1420"/>
      <c r="FV54" s="1420"/>
      <c r="FW54" s="1420"/>
      <c r="FX54" s="1420"/>
      <c r="FY54" s="1420"/>
      <c r="FZ54" s="1420"/>
      <c r="GA54" s="1420"/>
      <c r="GB54" s="1420"/>
      <c r="GC54" s="1420"/>
      <c r="GD54" s="1420"/>
      <c r="GE54" s="1420"/>
      <c r="GF54" s="1420"/>
      <c r="GG54" s="1420"/>
      <c r="GH54" s="1420"/>
      <c r="GI54" s="1420"/>
      <c r="GJ54" s="1420"/>
      <c r="GK54" s="1420"/>
      <c r="GL54" s="1420"/>
      <c r="GM54" s="1420"/>
      <c r="GN54" s="1420"/>
      <c r="GO54" s="1420"/>
      <c r="GP54" s="1420"/>
      <c r="GQ54" s="1420"/>
      <c r="GR54" s="1420"/>
      <c r="GS54" s="1420"/>
      <c r="GT54" s="1420"/>
      <c r="GU54" s="1420"/>
      <c r="GV54" s="1420"/>
      <c r="GW54" s="1420"/>
      <c r="GX54" s="1420"/>
      <c r="GY54" s="1420"/>
      <c r="GZ54" s="1420"/>
      <c r="HA54" s="1420"/>
      <c r="HB54" s="1420"/>
      <c r="HC54" s="1420"/>
      <c r="HD54" s="1420"/>
      <c r="HE54" s="1420"/>
      <c r="HF54" s="1420"/>
      <c r="HG54" s="1420"/>
      <c r="HH54" s="1420"/>
      <c r="HI54" s="1420"/>
      <c r="HJ54" s="1420"/>
      <c r="HK54" s="1420"/>
      <c r="HL54" s="1420"/>
      <c r="HM54" s="1420"/>
      <c r="HN54" s="1420"/>
      <c r="HO54" s="1420"/>
      <c r="HP54" s="1420"/>
      <c r="HQ54" s="1420"/>
      <c r="HR54" s="1420"/>
      <c r="HS54" s="1420"/>
      <c r="HT54" s="1420"/>
      <c r="HU54" s="1420"/>
      <c r="HV54" s="1420"/>
      <c r="HW54" s="1420"/>
      <c r="HX54" s="1420"/>
      <c r="HY54" s="1420"/>
      <c r="HZ54" s="1420"/>
      <c r="IA54" s="1420"/>
      <c r="IB54" s="1420"/>
      <c r="IC54" s="1420"/>
      <c r="ID54" s="1420"/>
      <c r="IE54" s="1420"/>
      <c r="IF54" s="1420"/>
      <c r="IG54" s="1420"/>
      <c r="IH54" s="1420"/>
      <c r="II54" s="1420"/>
      <c r="IJ54" s="1420"/>
      <c r="IK54" s="1420"/>
      <c r="IL54" s="1420"/>
      <c r="IM54" s="1420"/>
      <c r="IN54" s="1420"/>
    </row>
    <row r="55" spans="1:248" s="1421" customFormat="1" ht="15" customHeight="1" x14ac:dyDescent="0.25">
      <c r="A55" s="1329">
        <v>44844</v>
      </c>
      <c r="B55" s="1047" t="s">
        <v>59</v>
      </c>
      <c r="C55" s="1381">
        <v>225021757</v>
      </c>
      <c r="D55" s="1039">
        <f t="shared" si="0"/>
        <v>44874</v>
      </c>
      <c r="E55" s="1040">
        <f t="shared" si="1"/>
        <v>44874</v>
      </c>
      <c r="F55" s="1314"/>
      <c r="G55" s="1416"/>
      <c r="H55" s="1417"/>
      <c r="I55" s="1044">
        <f t="shared" si="3"/>
        <v>225021757</v>
      </c>
      <c r="J55" s="1314"/>
      <c r="K55" s="1044"/>
      <c r="L55" s="1044"/>
      <c r="M55" s="1368"/>
      <c r="N55" s="1314"/>
      <c r="O55" s="1416"/>
      <c r="P55" s="1416"/>
      <c r="Q55" s="1416"/>
      <c r="R55" s="1416"/>
      <c r="S55" s="1314"/>
      <c r="T55" s="1418"/>
      <c r="U55" s="1419"/>
      <c r="V55" s="1419"/>
      <c r="W55" s="1419"/>
      <c r="X55" s="1419"/>
      <c r="Y55" s="1419"/>
      <c r="Z55" s="1420"/>
      <c r="AA55" s="1420"/>
      <c r="AB55" s="1420"/>
      <c r="AC55" s="1420"/>
      <c r="AD55" s="1420"/>
      <c r="AE55" s="1420"/>
      <c r="AF55" s="1420"/>
      <c r="AG55" s="1420"/>
      <c r="AH55" s="1420"/>
      <c r="AI55" s="1420"/>
      <c r="AJ55" s="1420"/>
      <c r="AK55" s="1420"/>
      <c r="AL55" s="1420"/>
      <c r="AM55" s="1420"/>
      <c r="AN55" s="1420"/>
      <c r="AO55" s="1420"/>
      <c r="AP55" s="1420"/>
      <c r="AQ55" s="1420"/>
      <c r="AR55" s="1420"/>
      <c r="AS55" s="1420"/>
      <c r="AT55" s="1420"/>
      <c r="AU55" s="1420"/>
      <c r="AV55" s="1420"/>
      <c r="AW55" s="1420"/>
      <c r="AX55" s="1420"/>
      <c r="AY55" s="1420"/>
      <c r="AZ55" s="1420"/>
      <c r="BA55" s="1420"/>
      <c r="BB55" s="1420"/>
      <c r="BC55" s="1420"/>
      <c r="BD55" s="1420"/>
      <c r="BE55" s="1420"/>
      <c r="BF55" s="1420"/>
      <c r="BG55" s="1420"/>
      <c r="BH55" s="1420"/>
      <c r="BI55" s="1420"/>
      <c r="BJ55" s="1420"/>
      <c r="BK55" s="1420"/>
      <c r="BL55" s="1420"/>
      <c r="BM55" s="1420"/>
      <c r="BN55" s="1420"/>
      <c r="BO55" s="1420"/>
      <c r="BP55" s="1420"/>
      <c r="BQ55" s="1420"/>
      <c r="BR55" s="1420"/>
      <c r="BS55" s="1420"/>
      <c r="BT55" s="1420"/>
      <c r="BU55" s="1420"/>
      <c r="BV55" s="1420"/>
      <c r="BW55" s="1420"/>
      <c r="BX55" s="1420"/>
      <c r="BY55" s="1420"/>
      <c r="BZ55" s="1420"/>
      <c r="CA55" s="1420"/>
      <c r="CB55" s="1420"/>
      <c r="CC55" s="1420"/>
      <c r="CD55" s="1420"/>
      <c r="CE55" s="1420"/>
      <c r="CF55" s="1420"/>
      <c r="CG55" s="1420"/>
      <c r="CH55" s="1420"/>
      <c r="CI55" s="1420"/>
      <c r="CJ55" s="1420"/>
      <c r="CK55" s="1420"/>
      <c r="CL55" s="1420"/>
      <c r="CM55" s="1420"/>
      <c r="CN55" s="1420"/>
      <c r="CO55" s="1420"/>
      <c r="CP55" s="1420"/>
      <c r="CQ55" s="1420"/>
      <c r="CR55" s="1420"/>
      <c r="CS55" s="1420"/>
      <c r="CT55" s="1420"/>
      <c r="CU55" s="1420"/>
      <c r="CV55" s="1420"/>
      <c r="CW55" s="1420"/>
      <c r="CX55" s="1420"/>
      <c r="CY55" s="1420"/>
      <c r="CZ55" s="1420"/>
      <c r="DA55" s="1420"/>
      <c r="DB55" s="1420"/>
      <c r="DC55" s="1420"/>
      <c r="DD55" s="1420"/>
      <c r="DE55" s="1420"/>
      <c r="DF55" s="1420"/>
      <c r="DG55" s="1420"/>
      <c r="DH55" s="1420"/>
      <c r="DI55" s="1420"/>
      <c r="DJ55" s="1420"/>
      <c r="DK55" s="1420"/>
      <c r="DL55" s="1420"/>
      <c r="DM55" s="1420"/>
      <c r="DN55" s="1420"/>
      <c r="DO55" s="1420"/>
      <c r="DP55" s="1420"/>
      <c r="DQ55" s="1420"/>
      <c r="DR55" s="1420"/>
      <c r="DS55" s="1420"/>
      <c r="DT55" s="1420"/>
      <c r="DU55" s="1420"/>
      <c r="DV55" s="1420"/>
      <c r="DW55" s="1420"/>
      <c r="DX55" s="1420"/>
      <c r="DY55" s="1420"/>
      <c r="DZ55" s="1420"/>
      <c r="EA55" s="1420"/>
      <c r="EB55" s="1420"/>
      <c r="EC55" s="1420"/>
      <c r="ED55" s="1420"/>
      <c r="EE55" s="1420"/>
      <c r="EF55" s="1420"/>
      <c r="EG55" s="1420"/>
      <c r="EH55" s="1420"/>
      <c r="EI55" s="1420"/>
      <c r="EJ55" s="1420"/>
      <c r="EK55" s="1420"/>
      <c r="EL55" s="1420"/>
      <c r="EM55" s="1420"/>
      <c r="EN55" s="1420"/>
      <c r="EO55" s="1420"/>
      <c r="EP55" s="1420"/>
      <c r="EQ55" s="1420"/>
      <c r="ER55" s="1420"/>
      <c r="ES55" s="1420"/>
      <c r="ET55" s="1420"/>
      <c r="EU55" s="1420"/>
      <c r="EV55" s="1420"/>
      <c r="EW55" s="1420"/>
      <c r="EX55" s="1420"/>
      <c r="EY55" s="1420"/>
      <c r="EZ55" s="1420"/>
      <c r="FA55" s="1420"/>
      <c r="FB55" s="1420"/>
      <c r="FC55" s="1420"/>
      <c r="FD55" s="1420"/>
      <c r="FE55" s="1420"/>
      <c r="FF55" s="1420"/>
      <c r="FG55" s="1420"/>
      <c r="FH55" s="1420"/>
      <c r="FI55" s="1420"/>
      <c r="FJ55" s="1420"/>
      <c r="FK55" s="1420"/>
      <c r="FL55" s="1420"/>
      <c r="FM55" s="1420"/>
      <c r="FN55" s="1420"/>
      <c r="FO55" s="1420"/>
      <c r="FP55" s="1420"/>
      <c r="FQ55" s="1420"/>
      <c r="FR55" s="1420"/>
      <c r="FS55" s="1420"/>
      <c r="FT55" s="1420"/>
      <c r="FU55" s="1420"/>
      <c r="FV55" s="1420"/>
      <c r="FW55" s="1420"/>
      <c r="FX55" s="1420"/>
      <c r="FY55" s="1420"/>
      <c r="FZ55" s="1420"/>
      <c r="GA55" s="1420"/>
      <c r="GB55" s="1420"/>
      <c r="GC55" s="1420"/>
      <c r="GD55" s="1420"/>
      <c r="GE55" s="1420"/>
      <c r="GF55" s="1420"/>
      <c r="GG55" s="1420"/>
      <c r="GH55" s="1420"/>
      <c r="GI55" s="1420"/>
      <c r="GJ55" s="1420"/>
      <c r="GK55" s="1420"/>
      <c r="GL55" s="1420"/>
      <c r="GM55" s="1420"/>
      <c r="GN55" s="1420"/>
      <c r="GO55" s="1420"/>
      <c r="GP55" s="1420"/>
      <c r="GQ55" s="1420"/>
      <c r="GR55" s="1420"/>
      <c r="GS55" s="1420"/>
      <c r="GT55" s="1420"/>
      <c r="GU55" s="1420"/>
      <c r="GV55" s="1420"/>
      <c r="GW55" s="1420"/>
      <c r="GX55" s="1420"/>
      <c r="GY55" s="1420"/>
      <c r="GZ55" s="1420"/>
      <c r="HA55" s="1420"/>
      <c r="HB55" s="1420"/>
      <c r="HC55" s="1420"/>
      <c r="HD55" s="1420"/>
      <c r="HE55" s="1420"/>
      <c r="HF55" s="1420"/>
      <c r="HG55" s="1420"/>
      <c r="HH55" s="1420"/>
      <c r="HI55" s="1420"/>
      <c r="HJ55" s="1420"/>
      <c r="HK55" s="1420"/>
      <c r="HL55" s="1420"/>
      <c r="HM55" s="1420"/>
      <c r="HN55" s="1420"/>
      <c r="HO55" s="1420"/>
      <c r="HP55" s="1420"/>
      <c r="HQ55" s="1420"/>
      <c r="HR55" s="1420"/>
      <c r="HS55" s="1420"/>
      <c r="HT55" s="1420"/>
      <c r="HU55" s="1420"/>
      <c r="HV55" s="1420"/>
      <c r="HW55" s="1420"/>
      <c r="HX55" s="1420"/>
      <c r="HY55" s="1420"/>
      <c r="HZ55" s="1420"/>
      <c r="IA55" s="1420"/>
      <c r="IB55" s="1420"/>
      <c r="IC55" s="1420"/>
      <c r="ID55" s="1420"/>
      <c r="IE55" s="1420"/>
      <c r="IF55" s="1420"/>
      <c r="IG55" s="1420"/>
      <c r="IH55" s="1420"/>
      <c r="II55" s="1420"/>
      <c r="IJ55" s="1420"/>
      <c r="IK55" s="1420"/>
      <c r="IL55" s="1420"/>
      <c r="IM55" s="1420"/>
      <c r="IN55" s="1420"/>
    </row>
    <row r="56" spans="1:248" s="1421" customFormat="1" ht="15" customHeight="1" x14ac:dyDescent="0.25">
      <c r="A56" s="1329">
        <v>44844</v>
      </c>
      <c r="B56" s="1047" t="s">
        <v>29</v>
      </c>
      <c r="C56" s="1381">
        <v>442100562</v>
      </c>
      <c r="D56" s="1039">
        <f t="shared" si="0"/>
        <v>44874</v>
      </c>
      <c r="E56" s="1040">
        <f t="shared" si="1"/>
        <v>44874</v>
      </c>
      <c r="F56" s="1314"/>
      <c r="G56" s="1416"/>
      <c r="H56" s="1417"/>
      <c r="I56" s="1044">
        <f t="shared" si="3"/>
        <v>442100562</v>
      </c>
      <c r="J56" s="1314"/>
      <c r="K56" s="1044"/>
      <c r="L56" s="1044"/>
      <c r="M56" s="1368"/>
      <c r="N56" s="1314"/>
      <c r="O56" s="1416"/>
      <c r="P56" s="1416"/>
      <c r="Q56" s="1416"/>
      <c r="R56" s="1416"/>
      <c r="S56" s="1314"/>
      <c r="T56" s="1418"/>
      <c r="U56" s="1419"/>
      <c r="V56" s="1419"/>
      <c r="W56" s="1419"/>
      <c r="X56" s="1419"/>
      <c r="Y56" s="1419"/>
      <c r="Z56" s="1420"/>
      <c r="AA56" s="1420"/>
      <c r="AB56" s="1420"/>
      <c r="AC56" s="1420"/>
      <c r="AD56" s="1420"/>
      <c r="AE56" s="1420"/>
      <c r="AF56" s="1420"/>
      <c r="AG56" s="1420"/>
      <c r="AH56" s="1420"/>
      <c r="AI56" s="1420"/>
      <c r="AJ56" s="1420"/>
      <c r="AK56" s="1420"/>
      <c r="AL56" s="1420"/>
      <c r="AM56" s="1420"/>
      <c r="AN56" s="1420"/>
      <c r="AO56" s="1420"/>
      <c r="AP56" s="1420"/>
      <c r="AQ56" s="1420"/>
      <c r="AR56" s="1420"/>
      <c r="AS56" s="1420"/>
      <c r="AT56" s="1420"/>
      <c r="AU56" s="1420"/>
      <c r="AV56" s="1420"/>
      <c r="AW56" s="1420"/>
      <c r="AX56" s="1420"/>
      <c r="AY56" s="1420"/>
      <c r="AZ56" s="1420"/>
      <c r="BA56" s="1420"/>
      <c r="BB56" s="1420"/>
      <c r="BC56" s="1420"/>
      <c r="BD56" s="1420"/>
      <c r="BE56" s="1420"/>
      <c r="BF56" s="1420"/>
      <c r="BG56" s="1420"/>
      <c r="BH56" s="1420"/>
      <c r="BI56" s="1420"/>
      <c r="BJ56" s="1420"/>
      <c r="BK56" s="1420"/>
      <c r="BL56" s="1420"/>
      <c r="BM56" s="1420"/>
      <c r="BN56" s="1420"/>
      <c r="BO56" s="1420"/>
      <c r="BP56" s="1420"/>
      <c r="BQ56" s="1420"/>
      <c r="BR56" s="1420"/>
      <c r="BS56" s="1420"/>
      <c r="BT56" s="1420"/>
      <c r="BU56" s="1420"/>
      <c r="BV56" s="1420"/>
      <c r="BW56" s="1420"/>
      <c r="BX56" s="1420"/>
      <c r="BY56" s="1420"/>
      <c r="BZ56" s="1420"/>
      <c r="CA56" s="1420"/>
      <c r="CB56" s="1420"/>
      <c r="CC56" s="1420"/>
      <c r="CD56" s="1420"/>
      <c r="CE56" s="1420"/>
      <c r="CF56" s="1420"/>
      <c r="CG56" s="1420"/>
      <c r="CH56" s="1420"/>
      <c r="CI56" s="1420"/>
      <c r="CJ56" s="1420"/>
      <c r="CK56" s="1420"/>
      <c r="CL56" s="1420"/>
      <c r="CM56" s="1420"/>
      <c r="CN56" s="1420"/>
      <c r="CO56" s="1420"/>
      <c r="CP56" s="1420"/>
      <c r="CQ56" s="1420"/>
      <c r="CR56" s="1420"/>
      <c r="CS56" s="1420"/>
      <c r="CT56" s="1420"/>
      <c r="CU56" s="1420"/>
      <c r="CV56" s="1420"/>
      <c r="CW56" s="1420"/>
      <c r="CX56" s="1420"/>
      <c r="CY56" s="1420"/>
      <c r="CZ56" s="1420"/>
      <c r="DA56" s="1420"/>
      <c r="DB56" s="1420"/>
      <c r="DC56" s="1420"/>
      <c r="DD56" s="1420"/>
      <c r="DE56" s="1420"/>
      <c r="DF56" s="1420"/>
      <c r="DG56" s="1420"/>
      <c r="DH56" s="1420"/>
      <c r="DI56" s="1420"/>
      <c r="DJ56" s="1420"/>
      <c r="DK56" s="1420"/>
      <c r="DL56" s="1420"/>
      <c r="DM56" s="1420"/>
      <c r="DN56" s="1420"/>
      <c r="DO56" s="1420"/>
      <c r="DP56" s="1420"/>
      <c r="DQ56" s="1420"/>
      <c r="DR56" s="1420"/>
      <c r="DS56" s="1420"/>
      <c r="DT56" s="1420"/>
      <c r="DU56" s="1420"/>
      <c r="DV56" s="1420"/>
      <c r="DW56" s="1420"/>
      <c r="DX56" s="1420"/>
      <c r="DY56" s="1420"/>
      <c r="DZ56" s="1420"/>
      <c r="EA56" s="1420"/>
      <c r="EB56" s="1420"/>
      <c r="EC56" s="1420"/>
      <c r="ED56" s="1420"/>
      <c r="EE56" s="1420"/>
      <c r="EF56" s="1420"/>
      <c r="EG56" s="1420"/>
      <c r="EH56" s="1420"/>
      <c r="EI56" s="1420"/>
      <c r="EJ56" s="1420"/>
      <c r="EK56" s="1420"/>
      <c r="EL56" s="1420"/>
      <c r="EM56" s="1420"/>
      <c r="EN56" s="1420"/>
      <c r="EO56" s="1420"/>
      <c r="EP56" s="1420"/>
      <c r="EQ56" s="1420"/>
      <c r="ER56" s="1420"/>
      <c r="ES56" s="1420"/>
      <c r="ET56" s="1420"/>
      <c r="EU56" s="1420"/>
      <c r="EV56" s="1420"/>
      <c r="EW56" s="1420"/>
      <c r="EX56" s="1420"/>
      <c r="EY56" s="1420"/>
      <c r="EZ56" s="1420"/>
      <c r="FA56" s="1420"/>
      <c r="FB56" s="1420"/>
      <c r="FC56" s="1420"/>
      <c r="FD56" s="1420"/>
      <c r="FE56" s="1420"/>
      <c r="FF56" s="1420"/>
      <c r="FG56" s="1420"/>
      <c r="FH56" s="1420"/>
      <c r="FI56" s="1420"/>
      <c r="FJ56" s="1420"/>
      <c r="FK56" s="1420"/>
      <c r="FL56" s="1420"/>
      <c r="FM56" s="1420"/>
      <c r="FN56" s="1420"/>
      <c r="FO56" s="1420"/>
      <c r="FP56" s="1420"/>
      <c r="FQ56" s="1420"/>
      <c r="FR56" s="1420"/>
      <c r="FS56" s="1420"/>
      <c r="FT56" s="1420"/>
      <c r="FU56" s="1420"/>
      <c r="FV56" s="1420"/>
      <c r="FW56" s="1420"/>
      <c r="FX56" s="1420"/>
      <c r="FY56" s="1420"/>
      <c r="FZ56" s="1420"/>
      <c r="GA56" s="1420"/>
      <c r="GB56" s="1420"/>
      <c r="GC56" s="1420"/>
      <c r="GD56" s="1420"/>
      <c r="GE56" s="1420"/>
      <c r="GF56" s="1420"/>
      <c r="GG56" s="1420"/>
      <c r="GH56" s="1420"/>
      <c r="GI56" s="1420"/>
      <c r="GJ56" s="1420"/>
      <c r="GK56" s="1420"/>
      <c r="GL56" s="1420"/>
      <c r="GM56" s="1420"/>
      <c r="GN56" s="1420"/>
      <c r="GO56" s="1420"/>
      <c r="GP56" s="1420"/>
      <c r="GQ56" s="1420"/>
      <c r="GR56" s="1420"/>
      <c r="GS56" s="1420"/>
      <c r="GT56" s="1420"/>
      <c r="GU56" s="1420"/>
      <c r="GV56" s="1420"/>
      <c r="GW56" s="1420"/>
      <c r="GX56" s="1420"/>
      <c r="GY56" s="1420"/>
      <c r="GZ56" s="1420"/>
      <c r="HA56" s="1420"/>
      <c r="HB56" s="1420"/>
      <c r="HC56" s="1420"/>
      <c r="HD56" s="1420"/>
      <c r="HE56" s="1420"/>
      <c r="HF56" s="1420"/>
      <c r="HG56" s="1420"/>
      <c r="HH56" s="1420"/>
      <c r="HI56" s="1420"/>
      <c r="HJ56" s="1420"/>
      <c r="HK56" s="1420"/>
      <c r="HL56" s="1420"/>
      <c r="HM56" s="1420"/>
      <c r="HN56" s="1420"/>
      <c r="HO56" s="1420"/>
      <c r="HP56" s="1420"/>
      <c r="HQ56" s="1420"/>
      <c r="HR56" s="1420"/>
      <c r="HS56" s="1420"/>
      <c r="HT56" s="1420"/>
      <c r="HU56" s="1420"/>
      <c r="HV56" s="1420"/>
      <c r="HW56" s="1420"/>
      <c r="HX56" s="1420"/>
      <c r="HY56" s="1420"/>
      <c r="HZ56" s="1420"/>
      <c r="IA56" s="1420"/>
      <c r="IB56" s="1420"/>
      <c r="IC56" s="1420"/>
      <c r="ID56" s="1420"/>
      <c r="IE56" s="1420"/>
      <c r="IF56" s="1420"/>
      <c r="IG56" s="1420"/>
      <c r="IH56" s="1420"/>
      <c r="II56" s="1420"/>
      <c r="IJ56" s="1420"/>
      <c r="IK56" s="1420"/>
      <c r="IL56" s="1420"/>
      <c r="IM56" s="1420"/>
      <c r="IN56" s="1420"/>
    </row>
    <row r="57" spans="1:248" s="1421" customFormat="1" ht="15" customHeight="1" x14ac:dyDescent="0.25">
      <c r="A57" s="1329">
        <v>44846</v>
      </c>
      <c r="B57" s="1047" t="s">
        <v>38</v>
      </c>
      <c r="C57" s="1381">
        <v>2944508646</v>
      </c>
      <c r="D57" s="1039">
        <f t="shared" si="0"/>
        <v>44876</v>
      </c>
      <c r="E57" s="1040">
        <f t="shared" si="1"/>
        <v>44876</v>
      </c>
      <c r="F57" s="1314"/>
      <c r="G57" s="1416"/>
      <c r="H57" s="1417"/>
      <c r="I57" s="1044">
        <f t="shared" si="3"/>
        <v>2944508646</v>
      </c>
      <c r="J57" s="1314"/>
      <c r="K57" s="1044"/>
      <c r="L57" s="1044"/>
      <c r="M57" s="1368"/>
      <c r="N57" s="1314"/>
      <c r="O57" s="1416"/>
      <c r="P57" s="1416"/>
      <c r="Q57" s="1416"/>
      <c r="R57" s="1416"/>
      <c r="S57" s="1314"/>
      <c r="T57" s="1418"/>
      <c r="U57" s="1419"/>
      <c r="V57" s="1419"/>
      <c r="W57" s="1419"/>
      <c r="X57" s="1419"/>
      <c r="Y57" s="1419"/>
      <c r="Z57" s="1420"/>
      <c r="AA57" s="1420"/>
      <c r="AB57" s="1420"/>
      <c r="AC57" s="1420"/>
      <c r="AD57" s="1420"/>
      <c r="AE57" s="1420"/>
      <c r="AF57" s="1420"/>
      <c r="AG57" s="1420"/>
      <c r="AH57" s="1420"/>
      <c r="AI57" s="1420"/>
      <c r="AJ57" s="1420"/>
      <c r="AK57" s="1420"/>
      <c r="AL57" s="1420"/>
      <c r="AM57" s="1420"/>
      <c r="AN57" s="1420"/>
      <c r="AO57" s="1420"/>
      <c r="AP57" s="1420"/>
      <c r="AQ57" s="1420"/>
      <c r="AR57" s="1420"/>
      <c r="AS57" s="1420"/>
      <c r="AT57" s="1420"/>
      <c r="AU57" s="1420"/>
      <c r="AV57" s="1420"/>
      <c r="AW57" s="1420"/>
      <c r="AX57" s="1420"/>
      <c r="AY57" s="1420"/>
      <c r="AZ57" s="1420"/>
      <c r="BA57" s="1420"/>
      <c r="BB57" s="1420"/>
      <c r="BC57" s="1420"/>
      <c r="BD57" s="1420"/>
      <c r="BE57" s="1420"/>
      <c r="BF57" s="1420"/>
      <c r="BG57" s="1420"/>
      <c r="BH57" s="1420"/>
      <c r="BI57" s="1420"/>
      <c r="BJ57" s="1420"/>
      <c r="BK57" s="1420"/>
      <c r="BL57" s="1420"/>
      <c r="BM57" s="1420"/>
      <c r="BN57" s="1420"/>
      <c r="BO57" s="1420"/>
      <c r="BP57" s="1420"/>
      <c r="BQ57" s="1420"/>
      <c r="BR57" s="1420"/>
      <c r="BS57" s="1420"/>
      <c r="BT57" s="1420"/>
      <c r="BU57" s="1420"/>
      <c r="BV57" s="1420"/>
      <c r="BW57" s="1420"/>
      <c r="BX57" s="1420"/>
      <c r="BY57" s="1420"/>
      <c r="BZ57" s="1420"/>
      <c r="CA57" s="1420"/>
      <c r="CB57" s="1420"/>
      <c r="CC57" s="1420"/>
      <c r="CD57" s="1420"/>
      <c r="CE57" s="1420"/>
      <c r="CF57" s="1420"/>
      <c r="CG57" s="1420"/>
      <c r="CH57" s="1420"/>
      <c r="CI57" s="1420"/>
      <c r="CJ57" s="1420"/>
      <c r="CK57" s="1420"/>
      <c r="CL57" s="1420"/>
      <c r="CM57" s="1420"/>
      <c r="CN57" s="1420"/>
      <c r="CO57" s="1420"/>
      <c r="CP57" s="1420"/>
      <c r="CQ57" s="1420"/>
      <c r="CR57" s="1420"/>
      <c r="CS57" s="1420"/>
      <c r="CT57" s="1420"/>
      <c r="CU57" s="1420"/>
      <c r="CV57" s="1420"/>
      <c r="CW57" s="1420"/>
      <c r="CX57" s="1420"/>
      <c r="CY57" s="1420"/>
      <c r="CZ57" s="1420"/>
      <c r="DA57" s="1420"/>
      <c r="DB57" s="1420"/>
      <c r="DC57" s="1420"/>
      <c r="DD57" s="1420"/>
      <c r="DE57" s="1420"/>
      <c r="DF57" s="1420"/>
      <c r="DG57" s="1420"/>
      <c r="DH57" s="1420"/>
      <c r="DI57" s="1420"/>
      <c r="DJ57" s="1420"/>
      <c r="DK57" s="1420"/>
      <c r="DL57" s="1420"/>
      <c r="DM57" s="1420"/>
      <c r="DN57" s="1420"/>
      <c r="DO57" s="1420"/>
      <c r="DP57" s="1420"/>
      <c r="DQ57" s="1420"/>
      <c r="DR57" s="1420"/>
      <c r="DS57" s="1420"/>
      <c r="DT57" s="1420"/>
      <c r="DU57" s="1420"/>
      <c r="DV57" s="1420"/>
      <c r="DW57" s="1420"/>
      <c r="DX57" s="1420"/>
      <c r="DY57" s="1420"/>
      <c r="DZ57" s="1420"/>
      <c r="EA57" s="1420"/>
      <c r="EB57" s="1420"/>
      <c r="EC57" s="1420"/>
      <c r="ED57" s="1420"/>
      <c r="EE57" s="1420"/>
      <c r="EF57" s="1420"/>
      <c r="EG57" s="1420"/>
      <c r="EH57" s="1420"/>
      <c r="EI57" s="1420"/>
      <c r="EJ57" s="1420"/>
      <c r="EK57" s="1420"/>
      <c r="EL57" s="1420"/>
      <c r="EM57" s="1420"/>
      <c r="EN57" s="1420"/>
      <c r="EO57" s="1420"/>
      <c r="EP57" s="1420"/>
      <c r="EQ57" s="1420"/>
      <c r="ER57" s="1420"/>
      <c r="ES57" s="1420"/>
      <c r="ET57" s="1420"/>
      <c r="EU57" s="1420"/>
      <c r="EV57" s="1420"/>
      <c r="EW57" s="1420"/>
      <c r="EX57" s="1420"/>
      <c r="EY57" s="1420"/>
      <c r="EZ57" s="1420"/>
      <c r="FA57" s="1420"/>
      <c r="FB57" s="1420"/>
      <c r="FC57" s="1420"/>
      <c r="FD57" s="1420"/>
      <c r="FE57" s="1420"/>
      <c r="FF57" s="1420"/>
      <c r="FG57" s="1420"/>
      <c r="FH57" s="1420"/>
      <c r="FI57" s="1420"/>
      <c r="FJ57" s="1420"/>
      <c r="FK57" s="1420"/>
      <c r="FL57" s="1420"/>
      <c r="FM57" s="1420"/>
      <c r="FN57" s="1420"/>
      <c r="FO57" s="1420"/>
      <c r="FP57" s="1420"/>
      <c r="FQ57" s="1420"/>
      <c r="FR57" s="1420"/>
      <c r="FS57" s="1420"/>
      <c r="FT57" s="1420"/>
      <c r="FU57" s="1420"/>
      <c r="FV57" s="1420"/>
      <c r="FW57" s="1420"/>
      <c r="FX57" s="1420"/>
      <c r="FY57" s="1420"/>
      <c r="FZ57" s="1420"/>
      <c r="GA57" s="1420"/>
      <c r="GB57" s="1420"/>
      <c r="GC57" s="1420"/>
      <c r="GD57" s="1420"/>
      <c r="GE57" s="1420"/>
      <c r="GF57" s="1420"/>
      <c r="GG57" s="1420"/>
      <c r="GH57" s="1420"/>
      <c r="GI57" s="1420"/>
      <c r="GJ57" s="1420"/>
      <c r="GK57" s="1420"/>
      <c r="GL57" s="1420"/>
      <c r="GM57" s="1420"/>
      <c r="GN57" s="1420"/>
      <c r="GO57" s="1420"/>
      <c r="GP57" s="1420"/>
      <c r="GQ57" s="1420"/>
      <c r="GR57" s="1420"/>
      <c r="GS57" s="1420"/>
      <c r="GT57" s="1420"/>
      <c r="GU57" s="1420"/>
      <c r="GV57" s="1420"/>
      <c r="GW57" s="1420"/>
      <c r="GX57" s="1420"/>
      <c r="GY57" s="1420"/>
      <c r="GZ57" s="1420"/>
      <c r="HA57" s="1420"/>
      <c r="HB57" s="1420"/>
      <c r="HC57" s="1420"/>
      <c r="HD57" s="1420"/>
      <c r="HE57" s="1420"/>
      <c r="HF57" s="1420"/>
      <c r="HG57" s="1420"/>
      <c r="HH57" s="1420"/>
      <c r="HI57" s="1420"/>
      <c r="HJ57" s="1420"/>
      <c r="HK57" s="1420"/>
      <c r="HL57" s="1420"/>
      <c r="HM57" s="1420"/>
      <c r="HN57" s="1420"/>
      <c r="HO57" s="1420"/>
      <c r="HP57" s="1420"/>
      <c r="HQ57" s="1420"/>
      <c r="HR57" s="1420"/>
      <c r="HS57" s="1420"/>
      <c r="HT57" s="1420"/>
      <c r="HU57" s="1420"/>
      <c r="HV57" s="1420"/>
      <c r="HW57" s="1420"/>
      <c r="HX57" s="1420"/>
      <c r="HY57" s="1420"/>
      <c r="HZ57" s="1420"/>
      <c r="IA57" s="1420"/>
      <c r="IB57" s="1420"/>
      <c r="IC57" s="1420"/>
      <c r="ID57" s="1420"/>
      <c r="IE57" s="1420"/>
      <c r="IF57" s="1420"/>
      <c r="IG57" s="1420"/>
      <c r="IH57" s="1420"/>
      <c r="II57" s="1420"/>
      <c r="IJ57" s="1420"/>
      <c r="IK57" s="1420"/>
      <c r="IL57" s="1420"/>
      <c r="IM57" s="1420"/>
      <c r="IN57" s="1420"/>
    </row>
    <row r="58" spans="1:248" s="1421" customFormat="1" ht="15" customHeight="1" x14ac:dyDescent="0.25">
      <c r="A58" s="1329">
        <v>44846</v>
      </c>
      <c r="B58" s="1047" t="s">
        <v>59</v>
      </c>
      <c r="C58" s="1381">
        <v>328162910</v>
      </c>
      <c r="D58" s="1039">
        <f t="shared" si="0"/>
        <v>44876</v>
      </c>
      <c r="E58" s="1040">
        <f t="shared" si="1"/>
        <v>44876</v>
      </c>
      <c r="F58" s="1314"/>
      <c r="G58" s="1416"/>
      <c r="H58" s="1417"/>
      <c r="I58" s="1044">
        <f t="shared" si="3"/>
        <v>328162910</v>
      </c>
      <c r="J58" s="1314"/>
      <c r="K58" s="1044"/>
      <c r="L58" s="1044"/>
      <c r="M58" s="1368"/>
      <c r="N58" s="1314"/>
      <c r="O58" s="1416"/>
      <c r="P58" s="1416"/>
      <c r="Q58" s="1416"/>
      <c r="R58" s="1416"/>
      <c r="S58" s="1314"/>
      <c r="T58" s="1418"/>
      <c r="U58" s="1419"/>
      <c r="V58" s="1419"/>
      <c r="W58" s="1419"/>
      <c r="X58" s="1419"/>
      <c r="Y58" s="1419"/>
      <c r="Z58" s="1420"/>
      <c r="AA58" s="1420"/>
      <c r="AB58" s="1420"/>
      <c r="AC58" s="1420"/>
      <c r="AD58" s="1420"/>
      <c r="AE58" s="1420"/>
      <c r="AF58" s="1420"/>
      <c r="AG58" s="1420"/>
      <c r="AH58" s="1420"/>
      <c r="AI58" s="1420"/>
      <c r="AJ58" s="1420"/>
      <c r="AK58" s="1420"/>
      <c r="AL58" s="1420"/>
      <c r="AM58" s="1420"/>
      <c r="AN58" s="1420"/>
      <c r="AO58" s="1420"/>
      <c r="AP58" s="1420"/>
      <c r="AQ58" s="1420"/>
      <c r="AR58" s="1420"/>
      <c r="AS58" s="1420"/>
      <c r="AT58" s="1420"/>
      <c r="AU58" s="1420"/>
      <c r="AV58" s="1420"/>
      <c r="AW58" s="1420"/>
      <c r="AX58" s="1420"/>
      <c r="AY58" s="1420"/>
      <c r="AZ58" s="1420"/>
      <c r="BA58" s="1420"/>
      <c r="BB58" s="1420"/>
      <c r="BC58" s="1420"/>
      <c r="BD58" s="1420"/>
      <c r="BE58" s="1420"/>
      <c r="BF58" s="1420"/>
      <c r="BG58" s="1420"/>
      <c r="BH58" s="1420"/>
      <c r="BI58" s="1420"/>
      <c r="BJ58" s="1420"/>
      <c r="BK58" s="1420"/>
      <c r="BL58" s="1420"/>
      <c r="BM58" s="1420"/>
      <c r="BN58" s="1420"/>
      <c r="BO58" s="1420"/>
      <c r="BP58" s="1420"/>
      <c r="BQ58" s="1420"/>
      <c r="BR58" s="1420"/>
      <c r="BS58" s="1420"/>
      <c r="BT58" s="1420"/>
      <c r="BU58" s="1420"/>
      <c r="BV58" s="1420"/>
      <c r="BW58" s="1420"/>
      <c r="BX58" s="1420"/>
      <c r="BY58" s="1420"/>
      <c r="BZ58" s="1420"/>
      <c r="CA58" s="1420"/>
      <c r="CB58" s="1420"/>
      <c r="CC58" s="1420"/>
      <c r="CD58" s="1420"/>
      <c r="CE58" s="1420"/>
      <c r="CF58" s="1420"/>
      <c r="CG58" s="1420"/>
      <c r="CH58" s="1420"/>
      <c r="CI58" s="1420"/>
      <c r="CJ58" s="1420"/>
      <c r="CK58" s="1420"/>
      <c r="CL58" s="1420"/>
      <c r="CM58" s="1420"/>
      <c r="CN58" s="1420"/>
      <c r="CO58" s="1420"/>
      <c r="CP58" s="1420"/>
      <c r="CQ58" s="1420"/>
      <c r="CR58" s="1420"/>
      <c r="CS58" s="1420"/>
      <c r="CT58" s="1420"/>
      <c r="CU58" s="1420"/>
      <c r="CV58" s="1420"/>
      <c r="CW58" s="1420"/>
      <c r="CX58" s="1420"/>
      <c r="CY58" s="1420"/>
      <c r="CZ58" s="1420"/>
      <c r="DA58" s="1420"/>
      <c r="DB58" s="1420"/>
      <c r="DC58" s="1420"/>
      <c r="DD58" s="1420"/>
      <c r="DE58" s="1420"/>
      <c r="DF58" s="1420"/>
      <c r="DG58" s="1420"/>
      <c r="DH58" s="1420"/>
      <c r="DI58" s="1420"/>
      <c r="DJ58" s="1420"/>
      <c r="DK58" s="1420"/>
      <c r="DL58" s="1420"/>
      <c r="DM58" s="1420"/>
      <c r="DN58" s="1420"/>
      <c r="DO58" s="1420"/>
      <c r="DP58" s="1420"/>
      <c r="DQ58" s="1420"/>
      <c r="DR58" s="1420"/>
      <c r="DS58" s="1420"/>
      <c r="DT58" s="1420"/>
      <c r="DU58" s="1420"/>
      <c r="DV58" s="1420"/>
      <c r="DW58" s="1420"/>
      <c r="DX58" s="1420"/>
      <c r="DY58" s="1420"/>
      <c r="DZ58" s="1420"/>
      <c r="EA58" s="1420"/>
      <c r="EB58" s="1420"/>
      <c r="EC58" s="1420"/>
      <c r="ED58" s="1420"/>
      <c r="EE58" s="1420"/>
      <c r="EF58" s="1420"/>
      <c r="EG58" s="1420"/>
      <c r="EH58" s="1420"/>
      <c r="EI58" s="1420"/>
      <c r="EJ58" s="1420"/>
      <c r="EK58" s="1420"/>
      <c r="EL58" s="1420"/>
      <c r="EM58" s="1420"/>
      <c r="EN58" s="1420"/>
      <c r="EO58" s="1420"/>
      <c r="EP58" s="1420"/>
      <c r="EQ58" s="1420"/>
      <c r="ER58" s="1420"/>
      <c r="ES58" s="1420"/>
      <c r="ET58" s="1420"/>
      <c r="EU58" s="1420"/>
      <c r="EV58" s="1420"/>
      <c r="EW58" s="1420"/>
      <c r="EX58" s="1420"/>
      <c r="EY58" s="1420"/>
      <c r="EZ58" s="1420"/>
      <c r="FA58" s="1420"/>
      <c r="FB58" s="1420"/>
      <c r="FC58" s="1420"/>
      <c r="FD58" s="1420"/>
      <c r="FE58" s="1420"/>
      <c r="FF58" s="1420"/>
      <c r="FG58" s="1420"/>
      <c r="FH58" s="1420"/>
      <c r="FI58" s="1420"/>
      <c r="FJ58" s="1420"/>
      <c r="FK58" s="1420"/>
      <c r="FL58" s="1420"/>
      <c r="FM58" s="1420"/>
      <c r="FN58" s="1420"/>
      <c r="FO58" s="1420"/>
      <c r="FP58" s="1420"/>
      <c r="FQ58" s="1420"/>
      <c r="FR58" s="1420"/>
      <c r="FS58" s="1420"/>
      <c r="FT58" s="1420"/>
      <c r="FU58" s="1420"/>
      <c r="FV58" s="1420"/>
      <c r="FW58" s="1420"/>
      <c r="FX58" s="1420"/>
      <c r="FY58" s="1420"/>
      <c r="FZ58" s="1420"/>
      <c r="GA58" s="1420"/>
      <c r="GB58" s="1420"/>
      <c r="GC58" s="1420"/>
      <c r="GD58" s="1420"/>
      <c r="GE58" s="1420"/>
      <c r="GF58" s="1420"/>
      <c r="GG58" s="1420"/>
      <c r="GH58" s="1420"/>
      <c r="GI58" s="1420"/>
      <c r="GJ58" s="1420"/>
      <c r="GK58" s="1420"/>
      <c r="GL58" s="1420"/>
      <c r="GM58" s="1420"/>
      <c r="GN58" s="1420"/>
      <c r="GO58" s="1420"/>
      <c r="GP58" s="1420"/>
      <c r="GQ58" s="1420"/>
      <c r="GR58" s="1420"/>
      <c r="GS58" s="1420"/>
      <c r="GT58" s="1420"/>
      <c r="GU58" s="1420"/>
      <c r="GV58" s="1420"/>
      <c r="GW58" s="1420"/>
      <c r="GX58" s="1420"/>
      <c r="GY58" s="1420"/>
      <c r="GZ58" s="1420"/>
      <c r="HA58" s="1420"/>
      <c r="HB58" s="1420"/>
      <c r="HC58" s="1420"/>
      <c r="HD58" s="1420"/>
      <c r="HE58" s="1420"/>
      <c r="HF58" s="1420"/>
      <c r="HG58" s="1420"/>
      <c r="HH58" s="1420"/>
      <c r="HI58" s="1420"/>
      <c r="HJ58" s="1420"/>
      <c r="HK58" s="1420"/>
      <c r="HL58" s="1420"/>
      <c r="HM58" s="1420"/>
      <c r="HN58" s="1420"/>
      <c r="HO58" s="1420"/>
      <c r="HP58" s="1420"/>
      <c r="HQ58" s="1420"/>
      <c r="HR58" s="1420"/>
      <c r="HS58" s="1420"/>
      <c r="HT58" s="1420"/>
      <c r="HU58" s="1420"/>
      <c r="HV58" s="1420"/>
      <c r="HW58" s="1420"/>
      <c r="HX58" s="1420"/>
      <c r="HY58" s="1420"/>
      <c r="HZ58" s="1420"/>
      <c r="IA58" s="1420"/>
      <c r="IB58" s="1420"/>
      <c r="IC58" s="1420"/>
      <c r="ID58" s="1420"/>
      <c r="IE58" s="1420"/>
      <c r="IF58" s="1420"/>
      <c r="IG58" s="1420"/>
      <c r="IH58" s="1420"/>
      <c r="II58" s="1420"/>
      <c r="IJ58" s="1420"/>
      <c r="IK58" s="1420"/>
      <c r="IL58" s="1420"/>
      <c r="IM58" s="1420"/>
      <c r="IN58" s="1420"/>
    </row>
    <row r="59" spans="1:248" s="1421" customFormat="1" ht="15" customHeight="1" x14ac:dyDescent="0.25">
      <c r="A59" s="1329">
        <v>44846</v>
      </c>
      <c r="B59" s="1047" t="s">
        <v>50</v>
      </c>
      <c r="C59" s="1381">
        <v>1098275273</v>
      </c>
      <c r="D59" s="1039">
        <f t="shared" si="0"/>
        <v>44876</v>
      </c>
      <c r="E59" s="1040">
        <f t="shared" si="1"/>
        <v>44876</v>
      </c>
      <c r="F59" s="1314"/>
      <c r="G59" s="1416"/>
      <c r="H59" s="1417"/>
      <c r="I59" s="1044">
        <f t="shared" si="3"/>
        <v>1098275273</v>
      </c>
      <c r="J59" s="1314"/>
      <c r="K59" s="1044"/>
      <c r="L59" s="1044"/>
      <c r="M59" s="1368"/>
      <c r="N59" s="1314"/>
      <c r="O59" s="1416"/>
      <c r="P59" s="1416"/>
      <c r="Q59" s="1416"/>
      <c r="R59" s="1416"/>
      <c r="S59" s="1314"/>
      <c r="T59" s="1418"/>
      <c r="U59" s="1419"/>
      <c r="V59" s="1419"/>
      <c r="W59" s="1419"/>
      <c r="X59" s="1419"/>
      <c r="Y59" s="1419"/>
      <c r="Z59" s="1420"/>
      <c r="AA59" s="1420"/>
      <c r="AB59" s="1420"/>
      <c r="AC59" s="1420"/>
      <c r="AD59" s="1420"/>
      <c r="AE59" s="1420"/>
      <c r="AF59" s="1420"/>
      <c r="AG59" s="1420"/>
      <c r="AH59" s="1420"/>
      <c r="AI59" s="1420"/>
      <c r="AJ59" s="1420"/>
      <c r="AK59" s="1420"/>
      <c r="AL59" s="1420"/>
      <c r="AM59" s="1420"/>
      <c r="AN59" s="1420"/>
      <c r="AO59" s="1420"/>
      <c r="AP59" s="1420"/>
      <c r="AQ59" s="1420"/>
      <c r="AR59" s="1420"/>
      <c r="AS59" s="1420"/>
      <c r="AT59" s="1420"/>
      <c r="AU59" s="1420"/>
      <c r="AV59" s="1420"/>
      <c r="AW59" s="1420"/>
      <c r="AX59" s="1420"/>
      <c r="AY59" s="1420"/>
      <c r="AZ59" s="1420"/>
      <c r="BA59" s="1420"/>
      <c r="BB59" s="1420"/>
      <c r="BC59" s="1420"/>
      <c r="BD59" s="1420"/>
      <c r="BE59" s="1420"/>
      <c r="BF59" s="1420"/>
      <c r="BG59" s="1420"/>
      <c r="BH59" s="1420"/>
      <c r="BI59" s="1420"/>
      <c r="BJ59" s="1420"/>
      <c r="BK59" s="1420"/>
      <c r="BL59" s="1420"/>
      <c r="BM59" s="1420"/>
      <c r="BN59" s="1420"/>
      <c r="BO59" s="1420"/>
      <c r="BP59" s="1420"/>
      <c r="BQ59" s="1420"/>
      <c r="BR59" s="1420"/>
      <c r="BS59" s="1420"/>
      <c r="BT59" s="1420"/>
      <c r="BU59" s="1420"/>
      <c r="BV59" s="1420"/>
      <c r="BW59" s="1420"/>
      <c r="BX59" s="1420"/>
      <c r="BY59" s="1420"/>
      <c r="BZ59" s="1420"/>
      <c r="CA59" s="1420"/>
      <c r="CB59" s="1420"/>
      <c r="CC59" s="1420"/>
      <c r="CD59" s="1420"/>
      <c r="CE59" s="1420"/>
      <c r="CF59" s="1420"/>
      <c r="CG59" s="1420"/>
      <c r="CH59" s="1420"/>
      <c r="CI59" s="1420"/>
      <c r="CJ59" s="1420"/>
      <c r="CK59" s="1420"/>
      <c r="CL59" s="1420"/>
      <c r="CM59" s="1420"/>
      <c r="CN59" s="1420"/>
      <c r="CO59" s="1420"/>
      <c r="CP59" s="1420"/>
      <c r="CQ59" s="1420"/>
      <c r="CR59" s="1420"/>
      <c r="CS59" s="1420"/>
      <c r="CT59" s="1420"/>
      <c r="CU59" s="1420"/>
      <c r="CV59" s="1420"/>
      <c r="CW59" s="1420"/>
      <c r="CX59" s="1420"/>
      <c r="CY59" s="1420"/>
      <c r="CZ59" s="1420"/>
      <c r="DA59" s="1420"/>
      <c r="DB59" s="1420"/>
      <c r="DC59" s="1420"/>
      <c r="DD59" s="1420"/>
      <c r="DE59" s="1420"/>
      <c r="DF59" s="1420"/>
      <c r="DG59" s="1420"/>
      <c r="DH59" s="1420"/>
      <c r="DI59" s="1420"/>
      <c r="DJ59" s="1420"/>
      <c r="DK59" s="1420"/>
      <c r="DL59" s="1420"/>
      <c r="DM59" s="1420"/>
      <c r="DN59" s="1420"/>
      <c r="DO59" s="1420"/>
      <c r="DP59" s="1420"/>
      <c r="DQ59" s="1420"/>
      <c r="DR59" s="1420"/>
      <c r="DS59" s="1420"/>
      <c r="DT59" s="1420"/>
      <c r="DU59" s="1420"/>
      <c r="DV59" s="1420"/>
      <c r="DW59" s="1420"/>
      <c r="DX59" s="1420"/>
      <c r="DY59" s="1420"/>
      <c r="DZ59" s="1420"/>
      <c r="EA59" s="1420"/>
      <c r="EB59" s="1420"/>
      <c r="EC59" s="1420"/>
      <c r="ED59" s="1420"/>
      <c r="EE59" s="1420"/>
      <c r="EF59" s="1420"/>
      <c r="EG59" s="1420"/>
      <c r="EH59" s="1420"/>
      <c r="EI59" s="1420"/>
      <c r="EJ59" s="1420"/>
      <c r="EK59" s="1420"/>
      <c r="EL59" s="1420"/>
      <c r="EM59" s="1420"/>
      <c r="EN59" s="1420"/>
      <c r="EO59" s="1420"/>
      <c r="EP59" s="1420"/>
      <c r="EQ59" s="1420"/>
      <c r="ER59" s="1420"/>
      <c r="ES59" s="1420"/>
      <c r="ET59" s="1420"/>
      <c r="EU59" s="1420"/>
      <c r="EV59" s="1420"/>
      <c r="EW59" s="1420"/>
      <c r="EX59" s="1420"/>
      <c r="EY59" s="1420"/>
      <c r="EZ59" s="1420"/>
      <c r="FA59" s="1420"/>
      <c r="FB59" s="1420"/>
      <c r="FC59" s="1420"/>
      <c r="FD59" s="1420"/>
      <c r="FE59" s="1420"/>
      <c r="FF59" s="1420"/>
      <c r="FG59" s="1420"/>
      <c r="FH59" s="1420"/>
      <c r="FI59" s="1420"/>
      <c r="FJ59" s="1420"/>
      <c r="FK59" s="1420"/>
      <c r="FL59" s="1420"/>
      <c r="FM59" s="1420"/>
      <c r="FN59" s="1420"/>
      <c r="FO59" s="1420"/>
      <c r="FP59" s="1420"/>
      <c r="FQ59" s="1420"/>
      <c r="FR59" s="1420"/>
      <c r="FS59" s="1420"/>
      <c r="FT59" s="1420"/>
      <c r="FU59" s="1420"/>
      <c r="FV59" s="1420"/>
      <c r="FW59" s="1420"/>
      <c r="FX59" s="1420"/>
      <c r="FY59" s="1420"/>
      <c r="FZ59" s="1420"/>
      <c r="GA59" s="1420"/>
      <c r="GB59" s="1420"/>
      <c r="GC59" s="1420"/>
      <c r="GD59" s="1420"/>
      <c r="GE59" s="1420"/>
      <c r="GF59" s="1420"/>
      <c r="GG59" s="1420"/>
      <c r="GH59" s="1420"/>
      <c r="GI59" s="1420"/>
      <c r="GJ59" s="1420"/>
      <c r="GK59" s="1420"/>
      <c r="GL59" s="1420"/>
      <c r="GM59" s="1420"/>
      <c r="GN59" s="1420"/>
      <c r="GO59" s="1420"/>
      <c r="GP59" s="1420"/>
      <c r="GQ59" s="1420"/>
      <c r="GR59" s="1420"/>
      <c r="GS59" s="1420"/>
      <c r="GT59" s="1420"/>
      <c r="GU59" s="1420"/>
      <c r="GV59" s="1420"/>
      <c r="GW59" s="1420"/>
      <c r="GX59" s="1420"/>
      <c r="GY59" s="1420"/>
      <c r="GZ59" s="1420"/>
      <c r="HA59" s="1420"/>
      <c r="HB59" s="1420"/>
      <c r="HC59" s="1420"/>
      <c r="HD59" s="1420"/>
      <c r="HE59" s="1420"/>
      <c r="HF59" s="1420"/>
      <c r="HG59" s="1420"/>
      <c r="HH59" s="1420"/>
      <c r="HI59" s="1420"/>
      <c r="HJ59" s="1420"/>
      <c r="HK59" s="1420"/>
      <c r="HL59" s="1420"/>
      <c r="HM59" s="1420"/>
      <c r="HN59" s="1420"/>
      <c r="HO59" s="1420"/>
      <c r="HP59" s="1420"/>
      <c r="HQ59" s="1420"/>
      <c r="HR59" s="1420"/>
      <c r="HS59" s="1420"/>
      <c r="HT59" s="1420"/>
      <c r="HU59" s="1420"/>
      <c r="HV59" s="1420"/>
      <c r="HW59" s="1420"/>
      <c r="HX59" s="1420"/>
      <c r="HY59" s="1420"/>
      <c r="HZ59" s="1420"/>
      <c r="IA59" s="1420"/>
      <c r="IB59" s="1420"/>
      <c r="IC59" s="1420"/>
      <c r="ID59" s="1420"/>
      <c r="IE59" s="1420"/>
      <c r="IF59" s="1420"/>
      <c r="IG59" s="1420"/>
      <c r="IH59" s="1420"/>
      <c r="II59" s="1420"/>
      <c r="IJ59" s="1420"/>
      <c r="IK59" s="1420"/>
      <c r="IL59" s="1420"/>
      <c r="IM59" s="1420"/>
      <c r="IN59" s="1420"/>
    </row>
    <row r="60" spans="1:248" s="1421" customFormat="1" ht="15" customHeight="1" x14ac:dyDescent="0.25">
      <c r="A60" s="1329">
        <v>44846</v>
      </c>
      <c r="B60" s="1047" t="s">
        <v>59</v>
      </c>
      <c r="C60" s="1381">
        <v>471497607</v>
      </c>
      <c r="D60" s="1039">
        <f t="shared" si="0"/>
        <v>44876</v>
      </c>
      <c r="E60" s="1040">
        <f t="shared" si="1"/>
        <v>44876</v>
      </c>
      <c r="F60" s="1314"/>
      <c r="G60" s="1416"/>
      <c r="H60" s="1417"/>
      <c r="I60" s="1044">
        <f t="shared" si="3"/>
        <v>471497607</v>
      </c>
      <c r="J60" s="1314"/>
      <c r="K60" s="1044"/>
      <c r="L60" s="1044"/>
      <c r="M60" s="1368"/>
      <c r="N60" s="1314"/>
      <c r="O60" s="1416"/>
      <c r="P60" s="1416"/>
      <c r="Q60" s="1416"/>
      <c r="R60" s="1416"/>
      <c r="S60" s="1314"/>
      <c r="T60" s="1418"/>
      <c r="U60" s="1419"/>
      <c r="V60" s="1419"/>
      <c r="W60" s="1419"/>
      <c r="X60" s="1419"/>
      <c r="Y60" s="1419"/>
      <c r="Z60" s="1420"/>
      <c r="AA60" s="1420"/>
      <c r="AB60" s="1420"/>
      <c r="AC60" s="1420"/>
      <c r="AD60" s="1420"/>
      <c r="AE60" s="1420"/>
      <c r="AF60" s="1420"/>
      <c r="AG60" s="1420"/>
      <c r="AH60" s="1420"/>
      <c r="AI60" s="1420"/>
      <c r="AJ60" s="1420"/>
      <c r="AK60" s="1420"/>
      <c r="AL60" s="1420"/>
      <c r="AM60" s="1420"/>
      <c r="AN60" s="1420"/>
      <c r="AO60" s="1420"/>
      <c r="AP60" s="1420"/>
      <c r="AQ60" s="1420"/>
      <c r="AR60" s="1420"/>
      <c r="AS60" s="1420"/>
      <c r="AT60" s="1420"/>
      <c r="AU60" s="1420"/>
      <c r="AV60" s="1420"/>
      <c r="AW60" s="1420"/>
      <c r="AX60" s="1420"/>
      <c r="AY60" s="1420"/>
      <c r="AZ60" s="1420"/>
      <c r="BA60" s="1420"/>
      <c r="BB60" s="1420"/>
      <c r="BC60" s="1420"/>
      <c r="BD60" s="1420"/>
      <c r="BE60" s="1420"/>
      <c r="BF60" s="1420"/>
      <c r="BG60" s="1420"/>
      <c r="BH60" s="1420"/>
      <c r="BI60" s="1420"/>
      <c r="BJ60" s="1420"/>
      <c r="BK60" s="1420"/>
      <c r="BL60" s="1420"/>
      <c r="BM60" s="1420"/>
      <c r="BN60" s="1420"/>
      <c r="BO60" s="1420"/>
      <c r="BP60" s="1420"/>
      <c r="BQ60" s="1420"/>
      <c r="BR60" s="1420"/>
      <c r="BS60" s="1420"/>
      <c r="BT60" s="1420"/>
      <c r="BU60" s="1420"/>
      <c r="BV60" s="1420"/>
      <c r="BW60" s="1420"/>
      <c r="BX60" s="1420"/>
      <c r="BY60" s="1420"/>
      <c r="BZ60" s="1420"/>
      <c r="CA60" s="1420"/>
      <c r="CB60" s="1420"/>
      <c r="CC60" s="1420"/>
      <c r="CD60" s="1420"/>
      <c r="CE60" s="1420"/>
      <c r="CF60" s="1420"/>
      <c r="CG60" s="1420"/>
      <c r="CH60" s="1420"/>
      <c r="CI60" s="1420"/>
      <c r="CJ60" s="1420"/>
      <c r="CK60" s="1420"/>
      <c r="CL60" s="1420"/>
      <c r="CM60" s="1420"/>
      <c r="CN60" s="1420"/>
      <c r="CO60" s="1420"/>
      <c r="CP60" s="1420"/>
      <c r="CQ60" s="1420"/>
      <c r="CR60" s="1420"/>
      <c r="CS60" s="1420"/>
      <c r="CT60" s="1420"/>
      <c r="CU60" s="1420"/>
      <c r="CV60" s="1420"/>
      <c r="CW60" s="1420"/>
      <c r="CX60" s="1420"/>
      <c r="CY60" s="1420"/>
      <c r="CZ60" s="1420"/>
      <c r="DA60" s="1420"/>
      <c r="DB60" s="1420"/>
      <c r="DC60" s="1420"/>
      <c r="DD60" s="1420"/>
      <c r="DE60" s="1420"/>
      <c r="DF60" s="1420"/>
      <c r="DG60" s="1420"/>
      <c r="DH60" s="1420"/>
      <c r="DI60" s="1420"/>
      <c r="DJ60" s="1420"/>
      <c r="DK60" s="1420"/>
      <c r="DL60" s="1420"/>
      <c r="DM60" s="1420"/>
      <c r="DN60" s="1420"/>
      <c r="DO60" s="1420"/>
      <c r="DP60" s="1420"/>
      <c r="DQ60" s="1420"/>
      <c r="DR60" s="1420"/>
      <c r="DS60" s="1420"/>
      <c r="DT60" s="1420"/>
      <c r="DU60" s="1420"/>
      <c r="DV60" s="1420"/>
      <c r="DW60" s="1420"/>
      <c r="DX60" s="1420"/>
      <c r="DY60" s="1420"/>
      <c r="DZ60" s="1420"/>
      <c r="EA60" s="1420"/>
      <c r="EB60" s="1420"/>
      <c r="EC60" s="1420"/>
      <c r="ED60" s="1420"/>
      <c r="EE60" s="1420"/>
      <c r="EF60" s="1420"/>
      <c r="EG60" s="1420"/>
      <c r="EH60" s="1420"/>
      <c r="EI60" s="1420"/>
      <c r="EJ60" s="1420"/>
      <c r="EK60" s="1420"/>
      <c r="EL60" s="1420"/>
      <c r="EM60" s="1420"/>
      <c r="EN60" s="1420"/>
      <c r="EO60" s="1420"/>
      <c r="EP60" s="1420"/>
      <c r="EQ60" s="1420"/>
      <c r="ER60" s="1420"/>
      <c r="ES60" s="1420"/>
      <c r="ET60" s="1420"/>
      <c r="EU60" s="1420"/>
      <c r="EV60" s="1420"/>
      <c r="EW60" s="1420"/>
      <c r="EX60" s="1420"/>
      <c r="EY60" s="1420"/>
      <c r="EZ60" s="1420"/>
      <c r="FA60" s="1420"/>
      <c r="FB60" s="1420"/>
      <c r="FC60" s="1420"/>
      <c r="FD60" s="1420"/>
      <c r="FE60" s="1420"/>
      <c r="FF60" s="1420"/>
      <c r="FG60" s="1420"/>
      <c r="FH60" s="1420"/>
      <c r="FI60" s="1420"/>
      <c r="FJ60" s="1420"/>
      <c r="FK60" s="1420"/>
      <c r="FL60" s="1420"/>
      <c r="FM60" s="1420"/>
      <c r="FN60" s="1420"/>
      <c r="FO60" s="1420"/>
      <c r="FP60" s="1420"/>
      <c r="FQ60" s="1420"/>
      <c r="FR60" s="1420"/>
      <c r="FS60" s="1420"/>
      <c r="FT60" s="1420"/>
      <c r="FU60" s="1420"/>
      <c r="FV60" s="1420"/>
      <c r="FW60" s="1420"/>
      <c r="FX60" s="1420"/>
      <c r="FY60" s="1420"/>
      <c r="FZ60" s="1420"/>
      <c r="GA60" s="1420"/>
      <c r="GB60" s="1420"/>
      <c r="GC60" s="1420"/>
      <c r="GD60" s="1420"/>
      <c r="GE60" s="1420"/>
      <c r="GF60" s="1420"/>
      <c r="GG60" s="1420"/>
      <c r="GH60" s="1420"/>
      <c r="GI60" s="1420"/>
      <c r="GJ60" s="1420"/>
      <c r="GK60" s="1420"/>
      <c r="GL60" s="1420"/>
      <c r="GM60" s="1420"/>
      <c r="GN60" s="1420"/>
      <c r="GO60" s="1420"/>
      <c r="GP60" s="1420"/>
      <c r="GQ60" s="1420"/>
      <c r="GR60" s="1420"/>
      <c r="GS60" s="1420"/>
      <c r="GT60" s="1420"/>
      <c r="GU60" s="1420"/>
      <c r="GV60" s="1420"/>
      <c r="GW60" s="1420"/>
      <c r="GX60" s="1420"/>
      <c r="GY60" s="1420"/>
      <c r="GZ60" s="1420"/>
      <c r="HA60" s="1420"/>
      <c r="HB60" s="1420"/>
      <c r="HC60" s="1420"/>
      <c r="HD60" s="1420"/>
      <c r="HE60" s="1420"/>
      <c r="HF60" s="1420"/>
      <c r="HG60" s="1420"/>
      <c r="HH60" s="1420"/>
      <c r="HI60" s="1420"/>
      <c r="HJ60" s="1420"/>
      <c r="HK60" s="1420"/>
      <c r="HL60" s="1420"/>
      <c r="HM60" s="1420"/>
      <c r="HN60" s="1420"/>
      <c r="HO60" s="1420"/>
      <c r="HP60" s="1420"/>
      <c r="HQ60" s="1420"/>
      <c r="HR60" s="1420"/>
      <c r="HS60" s="1420"/>
      <c r="HT60" s="1420"/>
      <c r="HU60" s="1420"/>
      <c r="HV60" s="1420"/>
      <c r="HW60" s="1420"/>
      <c r="HX60" s="1420"/>
      <c r="HY60" s="1420"/>
      <c r="HZ60" s="1420"/>
      <c r="IA60" s="1420"/>
      <c r="IB60" s="1420"/>
      <c r="IC60" s="1420"/>
      <c r="ID60" s="1420"/>
      <c r="IE60" s="1420"/>
      <c r="IF60" s="1420"/>
      <c r="IG60" s="1420"/>
      <c r="IH60" s="1420"/>
      <c r="II60" s="1420"/>
      <c r="IJ60" s="1420"/>
      <c r="IK60" s="1420"/>
      <c r="IL60" s="1420"/>
      <c r="IM60" s="1420"/>
      <c r="IN60" s="1420"/>
    </row>
    <row r="61" spans="1:248" s="1421" customFormat="1" ht="15" customHeight="1" x14ac:dyDescent="0.25">
      <c r="A61" s="1329">
        <v>44848</v>
      </c>
      <c r="B61" s="1047" t="s">
        <v>50</v>
      </c>
      <c r="C61" s="1381">
        <v>601293600</v>
      </c>
      <c r="D61" s="1039">
        <f t="shared" si="0"/>
        <v>44878</v>
      </c>
      <c r="E61" s="1040">
        <f t="shared" si="1"/>
        <v>44878</v>
      </c>
      <c r="F61" s="1314"/>
      <c r="G61" s="1416"/>
      <c r="H61" s="1417"/>
      <c r="I61" s="1044">
        <f t="shared" si="3"/>
        <v>601293600</v>
      </c>
      <c r="J61" s="1314"/>
      <c r="K61" s="1044"/>
      <c r="L61" s="1044"/>
      <c r="M61" s="1368"/>
      <c r="N61" s="1314"/>
      <c r="O61" s="1416"/>
      <c r="P61" s="1416"/>
      <c r="Q61" s="1416"/>
      <c r="R61" s="1416"/>
      <c r="S61" s="1314"/>
      <c r="T61" s="1418"/>
      <c r="U61" s="1419"/>
      <c r="V61" s="1419"/>
      <c r="W61" s="1419"/>
      <c r="X61" s="1419"/>
      <c r="Y61" s="1419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0"/>
      <c r="BM61" s="1420"/>
      <c r="BN61" s="1420"/>
      <c r="BO61" s="1420"/>
      <c r="BP61" s="1420"/>
      <c r="BQ61" s="1420"/>
      <c r="BR61" s="1420"/>
      <c r="BS61" s="1420"/>
      <c r="BT61" s="1420"/>
      <c r="BU61" s="1420"/>
      <c r="BV61" s="1420"/>
      <c r="BW61" s="1420"/>
      <c r="BX61" s="1420"/>
      <c r="BY61" s="1420"/>
      <c r="BZ61" s="1420"/>
      <c r="CA61" s="1420"/>
      <c r="CB61" s="1420"/>
      <c r="CC61" s="1420"/>
      <c r="CD61" s="1420"/>
      <c r="CE61" s="1420"/>
      <c r="CF61" s="1420"/>
      <c r="CG61" s="1420"/>
      <c r="CH61" s="1420"/>
      <c r="CI61" s="1420"/>
      <c r="CJ61" s="1420"/>
      <c r="CK61" s="1420"/>
      <c r="CL61" s="1420"/>
      <c r="CM61" s="1420"/>
      <c r="CN61" s="1420"/>
      <c r="CO61" s="1420"/>
      <c r="CP61" s="1420"/>
      <c r="CQ61" s="1420"/>
      <c r="CR61" s="1420"/>
      <c r="CS61" s="1420"/>
      <c r="CT61" s="1420"/>
      <c r="CU61" s="1420"/>
      <c r="CV61" s="1420"/>
      <c r="CW61" s="1420"/>
      <c r="CX61" s="1420"/>
      <c r="CY61" s="1420"/>
      <c r="CZ61" s="1420"/>
      <c r="DA61" s="1420"/>
      <c r="DB61" s="1420"/>
      <c r="DC61" s="1420"/>
      <c r="DD61" s="1420"/>
      <c r="DE61" s="1420"/>
      <c r="DF61" s="1420"/>
      <c r="DG61" s="1420"/>
      <c r="DH61" s="1420"/>
      <c r="DI61" s="1420"/>
      <c r="DJ61" s="1420"/>
      <c r="DK61" s="1420"/>
      <c r="DL61" s="1420"/>
      <c r="DM61" s="1420"/>
      <c r="DN61" s="1420"/>
      <c r="DO61" s="1420"/>
      <c r="DP61" s="1420"/>
      <c r="DQ61" s="1420"/>
      <c r="DR61" s="1420"/>
      <c r="DS61" s="1420"/>
      <c r="DT61" s="1420"/>
      <c r="DU61" s="1420"/>
      <c r="DV61" s="1420"/>
      <c r="DW61" s="1420"/>
      <c r="DX61" s="1420"/>
      <c r="DY61" s="1420"/>
      <c r="DZ61" s="1420"/>
      <c r="EA61" s="1420"/>
      <c r="EB61" s="1420"/>
      <c r="EC61" s="1420"/>
      <c r="ED61" s="1420"/>
      <c r="EE61" s="1420"/>
      <c r="EF61" s="1420"/>
      <c r="EG61" s="1420"/>
      <c r="EH61" s="1420"/>
      <c r="EI61" s="1420"/>
      <c r="EJ61" s="1420"/>
      <c r="EK61" s="1420"/>
      <c r="EL61" s="1420"/>
      <c r="EM61" s="1420"/>
      <c r="EN61" s="1420"/>
      <c r="EO61" s="1420"/>
      <c r="EP61" s="1420"/>
      <c r="EQ61" s="1420"/>
      <c r="ER61" s="1420"/>
      <c r="ES61" s="1420"/>
      <c r="ET61" s="1420"/>
      <c r="EU61" s="1420"/>
      <c r="EV61" s="1420"/>
      <c r="EW61" s="1420"/>
      <c r="EX61" s="1420"/>
      <c r="EY61" s="1420"/>
      <c r="EZ61" s="1420"/>
      <c r="FA61" s="1420"/>
      <c r="FB61" s="1420"/>
      <c r="FC61" s="1420"/>
      <c r="FD61" s="1420"/>
      <c r="FE61" s="1420"/>
      <c r="FF61" s="1420"/>
      <c r="FG61" s="1420"/>
      <c r="FH61" s="1420"/>
      <c r="FI61" s="1420"/>
      <c r="FJ61" s="1420"/>
      <c r="FK61" s="1420"/>
      <c r="FL61" s="1420"/>
      <c r="FM61" s="1420"/>
      <c r="FN61" s="1420"/>
      <c r="FO61" s="1420"/>
      <c r="FP61" s="1420"/>
      <c r="FQ61" s="1420"/>
      <c r="FR61" s="1420"/>
      <c r="FS61" s="1420"/>
      <c r="FT61" s="1420"/>
      <c r="FU61" s="1420"/>
      <c r="FV61" s="1420"/>
      <c r="FW61" s="1420"/>
      <c r="FX61" s="1420"/>
      <c r="FY61" s="1420"/>
      <c r="FZ61" s="1420"/>
      <c r="GA61" s="1420"/>
      <c r="GB61" s="1420"/>
      <c r="GC61" s="1420"/>
      <c r="GD61" s="1420"/>
      <c r="GE61" s="1420"/>
      <c r="GF61" s="1420"/>
      <c r="GG61" s="1420"/>
      <c r="GH61" s="1420"/>
      <c r="GI61" s="1420"/>
      <c r="GJ61" s="1420"/>
      <c r="GK61" s="1420"/>
      <c r="GL61" s="1420"/>
      <c r="GM61" s="1420"/>
      <c r="GN61" s="1420"/>
      <c r="GO61" s="1420"/>
      <c r="GP61" s="1420"/>
      <c r="GQ61" s="1420"/>
      <c r="GR61" s="1420"/>
      <c r="GS61" s="1420"/>
      <c r="GT61" s="1420"/>
      <c r="GU61" s="1420"/>
      <c r="GV61" s="1420"/>
      <c r="GW61" s="1420"/>
      <c r="GX61" s="1420"/>
      <c r="GY61" s="1420"/>
      <c r="GZ61" s="1420"/>
      <c r="HA61" s="1420"/>
      <c r="HB61" s="1420"/>
      <c r="HC61" s="1420"/>
      <c r="HD61" s="1420"/>
      <c r="HE61" s="1420"/>
      <c r="HF61" s="1420"/>
      <c r="HG61" s="1420"/>
      <c r="HH61" s="1420"/>
      <c r="HI61" s="1420"/>
      <c r="HJ61" s="1420"/>
      <c r="HK61" s="1420"/>
      <c r="HL61" s="1420"/>
      <c r="HM61" s="1420"/>
      <c r="HN61" s="1420"/>
      <c r="HO61" s="1420"/>
      <c r="HP61" s="1420"/>
      <c r="HQ61" s="1420"/>
      <c r="HR61" s="1420"/>
      <c r="HS61" s="1420"/>
      <c r="HT61" s="1420"/>
      <c r="HU61" s="1420"/>
      <c r="HV61" s="1420"/>
      <c r="HW61" s="1420"/>
      <c r="HX61" s="1420"/>
      <c r="HY61" s="1420"/>
      <c r="HZ61" s="1420"/>
      <c r="IA61" s="1420"/>
      <c r="IB61" s="1420"/>
      <c r="IC61" s="1420"/>
      <c r="ID61" s="1420"/>
      <c r="IE61" s="1420"/>
      <c r="IF61" s="1420"/>
      <c r="IG61" s="1420"/>
      <c r="IH61" s="1420"/>
      <c r="II61" s="1420"/>
      <c r="IJ61" s="1420"/>
      <c r="IK61" s="1420"/>
      <c r="IL61" s="1420"/>
      <c r="IM61" s="1420"/>
      <c r="IN61" s="1420"/>
    </row>
    <row r="62" spans="1:248" s="1421" customFormat="1" ht="15" customHeight="1" x14ac:dyDescent="0.25">
      <c r="A62" s="1329">
        <v>44848</v>
      </c>
      <c r="B62" s="1047" t="s">
        <v>59</v>
      </c>
      <c r="C62" s="1381">
        <v>1102275809</v>
      </c>
      <c r="D62" s="1039">
        <f t="shared" si="0"/>
        <v>44878</v>
      </c>
      <c r="E62" s="1040">
        <f t="shared" si="1"/>
        <v>44878</v>
      </c>
      <c r="F62" s="1314"/>
      <c r="G62" s="1416"/>
      <c r="H62" s="1417"/>
      <c r="I62" s="1044">
        <f t="shared" si="3"/>
        <v>1102275809</v>
      </c>
      <c r="J62" s="1314"/>
      <c r="K62" s="1044"/>
      <c r="L62" s="1044"/>
      <c r="M62" s="1368"/>
      <c r="N62" s="1314"/>
      <c r="O62" s="1416"/>
      <c r="P62" s="1416"/>
      <c r="Q62" s="1416"/>
      <c r="R62" s="1416"/>
      <c r="S62" s="1314"/>
      <c r="T62" s="1418"/>
      <c r="U62" s="1419"/>
      <c r="V62" s="1419"/>
      <c r="W62" s="1419"/>
      <c r="X62" s="1419"/>
      <c r="Y62" s="1419"/>
      <c r="Z62" s="1420"/>
      <c r="AA62" s="1420"/>
      <c r="AB62" s="1420"/>
      <c r="AC62" s="1420"/>
      <c r="AD62" s="1420"/>
      <c r="AE62" s="1420"/>
      <c r="AF62" s="1420"/>
      <c r="AG62" s="1420"/>
      <c r="AH62" s="1420"/>
      <c r="AI62" s="1420"/>
      <c r="AJ62" s="1420"/>
      <c r="AK62" s="1420"/>
      <c r="AL62" s="1420"/>
      <c r="AM62" s="1420"/>
      <c r="AN62" s="1420"/>
      <c r="AO62" s="1420"/>
      <c r="AP62" s="1420"/>
      <c r="AQ62" s="1420"/>
      <c r="AR62" s="1420"/>
      <c r="AS62" s="1420"/>
      <c r="AT62" s="1420"/>
      <c r="AU62" s="1420"/>
      <c r="AV62" s="1420"/>
      <c r="AW62" s="1420"/>
      <c r="AX62" s="1420"/>
      <c r="AY62" s="1420"/>
      <c r="AZ62" s="1420"/>
      <c r="BA62" s="1420"/>
      <c r="BB62" s="1420"/>
      <c r="BC62" s="1420"/>
      <c r="BD62" s="1420"/>
      <c r="BE62" s="1420"/>
      <c r="BF62" s="1420"/>
      <c r="BG62" s="1420"/>
      <c r="BH62" s="1420"/>
      <c r="BI62" s="1420"/>
      <c r="BJ62" s="1420"/>
      <c r="BK62" s="1420"/>
      <c r="BL62" s="1420"/>
      <c r="BM62" s="1420"/>
      <c r="BN62" s="1420"/>
      <c r="BO62" s="1420"/>
      <c r="BP62" s="1420"/>
      <c r="BQ62" s="1420"/>
      <c r="BR62" s="1420"/>
      <c r="BS62" s="1420"/>
      <c r="BT62" s="1420"/>
      <c r="BU62" s="1420"/>
      <c r="BV62" s="1420"/>
      <c r="BW62" s="1420"/>
      <c r="BX62" s="1420"/>
      <c r="BY62" s="1420"/>
      <c r="BZ62" s="1420"/>
      <c r="CA62" s="1420"/>
      <c r="CB62" s="1420"/>
      <c r="CC62" s="1420"/>
      <c r="CD62" s="1420"/>
      <c r="CE62" s="1420"/>
      <c r="CF62" s="1420"/>
      <c r="CG62" s="1420"/>
      <c r="CH62" s="1420"/>
      <c r="CI62" s="1420"/>
      <c r="CJ62" s="1420"/>
      <c r="CK62" s="1420"/>
      <c r="CL62" s="1420"/>
      <c r="CM62" s="1420"/>
      <c r="CN62" s="1420"/>
      <c r="CO62" s="1420"/>
      <c r="CP62" s="1420"/>
      <c r="CQ62" s="1420"/>
      <c r="CR62" s="1420"/>
      <c r="CS62" s="1420"/>
      <c r="CT62" s="1420"/>
      <c r="CU62" s="1420"/>
      <c r="CV62" s="1420"/>
      <c r="CW62" s="1420"/>
      <c r="CX62" s="1420"/>
      <c r="CY62" s="1420"/>
      <c r="CZ62" s="1420"/>
      <c r="DA62" s="1420"/>
      <c r="DB62" s="1420"/>
      <c r="DC62" s="1420"/>
      <c r="DD62" s="1420"/>
      <c r="DE62" s="1420"/>
      <c r="DF62" s="1420"/>
      <c r="DG62" s="1420"/>
      <c r="DH62" s="1420"/>
      <c r="DI62" s="1420"/>
      <c r="DJ62" s="1420"/>
      <c r="DK62" s="1420"/>
      <c r="DL62" s="1420"/>
      <c r="DM62" s="1420"/>
      <c r="DN62" s="1420"/>
      <c r="DO62" s="1420"/>
      <c r="DP62" s="1420"/>
      <c r="DQ62" s="1420"/>
      <c r="DR62" s="1420"/>
      <c r="DS62" s="1420"/>
      <c r="DT62" s="1420"/>
      <c r="DU62" s="1420"/>
      <c r="DV62" s="1420"/>
      <c r="DW62" s="1420"/>
      <c r="DX62" s="1420"/>
      <c r="DY62" s="1420"/>
      <c r="DZ62" s="1420"/>
      <c r="EA62" s="1420"/>
      <c r="EB62" s="1420"/>
      <c r="EC62" s="1420"/>
      <c r="ED62" s="1420"/>
      <c r="EE62" s="1420"/>
      <c r="EF62" s="1420"/>
      <c r="EG62" s="1420"/>
      <c r="EH62" s="1420"/>
      <c r="EI62" s="1420"/>
      <c r="EJ62" s="1420"/>
      <c r="EK62" s="1420"/>
      <c r="EL62" s="1420"/>
      <c r="EM62" s="1420"/>
      <c r="EN62" s="1420"/>
      <c r="EO62" s="1420"/>
      <c r="EP62" s="1420"/>
      <c r="EQ62" s="1420"/>
      <c r="ER62" s="1420"/>
      <c r="ES62" s="1420"/>
      <c r="ET62" s="1420"/>
      <c r="EU62" s="1420"/>
      <c r="EV62" s="1420"/>
      <c r="EW62" s="1420"/>
      <c r="EX62" s="1420"/>
      <c r="EY62" s="1420"/>
      <c r="EZ62" s="1420"/>
      <c r="FA62" s="1420"/>
      <c r="FB62" s="1420"/>
      <c r="FC62" s="1420"/>
      <c r="FD62" s="1420"/>
      <c r="FE62" s="1420"/>
      <c r="FF62" s="1420"/>
      <c r="FG62" s="1420"/>
      <c r="FH62" s="1420"/>
      <c r="FI62" s="1420"/>
      <c r="FJ62" s="1420"/>
      <c r="FK62" s="1420"/>
      <c r="FL62" s="1420"/>
      <c r="FM62" s="1420"/>
      <c r="FN62" s="1420"/>
      <c r="FO62" s="1420"/>
      <c r="FP62" s="1420"/>
      <c r="FQ62" s="1420"/>
      <c r="FR62" s="1420"/>
      <c r="FS62" s="1420"/>
      <c r="FT62" s="1420"/>
      <c r="FU62" s="1420"/>
      <c r="FV62" s="1420"/>
      <c r="FW62" s="1420"/>
      <c r="FX62" s="1420"/>
      <c r="FY62" s="1420"/>
      <c r="FZ62" s="1420"/>
      <c r="GA62" s="1420"/>
      <c r="GB62" s="1420"/>
      <c r="GC62" s="1420"/>
      <c r="GD62" s="1420"/>
      <c r="GE62" s="1420"/>
      <c r="GF62" s="1420"/>
      <c r="GG62" s="1420"/>
      <c r="GH62" s="1420"/>
      <c r="GI62" s="1420"/>
      <c r="GJ62" s="1420"/>
      <c r="GK62" s="1420"/>
      <c r="GL62" s="1420"/>
      <c r="GM62" s="1420"/>
      <c r="GN62" s="1420"/>
      <c r="GO62" s="1420"/>
      <c r="GP62" s="1420"/>
      <c r="GQ62" s="1420"/>
      <c r="GR62" s="1420"/>
      <c r="GS62" s="1420"/>
      <c r="GT62" s="1420"/>
      <c r="GU62" s="1420"/>
      <c r="GV62" s="1420"/>
      <c r="GW62" s="1420"/>
      <c r="GX62" s="1420"/>
      <c r="GY62" s="1420"/>
      <c r="GZ62" s="1420"/>
      <c r="HA62" s="1420"/>
      <c r="HB62" s="1420"/>
      <c r="HC62" s="1420"/>
      <c r="HD62" s="1420"/>
      <c r="HE62" s="1420"/>
      <c r="HF62" s="1420"/>
      <c r="HG62" s="1420"/>
      <c r="HH62" s="1420"/>
      <c r="HI62" s="1420"/>
      <c r="HJ62" s="1420"/>
      <c r="HK62" s="1420"/>
      <c r="HL62" s="1420"/>
      <c r="HM62" s="1420"/>
      <c r="HN62" s="1420"/>
      <c r="HO62" s="1420"/>
      <c r="HP62" s="1420"/>
      <c r="HQ62" s="1420"/>
      <c r="HR62" s="1420"/>
      <c r="HS62" s="1420"/>
      <c r="HT62" s="1420"/>
      <c r="HU62" s="1420"/>
      <c r="HV62" s="1420"/>
      <c r="HW62" s="1420"/>
      <c r="HX62" s="1420"/>
      <c r="HY62" s="1420"/>
      <c r="HZ62" s="1420"/>
      <c r="IA62" s="1420"/>
      <c r="IB62" s="1420"/>
      <c r="IC62" s="1420"/>
      <c r="ID62" s="1420"/>
      <c r="IE62" s="1420"/>
      <c r="IF62" s="1420"/>
      <c r="IG62" s="1420"/>
      <c r="IH62" s="1420"/>
      <c r="II62" s="1420"/>
      <c r="IJ62" s="1420"/>
      <c r="IK62" s="1420"/>
      <c r="IL62" s="1420"/>
      <c r="IM62" s="1420"/>
      <c r="IN62" s="1420"/>
    </row>
    <row r="63" spans="1:248" s="1421" customFormat="1" ht="15" customHeight="1" x14ac:dyDescent="0.25">
      <c r="A63" s="1329">
        <v>44851</v>
      </c>
      <c r="B63" s="1047" t="s">
        <v>50</v>
      </c>
      <c r="C63" s="1381">
        <v>897065004</v>
      </c>
      <c r="D63" s="1039">
        <f t="shared" si="0"/>
        <v>44881</v>
      </c>
      <c r="E63" s="1040">
        <f t="shared" si="1"/>
        <v>44881</v>
      </c>
      <c r="F63" s="1314"/>
      <c r="G63" s="1416"/>
      <c r="H63" s="1417"/>
      <c r="I63" s="1044">
        <f t="shared" si="3"/>
        <v>897065004</v>
      </c>
      <c r="J63" s="1314"/>
      <c r="K63" s="1044"/>
      <c r="L63" s="1044"/>
      <c r="M63" s="1368"/>
      <c r="N63" s="1314"/>
      <c r="O63" s="1416"/>
      <c r="P63" s="1416"/>
      <c r="Q63" s="1416"/>
      <c r="R63" s="1416"/>
      <c r="S63" s="1314"/>
      <c r="T63" s="1418"/>
      <c r="U63" s="1419"/>
      <c r="V63" s="1419"/>
      <c r="W63" s="1419"/>
      <c r="X63" s="1419"/>
      <c r="Y63" s="1419"/>
      <c r="Z63" s="1420"/>
      <c r="AA63" s="1420"/>
      <c r="AB63" s="1420"/>
      <c r="AC63" s="1420"/>
      <c r="AD63" s="1420"/>
      <c r="AE63" s="1420"/>
      <c r="AF63" s="1420"/>
      <c r="AG63" s="1420"/>
      <c r="AH63" s="1420"/>
      <c r="AI63" s="1420"/>
      <c r="AJ63" s="1420"/>
      <c r="AK63" s="1420"/>
      <c r="AL63" s="1420"/>
      <c r="AM63" s="1420"/>
      <c r="AN63" s="1420"/>
      <c r="AO63" s="1420"/>
      <c r="AP63" s="1420"/>
      <c r="AQ63" s="1420"/>
      <c r="AR63" s="1420"/>
      <c r="AS63" s="1420"/>
      <c r="AT63" s="1420"/>
      <c r="AU63" s="1420"/>
      <c r="AV63" s="1420"/>
      <c r="AW63" s="1420"/>
      <c r="AX63" s="1420"/>
      <c r="AY63" s="1420"/>
      <c r="AZ63" s="1420"/>
      <c r="BA63" s="1420"/>
      <c r="BB63" s="1420"/>
      <c r="BC63" s="1420"/>
      <c r="BD63" s="1420"/>
      <c r="BE63" s="1420"/>
      <c r="BF63" s="1420"/>
      <c r="BG63" s="1420"/>
      <c r="BH63" s="1420"/>
      <c r="BI63" s="1420"/>
      <c r="BJ63" s="1420"/>
      <c r="BK63" s="1420"/>
      <c r="BL63" s="1420"/>
      <c r="BM63" s="1420"/>
      <c r="BN63" s="1420"/>
      <c r="BO63" s="1420"/>
      <c r="BP63" s="1420"/>
      <c r="BQ63" s="1420"/>
      <c r="BR63" s="1420"/>
      <c r="BS63" s="1420"/>
      <c r="BT63" s="1420"/>
      <c r="BU63" s="1420"/>
      <c r="BV63" s="1420"/>
      <c r="BW63" s="1420"/>
      <c r="BX63" s="1420"/>
      <c r="BY63" s="1420"/>
      <c r="BZ63" s="1420"/>
      <c r="CA63" s="1420"/>
      <c r="CB63" s="1420"/>
      <c r="CC63" s="1420"/>
      <c r="CD63" s="1420"/>
      <c r="CE63" s="1420"/>
      <c r="CF63" s="1420"/>
      <c r="CG63" s="1420"/>
      <c r="CH63" s="1420"/>
      <c r="CI63" s="1420"/>
      <c r="CJ63" s="1420"/>
      <c r="CK63" s="1420"/>
      <c r="CL63" s="1420"/>
      <c r="CM63" s="1420"/>
      <c r="CN63" s="1420"/>
      <c r="CO63" s="1420"/>
      <c r="CP63" s="1420"/>
      <c r="CQ63" s="1420"/>
      <c r="CR63" s="1420"/>
      <c r="CS63" s="1420"/>
      <c r="CT63" s="1420"/>
      <c r="CU63" s="1420"/>
      <c r="CV63" s="1420"/>
      <c r="CW63" s="1420"/>
      <c r="CX63" s="1420"/>
      <c r="CY63" s="1420"/>
      <c r="CZ63" s="1420"/>
      <c r="DA63" s="1420"/>
      <c r="DB63" s="1420"/>
      <c r="DC63" s="1420"/>
      <c r="DD63" s="1420"/>
      <c r="DE63" s="1420"/>
      <c r="DF63" s="1420"/>
      <c r="DG63" s="1420"/>
      <c r="DH63" s="1420"/>
      <c r="DI63" s="1420"/>
      <c r="DJ63" s="1420"/>
      <c r="DK63" s="1420"/>
      <c r="DL63" s="1420"/>
      <c r="DM63" s="1420"/>
      <c r="DN63" s="1420"/>
      <c r="DO63" s="1420"/>
      <c r="DP63" s="1420"/>
      <c r="DQ63" s="1420"/>
      <c r="DR63" s="1420"/>
      <c r="DS63" s="1420"/>
      <c r="DT63" s="1420"/>
      <c r="DU63" s="1420"/>
      <c r="DV63" s="1420"/>
      <c r="DW63" s="1420"/>
      <c r="DX63" s="1420"/>
      <c r="DY63" s="1420"/>
      <c r="DZ63" s="1420"/>
      <c r="EA63" s="1420"/>
      <c r="EB63" s="1420"/>
      <c r="EC63" s="1420"/>
      <c r="ED63" s="1420"/>
      <c r="EE63" s="1420"/>
      <c r="EF63" s="1420"/>
      <c r="EG63" s="1420"/>
      <c r="EH63" s="1420"/>
      <c r="EI63" s="1420"/>
      <c r="EJ63" s="1420"/>
      <c r="EK63" s="1420"/>
      <c r="EL63" s="1420"/>
      <c r="EM63" s="1420"/>
      <c r="EN63" s="1420"/>
      <c r="EO63" s="1420"/>
      <c r="EP63" s="1420"/>
      <c r="EQ63" s="1420"/>
      <c r="ER63" s="1420"/>
      <c r="ES63" s="1420"/>
      <c r="ET63" s="1420"/>
      <c r="EU63" s="1420"/>
      <c r="EV63" s="1420"/>
      <c r="EW63" s="1420"/>
      <c r="EX63" s="1420"/>
      <c r="EY63" s="1420"/>
      <c r="EZ63" s="1420"/>
      <c r="FA63" s="1420"/>
      <c r="FB63" s="1420"/>
      <c r="FC63" s="1420"/>
      <c r="FD63" s="1420"/>
      <c r="FE63" s="1420"/>
      <c r="FF63" s="1420"/>
      <c r="FG63" s="1420"/>
      <c r="FH63" s="1420"/>
      <c r="FI63" s="1420"/>
      <c r="FJ63" s="1420"/>
      <c r="FK63" s="1420"/>
      <c r="FL63" s="1420"/>
      <c r="FM63" s="1420"/>
      <c r="FN63" s="1420"/>
      <c r="FO63" s="1420"/>
      <c r="FP63" s="1420"/>
      <c r="FQ63" s="1420"/>
      <c r="FR63" s="1420"/>
      <c r="FS63" s="1420"/>
      <c r="FT63" s="1420"/>
      <c r="FU63" s="1420"/>
      <c r="FV63" s="1420"/>
      <c r="FW63" s="1420"/>
      <c r="FX63" s="1420"/>
      <c r="FY63" s="1420"/>
      <c r="FZ63" s="1420"/>
      <c r="GA63" s="1420"/>
      <c r="GB63" s="1420"/>
      <c r="GC63" s="1420"/>
      <c r="GD63" s="1420"/>
      <c r="GE63" s="1420"/>
      <c r="GF63" s="1420"/>
      <c r="GG63" s="1420"/>
      <c r="GH63" s="1420"/>
      <c r="GI63" s="1420"/>
      <c r="GJ63" s="1420"/>
      <c r="GK63" s="1420"/>
      <c r="GL63" s="1420"/>
      <c r="GM63" s="1420"/>
      <c r="GN63" s="1420"/>
      <c r="GO63" s="1420"/>
      <c r="GP63" s="1420"/>
      <c r="GQ63" s="1420"/>
      <c r="GR63" s="1420"/>
      <c r="GS63" s="1420"/>
      <c r="GT63" s="1420"/>
      <c r="GU63" s="1420"/>
      <c r="GV63" s="1420"/>
      <c r="GW63" s="1420"/>
      <c r="GX63" s="1420"/>
      <c r="GY63" s="1420"/>
      <c r="GZ63" s="1420"/>
      <c r="HA63" s="1420"/>
      <c r="HB63" s="1420"/>
      <c r="HC63" s="1420"/>
      <c r="HD63" s="1420"/>
      <c r="HE63" s="1420"/>
      <c r="HF63" s="1420"/>
      <c r="HG63" s="1420"/>
      <c r="HH63" s="1420"/>
      <c r="HI63" s="1420"/>
      <c r="HJ63" s="1420"/>
      <c r="HK63" s="1420"/>
      <c r="HL63" s="1420"/>
      <c r="HM63" s="1420"/>
      <c r="HN63" s="1420"/>
      <c r="HO63" s="1420"/>
      <c r="HP63" s="1420"/>
      <c r="HQ63" s="1420"/>
      <c r="HR63" s="1420"/>
      <c r="HS63" s="1420"/>
      <c r="HT63" s="1420"/>
      <c r="HU63" s="1420"/>
      <c r="HV63" s="1420"/>
      <c r="HW63" s="1420"/>
      <c r="HX63" s="1420"/>
      <c r="HY63" s="1420"/>
      <c r="HZ63" s="1420"/>
      <c r="IA63" s="1420"/>
      <c r="IB63" s="1420"/>
      <c r="IC63" s="1420"/>
      <c r="ID63" s="1420"/>
      <c r="IE63" s="1420"/>
      <c r="IF63" s="1420"/>
      <c r="IG63" s="1420"/>
      <c r="IH63" s="1420"/>
      <c r="II63" s="1420"/>
      <c r="IJ63" s="1420"/>
      <c r="IK63" s="1420"/>
      <c r="IL63" s="1420"/>
      <c r="IM63" s="1420"/>
      <c r="IN63" s="1420"/>
    </row>
    <row r="64" spans="1:248" s="1421" customFormat="1" ht="15" customHeight="1" x14ac:dyDescent="0.25">
      <c r="A64" s="1329">
        <v>44851</v>
      </c>
      <c r="B64" s="1047" t="s">
        <v>38</v>
      </c>
      <c r="C64" s="1381">
        <v>1391091883</v>
      </c>
      <c r="D64" s="1039">
        <f t="shared" si="0"/>
        <v>44881</v>
      </c>
      <c r="E64" s="1040"/>
      <c r="F64" s="1314"/>
      <c r="G64" s="1416"/>
      <c r="H64" s="1417"/>
      <c r="I64" s="1044">
        <f t="shared" si="3"/>
        <v>1391091883</v>
      </c>
      <c r="J64" s="1314"/>
      <c r="K64" s="1044"/>
      <c r="L64" s="1044"/>
      <c r="M64" s="1368"/>
      <c r="N64" s="1314"/>
      <c r="O64" s="1416"/>
      <c r="P64" s="1416"/>
      <c r="Q64" s="1416"/>
      <c r="R64" s="1416"/>
      <c r="S64" s="1314"/>
      <c r="T64" s="1418"/>
      <c r="U64" s="1419"/>
      <c r="V64" s="1419"/>
      <c r="W64" s="1419"/>
      <c r="X64" s="1419"/>
      <c r="Y64" s="1419"/>
      <c r="Z64" s="1420"/>
      <c r="AA64" s="1420"/>
      <c r="AB64" s="1420"/>
      <c r="AC64" s="1420"/>
      <c r="AD64" s="1420"/>
      <c r="AE64" s="1420"/>
      <c r="AF64" s="1420"/>
      <c r="AG64" s="1420"/>
      <c r="AH64" s="1420"/>
      <c r="AI64" s="1420"/>
      <c r="AJ64" s="1420"/>
      <c r="AK64" s="1420"/>
      <c r="AL64" s="1420"/>
      <c r="AM64" s="1420"/>
      <c r="AN64" s="1420"/>
      <c r="AO64" s="1420"/>
      <c r="AP64" s="1420"/>
      <c r="AQ64" s="1420"/>
      <c r="AR64" s="1420"/>
      <c r="AS64" s="1420"/>
      <c r="AT64" s="1420"/>
      <c r="AU64" s="1420"/>
      <c r="AV64" s="1420"/>
      <c r="AW64" s="1420"/>
      <c r="AX64" s="1420"/>
      <c r="AY64" s="1420"/>
      <c r="AZ64" s="1420"/>
      <c r="BA64" s="1420"/>
      <c r="BB64" s="1420"/>
      <c r="BC64" s="1420"/>
      <c r="BD64" s="1420"/>
      <c r="BE64" s="1420"/>
      <c r="BF64" s="1420"/>
      <c r="BG64" s="1420"/>
      <c r="BH64" s="1420"/>
      <c r="BI64" s="1420"/>
      <c r="BJ64" s="1420"/>
      <c r="BK64" s="1420"/>
      <c r="BL64" s="1420"/>
      <c r="BM64" s="1420"/>
      <c r="BN64" s="1420"/>
      <c r="BO64" s="1420"/>
      <c r="BP64" s="1420"/>
      <c r="BQ64" s="1420"/>
      <c r="BR64" s="1420"/>
      <c r="BS64" s="1420"/>
      <c r="BT64" s="1420"/>
      <c r="BU64" s="1420"/>
      <c r="BV64" s="1420"/>
      <c r="BW64" s="1420"/>
      <c r="BX64" s="1420"/>
      <c r="BY64" s="1420"/>
      <c r="BZ64" s="1420"/>
      <c r="CA64" s="1420"/>
      <c r="CB64" s="1420"/>
      <c r="CC64" s="1420"/>
      <c r="CD64" s="1420"/>
      <c r="CE64" s="1420"/>
      <c r="CF64" s="1420"/>
      <c r="CG64" s="1420"/>
      <c r="CH64" s="1420"/>
      <c r="CI64" s="1420"/>
      <c r="CJ64" s="1420"/>
      <c r="CK64" s="1420"/>
      <c r="CL64" s="1420"/>
      <c r="CM64" s="1420"/>
      <c r="CN64" s="1420"/>
      <c r="CO64" s="1420"/>
      <c r="CP64" s="1420"/>
      <c r="CQ64" s="1420"/>
      <c r="CR64" s="1420"/>
      <c r="CS64" s="1420"/>
      <c r="CT64" s="1420"/>
      <c r="CU64" s="1420"/>
      <c r="CV64" s="1420"/>
      <c r="CW64" s="1420"/>
      <c r="CX64" s="1420"/>
      <c r="CY64" s="1420"/>
      <c r="CZ64" s="1420"/>
      <c r="DA64" s="1420"/>
      <c r="DB64" s="1420"/>
      <c r="DC64" s="1420"/>
      <c r="DD64" s="1420"/>
      <c r="DE64" s="1420"/>
      <c r="DF64" s="1420"/>
      <c r="DG64" s="1420"/>
      <c r="DH64" s="1420"/>
      <c r="DI64" s="1420"/>
      <c r="DJ64" s="1420"/>
      <c r="DK64" s="1420"/>
      <c r="DL64" s="1420"/>
      <c r="DM64" s="1420"/>
      <c r="DN64" s="1420"/>
      <c r="DO64" s="1420"/>
      <c r="DP64" s="1420"/>
      <c r="DQ64" s="1420"/>
      <c r="DR64" s="1420"/>
      <c r="DS64" s="1420"/>
      <c r="DT64" s="1420"/>
      <c r="DU64" s="1420"/>
      <c r="DV64" s="1420"/>
      <c r="DW64" s="1420"/>
      <c r="DX64" s="1420"/>
      <c r="DY64" s="1420"/>
      <c r="DZ64" s="1420"/>
      <c r="EA64" s="1420"/>
      <c r="EB64" s="1420"/>
      <c r="EC64" s="1420"/>
      <c r="ED64" s="1420"/>
      <c r="EE64" s="1420"/>
      <c r="EF64" s="1420"/>
      <c r="EG64" s="1420"/>
      <c r="EH64" s="1420"/>
      <c r="EI64" s="1420"/>
      <c r="EJ64" s="1420"/>
      <c r="EK64" s="1420"/>
      <c r="EL64" s="1420"/>
      <c r="EM64" s="1420"/>
      <c r="EN64" s="1420"/>
      <c r="EO64" s="1420"/>
      <c r="EP64" s="1420"/>
      <c r="EQ64" s="1420"/>
      <c r="ER64" s="1420"/>
      <c r="ES64" s="1420"/>
      <c r="ET64" s="1420"/>
      <c r="EU64" s="1420"/>
      <c r="EV64" s="1420"/>
      <c r="EW64" s="1420"/>
      <c r="EX64" s="1420"/>
      <c r="EY64" s="1420"/>
      <c r="EZ64" s="1420"/>
      <c r="FA64" s="1420"/>
      <c r="FB64" s="1420"/>
      <c r="FC64" s="1420"/>
      <c r="FD64" s="1420"/>
      <c r="FE64" s="1420"/>
      <c r="FF64" s="1420"/>
      <c r="FG64" s="1420"/>
      <c r="FH64" s="1420"/>
      <c r="FI64" s="1420"/>
      <c r="FJ64" s="1420"/>
      <c r="FK64" s="1420"/>
      <c r="FL64" s="1420"/>
      <c r="FM64" s="1420"/>
      <c r="FN64" s="1420"/>
      <c r="FO64" s="1420"/>
      <c r="FP64" s="1420"/>
      <c r="FQ64" s="1420"/>
      <c r="FR64" s="1420"/>
      <c r="FS64" s="1420"/>
      <c r="FT64" s="1420"/>
      <c r="FU64" s="1420"/>
      <c r="FV64" s="1420"/>
      <c r="FW64" s="1420"/>
      <c r="FX64" s="1420"/>
      <c r="FY64" s="1420"/>
      <c r="FZ64" s="1420"/>
      <c r="GA64" s="1420"/>
      <c r="GB64" s="1420"/>
      <c r="GC64" s="1420"/>
      <c r="GD64" s="1420"/>
      <c r="GE64" s="1420"/>
      <c r="GF64" s="1420"/>
      <c r="GG64" s="1420"/>
      <c r="GH64" s="1420"/>
      <c r="GI64" s="1420"/>
      <c r="GJ64" s="1420"/>
      <c r="GK64" s="1420"/>
      <c r="GL64" s="1420"/>
      <c r="GM64" s="1420"/>
      <c r="GN64" s="1420"/>
      <c r="GO64" s="1420"/>
      <c r="GP64" s="1420"/>
      <c r="GQ64" s="1420"/>
      <c r="GR64" s="1420"/>
      <c r="GS64" s="1420"/>
      <c r="GT64" s="1420"/>
      <c r="GU64" s="1420"/>
      <c r="GV64" s="1420"/>
      <c r="GW64" s="1420"/>
      <c r="GX64" s="1420"/>
      <c r="GY64" s="1420"/>
      <c r="GZ64" s="1420"/>
      <c r="HA64" s="1420"/>
      <c r="HB64" s="1420"/>
      <c r="HC64" s="1420"/>
      <c r="HD64" s="1420"/>
      <c r="HE64" s="1420"/>
      <c r="HF64" s="1420"/>
      <c r="HG64" s="1420"/>
      <c r="HH64" s="1420"/>
      <c r="HI64" s="1420"/>
      <c r="HJ64" s="1420"/>
      <c r="HK64" s="1420"/>
      <c r="HL64" s="1420"/>
      <c r="HM64" s="1420"/>
      <c r="HN64" s="1420"/>
      <c r="HO64" s="1420"/>
      <c r="HP64" s="1420"/>
      <c r="HQ64" s="1420"/>
      <c r="HR64" s="1420"/>
      <c r="HS64" s="1420"/>
      <c r="HT64" s="1420"/>
      <c r="HU64" s="1420"/>
      <c r="HV64" s="1420"/>
      <c r="HW64" s="1420"/>
      <c r="HX64" s="1420"/>
      <c r="HY64" s="1420"/>
      <c r="HZ64" s="1420"/>
      <c r="IA64" s="1420"/>
      <c r="IB64" s="1420"/>
      <c r="IC64" s="1420"/>
      <c r="ID64" s="1420"/>
      <c r="IE64" s="1420"/>
      <c r="IF64" s="1420"/>
      <c r="IG64" s="1420"/>
      <c r="IH64" s="1420"/>
      <c r="II64" s="1420"/>
      <c r="IJ64" s="1420"/>
      <c r="IK64" s="1420"/>
      <c r="IL64" s="1420"/>
      <c r="IM64" s="1420"/>
      <c r="IN64" s="1420"/>
    </row>
    <row r="65" spans="1:248" s="1421" customFormat="1" ht="15" customHeight="1" x14ac:dyDescent="0.25">
      <c r="A65" s="1329">
        <v>44851</v>
      </c>
      <c r="B65" s="1047" t="s">
        <v>29</v>
      </c>
      <c r="C65" s="1381">
        <v>589177195</v>
      </c>
      <c r="D65" s="1039">
        <f t="shared" si="0"/>
        <v>44881</v>
      </c>
      <c r="E65" s="1040"/>
      <c r="F65" s="1314"/>
      <c r="G65" s="1416"/>
      <c r="H65" s="1417"/>
      <c r="I65" s="1044">
        <f t="shared" si="3"/>
        <v>589177195</v>
      </c>
      <c r="J65" s="1314"/>
      <c r="K65" s="1044"/>
      <c r="L65" s="1044"/>
      <c r="M65" s="1368"/>
      <c r="N65" s="1314"/>
      <c r="O65" s="1416"/>
      <c r="P65" s="1416"/>
      <c r="Q65" s="1416"/>
      <c r="R65" s="1416"/>
      <c r="S65" s="1314"/>
      <c r="T65" s="1418"/>
      <c r="U65" s="1419"/>
      <c r="V65" s="1419"/>
      <c r="W65" s="1419"/>
      <c r="X65" s="1419"/>
      <c r="Y65" s="1419"/>
      <c r="Z65" s="1420"/>
      <c r="AA65" s="1420"/>
      <c r="AB65" s="1420"/>
      <c r="AC65" s="1420"/>
      <c r="AD65" s="1420"/>
      <c r="AE65" s="1420"/>
      <c r="AF65" s="1420"/>
      <c r="AG65" s="1420"/>
      <c r="AH65" s="1420"/>
      <c r="AI65" s="1420"/>
      <c r="AJ65" s="1420"/>
      <c r="AK65" s="1420"/>
      <c r="AL65" s="1420"/>
      <c r="AM65" s="1420"/>
      <c r="AN65" s="1420"/>
      <c r="AO65" s="1420"/>
      <c r="AP65" s="1420"/>
      <c r="AQ65" s="1420"/>
      <c r="AR65" s="1420"/>
      <c r="AS65" s="1420"/>
      <c r="AT65" s="1420"/>
      <c r="AU65" s="1420"/>
      <c r="AV65" s="1420"/>
      <c r="AW65" s="1420"/>
      <c r="AX65" s="1420"/>
      <c r="AY65" s="1420"/>
      <c r="AZ65" s="1420"/>
      <c r="BA65" s="1420"/>
      <c r="BB65" s="1420"/>
      <c r="BC65" s="1420"/>
      <c r="BD65" s="1420"/>
      <c r="BE65" s="1420"/>
      <c r="BF65" s="1420"/>
      <c r="BG65" s="1420"/>
      <c r="BH65" s="1420"/>
      <c r="BI65" s="1420"/>
      <c r="BJ65" s="1420"/>
      <c r="BK65" s="1420"/>
      <c r="BL65" s="1420"/>
      <c r="BM65" s="1420"/>
      <c r="BN65" s="1420"/>
      <c r="BO65" s="1420"/>
      <c r="BP65" s="1420"/>
      <c r="BQ65" s="1420"/>
      <c r="BR65" s="1420"/>
      <c r="BS65" s="1420"/>
      <c r="BT65" s="1420"/>
      <c r="BU65" s="1420"/>
      <c r="BV65" s="1420"/>
      <c r="BW65" s="1420"/>
      <c r="BX65" s="1420"/>
      <c r="BY65" s="1420"/>
      <c r="BZ65" s="1420"/>
      <c r="CA65" s="1420"/>
      <c r="CB65" s="1420"/>
      <c r="CC65" s="1420"/>
      <c r="CD65" s="1420"/>
      <c r="CE65" s="1420"/>
      <c r="CF65" s="1420"/>
      <c r="CG65" s="1420"/>
      <c r="CH65" s="1420"/>
      <c r="CI65" s="1420"/>
      <c r="CJ65" s="1420"/>
      <c r="CK65" s="1420"/>
      <c r="CL65" s="1420"/>
      <c r="CM65" s="1420"/>
      <c r="CN65" s="1420"/>
      <c r="CO65" s="1420"/>
      <c r="CP65" s="1420"/>
      <c r="CQ65" s="1420"/>
      <c r="CR65" s="1420"/>
      <c r="CS65" s="1420"/>
      <c r="CT65" s="1420"/>
      <c r="CU65" s="1420"/>
      <c r="CV65" s="1420"/>
      <c r="CW65" s="1420"/>
      <c r="CX65" s="1420"/>
      <c r="CY65" s="1420"/>
      <c r="CZ65" s="1420"/>
      <c r="DA65" s="1420"/>
      <c r="DB65" s="1420"/>
      <c r="DC65" s="1420"/>
      <c r="DD65" s="1420"/>
      <c r="DE65" s="1420"/>
      <c r="DF65" s="1420"/>
      <c r="DG65" s="1420"/>
      <c r="DH65" s="1420"/>
      <c r="DI65" s="1420"/>
      <c r="DJ65" s="1420"/>
      <c r="DK65" s="1420"/>
      <c r="DL65" s="1420"/>
      <c r="DM65" s="1420"/>
      <c r="DN65" s="1420"/>
      <c r="DO65" s="1420"/>
      <c r="DP65" s="1420"/>
      <c r="DQ65" s="1420"/>
      <c r="DR65" s="1420"/>
      <c r="DS65" s="1420"/>
      <c r="DT65" s="1420"/>
      <c r="DU65" s="1420"/>
      <c r="DV65" s="1420"/>
      <c r="DW65" s="1420"/>
      <c r="DX65" s="1420"/>
      <c r="DY65" s="1420"/>
      <c r="DZ65" s="1420"/>
      <c r="EA65" s="1420"/>
      <c r="EB65" s="1420"/>
      <c r="EC65" s="1420"/>
      <c r="ED65" s="1420"/>
      <c r="EE65" s="1420"/>
      <c r="EF65" s="1420"/>
      <c r="EG65" s="1420"/>
      <c r="EH65" s="1420"/>
      <c r="EI65" s="1420"/>
      <c r="EJ65" s="1420"/>
      <c r="EK65" s="1420"/>
      <c r="EL65" s="1420"/>
      <c r="EM65" s="1420"/>
      <c r="EN65" s="1420"/>
      <c r="EO65" s="1420"/>
      <c r="EP65" s="1420"/>
      <c r="EQ65" s="1420"/>
      <c r="ER65" s="1420"/>
      <c r="ES65" s="1420"/>
      <c r="ET65" s="1420"/>
      <c r="EU65" s="1420"/>
      <c r="EV65" s="1420"/>
      <c r="EW65" s="1420"/>
      <c r="EX65" s="1420"/>
      <c r="EY65" s="1420"/>
      <c r="EZ65" s="1420"/>
      <c r="FA65" s="1420"/>
      <c r="FB65" s="1420"/>
      <c r="FC65" s="1420"/>
      <c r="FD65" s="1420"/>
      <c r="FE65" s="1420"/>
      <c r="FF65" s="1420"/>
      <c r="FG65" s="1420"/>
      <c r="FH65" s="1420"/>
      <c r="FI65" s="1420"/>
      <c r="FJ65" s="1420"/>
      <c r="FK65" s="1420"/>
      <c r="FL65" s="1420"/>
      <c r="FM65" s="1420"/>
      <c r="FN65" s="1420"/>
      <c r="FO65" s="1420"/>
      <c r="FP65" s="1420"/>
      <c r="FQ65" s="1420"/>
      <c r="FR65" s="1420"/>
      <c r="FS65" s="1420"/>
      <c r="FT65" s="1420"/>
      <c r="FU65" s="1420"/>
      <c r="FV65" s="1420"/>
      <c r="FW65" s="1420"/>
      <c r="FX65" s="1420"/>
      <c r="FY65" s="1420"/>
      <c r="FZ65" s="1420"/>
      <c r="GA65" s="1420"/>
      <c r="GB65" s="1420"/>
      <c r="GC65" s="1420"/>
      <c r="GD65" s="1420"/>
      <c r="GE65" s="1420"/>
      <c r="GF65" s="1420"/>
      <c r="GG65" s="1420"/>
      <c r="GH65" s="1420"/>
      <c r="GI65" s="1420"/>
      <c r="GJ65" s="1420"/>
      <c r="GK65" s="1420"/>
      <c r="GL65" s="1420"/>
      <c r="GM65" s="1420"/>
      <c r="GN65" s="1420"/>
      <c r="GO65" s="1420"/>
      <c r="GP65" s="1420"/>
      <c r="GQ65" s="1420"/>
      <c r="GR65" s="1420"/>
      <c r="GS65" s="1420"/>
      <c r="GT65" s="1420"/>
      <c r="GU65" s="1420"/>
      <c r="GV65" s="1420"/>
      <c r="GW65" s="1420"/>
      <c r="GX65" s="1420"/>
      <c r="GY65" s="1420"/>
      <c r="GZ65" s="1420"/>
      <c r="HA65" s="1420"/>
      <c r="HB65" s="1420"/>
      <c r="HC65" s="1420"/>
      <c r="HD65" s="1420"/>
      <c r="HE65" s="1420"/>
      <c r="HF65" s="1420"/>
      <c r="HG65" s="1420"/>
      <c r="HH65" s="1420"/>
      <c r="HI65" s="1420"/>
      <c r="HJ65" s="1420"/>
      <c r="HK65" s="1420"/>
      <c r="HL65" s="1420"/>
      <c r="HM65" s="1420"/>
      <c r="HN65" s="1420"/>
      <c r="HO65" s="1420"/>
      <c r="HP65" s="1420"/>
      <c r="HQ65" s="1420"/>
      <c r="HR65" s="1420"/>
      <c r="HS65" s="1420"/>
      <c r="HT65" s="1420"/>
      <c r="HU65" s="1420"/>
      <c r="HV65" s="1420"/>
      <c r="HW65" s="1420"/>
      <c r="HX65" s="1420"/>
      <c r="HY65" s="1420"/>
      <c r="HZ65" s="1420"/>
      <c r="IA65" s="1420"/>
      <c r="IB65" s="1420"/>
      <c r="IC65" s="1420"/>
      <c r="ID65" s="1420"/>
      <c r="IE65" s="1420"/>
      <c r="IF65" s="1420"/>
      <c r="IG65" s="1420"/>
      <c r="IH65" s="1420"/>
      <c r="II65" s="1420"/>
      <c r="IJ65" s="1420"/>
      <c r="IK65" s="1420"/>
      <c r="IL65" s="1420"/>
      <c r="IM65" s="1420"/>
      <c r="IN65" s="1420"/>
    </row>
    <row r="66" spans="1:248" s="1421" customFormat="1" ht="15" customHeight="1" x14ac:dyDescent="0.25">
      <c r="A66" s="1329"/>
      <c r="B66" s="1047"/>
      <c r="C66" s="1331"/>
      <c r="D66" s="1039"/>
      <c r="E66" s="1040"/>
      <c r="F66" s="1314"/>
      <c r="G66" s="1416"/>
      <c r="H66" s="1417"/>
      <c r="I66" s="1044"/>
      <c r="J66" s="1314"/>
      <c r="K66" s="1044"/>
      <c r="L66" s="1044"/>
      <c r="M66" s="1368"/>
      <c r="N66" s="1314"/>
      <c r="O66" s="1416"/>
      <c r="P66" s="1416"/>
      <c r="Q66" s="1416"/>
      <c r="R66" s="1416"/>
      <c r="S66" s="1314"/>
      <c r="T66" s="1418"/>
      <c r="U66" s="1419"/>
      <c r="V66" s="1419"/>
      <c r="W66" s="1419"/>
      <c r="X66" s="1419"/>
      <c r="Y66" s="1419"/>
      <c r="Z66" s="1420"/>
      <c r="AA66" s="1420"/>
      <c r="AB66" s="1420"/>
      <c r="AC66" s="1420"/>
      <c r="AD66" s="1420"/>
      <c r="AE66" s="1420"/>
      <c r="AF66" s="1420"/>
      <c r="AG66" s="1420"/>
      <c r="AH66" s="1420"/>
      <c r="AI66" s="1420"/>
      <c r="AJ66" s="1420"/>
      <c r="AK66" s="1420"/>
      <c r="AL66" s="1420"/>
      <c r="AM66" s="1420"/>
      <c r="AN66" s="1420"/>
      <c r="AO66" s="1420"/>
      <c r="AP66" s="1420"/>
      <c r="AQ66" s="1420"/>
      <c r="AR66" s="1420"/>
      <c r="AS66" s="1420"/>
      <c r="AT66" s="1420"/>
      <c r="AU66" s="1420"/>
      <c r="AV66" s="1420"/>
      <c r="AW66" s="1420"/>
      <c r="AX66" s="1420"/>
      <c r="AY66" s="1420"/>
      <c r="AZ66" s="1420"/>
      <c r="BA66" s="1420"/>
      <c r="BB66" s="1420"/>
      <c r="BC66" s="1420"/>
      <c r="BD66" s="1420"/>
      <c r="BE66" s="1420"/>
      <c r="BF66" s="1420"/>
      <c r="BG66" s="1420"/>
      <c r="BH66" s="1420"/>
      <c r="BI66" s="1420"/>
      <c r="BJ66" s="1420"/>
      <c r="BK66" s="1420"/>
      <c r="BL66" s="1420"/>
      <c r="BM66" s="1420"/>
      <c r="BN66" s="1420"/>
      <c r="BO66" s="1420"/>
      <c r="BP66" s="1420"/>
      <c r="BQ66" s="1420"/>
      <c r="BR66" s="1420"/>
      <c r="BS66" s="1420"/>
      <c r="BT66" s="1420"/>
      <c r="BU66" s="1420"/>
      <c r="BV66" s="1420"/>
      <c r="BW66" s="1420"/>
      <c r="BX66" s="1420"/>
      <c r="BY66" s="1420"/>
      <c r="BZ66" s="1420"/>
      <c r="CA66" s="1420"/>
      <c r="CB66" s="1420"/>
      <c r="CC66" s="1420"/>
      <c r="CD66" s="1420"/>
      <c r="CE66" s="1420"/>
      <c r="CF66" s="1420"/>
      <c r="CG66" s="1420"/>
      <c r="CH66" s="1420"/>
      <c r="CI66" s="1420"/>
      <c r="CJ66" s="1420"/>
      <c r="CK66" s="1420"/>
      <c r="CL66" s="1420"/>
      <c r="CM66" s="1420"/>
      <c r="CN66" s="1420"/>
      <c r="CO66" s="1420"/>
      <c r="CP66" s="1420"/>
      <c r="CQ66" s="1420"/>
      <c r="CR66" s="1420"/>
      <c r="CS66" s="1420"/>
      <c r="CT66" s="1420"/>
      <c r="CU66" s="1420"/>
      <c r="CV66" s="1420"/>
      <c r="CW66" s="1420"/>
      <c r="CX66" s="1420"/>
      <c r="CY66" s="1420"/>
      <c r="CZ66" s="1420"/>
      <c r="DA66" s="1420"/>
      <c r="DB66" s="1420"/>
      <c r="DC66" s="1420"/>
      <c r="DD66" s="1420"/>
      <c r="DE66" s="1420"/>
      <c r="DF66" s="1420"/>
      <c r="DG66" s="1420"/>
      <c r="DH66" s="1420"/>
      <c r="DI66" s="1420"/>
      <c r="DJ66" s="1420"/>
      <c r="DK66" s="1420"/>
      <c r="DL66" s="1420"/>
      <c r="DM66" s="1420"/>
      <c r="DN66" s="1420"/>
      <c r="DO66" s="1420"/>
      <c r="DP66" s="1420"/>
      <c r="DQ66" s="1420"/>
      <c r="DR66" s="1420"/>
      <c r="DS66" s="1420"/>
      <c r="DT66" s="1420"/>
      <c r="DU66" s="1420"/>
      <c r="DV66" s="1420"/>
      <c r="DW66" s="1420"/>
      <c r="DX66" s="1420"/>
      <c r="DY66" s="1420"/>
      <c r="DZ66" s="1420"/>
      <c r="EA66" s="1420"/>
      <c r="EB66" s="1420"/>
      <c r="EC66" s="1420"/>
      <c r="ED66" s="1420"/>
      <c r="EE66" s="1420"/>
      <c r="EF66" s="1420"/>
      <c r="EG66" s="1420"/>
      <c r="EH66" s="1420"/>
      <c r="EI66" s="1420"/>
      <c r="EJ66" s="1420"/>
      <c r="EK66" s="1420"/>
      <c r="EL66" s="1420"/>
      <c r="EM66" s="1420"/>
      <c r="EN66" s="1420"/>
      <c r="EO66" s="1420"/>
      <c r="EP66" s="1420"/>
      <c r="EQ66" s="1420"/>
      <c r="ER66" s="1420"/>
      <c r="ES66" s="1420"/>
      <c r="ET66" s="1420"/>
      <c r="EU66" s="1420"/>
      <c r="EV66" s="1420"/>
      <c r="EW66" s="1420"/>
      <c r="EX66" s="1420"/>
      <c r="EY66" s="1420"/>
      <c r="EZ66" s="1420"/>
      <c r="FA66" s="1420"/>
      <c r="FB66" s="1420"/>
      <c r="FC66" s="1420"/>
      <c r="FD66" s="1420"/>
      <c r="FE66" s="1420"/>
      <c r="FF66" s="1420"/>
      <c r="FG66" s="1420"/>
      <c r="FH66" s="1420"/>
      <c r="FI66" s="1420"/>
      <c r="FJ66" s="1420"/>
      <c r="FK66" s="1420"/>
      <c r="FL66" s="1420"/>
      <c r="FM66" s="1420"/>
      <c r="FN66" s="1420"/>
      <c r="FO66" s="1420"/>
      <c r="FP66" s="1420"/>
      <c r="FQ66" s="1420"/>
      <c r="FR66" s="1420"/>
      <c r="FS66" s="1420"/>
      <c r="FT66" s="1420"/>
      <c r="FU66" s="1420"/>
      <c r="FV66" s="1420"/>
      <c r="FW66" s="1420"/>
      <c r="FX66" s="1420"/>
      <c r="FY66" s="1420"/>
      <c r="FZ66" s="1420"/>
      <c r="GA66" s="1420"/>
      <c r="GB66" s="1420"/>
      <c r="GC66" s="1420"/>
      <c r="GD66" s="1420"/>
      <c r="GE66" s="1420"/>
      <c r="GF66" s="1420"/>
      <c r="GG66" s="1420"/>
      <c r="GH66" s="1420"/>
      <c r="GI66" s="1420"/>
      <c r="GJ66" s="1420"/>
      <c r="GK66" s="1420"/>
      <c r="GL66" s="1420"/>
      <c r="GM66" s="1420"/>
      <c r="GN66" s="1420"/>
      <c r="GO66" s="1420"/>
      <c r="GP66" s="1420"/>
      <c r="GQ66" s="1420"/>
      <c r="GR66" s="1420"/>
      <c r="GS66" s="1420"/>
      <c r="GT66" s="1420"/>
      <c r="GU66" s="1420"/>
      <c r="GV66" s="1420"/>
      <c r="GW66" s="1420"/>
      <c r="GX66" s="1420"/>
      <c r="GY66" s="1420"/>
      <c r="GZ66" s="1420"/>
      <c r="HA66" s="1420"/>
      <c r="HB66" s="1420"/>
      <c r="HC66" s="1420"/>
      <c r="HD66" s="1420"/>
      <c r="HE66" s="1420"/>
      <c r="HF66" s="1420"/>
      <c r="HG66" s="1420"/>
      <c r="HH66" s="1420"/>
      <c r="HI66" s="1420"/>
      <c r="HJ66" s="1420"/>
      <c r="HK66" s="1420"/>
      <c r="HL66" s="1420"/>
      <c r="HM66" s="1420"/>
      <c r="HN66" s="1420"/>
      <c r="HO66" s="1420"/>
      <c r="HP66" s="1420"/>
      <c r="HQ66" s="1420"/>
      <c r="HR66" s="1420"/>
      <c r="HS66" s="1420"/>
      <c r="HT66" s="1420"/>
      <c r="HU66" s="1420"/>
      <c r="HV66" s="1420"/>
      <c r="HW66" s="1420"/>
      <c r="HX66" s="1420"/>
      <c r="HY66" s="1420"/>
      <c r="HZ66" s="1420"/>
      <c r="IA66" s="1420"/>
      <c r="IB66" s="1420"/>
      <c r="IC66" s="1420"/>
      <c r="ID66" s="1420"/>
      <c r="IE66" s="1420"/>
      <c r="IF66" s="1420"/>
      <c r="IG66" s="1420"/>
      <c r="IH66" s="1420"/>
      <c r="II66" s="1420"/>
      <c r="IJ66" s="1420"/>
      <c r="IK66" s="1420"/>
      <c r="IL66" s="1420"/>
      <c r="IM66" s="1420"/>
      <c r="IN66" s="1420"/>
    </row>
    <row r="67" spans="1:248" ht="15" customHeight="1" x14ac:dyDescent="0.25">
      <c r="A67" s="1329"/>
      <c r="B67" s="1047"/>
      <c r="C67" s="1331"/>
      <c r="D67" s="1039"/>
      <c r="E67" s="1040"/>
      <c r="F67" s="1045"/>
      <c r="G67" s="1041"/>
      <c r="H67" s="1042"/>
      <c r="I67" s="1044"/>
      <c r="J67" s="1045"/>
      <c r="K67" s="1044"/>
      <c r="L67" s="1044"/>
      <c r="M67" s="1368"/>
      <c r="N67" s="1045"/>
      <c r="O67" s="1041"/>
      <c r="P67" s="1041"/>
      <c r="Q67" s="1041"/>
      <c r="R67" s="1041"/>
      <c r="S67" s="1045"/>
      <c r="T67" s="1046"/>
      <c r="U67" s="1334"/>
      <c r="V67" s="1334"/>
      <c r="W67" s="1334"/>
      <c r="X67" s="1334"/>
      <c r="Y67" s="1334"/>
    </row>
    <row r="68" spans="1:248" s="1020" customFormat="1" x14ac:dyDescent="0.25">
      <c r="A68" s="1577" t="s">
        <v>24</v>
      </c>
      <c r="B68" s="1578"/>
      <c r="C68" s="1048">
        <f>SUM(C5:C65)</f>
        <v>62016475515</v>
      </c>
      <c r="D68" s="1049"/>
      <c r="E68" s="1050"/>
      <c r="F68" s="1051">
        <f>SUM(F5:F67)</f>
        <v>29174254079</v>
      </c>
      <c r="G68" s="1052"/>
      <c r="H68" s="1326" t="e">
        <f>AVERAGE(#REF!)</f>
        <v>#REF!</v>
      </c>
      <c r="I68" s="1052">
        <f>SUM(I5:I65)</f>
        <v>32842221436</v>
      </c>
      <c r="J68" s="1052"/>
      <c r="K68" s="1316"/>
      <c r="L68" s="1316"/>
      <c r="M68" s="1369"/>
      <c r="N68" s="1052">
        <f>SUM(N5:N67)</f>
        <v>141954355.85427749</v>
      </c>
      <c r="O68" s="1052"/>
      <c r="P68" s="1316"/>
      <c r="Q68" s="1316"/>
      <c r="R68" s="1316"/>
      <c r="S68" s="1052">
        <f>SUM(S5:S67)</f>
        <v>79674148.682288349</v>
      </c>
      <c r="T68" s="1052"/>
      <c r="U68" s="1335"/>
      <c r="V68" s="1335"/>
      <c r="W68" s="1335"/>
      <c r="X68" s="1336" t="e">
        <f>SUM(#REF!)</f>
        <v>#REF!</v>
      </c>
      <c r="Y68" s="1335"/>
      <c r="Z68" s="1035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5"/>
      <c r="AL68" s="1035"/>
      <c r="AM68" s="1035"/>
      <c r="AN68" s="1035"/>
      <c r="AO68" s="1035"/>
      <c r="AP68" s="1035"/>
      <c r="AQ68" s="1035"/>
      <c r="AR68" s="1035"/>
      <c r="AS68" s="1035"/>
      <c r="AT68" s="1035"/>
      <c r="AU68" s="1035"/>
      <c r="AV68" s="1035"/>
      <c r="AW68" s="1035"/>
      <c r="AX68" s="1035"/>
      <c r="AY68" s="1035"/>
      <c r="AZ68" s="1035"/>
      <c r="BA68" s="1035"/>
      <c r="BB68" s="1035"/>
      <c r="BC68" s="1035"/>
      <c r="BD68" s="1035"/>
      <c r="BE68" s="1035"/>
      <c r="BF68" s="1035"/>
      <c r="BG68" s="1035"/>
      <c r="BH68" s="1035"/>
      <c r="BI68" s="1035"/>
      <c r="BJ68" s="1035"/>
      <c r="BK68" s="1035"/>
      <c r="BL68" s="1035"/>
      <c r="BM68" s="1035"/>
      <c r="BN68" s="1035"/>
      <c r="BO68" s="1035"/>
      <c r="BP68" s="1035"/>
      <c r="BQ68" s="1035"/>
      <c r="BR68" s="1035"/>
      <c r="BS68" s="1035"/>
      <c r="BT68" s="1035"/>
      <c r="BU68" s="1035"/>
      <c r="BV68" s="1035"/>
      <c r="BW68" s="1035"/>
      <c r="BX68" s="1035"/>
      <c r="BY68" s="1035"/>
      <c r="BZ68" s="1035"/>
      <c r="CA68" s="1035"/>
      <c r="CB68" s="1035"/>
      <c r="CC68" s="1035"/>
      <c r="CD68" s="1035"/>
      <c r="CE68" s="1035"/>
      <c r="CF68" s="1035"/>
      <c r="CG68" s="1035"/>
      <c r="CH68" s="1035"/>
      <c r="CI68" s="1035"/>
      <c r="CJ68" s="1035"/>
      <c r="CK68" s="1035"/>
      <c r="CL68" s="1035"/>
      <c r="CM68" s="1035"/>
      <c r="CN68" s="1035"/>
      <c r="CO68" s="1035"/>
      <c r="CP68" s="1035"/>
      <c r="CQ68" s="1035"/>
      <c r="CR68" s="1035"/>
      <c r="CS68" s="1035"/>
      <c r="CT68" s="1035"/>
      <c r="CU68" s="1035"/>
      <c r="CV68" s="1035"/>
      <c r="CW68" s="1035"/>
      <c r="CX68" s="1035"/>
      <c r="CY68" s="1035"/>
      <c r="CZ68" s="1035"/>
      <c r="DA68" s="1035"/>
      <c r="DB68" s="1035"/>
      <c r="DC68" s="1035"/>
      <c r="DD68" s="1035"/>
      <c r="DE68" s="1035"/>
      <c r="DF68" s="1035"/>
      <c r="DG68" s="1035"/>
      <c r="DH68" s="1035"/>
      <c r="DI68" s="1035"/>
      <c r="DJ68" s="1035"/>
      <c r="DK68" s="1035"/>
      <c r="DL68" s="1035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5"/>
      <c r="DX68" s="1035"/>
      <c r="DY68" s="1035"/>
      <c r="DZ68" s="1035"/>
      <c r="EA68" s="1035"/>
      <c r="EB68" s="1035"/>
      <c r="EC68" s="1035"/>
      <c r="ED68" s="1035"/>
      <c r="EE68" s="1035"/>
      <c r="EF68" s="1035"/>
      <c r="EG68" s="1035"/>
      <c r="EH68" s="1035"/>
      <c r="EI68" s="1035"/>
      <c r="EJ68" s="1035"/>
      <c r="EK68" s="1035"/>
      <c r="EL68" s="1035"/>
      <c r="EM68" s="1035"/>
      <c r="EN68" s="1035"/>
      <c r="EO68" s="1035"/>
      <c r="EP68" s="1035"/>
      <c r="EQ68" s="1035"/>
      <c r="ER68" s="1035"/>
      <c r="ES68" s="1035"/>
      <c r="ET68" s="1035"/>
      <c r="EU68" s="1035"/>
      <c r="EV68" s="1035"/>
      <c r="EW68" s="1035"/>
      <c r="EX68" s="1035"/>
      <c r="EY68" s="1035"/>
      <c r="EZ68" s="1035"/>
      <c r="FA68" s="1035"/>
      <c r="FB68" s="1035"/>
      <c r="FC68" s="1035"/>
      <c r="FD68" s="1035"/>
      <c r="FE68" s="1035"/>
      <c r="FF68" s="1035"/>
      <c r="FG68" s="1035"/>
      <c r="FH68" s="1035"/>
      <c r="FI68" s="1035"/>
      <c r="FJ68" s="1035"/>
      <c r="FK68" s="1035"/>
      <c r="FL68" s="1035"/>
      <c r="FM68" s="1035"/>
      <c r="FN68" s="1035"/>
      <c r="FO68" s="1035"/>
      <c r="FP68" s="1035"/>
      <c r="FQ68" s="1035"/>
      <c r="FR68" s="1035"/>
      <c r="FS68" s="1035"/>
      <c r="FT68" s="1035"/>
      <c r="FU68" s="1035"/>
      <c r="FV68" s="1035"/>
      <c r="FW68" s="1035"/>
      <c r="FX68" s="1035"/>
      <c r="FY68" s="1035"/>
      <c r="FZ68" s="1035"/>
      <c r="GA68" s="1035"/>
      <c r="GB68" s="1035"/>
      <c r="GC68" s="1035"/>
      <c r="GD68" s="1035"/>
      <c r="GE68" s="1035"/>
      <c r="GF68" s="1035"/>
      <c r="GG68" s="1035"/>
      <c r="GH68" s="1035"/>
      <c r="GI68" s="1035"/>
      <c r="GJ68" s="1035"/>
      <c r="GK68" s="1035"/>
      <c r="GL68" s="1035"/>
      <c r="GM68" s="1035"/>
      <c r="GN68" s="1035"/>
      <c r="GO68" s="1035"/>
      <c r="GP68" s="1035"/>
      <c r="GQ68" s="1035"/>
      <c r="GR68" s="1035"/>
      <c r="GS68" s="1035"/>
      <c r="GT68" s="1035"/>
      <c r="GU68" s="1035"/>
      <c r="GV68" s="1035"/>
      <c r="GW68" s="1035"/>
      <c r="GX68" s="1035"/>
      <c r="GY68" s="1035"/>
      <c r="GZ68" s="1035"/>
      <c r="HA68" s="1035"/>
      <c r="HB68" s="1035"/>
      <c r="HC68" s="1035"/>
      <c r="HD68" s="1035"/>
      <c r="HE68" s="1035"/>
      <c r="HF68" s="1035"/>
      <c r="HG68" s="1035"/>
      <c r="HH68" s="1035"/>
      <c r="HI68" s="1035"/>
      <c r="HJ68" s="1035"/>
      <c r="HK68" s="1035"/>
      <c r="HL68" s="1035"/>
      <c r="HM68" s="1035"/>
      <c r="HN68" s="1035"/>
      <c r="HO68" s="1035"/>
      <c r="HP68" s="1035"/>
      <c r="HQ68" s="1035"/>
      <c r="HR68" s="1035"/>
      <c r="HS68" s="1035"/>
      <c r="HT68" s="1035"/>
      <c r="HU68" s="1035"/>
      <c r="HV68" s="1035"/>
      <c r="HW68" s="1035"/>
      <c r="HX68" s="1035"/>
      <c r="HY68" s="1035"/>
      <c r="HZ68" s="1035"/>
      <c r="IA68" s="1035"/>
      <c r="IB68" s="1035"/>
      <c r="IC68" s="1035"/>
      <c r="ID68" s="1035"/>
      <c r="IE68" s="1035"/>
      <c r="IF68" s="1035"/>
      <c r="IG68" s="1035"/>
      <c r="IH68" s="1035"/>
      <c r="II68" s="1035"/>
      <c r="IJ68" s="1035"/>
      <c r="IK68" s="1035"/>
      <c r="IL68" s="1035"/>
      <c r="IM68" s="1035"/>
      <c r="IN68" s="1035"/>
    </row>
    <row r="70" spans="1:248" x14ac:dyDescent="0.25">
      <c r="A70" s="1516" t="s">
        <v>6315</v>
      </c>
      <c r="B70" s="1517"/>
      <c r="C70" s="1516"/>
      <c r="D70" s="1516"/>
      <c r="E70" s="1020"/>
      <c r="F70" s="1021">
        <f>SUM(C5:C12)</f>
        <v>7802393880</v>
      </c>
      <c r="G70" s="1053"/>
      <c r="I70" s="1053"/>
      <c r="J70" s="1053"/>
      <c r="K70" s="1053"/>
      <c r="L70" s="1053"/>
      <c r="M70" s="1053"/>
      <c r="N70" s="1053"/>
      <c r="O70" s="1053"/>
      <c r="P70" s="1053"/>
      <c r="Q70" s="1053"/>
      <c r="R70" s="1053"/>
      <c r="S70" s="1053"/>
      <c r="T70" s="1053"/>
    </row>
    <row r="71" spans="1:248" x14ac:dyDescent="0.25">
      <c r="A71" s="1516" t="s">
        <v>6316</v>
      </c>
      <c r="B71" s="1516"/>
      <c r="C71" s="1516"/>
      <c r="D71" s="1516"/>
      <c r="E71" s="1023"/>
      <c r="F71" s="1024">
        <f>SUM(C13:C67)</f>
        <v>54214081635</v>
      </c>
    </row>
    <row r="72" spans="1:248" x14ac:dyDescent="0.25">
      <c r="A72" s="1516" t="s">
        <v>6317</v>
      </c>
      <c r="B72" s="1517"/>
      <c r="C72" s="1516"/>
      <c r="D72" s="1516"/>
      <c r="E72" s="1023"/>
      <c r="F72" s="1024">
        <f>F68</f>
        <v>29174254079</v>
      </c>
    </row>
    <row r="73" spans="1:248" x14ac:dyDescent="0.25">
      <c r="A73" s="1516" t="s">
        <v>6318</v>
      </c>
      <c r="B73" s="1517"/>
      <c r="C73" s="1516"/>
      <c r="D73" s="1516"/>
      <c r="E73" s="1023"/>
      <c r="F73" s="1025">
        <f>F70+F71-F72</f>
        <v>32842221436</v>
      </c>
    </row>
    <row r="75" spans="1:248" x14ac:dyDescent="0.25">
      <c r="C75" s="1055"/>
      <c r="W75" s="1030">
        <f>7733039-7729120</f>
        <v>3919</v>
      </c>
    </row>
    <row r="76" spans="1:248" x14ac:dyDescent="0.25">
      <c r="C76" s="1055"/>
    </row>
    <row r="83" spans="6:10" x14ac:dyDescent="0.25">
      <c r="J83" s="1030" t="s">
        <v>6330</v>
      </c>
    </row>
    <row r="84" spans="6:10" x14ac:dyDescent="0.25">
      <c r="J84" s="1030" t="s">
        <v>6331</v>
      </c>
    </row>
    <row r="87" spans="6:10" x14ac:dyDescent="0.25">
      <c r="F87" s="1329">
        <v>44732</v>
      </c>
      <c r="G87" s="1047" t="s">
        <v>50</v>
      </c>
      <c r="H87" s="1411">
        <v>495205295</v>
      </c>
    </row>
    <row r="88" spans="6:10" x14ac:dyDescent="0.25">
      <c r="F88" s="1329">
        <v>44732</v>
      </c>
      <c r="G88" s="1047" t="s">
        <v>38</v>
      </c>
      <c r="H88" s="1411">
        <v>1621111059</v>
      </c>
    </row>
    <row r="89" spans="6:10" x14ac:dyDescent="0.25">
      <c r="F89" s="1329">
        <v>44734</v>
      </c>
      <c r="G89" s="1047" t="s">
        <v>50</v>
      </c>
      <c r="H89" s="1411">
        <v>373039254</v>
      </c>
    </row>
    <row r="90" spans="6:10" x14ac:dyDescent="0.25">
      <c r="F90" s="1329">
        <v>44734</v>
      </c>
      <c r="G90" s="1047" t="s">
        <v>38</v>
      </c>
      <c r="H90" s="1411">
        <v>1062097989</v>
      </c>
    </row>
    <row r="91" spans="6:10" x14ac:dyDescent="0.25">
      <c r="F91" s="1329">
        <v>44739</v>
      </c>
      <c r="G91" s="1047" t="s">
        <v>68</v>
      </c>
      <c r="H91" s="1411">
        <v>1211617737</v>
      </c>
    </row>
    <row r="92" spans="6:10" x14ac:dyDescent="0.25">
      <c r="F92" s="1329">
        <v>44739</v>
      </c>
      <c r="G92" s="1047" t="s">
        <v>50</v>
      </c>
      <c r="H92" s="1410">
        <v>273900139</v>
      </c>
    </row>
    <row r="93" spans="6:10" x14ac:dyDescent="0.25">
      <c r="F93" s="1329">
        <v>44739</v>
      </c>
      <c r="G93" s="1047" t="s">
        <v>38</v>
      </c>
      <c r="H93" s="1410">
        <v>377921089</v>
      </c>
    </row>
    <row r="94" spans="6:10" x14ac:dyDescent="0.25">
      <c r="F94" s="1329">
        <v>44743</v>
      </c>
      <c r="G94" s="1047" t="s">
        <v>68</v>
      </c>
      <c r="H94" s="1410">
        <v>3946854884</v>
      </c>
      <c r="J94" s="1030" t="s">
        <v>6326</v>
      </c>
    </row>
    <row r="95" spans="6:10" x14ac:dyDescent="0.25">
      <c r="F95" s="1329">
        <v>44746</v>
      </c>
      <c r="G95" s="1047" t="s">
        <v>38</v>
      </c>
      <c r="H95" s="1409">
        <v>2341405731</v>
      </c>
      <c r="J95" s="1030" t="s">
        <v>6327</v>
      </c>
    </row>
    <row r="96" spans="6:10" x14ac:dyDescent="0.25">
      <c r="F96" s="1329">
        <v>44746</v>
      </c>
      <c r="G96" s="1047" t="s">
        <v>68</v>
      </c>
      <c r="H96" s="1409">
        <v>2004861067</v>
      </c>
    </row>
    <row r="97" spans="6:8" x14ac:dyDescent="0.25">
      <c r="F97" s="1329">
        <v>44746</v>
      </c>
      <c r="G97" s="1047" t="s">
        <v>50</v>
      </c>
      <c r="H97" s="1384">
        <v>1039860880</v>
      </c>
    </row>
    <row r="98" spans="6:8" x14ac:dyDescent="0.25">
      <c r="F98" s="1329">
        <v>44748</v>
      </c>
      <c r="G98" s="1047" t="s">
        <v>50</v>
      </c>
      <c r="H98" s="1384">
        <v>731750757</v>
      </c>
    </row>
    <row r="99" spans="6:8" x14ac:dyDescent="0.25">
      <c r="F99" s="1329">
        <v>44748</v>
      </c>
      <c r="G99" s="1047" t="s">
        <v>68</v>
      </c>
      <c r="H99" s="1384">
        <v>1574703205</v>
      </c>
    </row>
    <row r="100" spans="6:8" x14ac:dyDescent="0.25">
      <c r="F100" s="1329">
        <v>44750</v>
      </c>
      <c r="G100" s="1047" t="s">
        <v>50</v>
      </c>
      <c r="H100" s="1384">
        <v>931441912</v>
      </c>
    </row>
    <row r="101" spans="6:8" x14ac:dyDescent="0.25">
      <c r="F101" s="1329">
        <v>44750</v>
      </c>
      <c r="G101" s="1047" t="s">
        <v>68</v>
      </c>
      <c r="H101" s="1408">
        <v>1998714031</v>
      </c>
    </row>
  </sheetData>
  <sortState ref="A450:R546">
    <sortCondition ref="A450:A546"/>
  </sortState>
  <mergeCells count="10">
    <mergeCell ref="A73:D73"/>
    <mergeCell ref="A68:B68"/>
    <mergeCell ref="A71:D71"/>
    <mergeCell ref="A72:D72"/>
    <mergeCell ref="D2:D3"/>
    <mergeCell ref="I2:I3"/>
    <mergeCell ref="A70:D70"/>
    <mergeCell ref="J2:J3"/>
    <mergeCell ref="A2:C2"/>
    <mergeCell ref="E2:G2"/>
  </mergeCells>
  <pageMargins left="0.17" right="0.28000000000000003" top="0.14000000000000001" bottom="0.39" header="0.3" footer="0.3"/>
  <pageSetup paperSize="9" scale="51"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N59"/>
  <sheetViews>
    <sheetView zoomScale="80" zoomScaleNormal="80" zoomScaleSheetLayoutView="100" workbookViewId="0">
      <pane ySplit="4" topLeftCell="A5" activePane="bottomLeft" state="frozen"/>
      <selection activeCell="K1" sqref="K1"/>
      <selection pane="bottomLeft" activeCell="F14" sqref="F14"/>
    </sheetView>
  </sheetViews>
  <sheetFormatPr defaultRowHeight="15.75" x14ac:dyDescent="0.25"/>
  <cols>
    <col min="1" max="1" width="13.42578125" style="1057" customWidth="1"/>
    <col min="2" max="2" width="12.7109375" style="1319" customWidth="1"/>
    <col min="3" max="3" width="20" style="1318" customWidth="1"/>
    <col min="4" max="4" width="14" style="1035" customWidth="1"/>
    <col min="5" max="5" width="12.140625" style="1023" bestFit="1" customWidth="1"/>
    <col min="6" max="6" width="18" style="1035" bestFit="1" customWidth="1"/>
    <col min="7" max="7" width="16" style="1035" customWidth="1"/>
    <col min="8" max="8" width="13" style="1058" bestFit="1" customWidth="1"/>
    <col min="9" max="9" width="18.5703125" style="1035" customWidth="1"/>
    <col min="10" max="10" width="17.28515625" style="1035" customWidth="1"/>
    <col min="11" max="12" width="9.42578125" style="1035" customWidth="1"/>
    <col min="13" max="14" width="15.140625" style="1035" customWidth="1"/>
    <col min="15" max="15" width="15.140625" style="1035" bestFit="1" customWidth="1"/>
    <col min="16" max="16" width="5.5703125" style="1035" bestFit="1" customWidth="1"/>
    <col min="17" max="17" width="5.5703125" style="1035" customWidth="1"/>
    <col min="18" max="18" width="13.85546875" style="1035" customWidth="1"/>
    <col min="19" max="19" width="16.42578125" style="1035" customWidth="1"/>
    <col min="20" max="20" width="14.7109375" style="1035" customWidth="1"/>
    <col min="21" max="170" width="9.140625" style="1035"/>
    <col min="171" max="16384" width="9.140625" style="1020"/>
  </cols>
  <sheetData>
    <row r="1" spans="1:20" ht="16.5" thickBot="1" x14ac:dyDescent="0.3">
      <c r="A1" s="1057" t="s">
        <v>23</v>
      </c>
      <c r="B1" s="1063"/>
      <c r="C1" s="1064"/>
      <c r="D1" s="1060">
        <v>30</v>
      </c>
      <c r="E1" s="1061"/>
      <c r="F1" s="1060" t="s">
        <v>6216</v>
      </c>
      <c r="G1" s="1132">
        <v>8.7499999999999994E-2</v>
      </c>
      <c r="H1" s="1062"/>
      <c r="I1" s="1065">
        <v>0.1</v>
      </c>
      <c r="J1" s="1065"/>
      <c r="K1" s="1065"/>
      <c r="L1" s="1065"/>
      <c r="M1" s="1065"/>
      <c r="N1" s="1065"/>
      <c r="O1" s="1065"/>
      <c r="P1" s="1065"/>
      <c r="Q1" s="1065"/>
      <c r="R1" s="1065"/>
      <c r="S1" s="1060"/>
      <c r="T1" s="1060"/>
    </row>
    <row r="2" spans="1:20" s="1023" customFormat="1" ht="15" customHeight="1" thickBot="1" x14ac:dyDescent="0.3">
      <c r="A2" s="1513" t="s">
        <v>102</v>
      </c>
      <c r="B2" s="1513"/>
      <c r="C2" s="1513"/>
      <c r="D2" s="1512" t="s">
        <v>103</v>
      </c>
      <c r="E2" s="1520" t="s">
        <v>124</v>
      </c>
      <c r="F2" s="1521"/>
      <c r="G2" s="1521"/>
      <c r="H2" s="1522"/>
      <c r="I2" s="1513" t="s">
        <v>104</v>
      </c>
      <c r="J2" s="1582" t="s">
        <v>105</v>
      </c>
      <c r="K2" s="1365" t="s">
        <v>106</v>
      </c>
      <c r="L2" s="1366"/>
      <c r="M2" s="1366"/>
      <c r="N2" s="1366"/>
      <c r="O2" s="1366"/>
      <c r="P2" s="1366"/>
      <c r="Q2" s="1366"/>
      <c r="R2" s="1366"/>
      <c r="S2" s="1366"/>
      <c r="T2" s="1367"/>
    </row>
    <row r="3" spans="1:20" s="1023" customFormat="1" ht="16.5" thickBot="1" x14ac:dyDescent="0.3">
      <c r="A3" s="1320" t="s">
        <v>109</v>
      </c>
      <c r="B3" s="998" t="s">
        <v>110</v>
      </c>
      <c r="C3" s="999" t="s">
        <v>111</v>
      </c>
      <c r="D3" s="1512"/>
      <c r="E3" s="999" t="s">
        <v>112</v>
      </c>
      <c r="F3" s="999" t="s">
        <v>113</v>
      </c>
      <c r="G3" s="999" t="s">
        <v>114</v>
      </c>
      <c r="H3" s="1000" t="s">
        <v>5960</v>
      </c>
      <c r="I3" s="1513"/>
      <c r="J3" s="1583"/>
      <c r="K3" s="1365" t="s">
        <v>117</v>
      </c>
      <c r="L3" s="1366"/>
      <c r="M3" s="1366"/>
      <c r="N3" s="1366"/>
      <c r="O3" s="1366"/>
      <c r="P3" s="1366"/>
      <c r="Q3" s="1366"/>
      <c r="R3" s="1366"/>
      <c r="S3" s="1366"/>
      <c r="T3" s="1367"/>
    </row>
    <row r="4" spans="1:20" s="1073" customFormat="1" ht="16.5" thickBot="1" x14ac:dyDescent="0.3">
      <c r="A4" s="1066"/>
      <c r="B4" s="1067"/>
      <c r="C4" s="1068"/>
      <c r="D4" s="1068"/>
      <c r="E4" s="1068"/>
      <c r="F4" s="1068"/>
      <c r="G4" s="1068"/>
      <c r="H4" s="1070"/>
      <c r="I4" s="1071"/>
      <c r="J4" s="1072"/>
      <c r="K4" s="1068" t="s">
        <v>6215</v>
      </c>
      <c r="L4" s="1068" t="s">
        <v>6262</v>
      </c>
      <c r="M4" s="1068" t="s">
        <v>6263</v>
      </c>
      <c r="N4" s="1068" t="s">
        <v>6271</v>
      </c>
      <c r="O4" s="1068" t="s">
        <v>6264</v>
      </c>
      <c r="P4" s="1068" t="s">
        <v>6215</v>
      </c>
      <c r="Q4" s="1068" t="s">
        <v>6274</v>
      </c>
      <c r="R4" s="1068" t="s">
        <v>6263</v>
      </c>
      <c r="S4" s="1068" t="s">
        <v>6146</v>
      </c>
      <c r="T4" s="1068" t="s">
        <v>114</v>
      </c>
    </row>
    <row r="5" spans="1:20" s="1035" customFormat="1" ht="15" customHeight="1" x14ac:dyDescent="0.25">
      <c r="A5" s="1027">
        <v>44816</v>
      </c>
      <c r="B5" s="1385" t="s">
        <v>52</v>
      </c>
      <c r="C5" s="1381">
        <v>1872690665</v>
      </c>
      <c r="D5" s="1039">
        <f>A5+D$1</f>
        <v>44846</v>
      </c>
      <c r="E5" s="1040">
        <f>D5-G5</f>
        <v>6</v>
      </c>
      <c r="F5" s="1314">
        <v>1872690665</v>
      </c>
      <c r="G5" s="1074">
        <v>44840</v>
      </c>
      <c r="H5" s="1043">
        <f>G5-A5</f>
        <v>24</v>
      </c>
      <c r="I5" s="1078">
        <f>C5-F5</f>
        <v>0</v>
      </c>
      <c r="J5" s="1076">
        <f>C5/360*H5*$I$1</f>
        <v>12484604.433333335</v>
      </c>
      <c r="K5" s="1414">
        <v>0.08</v>
      </c>
      <c r="L5" s="1044">
        <v>25</v>
      </c>
      <c r="M5" s="1074">
        <v>44841</v>
      </c>
      <c r="N5" s="1314">
        <f>C5/360*K5*L5</f>
        <v>10403837.027777778</v>
      </c>
      <c r="O5" s="1074">
        <v>44840</v>
      </c>
      <c r="P5" s="1076"/>
      <c r="Q5" s="1076"/>
      <c r="R5" s="1076"/>
      <c r="S5" s="1076"/>
      <c r="T5" s="1076"/>
    </row>
    <row r="6" spans="1:20" s="1035" customFormat="1" ht="15" customHeight="1" x14ac:dyDescent="0.25">
      <c r="A6" s="1027">
        <v>44816</v>
      </c>
      <c r="B6" s="1385" t="s">
        <v>55</v>
      </c>
      <c r="C6" s="1381">
        <v>836127625</v>
      </c>
      <c r="D6" s="1039">
        <f t="shared" ref="D6:D23" si="0">A6+D$1</f>
        <v>44846</v>
      </c>
      <c r="E6" s="1040">
        <f t="shared" ref="E6:E23" si="1">D6-G6</f>
        <v>6</v>
      </c>
      <c r="F6" s="1314">
        <v>836127625</v>
      </c>
      <c r="G6" s="1074">
        <v>44840</v>
      </c>
      <c r="H6" s="1043">
        <f t="shared" ref="H6:H11" si="2">G6-A6</f>
        <v>24</v>
      </c>
      <c r="I6" s="1078">
        <f t="shared" ref="I6:I23" si="3">C6-F6</f>
        <v>0</v>
      </c>
      <c r="J6" s="1076">
        <f t="shared" ref="J6:J11" si="4">C6/360*H6*$I$1</f>
        <v>5574184.166666667</v>
      </c>
      <c r="K6" s="1414">
        <v>0.08</v>
      </c>
      <c r="L6" s="1044">
        <v>25</v>
      </c>
      <c r="M6" s="1074">
        <v>44841</v>
      </c>
      <c r="N6" s="1314">
        <f t="shared" ref="N6:N11" si="5">C6/360*K6*L6</f>
        <v>4645153.472222222</v>
      </c>
      <c r="O6" s="1074">
        <v>44840</v>
      </c>
      <c r="P6" s="1076"/>
      <c r="Q6" s="1076"/>
      <c r="R6" s="1076"/>
      <c r="S6" s="1076"/>
      <c r="T6" s="1076"/>
    </row>
    <row r="7" spans="1:20" s="1035" customFormat="1" ht="15" customHeight="1" x14ac:dyDescent="0.25">
      <c r="A7" s="1027">
        <v>44820</v>
      </c>
      <c r="B7" s="1385" t="s">
        <v>55</v>
      </c>
      <c r="C7" s="1381">
        <v>960497220</v>
      </c>
      <c r="D7" s="1039">
        <f t="shared" si="0"/>
        <v>44850</v>
      </c>
      <c r="E7" s="1040">
        <f t="shared" si="1"/>
        <v>10</v>
      </c>
      <c r="F7" s="1314">
        <v>960497220</v>
      </c>
      <c r="G7" s="1074">
        <v>44840</v>
      </c>
      <c r="H7" s="1043">
        <f t="shared" si="2"/>
        <v>20</v>
      </c>
      <c r="I7" s="1078">
        <f t="shared" si="3"/>
        <v>0</v>
      </c>
      <c r="J7" s="1076">
        <f t="shared" si="4"/>
        <v>5336095.6666666679</v>
      </c>
      <c r="K7" s="1414">
        <v>0.08</v>
      </c>
      <c r="L7" s="1044">
        <v>21</v>
      </c>
      <c r="M7" s="1074">
        <v>44841</v>
      </c>
      <c r="N7" s="1314">
        <f t="shared" si="5"/>
        <v>4482320.3600000003</v>
      </c>
      <c r="O7" s="1074">
        <v>44840</v>
      </c>
      <c r="P7" s="1076"/>
      <c r="Q7" s="1076"/>
      <c r="R7" s="1076"/>
      <c r="S7" s="1076"/>
      <c r="T7" s="1076"/>
    </row>
    <row r="8" spans="1:20" s="1035" customFormat="1" ht="15" customHeight="1" x14ac:dyDescent="0.25">
      <c r="A8" s="1027">
        <v>44820</v>
      </c>
      <c r="B8" s="1385" t="s">
        <v>64</v>
      </c>
      <c r="C8" s="1381">
        <v>517275000</v>
      </c>
      <c r="D8" s="1039">
        <f t="shared" si="0"/>
        <v>44850</v>
      </c>
      <c r="E8" s="1040">
        <f t="shared" si="1"/>
        <v>10</v>
      </c>
      <c r="F8" s="1314">
        <v>517275000</v>
      </c>
      <c r="G8" s="1074">
        <v>44840</v>
      </c>
      <c r="H8" s="1043">
        <f t="shared" si="2"/>
        <v>20</v>
      </c>
      <c r="I8" s="1078">
        <f t="shared" si="3"/>
        <v>0</v>
      </c>
      <c r="J8" s="1076">
        <f t="shared" si="4"/>
        <v>2873750</v>
      </c>
      <c r="K8" s="1414">
        <v>0.08</v>
      </c>
      <c r="L8" s="1044">
        <v>21</v>
      </c>
      <c r="M8" s="1074">
        <v>44841</v>
      </c>
      <c r="N8" s="1314">
        <f t="shared" si="5"/>
        <v>2413950</v>
      </c>
      <c r="O8" s="1074">
        <v>44840</v>
      </c>
      <c r="P8" s="1076"/>
      <c r="Q8" s="1076"/>
      <c r="R8" s="1076"/>
      <c r="S8" s="1076"/>
      <c r="T8" s="1076"/>
    </row>
    <row r="9" spans="1:20" s="1035" customFormat="1" ht="15" customHeight="1" x14ac:dyDescent="0.25">
      <c r="A9" s="1027">
        <v>44825</v>
      </c>
      <c r="B9" s="1385" t="s">
        <v>4973</v>
      </c>
      <c r="C9" s="1381">
        <v>316852852</v>
      </c>
      <c r="D9" s="1039">
        <f t="shared" si="0"/>
        <v>44855</v>
      </c>
      <c r="E9" s="1040">
        <f t="shared" si="1"/>
        <v>8</v>
      </c>
      <c r="F9" s="1314">
        <v>316852852</v>
      </c>
      <c r="G9" s="1074">
        <v>44847</v>
      </c>
      <c r="H9" s="1043">
        <f t="shared" si="2"/>
        <v>22</v>
      </c>
      <c r="I9" s="1078">
        <f t="shared" si="3"/>
        <v>0</v>
      </c>
      <c r="J9" s="1076">
        <f t="shared" si="4"/>
        <v>1936322.9844444443</v>
      </c>
      <c r="K9" s="1414">
        <v>0.08</v>
      </c>
      <c r="L9" s="1044">
        <v>23</v>
      </c>
      <c r="M9" s="1074">
        <v>44848</v>
      </c>
      <c r="N9" s="1314">
        <f t="shared" si="5"/>
        <v>1619470.1324444446</v>
      </c>
      <c r="O9" s="1074">
        <v>44847</v>
      </c>
      <c r="P9" s="1076"/>
      <c r="Q9" s="1076"/>
      <c r="R9" s="1076"/>
      <c r="S9" s="1076"/>
      <c r="T9" s="1076"/>
    </row>
    <row r="10" spans="1:20" s="1035" customFormat="1" ht="15" customHeight="1" x14ac:dyDescent="0.25">
      <c r="A10" s="1027">
        <v>44827</v>
      </c>
      <c r="B10" s="1385" t="s">
        <v>6273</v>
      </c>
      <c r="C10" s="1381">
        <v>1105396000</v>
      </c>
      <c r="D10" s="1039">
        <f t="shared" si="0"/>
        <v>44857</v>
      </c>
      <c r="E10" s="1040">
        <f t="shared" si="1"/>
        <v>10</v>
      </c>
      <c r="F10" s="1314">
        <v>1105396000</v>
      </c>
      <c r="G10" s="1074">
        <v>44847</v>
      </c>
      <c r="H10" s="1043">
        <f t="shared" si="2"/>
        <v>20</v>
      </c>
      <c r="I10" s="1078">
        <f t="shared" si="3"/>
        <v>0</v>
      </c>
      <c r="J10" s="1076">
        <f t="shared" si="4"/>
        <v>6141088.888888889</v>
      </c>
      <c r="K10" s="1414">
        <v>0.08</v>
      </c>
      <c r="L10" s="1044">
        <v>21</v>
      </c>
      <c r="M10" s="1074">
        <v>44848</v>
      </c>
      <c r="N10" s="1314">
        <f t="shared" si="5"/>
        <v>5158514.666666667</v>
      </c>
      <c r="O10" s="1074">
        <v>44847</v>
      </c>
      <c r="P10" s="1076"/>
      <c r="Q10" s="1076"/>
      <c r="R10" s="1076"/>
      <c r="S10" s="1076"/>
      <c r="T10" s="1076"/>
    </row>
    <row r="11" spans="1:20" s="1035" customFormat="1" ht="15" customHeight="1" x14ac:dyDescent="0.25">
      <c r="A11" s="1027">
        <v>44830</v>
      </c>
      <c r="B11" s="1385" t="s">
        <v>52</v>
      </c>
      <c r="C11" s="1381">
        <v>1591595077</v>
      </c>
      <c r="D11" s="1039">
        <f t="shared" si="0"/>
        <v>44860</v>
      </c>
      <c r="E11" s="1040">
        <f t="shared" si="1"/>
        <v>13</v>
      </c>
      <c r="F11" s="1314">
        <v>1591595077</v>
      </c>
      <c r="G11" s="1074">
        <v>44847</v>
      </c>
      <c r="H11" s="1043">
        <f t="shared" si="2"/>
        <v>17</v>
      </c>
      <c r="I11" s="1078">
        <f t="shared" si="3"/>
        <v>0</v>
      </c>
      <c r="J11" s="1076">
        <f t="shared" si="4"/>
        <v>7515865.6413888894</v>
      </c>
      <c r="K11" s="1414">
        <v>0.08</v>
      </c>
      <c r="L11" s="1044">
        <v>18</v>
      </c>
      <c r="M11" s="1074">
        <v>44848</v>
      </c>
      <c r="N11" s="1314">
        <f t="shared" si="5"/>
        <v>6366380.3080000002</v>
      </c>
      <c r="O11" s="1074">
        <v>44847</v>
      </c>
      <c r="P11" s="1076"/>
      <c r="Q11" s="1076"/>
      <c r="R11" s="1076"/>
      <c r="S11" s="1076"/>
      <c r="T11" s="1076"/>
    </row>
    <row r="12" spans="1:20" s="1035" customFormat="1" ht="15" customHeight="1" x14ac:dyDescent="0.25">
      <c r="A12" s="1027">
        <v>44837</v>
      </c>
      <c r="B12" s="1385" t="s">
        <v>6273</v>
      </c>
      <c r="C12" s="1381">
        <v>765658000</v>
      </c>
      <c r="D12" s="1039">
        <f t="shared" si="0"/>
        <v>44867</v>
      </c>
      <c r="E12" s="1040">
        <f t="shared" si="1"/>
        <v>44867</v>
      </c>
      <c r="F12" s="1314"/>
      <c r="G12" s="1074"/>
      <c r="H12" s="1043"/>
      <c r="I12" s="1078">
        <f t="shared" si="3"/>
        <v>765658000</v>
      </c>
      <c r="J12" s="1076"/>
      <c r="K12" s="1044"/>
      <c r="L12" s="1044"/>
      <c r="M12" s="1074"/>
      <c r="N12" s="1314"/>
      <c r="O12" s="1074"/>
      <c r="P12" s="1076"/>
      <c r="Q12" s="1076"/>
      <c r="R12" s="1076"/>
      <c r="S12" s="1076"/>
      <c r="T12" s="1076"/>
    </row>
    <row r="13" spans="1:20" s="1035" customFormat="1" ht="15" customHeight="1" x14ac:dyDescent="0.25">
      <c r="A13" s="1027">
        <v>44837</v>
      </c>
      <c r="B13" s="1385" t="s">
        <v>55</v>
      </c>
      <c r="C13" s="1381">
        <v>575044252</v>
      </c>
      <c r="D13" s="1039">
        <f t="shared" si="0"/>
        <v>44867</v>
      </c>
      <c r="E13" s="1040">
        <f t="shared" si="1"/>
        <v>44867</v>
      </c>
      <c r="F13" s="1314"/>
      <c r="G13" s="1074"/>
      <c r="H13" s="1043"/>
      <c r="I13" s="1078">
        <f t="shared" si="3"/>
        <v>575044252</v>
      </c>
      <c r="J13" s="1076"/>
      <c r="K13" s="1044"/>
      <c r="L13" s="1044"/>
      <c r="M13" s="1074"/>
      <c r="N13" s="1314"/>
      <c r="O13" s="1074"/>
      <c r="P13" s="1076"/>
      <c r="Q13" s="1076"/>
      <c r="R13" s="1076"/>
      <c r="S13" s="1076"/>
      <c r="T13" s="1076"/>
    </row>
    <row r="14" spans="1:20" s="1035" customFormat="1" ht="15" customHeight="1" x14ac:dyDescent="0.25">
      <c r="A14" s="1027">
        <v>44841</v>
      </c>
      <c r="B14" s="1385" t="s">
        <v>4973</v>
      </c>
      <c r="C14" s="1381">
        <v>686881053</v>
      </c>
      <c r="D14" s="1039">
        <f t="shared" si="0"/>
        <v>44871</v>
      </c>
      <c r="E14" s="1040">
        <f t="shared" si="1"/>
        <v>44871</v>
      </c>
      <c r="F14" s="1314"/>
      <c r="G14" s="1074"/>
      <c r="H14" s="1043"/>
      <c r="I14" s="1078">
        <f t="shared" si="3"/>
        <v>686881053</v>
      </c>
      <c r="J14" s="1076"/>
      <c r="K14" s="1044"/>
      <c r="L14" s="1044"/>
      <c r="M14" s="1074"/>
      <c r="N14" s="1314"/>
      <c r="O14" s="1074"/>
      <c r="P14" s="1076"/>
      <c r="Q14" s="1076"/>
      <c r="R14" s="1076"/>
      <c r="S14" s="1076"/>
      <c r="T14" s="1076"/>
    </row>
    <row r="15" spans="1:20" s="1035" customFormat="1" ht="15" customHeight="1" x14ac:dyDescent="0.25">
      <c r="A15" s="1027">
        <v>44844</v>
      </c>
      <c r="B15" s="1385" t="s">
        <v>6273</v>
      </c>
      <c r="C15" s="1381">
        <v>466288666</v>
      </c>
      <c r="D15" s="1039">
        <f t="shared" si="0"/>
        <v>44874</v>
      </c>
      <c r="E15" s="1040">
        <f t="shared" si="1"/>
        <v>44874</v>
      </c>
      <c r="F15" s="1314"/>
      <c r="G15" s="1074"/>
      <c r="H15" s="1043"/>
      <c r="I15" s="1078">
        <f t="shared" si="3"/>
        <v>466288666</v>
      </c>
      <c r="J15" s="1076"/>
      <c r="K15" s="1044"/>
      <c r="L15" s="1044"/>
      <c r="M15" s="1074"/>
      <c r="N15" s="1314"/>
      <c r="O15" s="1074"/>
      <c r="P15" s="1076"/>
      <c r="Q15" s="1076"/>
      <c r="R15" s="1076"/>
      <c r="S15" s="1076"/>
      <c r="T15" s="1076"/>
    </row>
    <row r="16" spans="1:20" s="1035" customFormat="1" ht="15" customHeight="1" x14ac:dyDescent="0.25">
      <c r="A16" s="1027">
        <v>44844</v>
      </c>
      <c r="B16" s="1385" t="s">
        <v>64</v>
      </c>
      <c r="C16" s="1381">
        <v>729606000</v>
      </c>
      <c r="D16" s="1039">
        <f t="shared" si="0"/>
        <v>44874</v>
      </c>
      <c r="E16" s="1040">
        <f t="shared" si="1"/>
        <v>44874</v>
      </c>
      <c r="F16" s="1314"/>
      <c r="G16" s="1074"/>
      <c r="H16" s="1043"/>
      <c r="I16" s="1078">
        <f t="shared" si="3"/>
        <v>729606000</v>
      </c>
      <c r="J16" s="1076"/>
      <c r="K16" s="1044"/>
      <c r="L16" s="1044"/>
      <c r="M16" s="1074"/>
      <c r="N16" s="1314"/>
      <c r="O16" s="1074"/>
      <c r="P16" s="1076"/>
      <c r="Q16" s="1076"/>
      <c r="R16" s="1076"/>
      <c r="S16" s="1076"/>
      <c r="T16" s="1076"/>
    </row>
    <row r="17" spans="1:20" s="1035" customFormat="1" ht="15" customHeight="1" x14ac:dyDescent="0.25">
      <c r="A17" s="1027">
        <v>44846</v>
      </c>
      <c r="B17" s="1385" t="s">
        <v>4973</v>
      </c>
      <c r="C17" s="1381">
        <v>351551785</v>
      </c>
      <c r="D17" s="1039">
        <f t="shared" si="0"/>
        <v>44876</v>
      </c>
      <c r="E17" s="1040">
        <f t="shared" si="1"/>
        <v>44876</v>
      </c>
      <c r="F17" s="1314"/>
      <c r="G17" s="1074"/>
      <c r="H17" s="1043"/>
      <c r="I17" s="1078">
        <f t="shared" si="3"/>
        <v>351551785</v>
      </c>
      <c r="J17" s="1076"/>
      <c r="K17" s="1078"/>
      <c r="L17" s="1044"/>
      <c r="M17" s="1074"/>
      <c r="N17" s="1314"/>
      <c r="O17" s="1074"/>
      <c r="P17" s="1076"/>
      <c r="Q17" s="1076"/>
      <c r="R17" s="1076"/>
      <c r="S17" s="1076"/>
      <c r="T17" s="1076"/>
    </row>
    <row r="18" spans="1:20" s="1035" customFormat="1" ht="15" customHeight="1" x14ac:dyDescent="0.25">
      <c r="A18" s="1027">
        <v>44846</v>
      </c>
      <c r="B18" s="1385" t="s">
        <v>35</v>
      </c>
      <c r="C18" s="1381">
        <v>949337269</v>
      </c>
      <c r="D18" s="1039">
        <f t="shared" si="0"/>
        <v>44876</v>
      </c>
      <c r="E18" s="1040">
        <f t="shared" si="1"/>
        <v>44876</v>
      </c>
      <c r="F18" s="1314"/>
      <c r="G18" s="1074"/>
      <c r="H18" s="1043"/>
      <c r="I18" s="1078">
        <f t="shared" si="3"/>
        <v>949337269</v>
      </c>
      <c r="J18" s="1076"/>
      <c r="K18" s="1078"/>
      <c r="L18" s="1044"/>
      <c r="M18" s="1074"/>
      <c r="N18" s="1314"/>
      <c r="O18" s="1074"/>
      <c r="P18" s="1076"/>
      <c r="Q18" s="1076"/>
      <c r="R18" s="1076"/>
      <c r="S18" s="1076"/>
      <c r="T18" s="1076"/>
    </row>
    <row r="19" spans="1:20" s="1035" customFormat="1" ht="15" customHeight="1" x14ac:dyDescent="0.25">
      <c r="A19" s="1027">
        <v>44848</v>
      </c>
      <c r="B19" s="1385" t="s">
        <v>64</v>
      </c>
      <c r="C19" s="1381">
        <v>387033000</v>
      </c>
      <c r="D19" s="1039">
        <f t="shared" si="0"/>
        <v>44878</v>
      </c>
      <c r="E19" s="1040">
        <f t="shared" si="1"/>
        <v>44878</v>
      </c>
      <c r="F19" s="1314"/>
      <c r="G19" s="1074"/>
      <c r="H19" s="1043"/>
      <c r="I19" s="1078">
        <f t="shared" si="3"/>
        <v>387033000</v>
      </c>
      <c r="J19" s="1076"/>
      <c r="K19" s="1078"/>
      <c r="L19" s="1044"/>
      <c r="M19" s="1074"/>
      <c r="N19" s="1076"/>
      <c r="O19" s="1074"/>
      <c r="P19" s="1076"/>
      <c r="Q19" s="1076"/>
      <c r="R19" s="1076"/>
      <c r="S19" s="1076"/>
      <c r="T19" s="1076"/>
    </row>
    <row r="20" spans="1:20" s="1035" customFormat="1" ht="15" customHeight="1" x14ac:dyDescent="0.25">
      <c r="A20" s="1027">
        <v>44848</v>
      </c>
      <c r="B20" s="1385" t="s">
        <v>6273</v>
      </c>
      <c r="C20" s="1381">
        <v>712932999</v>
      </c>
      <c r="D20" s="1039">
        <f t="shared" si="0"/>
        <v>44878</v>
      </c>
      <c r="E20" s="1040">
        <f t="shared" si="1"/>
        <v>44878</v>
      </c>
      <c r="F20" s="1314"/>
      <c r="G20" s="1074"/>
      <c r="H20" s="1043"/>
      <c r="I20" s="1078">
        <f t="shared" si="3"/>
        <v>712932999</v>
      </c>
      <c r="J20" s="1076"/>
      <c r="K20" s="1078"/>
      <c r="L20" s="1044"/>
      <c r="M20" s="1074"/>
      <c r="N20" s="1076"/>
      <c r="O20" s="1074"/>
      <c r="P20" s="1076"/>
      <c r="Q20" s="1076"/>
      <c r="R20" s="1076"/>
      <c r="S20" s="1076"/>
      <c r="T20" s="1076"/>
    </row>
    <row r="21" spans="1:20" s="1035" customFormat="1" ht="15" customHeight="1" x14ac:dyDescent="0.25">
      <c r="A21" s="1027">
        <v>44851</v>
      </c>
      <c r="B21" s="1385" t="s">
        <v>6273</v>
      </c>
      <c r="C21" s="1381">
        <v>437329000</v>
      </c>
      <c r="D21" s="1039">
        <f t="shared" si="0"/>
        <v>44881</v>
      </c>
      <c r="E21" s="1040">
        <f t="shared" si="1"/>
        <v>44881</v>
      </c>
      <c r="F21" s="1314"/>
      <c r="G21" s="1074"/>
      <c r="H21" s="1043"/>
      <c r="I21" s="1078">
        <f t="shared" si="3"/>
        <v>437329000</v>
      </c>
      <c r="J21" s="1076"/>
      <c r="K21" s="1078"/>
      <c r="L21" s="1044"/>
      <c r="M21" s="1074"/>
      <c r="N21" s="1076"/>
      <c r="O21" s="1074"/>
      <c r="P21" s="1076"/>
      <c r="Q21" s="1076"/>
      <c r="R21" s="1076"/>
      <c r="S21" s="1076"/>
      <c r="T21" s="1076"/>
    </row>
    <row r="22" spans="1:20" s="1035" customFormat="1" ht="15" customHeight="1" x14ac:dyDescent="0.25">
      <c r="A22" s="1027">
        <v>44851</v>
      </c>
      <c r="B22" s="1385" t="s">
        <v>4973</v>
      </c>
      <c r="C22" s="1381">
        <v>350098073</v>
      </c>
      <c r="D22" s="1039">
        <f t="shared" si="0"/>
        <v>44881</v>
      </c>
      <c r="E22" s="1040">
        <f t="shared" si="1"/>
        <v>44881</v>
      </c>
      <c r="F22" s="1314"/>
      <c r="G22" s="1074"/>
      <c r="H22" s="1043"/>
      <c r="I22" s="1078">
        <f t="shared" si="3"/>
        <v>350098073</v>
      </c>
      <c r="J22" s="1076"/>
      <c r="K22" s="1078"/>
      <c r="L22" s="1044"/>
      <c r="M22" s="1074"/>
      <c r="N22" s="1076"/>
      <c r="O22" s="1074"/>
      <c r="P22" s="1076"/>
      <c r="Q22" s="1076"/>
      <c r="R22" s="1076"/>
      <c r="S22" s="1076"/>
      <c r="T22" s="1076"/>
    </row>
    <row r="23" spans="1:20" s="1035" customFormat="1" ht="15" customHeight="1" x14ac:dyDescent="0.25">
      <c r="A23" s="1027">
        <v>44851</v>
      </c>
      <c r="B23" s="1385" t="s">
        <v>52</v>
      </c>
      <c r="C23" s="1381">
        <v>1587749946</v>
      </c>
      <c r="D23" s="1039">
        <f t="shared" si="0"/>
        <v>44881</v>
      </c>
      <c r="E23" s="1040">
        <f t="shared" si="1"/>
        <v>44881</v>
      </c>
      <c r="F23" s="1314"/>
      <c r="G23" s="1074"/>
      <c r="H23" s="1043"/>
      <c r="I23" s="1078">
        <f t="shared" si="3"/>
        <v>1587749946</v>
      </c>
      <c r="J23" s="1076"/>
      <c r="K23" s="1078"/>
      <c r="L23" s="1044"/>
      <c r="M23" s="1074"/>
      <c r="N23" s="1076"/>
      <c r="O23" s="1074"/>
      <c r="P23" s="1076"/>
      <c r="Q23" s="1076"/>
      <c r="R23" s="1076"/>
      <c r="S23" s="1076"/>
      <c r="T23" s="1076"/>
    </row>
    <row r="24" spans="1:20" s="1035" customFormat="1" ht="15" customHeight="1" x14ac:dyDescent="0.25">
      <c r="A24" s="1027"/>
      <c r="B24" s="1385"/>
      <c r="C24" s="1331"/>
      <c r="D24" s="1039"/>
      <c r="E24" s="1040"/>
      <c r="F24" s="1314"/>
      <c r="G24" s="1074"/>
      <c r="H24" s="1043"/>
      <c r="I24" s="1078"/>
      <c r="J24" s="1076"/>
      <c r="K24" s="1078"/>
      <c r="L24" s="1044"/>
      <c r="M24" s="1074"/>
      <c r="N24" s="1076"/>
      <c r="O24" s="1074"/>
      <c r="P24" s="1076"/>
      <c r="Q24" s="1076"/>
      <c r="R24" s="1076"/>
      <c r="S24" s="1076"/>
      <c r="T24" s="1076"/>
    </row>
    <row r="25" spans="1:20" s="1035" customFormat="1" ht="15" customHeight="1" x14ac:dyDescent="0.25">
      <c r="A25" s="1027"/>
      <c r="B25" s="1385"/>
      <c r="C25" s="1331"/>
      <c r="D25" s="1039"/>
      <c r="E25" s="1040"/>
      <c r="F25" s="1314"/>
      <c r="G25" s="1074"/>
      <c r="H25" s="1043"/>
      <c r="I25" s="1078"/>
      <c r="J25" s="1076"/>
      <c r="K25" s="1078"/>
      <c r="L25" s="1044"/>
      <c r="M25" s="1074"/>
      <c r="N25" s="1076"/>
      <c r="O25" s="1074"/>
      <c r="P25" s="1076"/>
      <c r="Q25" s="1076"/>
      <c r="R25" s="1076"/>
      <c r="S25" s="1076"/>
      <c r="T25" s="1076"/>
    </row>
    <row r="26" spans="1:20" s="1035" customFormat="1" ht="15" customHeight="1" x14ac:dyDescent="0.25">
      <c r="A26" s="1027"/>
      <c r="B26" s="1385"/>
      <c r="C26" s="1331"/>
      <c r="D26" s="1039"/>
      <c r="E26" s="1040"/>
      <c r="F26" s="1314"/>
      <c r="G26" s="1074"/>
      <c r="H26" s="1043"/>
      <c r="I26" s="1078"/>
      <c r="J26" s="1076"/>
      <c r="K26" s="1078"/>
      <c r="L26" s="1044"/>
      <c r="M26" s="1074"/>
      <c r="N26" s="1076"/>
      <c r="O26" s="1074"/>
      <c r="P26" s="1076"/>
      <c r="Q26" s="1076"/>
      <c r="R26" s="1076"/>
      <c r="S26" s="1076"/>
      <c r="T26" s="1076"/>
    </row>
    <row r="27" spans="1:20" s="1035" customFormat="1" x14ac:dyDescent="0.25">
      <c r="A27" s="1580" t="s">
        <v>24</v>
      </c>
      <c r="B27" s="1581"/>
      <c r="C27" s="1075">
        <f>SUM(C5:C23)</f>
        <v>15199944482</v>
      </c>
      <c r="D27" s="1075"/>
      <c r="E27" s="1079"/>
      <c r="F27" s="1075">
        <f>SUM(F5:F26)</f>
        <v>7200434439</v>
      </c>
      <c r="G27" s="1075"/>
      <c r="H27" s="1077"/>
      <c r="I27" s="1075">
        <f>SUM(I6:I26)</f>
        <v>7999510043</v>
      </c>
      <c r="J27" s="1075">
        <f>SUM(J5:J26)</f>
        <v>41861911.781388894</v>
      </c>
      <c r="K27" s="1076"/>
      <c r="L27" s="1076"/>
      <c r="M27" s="1076"/>
      <c r="N27" s="1075">
        <f>SUM(N5:N26)</f>
        <v>35089625.967111111</v>
      </c>
      <c r="O27" s="1075"/>
      <c r="P27" s="1076"/>
      <c r="Q27" s="1076"/>
      <c r="R27" s="1076"/>
      <c r="S27" s="1075">
        <f>SUM(S6:S26)</f>
        <v>0</v>
      </c>
      <c r="T27" s="1076"/>
    </row>
    <row r="28" spans="1:20" s="1035" customFormat="1" x14ac:dyDescent="0.25">
      <c r="A28" s="1057"/>
      <c r="B28" s="1319"/>
      <c r="C28" s="1318"/>
      <c r="E28" s="1023"/>
      <c r="H28" s="1058"/>
    </row>
    <row r="29" spans="1:20" s="1035" customFormat="1" x14ac:dyDescent="0.25">
      <c r="A29" s="1057"/>
      <c r="B29" s="1319"/>
      <c r="C29" s="1318"/>
      <c r="D29" s="1080"/>
      <c r="E29" s="1081"/>
      <c r="F29" s="1080"/>
      <c r="G29" s="1058"/>
      <c r="I29" s="1080"/>
      <c r="J29" s="1080"/>
      <c r="K29" s="1080"/>
      <c r="L29" s="1080"/>
      <c r="M29" s="1080"/>
      <c r="N29" s="1080"/>
      <c r="O29" s="1080"/>
      <c r="P29" s="1080"/>
      <c r="Q29" s="1080"/>
      <c r="R29" s="1080"/>
      <c r="S29" s="1080"/>
      <c r="T29" s="1080"/>
    </row>
    <row r="30" spans="1:20" s="1035" customFormat="1" x14ac:dyDescent="0.25">
      <c r="A30" s="1516" t="s">
        <v>6315</v>
      </c>
      <c r="B30" s="1517"/>
      <c r="C30" s="1516"/>
      <c r="D30" s="1516"/>
      <c r="E30" s="1020"/>
      <c r="F30" s="1021">
        <f>SUM(C5:C11)</f>
        <v>7200434439</v>
      </c>
      <c r="G30" s="1080"/>
      <c r="H30" s="1058"/>
      <c r="I30" s="1080"/>
      <c r="J30" s="1080"/>
      <c r="K30" s="1080"/>
      <c r="L30" s="1080"/>
      <c r="M30" s="1080"/>
      <c r="N30" s="1080"/>
      <c r="O30" s="1080"/>
      <c r="P30" s="1080"/>
      <c r="Q30" s="1080"/>
      <c r="R30" s="1080"/>
      <c r="S30" s="1080"/>
      <c r="T30" s="1080"/>
    </row>
    <row r="31" spans="1:20" s="1035" customFormat="1" x14ac:dyDescent="0.25">
      <c r="A31" s="1516" t="s">
        <v>6316</v>
      </c>
      <c r="B31" s="1516"/>
      <c r="C31" s="1516"/>
      <c r="D31" s="1516"/>
      <c r="E31" s="1023"/>
      <c r="F31" s="1024">
        <f>SUM(C12:C26)</f>
        <v>7999510043</v>
      </c>
      <c r="H31" s="1058"/>
    </row>
    <row r="32" spans="1:20" s="1035" customFormat="1" x14ac:dyDescent="0.25">
      <c r="A32" s="1516" t="s">
        <v>6317</v>
      </c>
      <c r="B32" s="1517"/>
      <c r="C32" s="1516"/>
      <c r="D32" s="1516"/>
      <c r="E32" s="1023"/>
      <c r="F32" s="1024">
        <f>F27</f>
        <v>7200434439</v>
      </c>
      <c r="H32" s="1058"/>
      <c r="I32" s="1080"/>
      <c r="K32" s="1080"/>
      <c r="L32" s="1080"/>
      <c r="M32" s="1080"/>
    </row>
    <row r="33" spans="1:8" s="1035" customFormat="1" x14ac:dyDescent="0.25">
      <c r="A33" s="1516" t="s">
        <v>6318</v>
      </c>
      <c r="B33" s="1517"/>
      <c r="C33" s="1516"/>
      <c r="D33" s="1516"/>
      <c r="E33" s="1023"/>
      <c r="F33" s="1025">
        <f>F30+F31-F32</f>
        <v>7999510043</v>
      </c>
      <c r="H33" s="1058"/>
    </row>
    <row r="34" spans="1:8" s="1035" customFormat="1" x14ac:dyDescent="0.25">
      <c r="A34" s="1057"/>
      <c r="B34" s="1319"/>
      <c r="C34" s="1318"/>
      <c r="E34" s="1023"/>
      <c r="H34" s="1058"/>
    </row>
    <row r="35" spans="1:8" s="1035" customFormat="1" x14ac:dyDescent="0.25">
      <c r="A35" s="1057"/>
      <c r="B35" s="1319"/>
      <c r="C35" s="1318"/>
      <c r="E35" s="1023"/>
      <c r="H35" s="1058"/>
    </row>
    <row r="57" spans="12:20" x14ac:dyDescent="0.25">
      <c r="M57" s="1035" t="s">
        <v>6086</v>
      </c>
      <c r="T57" s="1082"/>
    </row>
    <row r="58" spans="12:20" x14ac:dyDescent="0.25">
      <c r="L58" s="1035" t="s">
        <v>6333</v>
      </c>
      <c r="T58" s="1082"/>
    </row>
    <row r="59" spans="12:20" x14ac:dyDescent="0.25">
      <c r="M59" s="1035" t="s">
        <v>6110</v>
      </c>
      <c r="T59" s="1082"/>
    </row>
  </sheetData>
  <mergeCells count="10">
    <mergeCell ref="A2:C2"/>
    <mergeCell ref="D2:D3"/>
    <mergeCell ref="I2:I3"/>
    <mergeCell ref="J2:J3"/>
    <mergeCell ref="E2:H2"/>
    <mergeCell ref="A32:D32"/>
    <mergeCell ref="A33:D33"/>
    <mergeCell ref="A31:D31"/>
    <mergeCell ref="A27:B27"/>
    <mergeCell ref="A30:D30"/>
  </mergeCells>
  <pageMargins left="0.28000000000000003" right="0.26" top="0.75" bottom="0.75" header="0.3" footer="0.3"/>
  <pageSetup paperSize="9" scale="64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topLeftCell="A4" zoomScale="80" zoomScaleNormal="80" zoomScaleSheetLayoutView="100" workbookViewId="0">
      <pane xSplit="4" ySplit="4" topLeftCell="E8" activePane="bottomRight" state="frozen"/>
      <selection activeCell="A4" sqref="A4"/>
      <selection pane="topRight" activeCell="E4" sqref="E4"/>
      <selection pane="bottomLeft" activeCell="A8" sqref="A8"/>
      <selection pane="bottomRight" activeCell="G22" sqref="G22"/>
    </sheetView>
  </sheetViews>
  <sheetFormatPr defaultRowHeight="15.75" x14ac:dyDescent="0.25"/>
  <cols>
    <col min="1" max="1" width="13" style="1084" customWidth="1"/>
    <col min="2" max="2" width="10.7109375" style="1370" customWidth="1"/>
    <col min="3" max="3" width="20.140625" style="1014" customWidth="1"/>
    <col min="4" max="4" width="17.5703125" style="1085" customWidth="1"/>
    <col min="5" max="5" width="17.140625" style="1014" customWidth="1"/>
    <col min="6" max="6" width="18.140625" style="1014" bestFit="1" customWidth="1"/>
    <col min="7" max="7" width="12.140625" style="1023" bestFit="1" customWidth="1"/>
    <col min="8" max="8" width="10.7109375" style="1014" customWidth="1"/>
    <col min="9" max="10" width="16.5703125" style="1014" customWidth="1"/>
    <col min="11" max="11" width="11.42578125" style="1014" customWidth="1"/>
    <col min="12" max="12" width="9.42578125" style="1035" customWidth="1"/>
    <col min="13" max="13" width="17.140625" style="1035" customWidth="1"/>
    <col min="14" max="14" width="19.140625" style="1014" customWidth="1"/>
    <col min="15" max="15" width="14.28515625" style="1014" customWidth="1"/>
    <col min="16" max="16" width="16.5703125" style="1085" customWidth="1"/>
    <col min="17" max="17" width="10.7109375" style="1014" customWidth="1"/>
    <col min="18" max="18" width="12" style="1014" customWidth="1"/>
    <col min="19" max="19" width="15.42578125" style="1014" customWidth="1"/>
    <col min="20" max="20" width="15" style="1014" customWidth="1"/>
    <col min="21" max="24" width="13.7109375" style="1014" customWidth="1"/>
    <col min="25" max="25" width="15.7109375" style="1014" customWidth="1"/>
    <col min="26" max="30" width="13.7109375" style="1014" customWidth="1"/>
    <col min="31" max="31" width="19.140625" style="1014" customWidth="1"/>
    <col min="32" max="16384" width="9.140625" style="1014"/>
  </cols>
  <sheetData>
    <row r="1" spans="1:31" ht="16.5" hidden="1" thickBot="1" x14ac:dyDescent="0.3">
      <c r="L1" s="1065"/>
      <c r="M1" s="1065"/>
    </row>
    <row r="2" spans="1:31" ht="16.5" hidden="1" thickBot="1" x14ac:dyDescent="0.3">
      <c r="B2" s="1059"/>
      <c r="C2" s="1086"/>
      <c r="D2" s="1087"/>
      <c r="E2" s="1086"/>
      <c r="F2" s="1086"/>
      <c r="G2" s="1061"/>
      <c r="H2" s="1086"/>
      <c r="I2" s="1086"/>
      <c r="J2" s="1086"/>
      <c r="K2" s="1086"/>
      <c r="L2" s="1086"/>
      <c r="M2" s="1086"/>
      <c r="N2" s="1086"/>
      <c r="O2" s="1086"/>
      <c r="P2" s="1087"/>
      <c r="Q2" s="1086"/>
      <c r="R2" s="1086"/>
      <c r="S2" s="1086"/>
      <c r="T2" s="1086"/>
      <c r="U2" s="1086"/>
      <c r="V2" s="1086"/>
      <c r="W2" s="1086"/>
      <c r="X2" s="1086"/>
      <c r="Y2" s="1086"/>
      <c r="Z2" s="1086"/>
      <c r="AA2" s="1086"/>
      <c r="AB2" s="1086"/>
      <c r="AC2" s="1086"/>
      <c r="AD2" s="1086"/>
      <c r="AE2" s="1086"/>
    </row>
    <row r="3" spans="1:31" ht="16.5" hidden="1" thickBot="1" x14ac:dyDescent="0.3">
      <c r="B3" s="1059"/>
      <c r="C3" s="1086"/>
      <c r="D3" s="1087"/>
      <c r="E3" s="1086"/>
      <c r="F3" s="1086"/>
      <c r="G3" s="1061"/>
      <c r="H3" s="1086"/>
      <c r="I3" s="1086"/>
      <c r="J3" s="1086"/>
      <c r="K3" s="1086"/>
      <c r="L3" s="1086"/>
      <c r="M3" s="1086"/>
      <c r="N3" s="1086"/>
      <c r="O3" s="1086"/>
      <c r="P3" s="1087"/>
      <c r="Q3" s="1086"/>
      <c r="R3" s="1086"/>
      <c r="S3" s="1086"/>
      <c r="T3" s="1086"/>
      <c r="U3" s="1086"/>
      <c r="V3" s="1086"/>
      <c r="W3" s="1086"/>
      <c r="X3" s="1086"/>
      <c r="Y3" s="1086"/>
      <c r="Z3" s="1086"/>
      <c r="AA3" s="1086"/>
      <c r="AB3" s="1086"/>
      <c r="AC3" s="1086"/>
      <c r="AD3" s="1086"/>
      <c r="AE3" s="1086"/>
    </row>
    <row r="4" spans="1:31" ht="16.5" thickBot="1" x14ac:dyDescent="0.3">
      <c r="A4" s="1084" t="s">
        <v>6091</v>
      </c>
      <c r="B4" s="1063"/>
      <c r="C4" s="1086"/>
      <c r="D4" s="1087">
        <v>59</v>
      </c>
      <c r="E4" s="1086"/>
      <c r="F4" s="1086">
        <v>30</v>
      </c>
      <c r="G4" s="1061" t="s">
        <v>6215</v>
      </c>
      <c r="H4" s="1133">
        <v>8.5000000000000006E-2</v>
      </c>
      <c r="I4" s="1088">
        <v>0.1</v>
      </c>
      <c r="J4" s="1088"/>
      <c r="K4" s="1088"/>
      <c r="L4" s="1068"/>
      <c r="M4" s="1068"/>
      <c r="N4" s="1086"/>
      <c r="O4" s="1086"/>
      <c r="P4" s="1087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</row>
    <row r="5" spans="1:31" s="1089" customFormat="1" ht="15" customHeight="1" thickBot="1" x14ac:dyDescent="0.3">
      <c r="A5" s="1520" t="s">
        <v>102</v>
      </c>
      <c r="B5" s="1521"/>
      <c r="C5" s="1521"/>
      <c r="D5" s="1584" t="s">
        <v>103</v>
      </c>
      <c r="E5" s="1520" t="s">
        <v>124</v>
      </c>
      <c r="F5" s="1521"/>
      <c r="G5" s="1521"/>
      <c r="H5" s="1522"/>
      <c r="I5" s="1586" t="s">
        <v>104</v>
      </c>
      <c r="J5" s="1588" t="s">
        <v>105</v>
      </c>
      <c r="K5" s="1359" t="s">
        <v>106</v>
      </c>
      <c r="L5" s="1360"/>
      <c r="M5" s="1360"/>
      <c r="N5" s="1360"/>
      <c r="O5" s="1360"/>
      <c r="P5" s="1360"/>
      <c r="Q5" s="1375"/>
    </row>
    <row r="6" spans="1:31" s="1089" customFormat="1" ht="16.5" thickBot="1" x14ac:dyDescent="0.3">
      <c r="A6" s="1371" t="s">
        <v>109</v>
      </c>
      <c r="B6" s="1036" t="s">
        <v>110</v>
      </c>
      <c r="C6" s="1037" t="s">
        <v>111</v>
      </c>
      <c r="D6" s="1585"/>
      <c r="E6" s="1090" t="s">
        <v>112</v>
      </c>
      <c r="F6" s="999" t="s">
        <v>113</v>
      </c>
      <c r="G6" s="999" t="s">
        <v>114</v>
      </c>
      <c r="H6" s="1091" t="s">
        <v>5960</v>
      </c>
      <c r="I6" s="1587"/>
      <c r="J6" s="1589"/>
      <c r="K6" s="1362" t="s">
        <v>117</v>
      </c>
      <c r="L6" s="1363"/>
      <c r="M6" s="1363"/>
      <c r="N6" s="1363"/>
      <c r="O6" s="1363"/>
      <c r="P6" s="1363"/>
      <c r="Q6" s="1376"/>
    </row>
    <row r="7" spans="1:31" s="1092" customFormat="1" ht="16.5" thickBot="1" x14ac:dyDescent="0.3">
      <c r="A7" s="1352"/>
      <c r="B7" s="1353"/>
      <c r="C7" s="1354"/>
      <c r="D7" s="1355"/>
      <c r="E7" s="1354"/>
      <c r="F7" s="1354"/>
      <c r="G7" s="1356"/>
      <c r="H7" s="1354"/>
      <c r="I7" s="1354"/>
      <c r="J7" s="1357"/>
      <c r="K7" s="1068" t="s">
        <v>6215</v>
      </c>
      <c r="L7" s="1068" t="s">
        <v>6262</v>
      </c>
      <c r="M7" s="1068" t="s">
        <v>6263</v>
      </c>
      <c r="N7" s="1068" t="s">
        <v>6145</v>
      </c>
      <c r="O7" s="1068" t="s">
        <v>6264</v>
      </c>
      <c r="P7" s="1324" t="s">
        <v>6146</v>
      </c>
      <c r="Q7" s="1325" t="s">
        <v>114</v>
      </c>
    </row>
    <row r="8" spans="1:31" s="1094" customFormat="1" ht="15.75" customHeight="1" x14ac:dyDescent="0.25">
      <c r="A8" s="1378"/>
      <c r="B8" s="1379"/>
      <c r="C8" s="1383"/>
      <c r="D8" s="1342"/>
      <c r="E8" s="1343"/>
      <c r="F8" s="1344"/>
      <c r="G8" s="1345"/>
      <c r="H8" s="1380"/>
      <c r="I8" s="1346"/>
      <c r="J8" s="1382"/>
      <c r="K8" s="1347"/>
      <c r="L8" s="1348"/>
      <c r="M8" s="1349"/>
      <c r="N8" s="1344"/>
      <c r="O8" s="1350"/>
      <c r="P8" s="1344"/>
      <c r="Q8" s="1351"/>
    </row>
    <row r="9" spans="1:31" ht="15" customHeight="1" thickBot="1" x14ac:dyDescent="0.3">
      <c r="A9" s="1590" t="s">
        <v>24</v>
      </c>
      <c r="B9" s="1590"/>
      <c r="C9" s="1340">
        <f>SUM(C8)</f>
        <v>0</v>
      </c>
      <c r="D9" s="1341"/>
      <c r="E9" s="1340"/>
      <c r="F9" s="1340">
        <f>SUM(F8:F8)</f>
        <v>0</v>
      </c>
      <c r="G9" s="1340"/>
      <c r="H9" s="1340"/>
      <c r="I9" s="1340">
        <f>SUM(I4:I8)</f>
        <v>0.1</v>
      </c>
      <c r="J9" s="1340">
        <f>SUM(J8:J8)</f>
        <v>0</v>
      </c>
      <c r="K9" s="1340"/>
      <c r="L9" s="1340"/>
      <c r="M9" s="1340"/>
      <c r="N9" s="1340">
        <f>SUM(N8:N8)</f>
        <v>0</v>
      </c>
      <c r="O9" s="1340"/>
      <c r="P9" s="1340">
        <f>SUM(P8:P8)</f>
        <v>0</v>
      </c>
      <c r="Q9" s="1340"/>
    </row>
    <row r="10" spans="1:31" x14ac:dyDescent="0.25">
      <c r="L10" s="1044"/>
      <c r="M10" s="1074"/>
    </row>
    <row r="11" spans="1:31" x14ac:dyDescent="0.25">
      <c r="A11" s="1516" t="s">
        <v>6315</v>
      </c>
      <c r="B11" s="1517"/>
      <c r="C11" s="1516"/>
      <c r="D11" s="1516"/>
      <c r="F11" s="1021">
        <f>SUM(C8)</f>
        <v>0</v>
      </c>
      <c r="G11" s="1020"/>
      <c r="H11" s="1093"/>
      <c r="I11" s="1093"/>
      <c r="J11" s="1093"/>
      <c r="L11" s="1082"/>
      <c r="M11" s="1082"/>
      <c r="N11" s="1093"/>
      <c r="O11" s="1093"/>
    </row>
    <row r="12" spans="1:31" x14ac:dyDescent="0.25">
      <c r="A12" s="1516" t="s">
        <v>6316</v>
      </c>
      <c r="B12" s="1516"/>
      <c r="C12" s="1516"/>
      <c r="D12" s="1516"/>
      <c r="F12" s="1024">
        <f>SUM(C8)</f>
        <v>0</v>
      </c>
      <c r="H12" s="1093"/>
      <c r="I12" s="1093"/>
      <c r="J12" s="1093"/>
      <c r="L12" s="1082"/>
      <c r="M12" s="1082"/>
      <c r="N12" s="1093"/>
      <c r="O12" s="1093"/>
    </row>
    <row r="13" spans="1:31" x14ac:dyDescent="0.25">
      <c r="A13" s="1516" t="s">
        <v>6317</v>
      </c>
      <c r="B13" s="1517"/>
      <c r="C13" s="1516"/>
      <c r="D13" s="1516"/>
      <c r="F13" s="1024">
        <f>F9</f>
        <v>0</v>
      </c>
      <c r="L13" s="1082"/>
      <c r="M13" s="1082"/>
    </row>
    <row r="14" spans="1:31" x14ac:dyDescent="0.25">
      <c r="A14" s="1516" t="s">
        <v>6318</v>
      </c>
      <c r="B14" s="1517"/>
      <c r="C14" s="1516"/>
      <c r="D14" s="1516"/>
      <c r="F14" s="1025">
        <f>I9</f>
        <v>0.1</v>
      </c>
    </row>
    <row r="15" spans="1:31" x14ac:dyDescent="0.25">
      <c r="F15" s="1093"/>
    </row>
    <row r="16" spans="1:31" x14ac:dyDescent="0.25">
      <c r="C16" s="1370"/>
    </row>
    <row r="27" spans="12:13" x14ac:dyDescent="0.25">
      <c r="L27" s="1030"/>
      <c r="M27" s="1030"/>
    </row>
    <row r="28" spans="12:13" x14ac:dyDescent="0.25">
      <c r="L28" s="1083"/>
      <c r="M28" s="1083"/>
    </row>
    <row r="29" spans="12:13" x14ac:dyDescent="0.25">
      <c r="L29" s="1083"/>
      <c r="M29" s="1083"/>
    </row>
    <row r="30" spans="12:13" x14ac:dyDescent="0.25">
      <c r="L30" s="1083"/>
      <c r="M30" s="1083"/>
    </row>
    <row r="31" spans="12:13" x14ac:dyDescent="0.25">
      <c r="L31" s="1083"/>
      <c r="M31" s="1083"/>
    </row>
    <row r="32" spans="12:13" x14ac:dyDescent="0.25">
      <c r="L32" s="1030"/>
      <c r="M32" s="1030"/>
    </row>
    <row r="33" spans="12:13" x14ac:dyDescent="0.25">
      <c r="L33" s="1030"/>
      <c r="M33" s="1030"/>
    </row>
  </sheetData>
  <autoFilter ref="B2:B28"/>
  <mergeCells count="10">
    <mergeCell ref="D5:D6"/>
    <mergeCell ref="I5:I6"/>
    <mergeCell ref="J5:J6"/>
    <mergeCell ref="A14:D14"/>
    <mergeCell ref="A9:B9"/>
    <mergeCell ref="A5:C5"/>
    <mergeCell ref="E5:H5"/>
    <mergeCell ref="A11:D11"/>
    <mergeCell ref="A12:D12"/>
    <mergeCell ref="A13:D13"/>
  </mergeCells>
  <pageMargins left="0.75" right="0.75" top="1" bottom="1" header="0.51" footer="0.51"/>
  <pageSetup scale="5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30"/>
  <sheetViews>
    <sheetView topLeftCell="A76" workbookViewId="0">
      <pane xSplit="2" topLeftCell="K1" activePane="topRight" state="frozen"/>
      <selection pane="topRight" activeCell="P85" sqref="P85"/>
    </sheetView>
  </sheetViews>
  <sheetFormatPr defaultColWidth="9.140625" defaultRowHeight="15" x14ac:dyDescent="0.25"/>
  <cols>
    <col min="1" max="1" width="9.140625" style="254"/>
    <col min="2" max="2" width="42.140625" style="254" customWidth="1"/>
    <col min="3" max="3" width="41.85546875" style="254" customWidth="1"/>
    <col min="4" max="4" width="9.140625" style="254" customWidth="1"/>
    <col min="5" max="5" width="15" style="254" customWidth="1"/>
    <col min="6" max="6" width="14.7109375" style="254" customWidth="1"/>
    <col min="7" max="7" width="15" style="254" customWidth="1"/>
    <col min="8" max="8" width="13.85546875" style="254" customWidth="1"/>
    <col min="9" max="9" width="13.7109375" style="254" customWidth="1"/>
    <col min="10" max="10" width="12" style="254" bestFit="1" customWidth="1"/>
    <col min="11" max="11" width="11" style="254" bestFit="1" customWidth="1"/>
    <col min="12" max="12" width="12" style="254" bestFit="1" customWidth="1"/>
    <col min="13" max="13" width="10.7109375" style="254" bestFit="1" customWidth="1"/>
    <col min="14" max="14" width="13" style="254" customWidth="1"/>
    <col min="15" max="15" width="10.7109375" style="254" bestFit="1" customWidth="1"/>
    <col min="16" max="16" width="12.5703125" style="254" bestFit="1" customWidth="1"/>
    <col min="17" max="17" width="10.7109375" style="254" bestFit="1" customWidth="1"/>
    <col min="18" max="18" width="12.5703125" style="254" bestFit="1" customWidth="1"/>
    <col min="19" max="19" width="12.7109375" style="254" customWidth="1"/>
    <col min="20" max="20" width="14" style="254" customWidth="1"/>
    <col min="21" max="21" width="12.42578125" style="254" customWidth="1"/>
    <col min="22" max="22" width="13.7109375" style="254" customWidth="1"/>
    <col min="23" max="23" width="12.5703125" style="254" customWidth="1"/>
    <col min="24" max="24" width="13.42578125" style="254" customWidth="1"/>
    <col min="25" max="25" width="12.42578125" style="254" customWidth="1"/>
    <col min="26" max="26" width="17.7109375" style="254" customWidth="1"/>
    <col min="27" max="27" width="11.5703125" style="254" bestFit="1" customWidth="1"/>
    <col min="28" max="28" width="13.42578125" style="254" customWidth="1"/>
    <col min="29" max="16384" width="9.140625" style="254"/>
  </cols>
  <sheetData>
    <row r="1" spans="1:29" ht="23.25" customHeight="1" x14ac:dyDescent="0.35">
      <c r="A1" s="242" t="s">
        <v>6226</v>
      </c>
      <c r="G1" s="254" t="s">
        <v>5468</v>
      </c>
    </row>
    <row r="2" spans="1:29" s="1" customFormat="1" x14ac:dyDescent="0.25">
      <c r="A2" s="1597" t="s">
        <v>131</v>
      </c>
      <c r="B2" s="1597" t="s">
        <v>3436</v>
      </c>
      <c r="C2" s="1388"/>
      <c r="D2" s="1388"/>
      <c r="E2" s="1598" t="s">
        <v>3443</v>
      </c>
      <c r="F2" s="1598"/>
      <c r="G2" s="1598"/>
      <c r="H2" s="1598"/>
      <c r="I2" s="1598"/>
      <c r="J2" s="1598"/>
      <c r="K2" s="1598"/>
      <c r="L2" s="1598"/>
      <c r="M2" s="1598"/>
      <c r="N2" s="1598"/>
      <c r="O2" s="1598"/>
      <c r="P2" s="1598"/>
      <c r="Q2" s="1598"/>
      <c r="R2" s="1598"/>
      <c r="S2" s="1598"/>
      <c r="T2" s="1598"/>
      <c r="U2" s="1598"/>
      <c r="V2" s="1598"/>
      <c r="W2" s="1598"/>
      <c r="X2" s="1598"/>
      <c r="Y2" s="1598"/>
      <c r="Z2" s="1598"/>
      <c r="AA2" s="1598"/>
      <c r="AB2" s="1598"/>
      <c r="AC2" s="1599" t="s">
        <v>24</v>
      </c>
    </row>
    <row r="3" spans="1:29" s="1" customFormat="1" x14ac:dyDescent="0.25">
      <c r="A3" s="1597"/>
      <c r="B3" s="1597"/>
      <c r="C3" s="1388"/>
      <c r="D3" s="1388"/>
      <c r="E3" s="1389" t="s">
        <v>3456</v>
      </c>
      <c r="F3" s="1389" t="s">
        <v>3444</v>
      </c>
      <c r="G3" s="1389" t="s">
        <v>3445</v>
      </c>
      <c r="H3" s="1389" t="s">
        <v>3444</v>
      </c>
      <c r="I3" s="1389" t="s">
        <v>3446</v>
      </c>
      <c r="J3" s="1389" t="s">
        <v>3444</v>
      </c>
      <c r="K3" s="1389" t="s">
        <v>3447</v>
      </c>
      <c r="L3" s="1389" t="s">
        <v>3444</v>
      </c>
      <c r="M3" s="1389" t="s">
        <v>3448</v>
      </c>
      <c r="N3" s="1389" t="s">
        <v>3444</v>
      </c>
      <c r="O3" s="1389" t="s">
        <v>3449</v>
      </c>
      <c r="P3" s="1389" t="s">
        <v>3444</v>
      </c>
      <c r="Q3" s="1389" t="s">
        <v>3450</v>
      </c>
      <c r="R3" s="1389" t="s">
        <v>3444</v>
      </c>
      <c r="S3" s="1389" t="s">
        <v>3451</v>
      </c>
      <c r="T3" s="1389" t="s">
        <v>3444</v>
      </c>
      <c r="U3" s="1389" t="s">
        <v>3452</v>
      </c>
      <c r="V3" s="1389" t="s">
        <v>3444</v>
      </c>
      <c r="W3" s="1389" t="s">
        <v>3453</v>
      </c>
      <c r="X3" s="1389" t="s">
        <v>3444</v>
      </c>
      <c r="Y3" s="1389" t="s">
        <v>3454</v>
      </c>
      <c r="Z3" s="1389" t="s">
        <v>3444</v>
      </c>
      <c r="AA3" s="1389" t="s">
        <v>3455</v>
      </c>
      <c r="AB3" s="1389" t="s">
        <v>3444</v>
      </c>
      <c r="AC3" s="1599"/>
    </row>
    <row r="4" spans="1:29" x14ac:dyDescent="0.25">
      <c r="A4" s="894"/>
      <c r="B4" s="898" t="s">
        <v>6015</v>
      </c>
      <c r="C4" s="894"/>
      <c r="D4" s="894"/>
      <c r="E4" s="609"/>
      <c r="F4" s="560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</row>
    <row r="5" spans="1:29" x14ac:dyDescent="0.25">
      <c r="A5" s="894"/>
      <c r="B5" s="894" t="s">
        <v>6004</v>
      </c>
      <c r="C5" s="894"/>
      <c r="D5" s="894"/>
      <c r="E5" s="850">
        <v>44594</v>
      </c>
      <c r="F5" s="563">
        <v>39960000</v>
      </c>
      <c r="G5" s="850">
        <v>44621</v>
      </c>
      <c r="H5" s="563">
        <v>42480000</v>
      </c>
      <c r="I5" s="850">
        <v>44648</v>
      </c>
      <c r="J5" s="563">
        <v>39120000</v>
      </c>
      <c r="K5" s="850">
        <v>44679</v>
      </c>
      <c r="L5" s="563">
        <v>46490000</v>
      </c>
      <c r="M5" s="850">
        <v>44712</v>
      </c>
      <c r="N5" s="563">
        <v>30960000</v>
      </c>
      <c r="O5" s="850">
        <v>44742</v>
      </c>
      <c r="P5" s="563">
        <v>44880000</v>
      </c>
      <c r="Q5" s="850"/>
      <c r="R5" s="563"/>
      <c r="S5" s="850"/>
      <c r="T5" s="563"/>
      <c r="U5" s="850"/>
      <c r="V5" s="563"/>
      <c r="W5" s="850"/>
      <c r="X5" s="563"/>
      <c r="Y5" s="850"/>
      <c r="Z5" s="563"/>
      <c r="AA5" s="850"/>
      <c r="AB5" s="563"/>
      <c r="AC5" s="362"/>
    </row>
    <row r="6" spans="1:29" x14ac:dyDescent="0.25">
      <c r="A6" s="894"/>
      <c r="B6" s="894" t="s">
        <v>6005</v>
      </c>
      <c r="C6" s="894"/>
      <c r="D6" s="894"/>
      <c r="E6" s="850"/>
      <c r="F6" s="563"/>
      <c r="G6" s="370"/>
      <c r="H6" s="370"/>
      <c r="I6" s="370"/>
      <c r="J6" s="370"/>
      <c r="K6" s="370"/>
      <c r="L6" s="370"/>
      <c r="M6" s="370"/>
      <c r="N6" s="370"/>
      <c r="O6" s="850">
        <v>44742</v>
      </c>
      <c r="P6" s="563">
        <v>2318500</v>
      </c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62"/>
    </row>
    <row r="7" spans="1:29" x14ac:dyDescent="0.25">
      <c r="A7" s="894"/>
      <c r="B7" s="894" t="s">
        <v>6006</v>
      </c>
      <c r="C7" s="362"/>
      <c r="D7" s="362"/>
      <c r="E7" s="850">
        <v>44594</v>
      </c>
      <c r="F7" s="563">
        <v>15093750</v>
      </c>
      <c r="G7" s="850">
        <v>44621</v>
      </c>
      <c r="H7" s="563">
        <v>15214875</v>
      </c>
      <c r="I7" s="850">
        <v>44651</v>
      </c>
      <c r="J7" s="563">
        <v>17217150</v>
      </c>
      <c r="K7" s="850">
        <v>44679</v>
      </c>
      <c r="L7" s="563">
        <v>23280850</v>
      </c>
      <c r="M7" s="850">
        <v>44712</v>
      </c>
      <c r="N7" s="563">
        <v>12812200</v>
      </c>
      <c r="O7" s="850">
        <v>44742</v>
      </c>
      <c r="P7" s="563">
        <v>15914975</v>
      </c>
      <c r="Q7" s="850"/>
      <c r="R7" s="563"/>
      <c r="S7" s="850"/>
      <c r="T7" s="563"/>
      <c r="U7" s="850"/>
      <c r="V7" s="563"/>
      <c r="W7" s="850"/>
      <c r="X7" s="563"/>
      <c r="Y7" s="850"/>
      <c r="Z7" s="563"/>
      <c r="AA7" s="850"/>
      <c r="AB7" s="563"/>
      <c r="AC7" s="362"/>
    </row>
    <row r="8" spans="1:29" x14ac:dyDescent="0.25">
      <c r="A8" s="362"/>
      <c r="B8" s="894" t="s">
        <v>5946</v>
      </c>
      <c r="C8" s="362"/>
      <c r="D8" s="362"/>
      <c r="E8" s="850">
        <v>44594</v>
      </c>
      <c r="F8" s="563">
        <v>48383888</v>
      </c>
      <c r="G8" s="850">
        <v>44621</v>
      </c>
      <c r="H8" s="563">
        <v>76624381</v>
      </c>
      <c r="I8" s="850">
        <v>44651</v>
      </c>
      <c r="J8" s="563">
        <v>78683952</v>
      </c>
      <c r="K8" s="850">
        <v>44679</v>
      </c>
      <c r="L8" s="563">
        <v>85291709</v>
      </c>
      <c r="M8" s="850">
        <v>44712</v>
      </c>
      <c r="N8" s="563">
        <v>49517698</v>
      </c>
      <c r="O8" s="850">
        <v>44742</v>
      </c>
      <c r="P8" s="563">
        <v>54402665</v>
      </c>
      <c r="Q8" s="850"/>
      <c r="R8" s="563"/>
      <c r="S8" s="850"/>
      <c r="T8" s="563"/>
      <c r="U8" s="850"/>
      <c r="V8" s="563"/>
      <c r="W8" s="850"/>
      <c r="X8" s="563"/>
      <c r="Y8" s="850"/>
      <c r="Z8" s="563"/>
      <c r="AA8" s="850"/>
      <c r="AB8" s="563"/>
      <c r="AC8" s="362"/>
    </row>
    <row r="9" spans="1:29" x14ac:dyDescent="0.25">
      <c r="A9" s="362"/>
      <c r="B9" s="894" t="s">
        <v>5984</v>
      </c>
      <c r="C9" s="362"/>
      <c r="D9" s="362"/>
      <c r="E9" s="850"/>
      <c r="F9" s="563"/>
      <c r="G9" s="850"/>
      <c r="H9" s="563"/>
      <c r="I9" s="37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62"/>
    </row>
    <row r="10" spans="1:29" x14ac:dyDescent="0.25">
      <c r="A10" s="362"/>
      <c r="B10" s="894" t="s">
        <v>6072</v>
      </c>
      <c r="C10" s="362"/>
      <c r="D10" s="362"/>
      <c r="E10" s="850"/>
      <c r="F10" s="563"/>
      <c r="G10" s="370"/>
      <c r="H10" s="563"/>
      <c r="I10" s="37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62"/>
    </row>
    <row r="11" spans="1:29" x14ac:dyDescent="0.25">
      <c r="A11" s="362"/>
      <c r="B11" s="894" t="s">
        <v>6107</v>
      </c>
      <c r="C11" s="362"/>
      <c r="D11" s="362"/>
      <c r="E11" s="850"/>
      <c r="F11" s="563"/>
      <c r="G11" s="370"/>
      <c r="H11" s="563"/>
      <c r="I11" s="370"/>
      <c r="J11" s="370"/>
      <c r="K11" s="850"/>
      <c r="L11" s="563"/>
      <c r="M11" s="850"/>
      <c r="N11" s="563"/>
      <c r="O11" s="850"/>
      <c r="P11" s="563"/>
      <c r="Q11" s="370"/>
      <c r="R11" s="370"/>
      <c r="S11" s="850"/>
      <c r="T11" s="563"/>
      <c r="U11" s="370"/>
      <c r="V11" s="370"/>
      <c r="W11" s="370"/>
      <c r="X11" s="370"/>
      <c r="Y11" s="370"/>
      <c r="Z11" s="370"/>
      <c r="AA11" s="370"/>
      <c r="AB11" s="370"/>
      <c r="AC11" s="362"/>
    </row>
    <row r="12" spans="1:29" x14ac:dyDescent="0.25">
      <c r="A12" s="362"/>
      <c r="B12" s="894" t="s">
        <v>6153</v>
      </c>
      <c r="C12" s="362"/>
      <c r="D12" s="362"/>
      <c r="E12" s="850"/>
      <c r="F12" s="563"/>
      <c r="G12" s="370"/>
      <c r="H12" s="563"/>
      <c r="I12" s="370"/>
      <c r="J12" s="370"/>
      <c r="K12" s="850"/>
      <c r="L12" s="563"/>
      <c r="M12" s="850"/>
      <c r="N12" s="563"/>
      <c r="O12" s="850"/>
      <c r="P12" s="563"/>
      <c r="Q12" s="370"/>
      <c r="R12" s="370"/>
      <c r="S12" s="850"/>
      <c r="T12" s="563"/>
      <c r="U12" s="370"/>
      <c r="V12" s="370"/>
      <c r="W12" s="370"/>
      <c r="X12" s="370"/>
      <c r="Y12" s="370"/>
      <c r="Z12" s="370"/>
      <c r="AA12" s="370"/>
      <c r="AB12" s="370"/>
      <c r="AC12" s="362"/>
    </row>
    <row r="13" spans="1:29" x14ac:dyDescent="0.25">
      <c r="A13" s="362"/>
      <c r="B13" s="894" t="s">
        <v>6252</v>
      </c>
      <c r="C13" s="362"/>
      <c r="D13" s="362"/>
      <c r="E13" s="850">
        <v>44599</v>
      </c>
      <c r="F13" s="563">
        <v>800000</v>
      </c>
      <c r="G13" s="850"/>
      <c r="H13" s="563"/>
      <c r="I13" s="850">
        <v>44651</v>
      </c>
      <c r="J13" s="563">
        <v>768000</v>
      </c>
      <c r="K13" s="850"/>
      <c r="L13" s="563"/>
      <c r="M13" s="850"/>
      <c r="N13" s="563"/>
      <c r="O13" s="850"/>
      <c r="P13" s="563"/>
      <c r="Q13" s="370"/>
      <c r="R13" s="370"/>
      <c r="S13" s="850"/>
      <c r="T13" s="563"/>
      <c r="U13" s="370"/>
      <c r="V13" s="370"/>
      <c r="W13" s="370"/>
      <c r="X13" s="370"/>
      <c r="Y13" s="370"/>
      <c r="Z13" s="370"/>
      <c r="AA13" s="370"/>
      <c r="AB13" s="370"/>
      <c r="AC13" s="362"/>
    </row>
    <row r="14" spans="1:29" x14ac:dyDescent="0.25">
      <c r="A14" s="362"/>
      <c r="B14" s="894" t="s">
        <v>6253</v>
      </c>
      <c r="C14" s="362"/>
      <c r="D14" s="362"/>
      <c r="E14" s="850">
        <v>44599</v>
      </c>
      <c r="F14" s="563">
        <v>1080000</v>
      </c>
      <c r="G14" s="370"/>
      <c r="H14" s="563"/>
      <c r="I14" s="370"/>
      <c r="J14" s="370"/>
      <c r="K14" s="850"/>
      <c r="L14" s="563"/>
      <c r="M14" s="850"/>
      <c r="N14" s="563"/>
      <c r="O14" s="850"/>
      <c r="P14" s="563"/>
      <c r="Q14" s="370"/>
      <c r="R14" s="370"/>
      <c r="S14" s="850"/>
      <c r="T14" s="563"/>
      <c r="U14" s="370"/>
      <c r="V14" s="370"/>
      <c r="W14" s="370"/>
      <c r="X14" s="370"/>
      <c r="Y14" s="370"/>
      <c r="Z14" s="370"/>
      <c r="AA14" s="370"/>
      <c r="AB14" s="370"/>
      <c r="AC14" s="362"/>
    </row>
    <row r="15" spans="1:29" x14ac:dyDescent="0.25">
      <c r="A15" s="362"/>
      <c r="B15" s="894" t="s">
        <v>3464</v>
      </c>
      <c r="C15" s="362"/>
      <c r="D15" s="362"/>
      <c r="E15" s="850">
        <v>44599</v>
      </c>
      <c r="F15" s="563">
        <f>3060025+2638810+3791667</f>
        <v>9490502</v>
      </c>
      <c r="G15" s="370"/>
      <c r="H15" s="563"/>
      <c r="I15" s="850" t="s">
        <v>6277</v>
      </c>
      <c r="J15" s="563"/>
      <c r="K15" s="850"/>
      <c r="L15" s="563"/>
      <c r="M15" s="850"/>
      <c r="N15" s="563"/>
      <c r="O15" s="850"/>
      <c r="P15" s="563"/>
      <c r="Q15" s="370"/>
      <c r="R15" s="370"/>
      <c r="S15" s="850"/>
      <c r="T15" s="563"/>
      <c r="U15" s="370"/>
      <c r="V15" s="370"/>
      <c r="W15" s="370"/>
      <c r="X15" s="370"/>
      <c r="Y15" s="370"/>
      <c r="Z15" s="370"/>
      <c r="AA15" s="370"/>
      <c r="AB15" s="370"/>
      <c r="AC15" s="362"/>
    </row>
    <row r="16" spans="1:29" x14ac:dyDescent="0.25">
      <c r="A16" s="894"/>
      <c r="B16" s="898" t="s">
        <v>6016</v>
      </c>
      <c r="C16" s="894"/>
      <c r="D16" s="894"/>
      <c r="E16" s="850"/>
      <c r="F16" s="563"/>
      <c r="G16" s="370"/>
      <c r="H16" s="370"/>
      <c r="I16" s="37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  <c r="AC16" s="362"/>
    </row>
    <row r="17" spans="1:29" x14ac:dyDescent="0.25">
      <c r="A17" s="894"/>
      <c r="B17" s="939" t="s">
        <v>6081</v>
      </c>
      <c r="C17" s="894"/>
      <c r="D17" s="894"/>
      <c r="E17" s="850">
        <v>44629</v>
      </c>
      <c r="F17" s="563">
        <v>10670000</v>
      </c>
      <c r="G17" s="850">
        <v>44662</v>
      </c>
      <c r="H17" s="563">
        <v>7517500</v>
      </c>
      <c r="I17" s="850">
        <v>44669</v>
      </c>
      <c r="J17" s="563">
        <v>13580000</v>
      </c>
      <c r="K17" s="850">
        <v>44746</v>
      </c>
      <c r="L17" s="563">
        <v>4122900</v>
      </c>
      <c r="M17" s="850">
        <v>44746</v>
      </c>
      <c r="N17" s="563">
        <v>1455000</v>
      </c>
      <c r="O17" s="850"/>
      <c r="P17" s="563"/>
      <c r="Q17" s="850"/>
      <c r="R17" s="563"/>
      <c r="S17" s="850"/>
      <c r="T17" s="563"/>
      <c r="U17" s="850"/>
      <c r="V17" s="563"/>
      <c r="W17" s="850"/>
      <c r="X17" s="563"/>
      <c r="Y17" s="370"/>
      <c r="Z17" s="370"/>
      <c r="AA17" s="370"/>
      <c r="AB17" s="370"/>
      <c r="AC17" s="362"/>
    </row>
    <row r="18" spans="1:29" x14ac:dyDescent="0.25">
      <c r="A18" s="894"/>
      <c r="B18" s="894" t="s">
        <v>6045</v>
      </c>
      <c r="C18" s="894"/>
      <c r="D18" s="894"/>
      <c r="E18" s="850"/>
      <c r="F18" s="563"/>
      <c r="G18" s="850">
        <v>44662</v>
      </c>
      <c r="H18" s="563">
        <v>6790000</v>
      </c>
      <c r="I18" s="850">
        <v>44669</v>
      </c>
      <c r="J18" s="563">
        <v>10864000</v>
      </c>
      <c r="K18" s="850">
        <v>44746</v>
      </c>
      <c r="L18" s="563">
        <v>3880000</v>
      </c>
      <c r="M18" s="850">
        <v>44746</v>
      </c>
      <c r="N18" s="563">
        <v>1940000</v>
      </c>
      <c r="O18" s="850"/>
      <c r="P18" s="563"/>
      <c r="Q18" s="850"/>
      <c r="R18" s="563"/>
      <c r="S18" s="370"/>
      <c r="T18" s="370"/>
      <c r="U18" s="850"/>
      <c r="V18" s="563"/>
      <c r="W18" s="850"/>
      <c r="X18" s="563"/>
      <c r="Y18" s="370"/>
      <c r="Z18" s="370"/>
      <c r="AA18" s="370"/>
      <c r="AB18" s="370"/>
      <c r="AC18" s="362"/>
    </row>
    <row r="19" spans="1:29" x14ac:dyDescent="0.25">
      <c r="A19" s="894"/>
      <c r="B19" s="894" t="s">
        <v>6268</v>
      </c>
      <c r="C19" s="894"/>
      <c r="D19" s="894"/>
      <c r="E19" s="850">
        <v>44641</v>
      </c>
      <c r="F19" s="563">
        <v>3831500</v>
      </c>
      <c r="G19" s="850">
        <v>44655</v>
      </c>
      <c r="H19" s="563">
        <v>3831500</v>
      </c>
      <c r="I19" s="850">
        <v>44712</v>
      </c>
      <c r="J19" s="563">
        <v>4559000</v>
      </c>
      <c r="K19" s="850"/>
      <c r="L19" s="563"/>
      <c r="M19" s="850"/>
      <c r="N19" s="563"/>
      <c r="O19" s="850"/>
      <c r="P19" s="563"/>
      <c r="Q19" s="850"/>
      <c r="R19" s="563"/>
      <c r="S19" s="370"/>
      <c r="T19" s="370"/>
      <c r="U19" s="850"/>
      <c r="V19" s="563"/>
      <c r="W19" s="850"/>
      <c r="X19" s="563"/>
      <c r="Y19" s="370"/>
      <c r="Z19" s="370"/>
      <c r="AA19" s="370"/>
      <c r="AB19" s="370"/>
      <c r="AC19" s="362"/>
    </row>
    <row r="20" spans="1:29" x14ac:dyDescent="0.25">
      <c r="A20" s="894"/>
      <c r="B20" s="894" t="s">
        <v>6212</v>
      </c>
      <c r="C20" s="894"/>
      <c r="D20" s="894"/>
      <c r="E20" s="850"/>
      <c r="F20" s="563"/>
      <c r="G20" s="370"/>
      <c r="H20" s="563"/>
      <c r="I20" s="370"/>
      <c r="J20" s="370"/>
      <c r="K20" s="850"/>
      <c r="L20" s="563"/>
      <c r="M20" s="850"/>
      <c r="N20" s="563"/>
      <c r="O20" s="850"/>
      <c r="P20" s="563"/>
      <c r="Q20" s="850"/>
      <c r="R20" s="563"/>
      <c r="S20" s="370"/>
      <c r="T20" s="370"/>
      <c r="U20" s="850"/>
      <c r="V20" s="563"/>
      <c r="W20" s="850"/>
      <c r="X20" s="563"/>
      <c r="Y20" s="370"/>
      <c r="Z20" s="370"/>
      <c r="AA20" s="370"/>
      <c r="AB20" s="370"/>
      <c r="AC20" s="362"/>
    </row>
    <row r="21" spans="1:29" x14ac:dyDescent="0.25">
      <c r="A21" s="894"/>
      <c r="B21" s="894" t="s">
        <v>6269</v>
      </c>
      <c r="C21" s="894"/>
      <c r="D21" s="894"/>
      <c r="E21" s="850">
        <v>44641</v>
      </c>
      <c r="F21" s="563">
        <v>5505817</v>
      </c>
      <c r="G21" s="370"/>
      <c r="H21" s="563"/>
      <c r="I21" s="370"/>
      <c r="J21" s="370"/>
      <c r="K21" s="850"/>
      <c r="L21" s="563"/>
      <c r="M21" s="850"/>
      <c r="N21" s="563"/>
      <c r="O21" s="850"/>
      <c r="P21" s="563"/>
      <c r="Q21" s="850"/>
      <c r="R21" s="563"/>
      <c r="S21" s="370"/>
      <c r="T21" s="370"/>
      <c r="U21" s="850"/>
      <c r="V21" s="563"/>
      <c r="W21" s="850"/>
      <c r="X21" s="563"/>
      <c r="Y21" s="370"/>
      <c r="Z21" s="370"/>
      <c r="AA21" s="370"/>
      <c r="AB21" s="370"/>
      <c r="AC21" s="362"/>
    </row>
    <row r="22" spans="1:29" x14ac:dyDescent="0.25">
      <c r="A22" s="894"/>
      <c r="B22" s="894" t="s">
        <v>6270</v>
      </c>
      <c r="C22" s="894"/>
      <c r="D22" s="894"/>
      <c r="E22" s="850">
        <v>44641</v>
      </c>
      <c r="F22" s="563">
        <v>3497400</v>
      </c>
      <c r="G22" s="370"/>
      <c r="H22" s="563"/>
      <c r="I22" s="370"/>
      <c r="J22" s="370"/>
      <c r="K22" s="850"/>
      <c r="L22" s="563"/>
      <c r="M22" s="850"/>
      <c r="N22" s="563"/>
      <c r="O22" s="850"/>
      <c r="P22" s="563"/>
      <c r="Q22" s="850"/>
      <c r="R22" s="563"/>
      <c r="S22" s="370"/>
      <c r="T22" s="370"/>
      <c r="U22" s="850"/>
      <c r="V22" s="563"/>
      <c r="W22" s="850"/>
      <c r="X22" s="563"/>
      <c r="Y22" s="370"/>
      <c r="Z22" s="370"/>
      <c r="AA22" s="370"/>
      <c r="AB22" s="370"/>
      <c r="AC22" s="362"/>
    </row>
    <row r="23" spans="1:29" x14ac:dyDescent="0.25">
      <c r="A23" s="894"/>
      <c r="B23" s="894" t="s">
        <v>6050</v>
      </c>
      <c r="C23" s="894"/>
      <c r="D23" s="894"/>
      <c r="E23" s="850">
        <v>44711</v>
      </c>
      <c r="F23" s="563">
        <v>17000000</v>
      </c>
      <c r="G23" s="850">
        <v>44746</v>
      </c>
      <c r="H23" s="563">
        <v>12200000</v>
      </c>
      <c r="I23" s="850">
        <v>44746</v>
      </c>
      <c r="J23" s="563">
        <v>22150000</v>
      </c>
      <c r="K23" s="850"/>
      <c r="L23" s="563"/>
      <c r="M23" s="850"/>
      <c r="N23" s="563"/>
      <c r="O23" s="850"/>
      <c r="P23" s="563"/>
      <c r="Q23" s="850"/>
      <c r="R23" s="563"/>
      <c r="S23" s="850"/>
      <c r="T23" s="563"/>
      <c r="U23" s="370"/>
      <c r="V23" s="563"/>
      <c r="W23" s="370"/>
      <c r="X23" s="563"/>
      <c r="Y23" s="370"/>
      <c r="Z23" s="370"/>
      <c r="AA23" s="370"/>
      <c r="AB23" s="370"/>
      <c r="AC23" s="362"/>
    </row>
    <row r="24" spans="1:29" x14ac:dyDescent="0.25">
      <c r="A24" s="894"/>
      <c r="B24" s="894"/>
      <c r="C24" s="894"/>
      <c r="D24" s="894"/>
      <c r="E24" s="585">
        <v>44746</v>
      </c>
      <c r="F24" s="1594">
        <v>3000000</v>
      </c>
      <c r="G24" s="1595"/>
      <c r="H24" s="1595"/>
      <c r="I24" s="1595"/>
      <c r="J24" s="1596"/>
      <c r="K24" s="850"/>
      <c r="L24" s="563"/>
      <c r="M24" s="850"/>
      <c r="N24" s="563"/>
      <c r="O24" s="850"/>
      <c r="P24" s="563"/>
      <c r="Q24" s="850"/>
      <c r="R24" s="563"/>
      <c r="S24" s="850"/>
      <c r="T24" s="563"/>
      <c r="U24" s="370"/>
      <c r="V24" s="563"/>
      <c r="W24" s="370"/>
      <c r="X24" s="563"/>
      <c r="Y24" s="370"/>
      <c r="Z24" s="370"/>
      <c r="AA24" s="370"/>
      <c r="AB24" s="370"/>
      <c r="AC24" s="362"/>
    </row>
    <row r="25" spans="1:29" x14ac:dyDescent="0.25">
      <c r="A25" s="894"/>
      <c r="B25" s="894" t="s">
        <v>6051</v>
      </c>
      <c r="C25" s="894"/>
      <c r="D25" s="894"/>
      <c r="E25" s="850">
        <v>44629</v>
      </c>
      <c r="F25" s="563">
        <v>9375438</v>
      </c>
      <c r="G25" s="850">
        <v>44641</v>
      </c>
      <c r="H25" s="563">
        <v>11370728</v>
      </c>
      <c r="I25" s="850">
        <v>44671</v>
      </c>
      <c r="J25" s="563">
        <v>36978146</v>
      </c>
      <c r="K25" s="850">
        <v>44712</v>
      </c>
      <c r="L25" s="563">
        <v>22009882</v>
      </c>
      <c r="M25" s="370"/>
      <c r="N25" s="370"/>
      <c r="O25" s="850"/>
      <c r="P25" s="563"/>
      <c r="Q25" s="850"/>
      <c r="R25" s="563"/>
      <c r="S25" s="850"/>
      <c r="T25" s="563"/>
      <c r="U25" s="850"/>
      <c r="V25" s="563"/>
      <c r="W25" s="850"/>
      <c r="X25" s="563"/>
      <c r="Y25" s="850"/>
      <c r="Z25" s="563"/>
      <c r="AA25" s="370"/>
      <c r="AB25" s="370"/>
      <c r="AC25" s="362"/>
    </row>
    <row r="26" spans="1:29" x14ac:dyDescent="0.25">
      <c r="A26" s="894"/>
      <c r="B26" s="894" t="s">
        <v>6052</v>
      </c>
      <c r="C26" s="894"/>
      <c r="D26" s="894"/>
      <c r="E26" s="850">
        <v>44651</v>
      </c>
      <c r="F26" s="563">
        <v>26423673</v>
      </c>
      <c r="G26" s="850">
        <v>44651</v>
      </c>
      <c r="H26" s="563">
        <v>24224699</v>
      </c>
      <c r="I26" s="850"/>
      <c r="J26" s="563"/>
      <c r="K26" s="850"/>
      <c r="L26" s="563"/>
      <c r="M26" s="850"/>
      <c r="N26" s="563"/>
      <c r="O26" s="850"/>
      <c r="P26" s="563"/>
      <c r="Q26" s="850"/>
      <c r="R26" s="563"/>
      <c r="S26" s="850"/>
      <c r="T26" s="563"/>
      <c r="U26" s="850"/>
      <c r="V26" s="563"/>
      <c r="W26" s="850"/>
      <c r="X26" s="563"/>
      <c r="Y26" s="370"/>
      <c r="Z26" s="370"/>
      <c r="AA26" s="370"/>
      <c r="AB26" s="370"/>
      <c r="AC26" s="362"/>
    </row>
    <row r="27" spans="1:29" x14ac:dyDescent="0.25">
      <c r="A27" s="894"/>
      <c r="B27" s="894" t="s">
        <v>6054</v>
      </c>
      <c r="C27" s="894"/>
      <c r="D27" s="894"/>
      <c r="E27" s="850">
        <v>44621</v>
      </c>
      <c r="F27" s="563">
        <v>26200000</v>
      </c>
      <c r="G27" s="850">
        <v>44634</v>
      </c>
      <c r="H27" s="563">
        <v>21403750</v>
      </c>
      <c r="I27" s="850">
        <v>44669</v>
      </c>
      <c r="J27" s="563">
        <v>27065000</v>
      </c>
      <c r="K27" s="850">
        <v>44708</v>
      </c>
      <c r="L27" s="563">
        <v>27430000</v>
      </c>
      <c r="M27" s="850">
        <v>44732</v>
      </c>
      <c r="N27" s="563">
        <v>25995000</v>
      </c>
      <c r="O27" s="850"/>
      <c r="P27" s="563"/>
      <c r="Q27" s="850"/>
      <c r="R27" s="563"/>
      <c r="S27" s="850"/>
      <c r="T27" s="563"/>
      <c r="U27" s="850"/>
      <c r="V27" s="563"/>
      <c r="W27" s="850"/>
      <c r="X27" s="563"/>
      <c r="Y27" s="850"/>
      <c r="Z27" s="563"/>
      <c r="AA27" s="370"/>
      <c r="AB27" s="370"/>
      <c r="AC27" s="362"/>
    </row>
    <row r="28" spans="1:29" x14ac:dyDescent="0.25">
      <c r="A28" s="894"/>
      <c r="B28" s="894" t="s">
        <v>6077</v>
      </c>
      <c r="C28" s="894"/>
      <c r="D28" s="894"/>
      <c r="E28" s="850">
        <v>44613</v>
      </c>
      <c r="F28" s="563">
        <v>132949948</v>
      </c>
      <c r="G28" s="850">
        <v>44648</v>
      </c>
      <c r="H28" s="563">
        <v>52903893</v>
      </c>
      <c r="I28" s="850">
        <v>44676</v>
      </c>
      <c r="J28" s="563">
        <v>107944230</v>
      </c>
      <c r="K28" s="850">
        <v>44711</v>
      </c>
      <c r="L28" s="563">
        <v>61832490</v>
      </c>
      <c r="M28" s="850">
        <v>44742</v>
      </c>
      <c r="N28" s="563">
        <f>206556+375657+694871</f>
        <v>1277084</v>
      </c>
      <c r="O28" s="850"/>
      <c r="P28" s="563"/>
      <c r="Q28" s="850"/>
      <c r="R28" s="563"/>
      <c r="S28" s="850"/>
      <c r="T28" s="563"/>
      <c r="U28" s="850"/>
      <c r="V28" s="563"/>
      <c r="W28" s="850"/>
      <c r="X28" s="563"/>
      <c r="Y28" s="850"/>
      <c r="Z28" s="563"/>
      <c r="AA28" s="370"/>
      <c r="AB28" s="370"/>
      <c r="AC28" s="362"/>
    </row>
    <row r="29" spans="1:29" x14ac:dyDescent="0.25">
      <c r="A29" s="894"/>
      <c r="B29" s="894" t="s">
        <v>6222</v>
      </c>
      <c r="C29" s="894"/>
      <c r="D29" s="894"/>
      <c r="E29" s="850"/>
      <c r="F29" s="850"/>
      <c r="G29" s="850"/>
      <c r="H29" s="850"/>
      <c r="I29" s="850"/>
      <c r="J29" s="850"/>
      <c r="K29" s="850"/>
      <c r="L29" s="850"/>
      <c r="M29" s="850"/>
      <c r="N29" s="850"/>
      <c r="O29" s="850"/>
      <c r="P29" s="850"/>
      <c r="Q29" s="850"/>
      <c r="R29" s="850"/>
      <c r="S29" s="850"/>
      <c r="T29" s="850"/>
      <c r="U29" s="850"/>
      <c r="V29" s="563"/>
      <c r="W29" s="850"/>
      <c r="X29" s="563"/>
      <c r="Y29" s="370"/>
      <c r="Z29" s="370"/>
      <c r="AA29" s="370"/>
      <c r="AB29" s="370"/>
      <c r="AC29" s="362"/>
    </row>
    <row r="30" spans="1:29" x14ac:dyDescent="0.25">
      <c r="A30" s="894"/>
      <c r="B30" s="894" t="s">
        <v>6223</v>
      </c>
      <c r="C30" s="894"/>
      <c r="D30" s="894"/>
      <c r="E30" s="850"/>
      <c r="F30" s="850"/>
      <c r="G30" s="850"/>
      <c r="H30" s="850"/>
      <c r="I30" s="850"/>
      <c r="J30" s="850"/>
      <c r="K30" s="850"/>
      <c r="L30" s="850"/>
      <c r="M30" s="850"/>
      <c r="N30" s="850"/>
      <c r="O30" s="850"/>
      <c r="P30" s="850"/>
      <c r="Q30" s="850"/>
      <c r="R30" s="850"/>
      <c r="S30" s="850"/>
      <c r="T30" s="850"/>
      <c r="U30" s="850"/>
      <c r="V30" s="563"/>
      <c r="W30" s="850"/>
      <c r="X30" s="563"/>
      <c r="Y30" s="370"/>
      <c r="Z30" s="370"/>
      <c r="AA30" s="370"/>
      <c r="AB30" s="370"/>
      <c r="AC30" s="362"/>
    </row>
    <row r="31" spans="1:29" x14ac:dyDescent="0.25">
      <c r="A31" s="894"/>
      <c r="B31" s="894" t="s">
        <v>6224</v>
      </c>
      <c r="C31" s="894"/>
      <c r="D31" s="894"/>
      <c r="E31" s="850"/>
      <c r="F31" s="850"/>
      <c r="G31" s="850"/>
      <c r="H31" s="850"/>
      <c r="I31" s="850"/>
      <c r="J31" s="850"/>
      <c r="K31" s="850"/>
      <c r="L31" s="850"/>
      <c r="M31" s="850"/>
      <c r="N31" s="850"/>
      <c r="O31" s="850"/>
      <c r="P31" s="850"/>
      <c r="Q31" s="850"/>
      <c r="R31" s="850"/>
      <c r="S31" s="850"/>
      <c r="T31" s="850"/>
      <c r="U31" s="850"/>
      <c r="V31" s="563"/>
      <c r="W31" s="850"/>
      <c r="X31" s="563"/>
      <c r="Y31" s="370"/>
      <c r="Z31" s="370"/>
      <c r="AA31" s="370"/>
      <c r="AB31" s="370"/>
      <c r="AC31" s="362"/>
    </row>
    <row r="32" spans="1:29" x14ac:dyDescent="0.25">
      <c r="A32" s="894"/>
      <c r="B32" s="894" t="s">
        <v>6079</v>
      </c>
      <c r="C32" s="894"/>
      <c r="D32" s="894"/>
      <c r="E32" s="850">
        <v>44651</v>
      </c>
      <c r="F32" s="563">
        <v>40100000</v>
      </c>
      <c r="G32" s="850">
        <v>44651</v>
      </c>
      <c r="H32" s="563">
        <v>35200000</v>
      </c>
      <c r="I32" s="850">
        <v>44690</v>
      </c>
      <c r="J32" s="563">
        <v>28375000</v>
      </c>
      <c r="K32" s="850"/>
      <c r="L32" s="563"/>
      <c r="M32" s="850"/>
      <c r="N32" s="563"/>
      <c r="O32" s="850"/>
      <c r="P32" s="563"/>
      <c r="Q32" s="850"/>
      <c r="R32" s="563"/>
      <c r="S32" s="850"/>
      <c r="T32" s="563"/>
      <c r="U32" s="850"/>
      <c r="V32" s="563"/>
      <c r="W32" s="370"/>
      <c r="X32" s="370"/>
      <c r="Y32" s="370"/>
      <c r="Z32" s="370"/>
      <c r="AA32" s="370"/>
      <c r="AB32" s="370"/>
      <c r="AC32" s="362"/>
    </row>
    <row r="33" spans="1:29" x14ac:dyDescent="0.25">
      <c r="A33" s="894"/>
      <c r="B33" s="894"/>
      <c r="C33" s="894"/>
      <c r="D33" s="894"/>
      <c r="E33" s="585">
        <v>44690</v>
      </c>
      <c r="F33" s="1600">
        <v>98800000</v>
      </c>
      <c r="G33" s="1600"/>
      <c r="H33" s="1600"/>
      <c r="I33" s="1600"/>
      <c r="J33" s="370"/>
      <c r="K33" s="850"/>
      <c r="L33" s="1601"/>
      <c r="M33" s="1602"/>
      <c r="N33" s="1602"/>
      <c r="O33" s="1602"/>
      <c r="P33" s="1603"/>
      <c r="Q33" s="850"/>
      <c r="R33" s="1601"/>
      <c r="S33" s="1602"/>
      <c r="T33" s="1602"/>
      <c r="U33" s="1602"/>
      <c r="V33" s="1603"/>
      <c r="W33" s="370"/>
      <c r="X33" s="370"/>
      <c r="Y33" s="370"/>
      <c r="Z33" s="370"/>
      <c r="AA33" s="370"/>
      <c r="AB33" s="370"/>
      <c r="AC33" s="362"/>
    </row>
    <row r="34" spans="1:29" x14ac:dyDescent="0.25">
      <c r="A34" s="894"/>
      <c r="B34" s="894" t="s">
        <v>6089</v>
      </c>
      <c r="C34" s="894"/>
      <c r="D34" s="894"/>
      <c r="E34" s="850"/>
      <c r="F34" s="563"/>
      <c r="G34" s="370"/>
      <c r="H34" s="370"/>
      <c r="I34" s="370"/>
      <c r="J34" s="1402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62"/>
    </row>
    <row r="35" spans="1:29" x14ac:dyDescent="0.25">
      <c r="A35" s="894"/>
      <c r="B35" s="894" t="s">
        <v>6120</v>
      </c>
      <c r="C35" s="894"/>
      <c r="D35" s="894"/>
      <c r="E35" s="850">
        <v>44711</v>
      </c>
      <c r="F35" s="563">
        <v>56172500</v>
      </c>
      <c r="G35" s="850">
        <v>44711</v>
      </c>
      <c r="H35" s="563">
        <v>39974750</v>
      </c>
      <c r="I35" s="850">
        <v>44753</v>
      </c>
      <c r="J35" s="1403">
        <v>61441500</v>
      </c>
      <c r="K35" s="850"/>
      <c r="L35" s="563"/>
      <c r="M35" s="850"/>
      <c r="N35" s="563"/>
      <c r="O35" s="850"/>
      <c r="P35" s="563"/>
      <c r="Q35" s="850"/>
      <c r="R35" s="563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62"/>
    </row>
    <row r="36" spans="1:29" x14ac:dyDescent="0.25">
      <c r="A36" s="894"/>
      <c r="B36" s="894"/>
      <c r="C36" s="894"/>
      <c r="D36" s="894"/>
      <c r="E36" s="585">
        <v>44753</v>
      </c>
      <c r="F36" s="562">
        <v>9005000</v>
      </c>
      <c r="G36" s="563"/>
      <c r="H36" s="563"/>
      <c r="I36" s="563"/>
      <c r="J36" s="1404"/>
      <c r="K36" s="1404"/>
      <c r="L36" s="1403"/>
      <c r="M36" s="850"/>
      <c r="N36" s="1601"/>
      <c r="O36" s="1602"/>
      <c r="P36" s="1602"/>
      <c r="Q36" s="1602"/>
      <c r="R36" s="1603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62"/>
    </row>
    <row r="37" spans="1:29" x14ac:dyDescent="0.25">
      <c r="A37" s="894"/>
      <c r="B37" s="894" t="s">
        <v>6170</v>
      </c>
      <c r="C37" s="894"/>
      <c r="D37" s="894"/>
      <c r="E37" s="850"/>
      <c r="F37" s="563"/>
      <c r="G37" s="850"/>
      <c r="H37" s="1405"/>
      <c r="I37" s="1405"/>
      <c r="J37" s="1391"/>
      <c r="K37" s="1391"/>
      <c r="L37" s="1392"/>
      <c r="M37" s="370"/>
      <c r="N37" s="370"/>
      <c r="O37" s="370"/>
      <c r="P37" s="370"/>
      <c r="Q37" s="850"/>
      <c r="R37" s="563"/>
      <c r="S37" s="850"/>
      <c r="T37" s="563"/>
      <c r="U37" s="370"/>
      <c r="V37" s="370"/>
      <c r="W37" s="370"/>
      <c r="X37" s="370"/>
      <c r="Y37" s="370"/>
      <c r="Z37" s="370"/>
      <c r="AA37" s="370"/>
      <c r="AB37" s="370"/>
      <c r="AC37" s="362"/>
    </row>
    <row r="38" spans="1:29" x14ac:dyDescent="0.25">
      <c r="A38" s="894"/>
      <c r="B38" s="898" t="s">
        <v>6017</v>
      </c>
      <c r="C38" s="894"/>
      <c r="D38" s="894"/>
      <c r="E38" s="850"/>
      <c r="F38" s="563"/>
      <c r="G38" s="370"/>
      <c r="H38" s="370"/>
      <c r="I38" s="370"/>
      <c r="J38" s="1402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62"/>
    </row>
    <row r="39" spans="1:29" x14ac:dyDescent="0.25">
      <c r="A39" s="894"/>
      <c r="B39" s="894" t="s">
        <v>6012</v>
      </c>
      <c r="C39" s="894"/>
      <c r="D39" s="894"/>
      <c r="E39" s="962">
        <v>44544</v>
      </c>
      <c r="F39" s="963">
        <f>800000000-80000000</f>
        <v>720000000</v>
      </c>
      <c r="G39" s="850"/>
      <c r="H39" s="563"/>
      <c r="I39" s="370"/>
      <c r="J39" s="1402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62"/>
    </row>
    <row r="40" spans="1:29" x14ac:dyDescent="0.25">
      <c r="A40" s="894"/>
      <c r="B40" s="894" t="s">
        <v>6011</v>
      </c>
      <c r="C40" s="894"/>
      <c r="D40" s="894"/>
      <c r="E40" s="962">
        <v>44544</v>
      </c>
      <c r="F40" s="963">
        <f>230000000-23000000</f>
        <v>207000000</v>
      </c>
      <c r="G40" s="850"/>
      <c r="H40" s="563"/>
      <c r="I40" s="37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62"/>
    </row>
    <row r="41" spans="1:29" x14ac:dyDescent="0.25">
      <c r="A41" s="894"/>
      <c r="B41" s="894" t="s">
        <v>6013</v>
      </c>
      <c r="C41" s="894"/>
      <c r="D41" s="894"/>
      <c r="E41" s="962">
        <v>44544</v>
      </c>
      <c r="F41" s="963">
        <f>225000000-22500000</f>
        <v>202500000</v>
      </c>
      <c r="G41" s="850"/>
      <c r="H41" s="563"/>
      <c r="I41" s="37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62"/>
    </row>
    <row r="42" spans="1:29" x14ac:dyDescent="0.25">
      <c r="A42" s="894"/>
      <c r="B42" s="894" t="s">
        <v>6225</v>
      </c>
      <c r="C42" s="894"/>
      <c r="D42" s="894"/>
      <c r="E42" s="962"/>
      <c r="F42" s="963"/>
      <c r="G42" s="850"/>
      <c r="H42" s="563"/>
      <c r="I42" s="37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62"/>
    </row>
    <row r="43" spans="1:29" x14ac:dyDescent="0.25">
      <c r="A43" s="894"/>
      <c r="B43" s="894" t="s">
        <v>6084</v>
      </c>
      <c r="C43" s="894"/>
      <c r="D43" s="894"/>
      <c r="E43" s="964"/>
      <c r="F43" s="964"/>
      <c r="G43" s="370"/>
      <c r="H43" s="370"/>
      <c r="I43" s="37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62"/>
    </row>
    <row r="44" spans="1:29" x14ac:dyDescent="0.25">
      <c r="A44" s="894"/>
      <c r="B44" s="894" t="s">
        <v>6105</v>
      </c>
      <c r="C44" s="894"/>
      <c r="D44" s="894"/>
      <c r="E44" s="962">
        <v>44320</v>
      </c>
      <c r="F44" s="963">
        <f>236000000+110000000</f>
        <v>346000000</v>
      </c>
      <c r="G44" s="850"/>
      <c r="H44" s="563"/>
      <c r="I44" s="37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62"/>
    </row>
    <row r="45" spans="1:29" x14ac:dyDescent="0.25">
      <c r="A45" s="894"/>
      <c r="B45" s="894" t="s">
        <v>6127</v>
      </c>
      <c r="C45" s="894"/>
      <c r="D45" s="894"/>
      <c r="E45" s="962">
        <v>44484</v>
      </c>
      <c r="F45" s="963">
        <v>250000000</v>
      </c>
      <c r="G45" s="850"/>
      <c r="H45" s="563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62"/>
    </row>
    <row r="46" spans="1:29" x14ac:dyDescent="0.25">
      <c r="A46" s="894"/>
      <c r="B46" s="894" t="s">
        <v>6181</v>
      </c>
      <c r="C46" s="894"/>
      <c r="D46" s="894"/>
      <c r="E46" s="850"/>
      <c r="F46" s="563"/>
      <c r="G46" s="850"/>
      <c r="H46" s="563"/>
      <c r="I46" s="37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62"/>
    </row>
    <row r="47" spans="1:29" x14ac:dyDescent="0.25">
      <c r="A47" s="894"/>
      <c r="B47" s="894" t="s">
        <v>6182</v>
      </c>
      <c r="C47" s="894"/>
      <c r="D47" s="894"/>
      <c r="E47" s="850"/>
      <c r="F47" s="563"/>
      <c r="G47" s="850"/>
      <c r="H47" s="563"/>
      <c r="I47" s="37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62"/>
    </row>
    <row r="48" spans="1:29" x14ac:dyDescent="0.25">
      <c r="A48" s="894"/>
      <c r="B48" s="894" t="s">
        <v>6183</v>
      </c>
      <c r="C48" s="894"/>
      <c r="D48" s="894"/>
      <c r="E48" s="850"/>
      <c r="F48" s="563"/>
      <c r="G48" s="850"/>
      <c r="H48" s="563"/>
      <c r="I48" s="37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62"/>
    </row>
    <row r="49" spans="1:29" x14ac:dyDescent="0.25">
      <c r="A49" s="894"/>
      <c r="B49" s="894" t="s">
        <v>6295</v>
      </c>
      <c r="C49" s="894"/>
      <c r="D49" s="894"/>
      <c r="E49" s="962">
        <v>44749</v>
      </c>
      <c r="F49" s="963">
        <v>60000000</v>
      </c>
      <c r="G49" s="850"/>
      <c r="H49" s="563"/>
      <c r="I49" s="37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62"/>
    </row>
    <row r="50" spans="1:29" x14ac:dyDescent="0.25">
      <c r="A50" s="894"/>
      <c r="B50" s="894" t="s">
        <v>6019</v>
      </c>
      <c r="C50" s="894"/>
      <c r="D50" s="894"/>
      <c r="E50" s="850"/>
      <c r="F50" s="563"/>
      <c r="G50" s="370"/>
      <c r="H50" s="370"/>
      <c r="I50" s="37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62"/>
    </row>
    <row r="51" spans="1:29" x14ac:dyDescent="0.25">
      <c r="A51" s="894"/>
      <c r="B51" s="894" t="s">
        <v>6043</v>
      </c>
      <c r="C51" s="894"/>
      <c r="D51" s="894"/>
      <c r="E51" s="850">
        <v>44574</v>
      </c>
      <c r="F51" s="563">
        <v>14000000</v>
      </c>
      <c r="G51" s="370"/>
      <c r="H51" s="370"/>
      <c r="I51" s="37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62"/>
    </row>
    <row r="52" spans="1:29" x14ac:dyDescent="0.25">
      <c r="A52" s="894"/>
      <c r="B52" s="894" t="s">
        <v>6044</v>
      </c>
      <c r="C52" s="894"/>
      <c r="D52" s="894"/>
      <c r="E52" s="850"/>
      <c r="F52" s="563"/>
      <c r="G52" s="370"/>
      <c r="H52" s="370"/>
      <c r="I52" s="37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62"/>
    </row>
    <row r="53" spans="1:29" x14ac:dyDescent="0.25">
      <c r="A53" s="894"/>
      <c r="B53" s="898" t="s">
        <v>6109</v>
      </c>
      <c r="C53" s="894"/>
      <c r="D53" s="894"/>
      <c r="E53" s="850"/>
      <c r="F53" s="563"/>
      <c r="G53" s="370"/>
      <c r="H53" s="370"/>
      <c r="I53" s="37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62"/>
    </row>
    <row r="54" spans="1:29" x14ac:dyDescent="0.25">
      <c r="A54" s="894"/>
      <c r="B54" s="894" t="s">
        <v>148</v>
      </c>
      <c r="C54" s="894"/>
      <c r="D54" s="894"/>
      <c r="E54" s="850"/>
      <c r="F54" s="563"/>
      <c r="G54" s="370"/>
      <c r="H54" s="370"/>
      <c r="I54" s="37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62"/>
    </row>
    <row r="55" spans="1:29" x14ac:dyDescent="0.25">
      <c r="A55" s="894"/>
      <c r="B55" s="894" t="s">
        <v>6124</v>
      </c>
      <c r="C55" s="894"/>
      <c r="D55" s="894"/>
      <c r="E55" s="850"/>
      <c r="F55" s="563"/>
      <c r="G55" s="370"/>
      <c r="H55" s="370"/>
      <c r="I55" s="37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62"/>
    </row>
    <row r="56" spans="1:29" x14ac:dyDescent="0.25">
      <c r="A56" s="894"/>
      <c r="B56" s="894" t="s">
        <v>84</v>
      </c>
      <c r="C56" s="894"/>
      <c r="D56" s="894"/>
      <c r="E56" s="850"/>
      <c r="F56" s="563"/>
      <c r="G56" s="370"/>
      <c r="H56" s="370"/>
      <c r="I56" s="37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62"/>
    </row>
    <row r="57" spans="1:29" x14ac:dyDescent="0.25">
      <c r="A57" s="894"/>
      <c r="B57" s="898" t="s">
        <v>6018</v>
      </c>
      <c r="C57" s="894"/>
      <c r="D57" s="894"/>
      <c r="E57" s="850"/>
      <c r="F57" s="563"/>
      <c r="G57" s="370"/>
      <c r="H57" s="370"/>
      <c r="I57" s="37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62"/>
    </row>
    <row r="58" spans="1:29" x14ac:dyDescent="0.25">
      <c r="A58" s="894"/>
      <c r="B58" s="939" t="s">
        <v>3131</v>
      </c>
      <c r="C58" s="894"/>
      <c r="D58" s="894"/>
      <c r="E58" s="850">
        <v>44676</v>
      </c>
      <c r="F58" s="563">
        <f>375000000</f>
        <v>375000000</v>
      </c>
      <c r="G58" s="850"/>
      <c r="H58" s="563"/>
      <c r="I58" s="850"/>
      <c r="J58" s="563"/>
      <c r="K58" s="850"/>
      <c r="L58" s="563"/>
      <c r="M58" s="850"/>
      <c r="N58" s="864"/>
      <c r="O58" s="850"/>
      <c r="P58" s="563"/>
      <c r="Q58" s="850"/>
      <c r="R58" s="563"/>
      <c r="S58" s="850"/>
      <c r="T58" s="563"/>
      <c r="U58" s="850"/>
      <c r="V58" s="563"/>
      <c r="W58" s="850"/>
      <c r="X58" s="563"/>
      <c r="Y58" s="370"/>
      <c r="Z58" s="370"/>
      <c r="AA58" s="370"/>
      <c r="AB58" s="370"/>
      <c r="AC58" s="362"/>
    </row>
    <row r="59" spans="1:29" x14ac:dyDescent="0.25">
      <c r="A59" s="894"/>
      <c r="B59" s="939"/>
      <c r="C59" s="894"/>
      <c r="D59" s="894"/>
      <c r="E59" s="850">
        <v>44676</v>
      </c>
      <c r="F59" s="563">
        <f>375000000</f>
        <v>375000000</v>
      </c>
      <c r="G59" s="850"/>
      <c r="H59" s="563"/>
      <c r="I59" s="850"/>
      <c r="J59" s="563"/>
      <c r="K59" s="850"/>
      <c r="L59" s="563"/>
      <c r="M59" s="850"/>
      <c r="N59" s="864"/>
      <c r="O59" s="850"/>
      <c r="P59" s="563"/>
      <c r="Q59" s="850"/>
      <c r="R59" s="563"/>
      <c r="S59" s="850"/>
      <c r="T59" s="563"/>
      <c r="U59" s="850"/>
      <c r="V59" s="563"/>
      <c r="W59" s="850"/>
      <c r="X59" s="563"/>
      <c r="Y59" s="370"/>
      <c r="Z59" s="370"/>
      <c r="AA59" s="370"/>
      <c r="AB59" s="370"/>
      <c r="AC59" s="362"/>
    </row>
    <row r="60" spans="1:29" x14ac:dyDescent="0.25">
      <c r="A60" s="894"/>
      <c r="B60" s="894" t="s">
        <v>5987</v>
      </c>
      <c r="C60" s="894"/>
      <c r="D60" s="894"/>
      <c r="E60" s="850"/>
      <c r="F60" s="563"/>
      <c r="G60" s="370"/>
      <c r="H60" s="370"/>
      <c r="I60" s="37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62"/>
    </row>
    <row r="61" spans="1:29" x14ac:dyDescent="0.25">
      <c r="A61" s="894"/>
      <c r="B61" s="894"/>
      <c r="C61" s="894"/>
      <c r="D61" s="894"/>
      <c r="E61" s="850"/>
      <c r="F61" s="563"/>
      <c r="G61" s="370"/>
      <c r="H61" s="370"/>
      <c r="I61" s="37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62"/>
    </row>
    <row r="62" spans="1:29" x14ac:dyDescent="0.25">
      <c r="A62" s="894"/>
      <c r="B62" s="894"/>
      <c r="C62" s="894"/>
      <c r="D62" s="894"/>
      <c r="E62" s="850"/>
      <c r="F62" s="563"/>
      <c r="G62" s="370"/>
      <c r="H62" s="370"/>
      <c r="I62" s="37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62"/>
    </row>
    <row r="63" spans="1:29" x14ac:dyDescent="0.25">
      <c r="A63" s="894"/>
      <c r="B63" s="894"/>
      <c r="C63" s="894"/>
      <c r="D63" s="894"/>
      <c r="E63" s="850"/>
      <c r="F63" s="563"/>
      <c r="G63" s="370"/>
      <c r="H63" s="370"/>
      <c r="I63" s="37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62"/>
    </row>
    <row r="64" spans="1:29" x14ac:dyDescent="0.25">
      <c r="A64" s="894"/>
      <c r="B64" s="894" t="s">
        <v>5997</v>
      </c>
      <c r="C64" s="894"/>
      <c r="D64" s="894"/>
      <c r="E64" s="850"/>
      <c r="F64" s="563"/>
      <c r="G64" s="370"/>
      <c r="H64" s="370"/>
      <c r="I64" s="37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62"/>
    </row>
    <row r="65" spans="1:29" x14ac:dyDescent="0.25">
      <c r="A65" s="894"/>
      <c r="B65" s="894" t="s">
        <v>5990</v>
      </c>
      <c r="C65" s="894"/>
      <c r="D65" s="894"/>
      <c r="E65" s="850"/>
      <c r="F65" s="563"/>
      <c r="G65" s="370"/>
      <c r="H65" s="370"/>
      <c r="I65" s="37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62"/>
    </row>
    <row r="66" spans="1:29" x14ac:dyDescent="0.25">
      <c r="A66" s="894"/>
      <c r="B66" s="894"/>
      <c r="C66" s="894"/>
      <c r="D66" s="894"/>
      <c r="E66" s="370"/>
      <c r="F66" s="563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62"/>
    </row>
    <row r="67" spans="1:29" x14ac:dyDescent="0.25">
      <c r="A67" s="894"/>
      <c r="B67" s="894"/>
      <c r="C67" s="894"/>
      <c r="D67" s="894"/>
      <c r="E67" s="370"/>
      <c r="F67" s="563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62"/>
    </row>
    <row r="68" spans="1:29" x14ac:dyDescent="0.25">
      <c r="A68" s="894"/>
      <c r="B68" s="894"/>
      <c r="C68" s="894"/>
      <c r="D68" s="894"/>
      <c r="E68" s="370"/>
      <c r="F68" s="563"/>
      <c r="G68" s="370"/>
      <c r="H68" s="370"/>
      <c r="I68" s="37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62"/>
    </row>
    <row r="69" spans="1:29" x14ac:dyDescent="0.25">
      <c r="A69" s="894"/>
      <c r="B69" s="894" t="s">
        <v>6007</v>
      </c>
      <c r="C69" s="894" t="s">
        <v>6235</v>
      </c>
      <c r="D69" s="894"/>
      <c r="E69" s="850">
        <v>44571</v>
      </c>
      <c r="F69" s="563">
        <v>63046519</v>
      </c>
      <c r="G69" s="850">
        <v>44602</v>
      </c>
      <c r="H69" s="563">
        <v>60794473</v>
      </c>
      <c r="I69" s="850">
        <v>44630</v>
      </c>
      <c r="J69" s="563">
        <v>59202460</v>
      </c>
      <c r="K69" s="850">
        <v>44659</v>
      </c>
      <c r="L69" s="563">
        <v>56628134</v>
      </c>
      <c r="M69" s="850"/>
      <c r="N69" s="563"/>
      <c r="O69" s="850">
        <v>44722</v>
      </c>
      <c r="P69" s="563">
        <v>57188986</v>
      </c>
      <c r="Q69" s="850">
        <v>44750</v>
      </c>
      <c r="R69" s="563">
        <v>61295900</v>
      </c>
      <c r="S69" s="850"/>
      <c r="T69" s="563"/>
      <c r="U69" s="850"/>
      <c r="V69" s="563"/>
      <c r="W69" s="850"/>
      <c r="X69" s="563"/>
      <c r="Y69" s="850"/>
      <c r="Z69" s="563"/>
      <c r="AA69" s="850"/>
      <c r="AB69" s="563"/>
      <c r="AC69" s="362"/>
    </row>
    <row r="70" spans="1:29" x14ac:dyDescent="0.25">
      <c r="A70" s="894"/>
      <c r="B70" s="894"/>
      <c r="C70" s="894" t="s">
        <v>6236</v>
      </c>
      <c r="D70" s="894"/>
      <c r="E70" s="850">
        <v>44571</v>
      </c>
      <c r="F70" s="563">
        <v>5482701</v>
      </c>
      <c r="G70" s="850">
        <v>44602</v>
      </c>
      <c r="H70" s="563">
        <v>7848418</v>
      </c>
      <c r="I70" s="850">
        <v>44630</v>
      </c>
      <c r="J70" s="563">
        <v>8845339</v>
      </c>
      <c r="K70" s="850">
        <v>44659</v>
      </c>
      <c r="L70" s="563">
        <v>11313793</v>
      </c>
      <c r="M70" s="850">
        <v>44691</v>
      </c>
      <c r="N70" s="563">
        <v>11313296</v>
      </c>
      <c r="O70" s="850">
        <v>44722</v>
      </c>
      <c r="P70" s="563">
        <v>11409138</v>
      </c>
      <c r="Q70" s="850">
        <v>44750</v>
      </c>
      <c r="R70" s="563">
        <v>7123651</v>
      </c>
      <c r="S70" s="850"/>
      <c r="T70" s="563"/>
      <c r="U70" s="850"/>
      <c r="V70" s="563"/>
      <c r="W70" s="850"/>
      <c r="X70" s="563"/>
      <c r="Y70" s="850"/>
      <c r="Z70" s="563"/>
      <c r="AA70" s="850"/>
      <c r="AB70" s="563"/>
      <c r="AC70" s="362"/>
    </row>
    <row r="71" spans="1:29" x14ac:dyDescent="0.25">
      <c r="A71" s="894"/>
      <c r="B71" s="894"/>
      <c r="C71" s="894" t="s">
        <v>6008</v>
      </c>
      <c r="D71" s="894"/>
      <c r="E71" s="850">
        <v>44587</v>
      </c>
      <c r="F71" s="563">
        <v>132754800</v>
      </c>
      <c r="G71" s="850">
        <v>44617</v>
      </c>
      <c r="H71" s="563">
        <v>129897518</v>
      </c>
      <c r="I71" s="850">
        <v>44649</v>
      </c>
      <c r="J71" s="563">
        <v>129430184</v>
      </c>
      <c r="K71" s="850">
        <v>44677</v>
      </c>
      <c r="L71" s="563">
        <v>131172508</v>
      </c>
      <c r="M71" s="850">
        <v>44708</v>
      </c>
      <c r="N71" s="563">
        <v>128164265</v>
      </c>
      <c r="O71" s="850">
        <v>44741</v>
      </c>
      <c r="P71" s="563">
        <v>129077227</v>
      </c>
      <c r="Q71" s="850"/>
      <c r="R71" s="563"/>
      <c r="S71" s="850"/>
      <c r="T71" s="563"/>
      <c r="U71" s="850"/>
      <c r="V71" s="563"/>
      <c r="W71" s="850"/>
      <c r="X71" s="563"/>
      <c r="Y71" s="850"/>
      <c r="Z71" s="563"/>
      <c r="AA71" s="850"/>
      <c r="AB71" s="563"/>
      <c r="AC71" s="362"/>
    </row>
    <row r="72" spans="1:29" x14ac:dyDescent="0.25">
      <c r="A72" s="894"/>
      <c r="B72" s="894" t="s">
        <v>5991</v>
      </c>
      <c r="C72" s="894" t="s">
        <v>6021</v>
      </c>
      <c r="D72" s="894"/>
      <c r="E72" s="850"/>
      <c r="F72" s="563"/>
      <c r="G72" s="850"/>
      <c r="H72" s="563"/>
      <c r="I72" s="850"/>
      <c r="J72" s="563"/>
      <c r="K72" s="850"/>
      <c r="L72" s="563"/>
      <c r="M72" s="850"/>
      <c r="N72" s="563"/>
      <c r="O72" s="850"/>
      <c r="P72" s="563"/>
      <c r="Q72" s="850"/>
      <c r="R72" s="563"/>
      <c r="S72" s="850"/>
      <c r="T72" s="563"/>
      <c r="U72" s="370"/>
      <c r="V72" s="370"/>
      <c r="W72" s="370"/>
      <c r="X72" s="563"/>
      <c r="Y72" s="370"/>
      <c r="Z72" s="563"/>
      <c r="AA72" s="370"/>
      <c r="AB72" s="370"/>
      <c r="AC72" s="362"/>
    </row>
    <row r="73" spans="1:29" x14ac:dyDescent="0.25">
      <c r="A73" s="894"/>
      <c r="B73" s="894"/>
      <c r="C73" s="894" t="s">
        <v>6022</v>
      </c>
      <c r="D73" s="894"/>
      <c r="E73" s="850">
        <v>44594</v>
      </c>
      <c r="F73" s="563">
        <v>144313935</v>
      </c>
      <c r="G73" s="850">
        <v>44622</v>
      </c>
      <c r="H73" s="563">
        <v>25623103</v>
      </c>
      <c r="I73" s="850"/>
      <c r="J73" s="563"/>
      <c r="K73" s="850">
        <v>44690</v>
      </c>
      <c r="L73" s="563">
        <v>43259902</v>
      </c>
      <c r="M73" s="850">
        <v>44715</v>
      </c>
      <c r="N73" s="563">
        <v>71414912</v>
      </c>
      <c r="O73" s="850">
        <v>44743</v>
      </c>
      <c r="P73" s="563">
        <v>34595147</v>
      </c>
      <c r="Q73" s="850"/>
      <c r="R73" s="563"/>
      <c r="S73" s="850"/>
      <c r="T73" s="563"/>
      <c r="U73" s="850"/>
      <c r="V73" s="563"/>
      <c r="W73" s="850"/>
      <c r="X73" s="563"/>
      <c r="Y73" s="850"/>
      <c r="Z73" s="563"/>
      <c r="AA73" s="850"/>
      <c r="AB73" s="563"/>
      <c r="AC73" s="362"/>
    </row>
    <row r="74" spans="1:29" x14ac:dyDescent="0.25">
      <c r="A74" s="894"/>
      <c r="B74" s="894"/>
      <c r="C74" s="894" t="s">
        <v>6023</v>
      </c>
      <c r="D74" s="894"/>
      <c r="E74" s="850">
        <v>44594</v>
      </c>
      <c r="F74" s="563">
        <v>76979869</v>
      </c>
      <c r="G74" s="850">
        <v>44622</v>
      </c>
      <c r="H74" s="563">
        <v>136597704</v>
      </c>
      <c r="I74" s="850"/>
      <c r="J74" s="563"/>
      <c r="K74" s="850">
        <v>44690</v>
      </c>
      <c r="L74" s="563">
        <v>64440032</v>
      </c>
      <c r="M74" s="850">
        <v>44715</v>
      </c>
      <c r="N74" s="563">
        <v>77264972</v>
      </c>
      <c r="O74" s="850">
        <v>44743</v>
      </c>
      <c r="P74" s="563">
        <v>63203043</v>
      </c>
      <c r="Q74" s="850"/>
      <c r="R74" s="563"/>
      <c r="S74" s="850"/>
      <c r="T74" s="563"/>
      <c r="U74" s="850"/>
      <c r="V74" s="563"/>
      <c r="W74" s="850"/>
      <c r="X74" s="563"/>
      <c r="Y74" s="850"/>
      <c r="Z74" s="563"/>
      <c r="AA74" s="850"/>
      <c r="AB74" s="563"/>
      <c r="AC74" s="362"/>
    </row>
    <row r="75" spans="1:29" x14ac:dyDescent="0.25">
      <c r="A75" s="894"/>
      <c r="B75" s="894" t="s">
        <v>5993</v>
      </c>
      <c r="C75" s="894"/>
      <c r="D75" s="894"/>
      <c r="E75" s="850"/>
      <c r="F75" s="563"/>
      <c r="G75" s="850"/>
      <c r="H75" s="563"/>
      <c r="I75" s="850"/>
      <c r="J75" s="563"/>
      <c r="K75" s="850"/>
      <c r="L75" s="563"/>
      <c r="M75" s="850"/>
      <c r="N75" s="563"/>
      <c r="O75" s="850"/>
      <c r="P75" s="563"/>
      <c r="Q75" s="850"/>
      <c r="R75" s="563"/>
      <c r="S75" s="850"/>
      <c r="T75" s="563"/>
      <c r="U75" s="850"/>
      <c r="V75" s="563"/>
      <c r="W75" s="850"/>
      <c r="X75" s="563"/>
      <c r="Y75" s="370"/>
      <c r="Z75" s="370"/>
      <c r="AA75" s="370"/>
      <c r="AB75" s="563"/>
      <c r="AC75" s="362"/>
    </row>
    <row r="76" spans="1:29" x14ac:dyDescent="0.25">
      <c r="A76" s="894"/>
      <c r="B76" s="894" t="s">
        <v>3420</v>
      </c>
      <c r="C76" s="894" t="s">
        <v>90</v>
      </c>
      <c r="D76" s="894"/>
      <c r="E76" s="850">
        <v>44581</v>
      </c>
      <c r="F76" s="563">
        <v>3200000</v>
      </c>
      <c r="G76" s="850">
        <v>44615</v>
      </c>
      <c r="H76" s="563">
        <v>3200000</v>
      </c>
      <c r="I76" s="850">
        <v>44645</v>
      </c>
      <c r="J76" s="563">
        <v>3520000</v>
      </c>
      <c r="K76" s="850"/>
      <c r="L76" s="563"/>
      <c r="M76" s="850">
        <v>44706</v>
      </c>
      <c r="N76" s="563">
        <v>3885000</v>
      </c>
      <c r="O76" s="850">
        <v>44729</v>
      </c>
      <c r="P76" s="563">
        <v>3552000</v>
      </c>
      <c r="Q76" s="850">
        <v>44756</v>
      </c>
      <c r="R76" s="563">
        <v>3552000</v>
      </c>
      <c r="S76" s="850"/>
      <c r="T76" s="563"/>
      <c r="U76" s="850"/>
      <c r="V76" s="563"/>
      <c r="W76" s="850"/>
      <c r="X76" s="563"/>
      <c r="Y76" s="850"/>
      <c r="Z76" s="563"/>
      <c r="AA76" s="370"/>
      <c r="AB76" s="370"/>
      <c r="AC76" s="362"/>
    </row>
    <row r="77" spans="1:29" x14ac:dyDescent="0.25">
      <c r="A77" s="894"/>
      <c r="B77" s="894"/>
      <c r="C77" s="894" t="s">
        <v>5996</v>
      </c>
      <c r="D77" s="894"/>
      <c r="E77" s="850">
        <v>44579</v>
      </c>
      <c r="F77" s="563">
        <v>2750000</v>
      </c>
      <c r="G77" s="850">
        <v>44610</v>
      </c>
      <c r="H77" s="563">
        <v>2750000</v>
      </c>
      <c r="I77" s="850">
        <v>44642</v>
      </c>
      <c r="J77" s="563">
        <v>2750000</v>
      </c>
      <c r="K77" s="850">
        <v>44670</v>
      </c>
      <c r="L77" s="563">
        <v>2775000</v>
      </c>
      <c r="M77" s="850">
        <v>44700</v>
      </c>
      <c r="N77" s="563">
        <v>2775000</v>
      </c>
      <c r="O77" s="850">
        <v>44732</v>
      </c>
      <c r="P77" s="563">
        <v>2775000</v>
      </c>
      <c r="Q77" s="850"/>
      <c r="R77" s="563"/>
      <c r="S77" s="850"/>
      <c r="T77" s="563"/>
      <c r="U77" s="850"/>
      <c r="V77" s="563"/>
      <c r="W77" s="850"/>
      <c r="X77" s="563"/>
      <c r="Y77" s="850"/>
      <c r="Z77" s="563"/>
      <c r="AA77" s="850"/>
      <c r="AB77" s="563"/>
      <c r="AC77" s="362"/>
    </row>
    <row r="78" spans="1:29" x14ac:dyDescent="0.25">
      <c r="A78" s="894"/>
      <c r="B78" s="894" t="s">
        <v>5994</v>
      </c>
      <c r="C78" s="894" t="s">
        <v>3250</v>
      </c>
      <c r="D78" s="894"/>
      <c r="E78" s="850">
        <v>44579</v>
      </c>
      <c r="F78" s="563">
        <v>32721000</v>
      </c>
      <c r="G78" s="850">
        <v>44610</v>
      </c>
      <c r="H78" s="563">
        <v>42212300</v>
      </c>
      <c r="I78" s="850">
        <v>44644</v>
      </c>
      <c r="J78" s="563">
        <v>39800500</v>
      </c>
      <c r="K78" s="850">
        <v>44663</v>
      </c>
      <c r="L78" s="563">
        <v>37522500</v>
      </c>
      <c r="M78" s="850">
        <v>44698</v>
      </c>
      <c r="N78" s="563">
        <v>41854250</v>
      </c>
      <c r="O78" s="850">
        <v>44729</v>
      </c>
      <c r="P78" s="563">
        <v>44778905</v>
      </c>
      <c r="Q78" s="850"/>
      <c r="R78" s="563"/>
      <c r="S78" s="850"/>
      <c r="T78" s="563"/>
      <c r="U78" s="850"/>
      <c r="V78" s="563"/>
      <c r="W78" s="850"/>
      <c r="X78" s="563"/>
      <c r="Y78" s="850"/>
      <c r="Z78" s="563"/>
      <c r="AA78" s="850"/>
      <c r="AB78" s="563"/>
      <c r="AC78" s="362"/>
    </row>
    <row r="79" spans="1:29" x14ac:dyDescent="0.25">
      <c r="A79" s="894"/>
      <c r="B79" s="894"/>
      <c r="C79" s="894" t="s">
        <v>5995</v>
      </c>
      <c r="D79" s="894"/>
      <c r="E79" s="850">
        <v>44579</v>
      </c>
      <c r="F79" s="563">
        <v>6107500</v>
      </c>
      <c r="G79" s="850"/>
      <c r="H79" s="563"/>
      <c r="I79" s="850"/>
      <c r="J79" s="563"/>
      <c r="K79" s="850"/>
      <c r="L79" s="563"/>
      <c r="M79" s="850"/>
      <c r="N79" s="563"/>
      <c r="O79" s="850"/>
      <c r="P79" s="563"/>
      <c r="Q79" s="850"/>
      <c r="R79" s="563"/>
      <c r="S79" s="850"/>
      <c r="T79" s="563"/>
      <c r="U79" s="850"/>
      <c r="V79" s="563"/>
      <c r="W79" s="850"/>
      <c r="X79" s="563"/>
      <c r="Y79" s="850"/>
      <c r="Z79" s="563"/>
      <c r="AA79" s="850"/>
      <c r="AB79" s="563"/>
      <c r="AC79" s="362"/>
    </row>
    <row r="80" spans="1:29" x14ac:dyDescent="0.25">
      <c r="A80" s="894"/>
      <c r="B80" s="894" t="s">
        <v>5934</v>
      </c>
      <c r="C80" s="894" t="s">
        <v>6047</v>
      </c>
      <c r="D80" s="894"/>
      <c r="E80" s="850">
        <v>44580</v>
      </c>
      <c r="F80" s="563">
        <v>7581237</v>
      </c>
      <c r="G80" s="850">
        <v>44610</v>
      </c>
      <c r="H80" s="563">
        <v>7331958</v>
      </c>
      <c r="I80" s="850">
        <v>44638</v>
      </c>
      <c r="J80" s="563">
        <v>6655142</v>
      </c>
      <c r="K80" s="850">
        <v>44670</v>
      </c>
      <c r="L80" s="563">
        <v>8018459</v>
      </c>
      <c r="M80" s="850">
        <v>44700</v>
      </c>
      <c r="N80" s="563">
        <v>7464156</v>
      </c>
      <c r="O80" s="850">
        <v>44732</v>
      </c>
      <c r="P80" s="563">
        <v>6342560</v>
      </c>
      <c r="Q80" s="850"/>
      <c r="R80" s="563"/>
      <c r="S80" s="850"/>
      <c r="T80" s="563"/>
      <c r="U80" s="850"/>
      <c r="V80" s="563"/>
      <c r="W80" s="850"/>
      <c r="X80" s="563"/>
      <c r="Y80" s="850"/>
      <c r="Z80" s="563"/>
      <c r="AA80" s="850"/>
      <c r="AB80" s="563"/>
      <c r="AC80" s="362"/>
    </row>
    <row r="81" spans="1:29" x14ac:dyDescent="0.25">
      <c r="A81" s="894"/>
      <c r="B81" s="894"/>
      <c r="C81" s="894" t="s">
        <v>6048</v>
      </c>
      <c r="D81" s="894"/>
      <c r="E81" s="850">
        <v>44580</v>
      </c>
      <c r="F81" s="563">
        <v>2059564</v>
      </c>
      <c r="G81" s="850">
        <v>44610</v>
      </c>
      <c r="H81" s="563">
        <v>11382851</v>
      </c>
      <c r="I81" s="850">
        <v>44638</v>
      </c>
      <c r="J81" s="563">
        <v>10524700</v>
      </c>
      <c r="K81" s="850">
        <v>44670</v>
      </c>
      <c r="L81" s="563">
        <v>7839465</v>
      </c>
      <c r="M81" s="850">
        <v>44700</v>
      </c>
      <c r="N81" s="563">
        <v>7386985</v>
      </c>
      <c r="O81" s="850">
        <v>44732</v>
      </c>
      <c r="P81" s="563">
        <v>6425854</v>
      </c>
      <c r="Q81" s="850"/>
      <c r="R81" s="563"/>
      <c r="S81" s="850"/>
      <c r="T81" s="563"/>
      <c r="U81" s="850"/>
      <c r="V81" s="563"/>
      <c r="W81" s="850"/>
      <c r="X81" s="563"/>
      <c r="Y81" s="850"/>
      <c r="Z81" s="563"/>
      <c r="AA81" s="850"/>
      <c r="AB81" s="563"/>
      <c r="AC81" s="362"/>
    </row>
    <row r="82" spans="1:29" x14ac:dyDescent="0.25">
      <c r="A82" s="894"/>
      <c r="B82" s="894"/>
      <c r="C82" s="894" t="s">
        <v>5980</v>
      </c>
      <c r="D82" s="894"/>
      <c r="E82" s="850">
        <v>44567</v>
      </c>
      <c r="F82" s="563">
        <v>3800000</v>
      </c>
      <c r="G82" s="850">
        <v>44595</v>
      </c>
      <c r="H82" s="563">
        <v>3400000</v>
      </c>
      <c r="I82" s="850">
        <v>44622</v>
      </c>
      <c r="J82" s="563">
        <v>3450000</v>
      </c>
      <c r="K82" s="850">
        <v>44649</v>
      </c>
      <c r="L82" s="563">
        <v>4150000</v>
      </c>
      <c r="M82" s="850">
        <v>44698</v>
      </c>
      <c r="N82" s="563">
        <v>3500000</v>
      </c>
      <c r="O82" s="850">
        <v>44719</v>
      </c>
      <c r="P82" s="563">
        <v>2900000</v>
      </c>
      <c r="Q82" s="850">
        <v>44749</v>
      </c>
      <c r="R82" s="563">
        <v>2650000</v>
      </c>
      <c r="S82" s="850"/>
      <c r="T82" s="563"/>
      <c r="U82" s="370"/>
      <c r="V82" s="563"/>
      <c r="W82" s="850"/>
      <c r="X82" s="563"/>
      <c r="Y82" s="850"/>
      <c r="Z82" s="563"/>
      <c r="AA82" s="370"/>
      <c r="AB82" s="370"/>
      <c r="AC82" s="362"/>
    </row>
    <row r="83" spans="1:29" x14ac:dyDescent="0.25">
      <c r="A83" s="894"/>
      <c r="B83" s="894" t="s">
        <v>5936</v>
      </c>
      <c r="C83" s="894" t="s">
        <v>80</v>
      </c>
      <c r="D83" s="894"/>
      <c r="E83" s="850">
        <v>44613</v>
      </c>
      <c r="F83" s="563">
        <v>37395779</v>
      </c>
      <c r="G83" s="850">
        <v>44641</v>
      </c>
      <c r="H83" s="563">
        <v>38163829</v>
      </c>
      <c r="I83" s="850">
        <v>44671</v>
      </c>
      <c r="J83" s="563">
        <v>40877288</v>
      </c>
      <c r="K83" s="850">
        <v>44701</v>
      </c>
      <c r="L83" s="563">
        <v>43396791</v>
      </c>
      <c r="M83" s="850">
        <v>44732</v>
      </c>
      <c r="N83" s="563">
        <v>31943863</v>
      </c>
      <c r="O83" s="850"/>
      <c r="P83" s="563"/>
      <c r="Q83" s="850"/>
      <c r="R83" s="563"/>
      <c r="S83" s="370"/>
      <c r="T83" s="370"/>
      <c r="U83" s="850"/>
      <c r="V83" s="563"/>
      <c r="W83" s="850"/>
      <c r="X83" s="563"/>
      <c r="Y83" s="850"/>
      <c r="Z83" s="563"/>
      <c r="AA83" s="370"/>
      <c r="AB83" s="370"/>
      <c r="AC83" s="362"/>
    </row>
    <row r="84" spans="1:29" x14ac:dyDescent="0.25">
      <c r="A84" s="894"/>
      <c r="B84" s="894"/>
      <c r="C84" s="894" t="s">
        <v>84</v>
      </c>
      <c r="D84" s="894"/>
      <c r="E84" s="850">
        <v>44613</v>
      </c>
      <c r="F84" s="563">
        <v>32563409.289999999</v>
      </c>
      <c r="G84" s="850">
        <v>44641</v>
      </c>
      <c r="H84" s="1313">
        <v>33303453.890000001</v>
      </c>
      <c r="I84" s="850">
        <v>44671</v>
      </c>
      <c r="J84" s="563">
        <v>35178358.729999997</v>
      </c>
      <c r="K84" s="850">
        <v>44701</v>
      </c>
      <c r="L84" s="563">
        <v>38243891.350000001</v>
      </c>
      <c r="M84" s="850">
        <v>44732</v>
      </c>
      <c r="N84" s="563">
        <v>28142264</v>
      </c>
      <c r="O84" s="850"/>
      <c r="P84" s="563"/>
      <c r="Q84" s="850"/>
      <c r="R84" s="563"/>
      <c r="S84" s="850"/>
      <c r="T84" s="563"/>
      <c r="U84" s="850"/>
      <c r="V84" s="563"/>
      <c r="W84" s="850"/>
      <c r="X84" s="563"/>
      <c r="Y84" s="850"/>
      <c r="Z84" s="1313"/>
      <c r="AA84" s="370"/>
      <c r="AB84" s="370"/>
      <c r="AC84" s="362"/>
    </row>
    <row r="85" spans="1:29" x14ac:dyDescent="0.25">
      <c r="A85" s="894"/>
      <c r="B85" s="894" t="s">
        <v>5998</v>
      </c>
      <c r="C85" s="894" t="s">
        <v>90</v>
      </c>
      <c r="D85" s="894"/>
      <c r="E85" s="850">
        <v>44610</v>
      </c>
      <c r="F85" s="563">
        <v>490909</v>
      </c>
      <c r="G85" s="850">
        <v>44617</v>
      </c>
      <c r="H85" s="563">
        <v>984292</v>
      </c>
      <c r="I85" s="850">
        <v>44663</v>
      </c>
      <c r="J85" s="563">
        <v>634117</v>
      </c>
      <c r="K85" s="850">
        <v>44706</v>
      </c>
      <c r="L85" s="563">
        <v>1013543</v>
      </c>
      <c r="M85" s="850">
        <v>44725</v>
      </c>
      <c r="N85" s="563">
        <v>703541</v>
      </c>
      <c r="O85" s="850">
        <v>44754</v>
      </c>
      <c r="P85" s="563">
        <v>495454</v>
      </c>
      <c r="Q85" s="850"/>
      <c r="R85" s="563"/>
      <c r="S85" s="850"/>
      <c r="T85" s="563"/>
      <c r="U85" s="850"/>
      <c r="V85" s="563"/>
      <c r="W85" s="850"/>
      <c r="X85" s="563"/>
      <c r="Y85" s="850"/>
      <c r="Z85" s="563"/>
      <c r="AA85" s="370"/>
      <c r="AB85" s="370"/>
      <c r="AC85" s="362"/>
    </row>
    <row r="86" spans="1:29" x14ac:dyDescent="0.25">
      <c r="A86" s="894"/>
      <c r="B86" s="362"/>
      <c r="C86" s="894" t="s">
        <v>5996</v>
      </c>
      <c r="D86" s="894"/>
      <c r="E86" s="850">
        <v>44610</v>
      </c>
      <c r="F86" s="563">
        <v>1197499</v>
      </c>
      <c r="G86" s="850">
        <v>44642</v>
      </c>
      <c r="H86" s="563">
        <v>952643</v>
      </c>
      <c r="I86" s="850">
        <v>44651</v>
      </c>
      <c r="J86" s="563">
        <v>885963</v>
      </c>
      <c r="K86" s="850">
        <v>44700</v>
      </c>
      <c r="L86" s="563">
        <v>1042792</v>
      </c>
      <c r="M86" s="850">
        <v>44732</v>
      </c>
      <c r="N86" s="563">
        <v>791969</v>
      </c>
      <c r="O86" s="850"/>
      <c r="P86" s="563"/>
      <c r="Q86" s="850"/>
      <c r="R86" s="563"/>
      <c r="S86" s="850"/>
      <c r="T86" s="563"/>
      <c r="U86" s="850"/>
      <c r="V86" s="563"/>
      <c r="W86" s="850"/>
      <c r="X86" s="563"/>
      <c r="Y86" s="850"/>
      <c r="Z86" s="563"/>
      <c r="AA86" s="370"/>
      <c r="AB86" s="370"/>
      <c r="AC86" s="362"/>
    </row>
    <row r="87" spans="1:29" x14ac:dyDescent="0.25">
      <c r="A87" s="362"/>
      <c r="B87" s="362"/>
      <c r="C87" s="894" t="s">
        <v>5999</v>
      </c>
      <c r="D87" s="894"/>
      <c r="E87" s="850">
        <v>44610</v>
      </c>
      <c r="F87" s="563">
        <v>1253448</v>
      </c>
      <c r="G87" s="850">
        <v>44642</v>
      </c>
      <c r="H87" s="563">
        <v>1011188</v>
      </c>
      <c r="I87" s="850">
        <v>44670</v>
      </c>
      <c r="J87" s="563">
        <v>1206036</v>
      </c>
      <c r="K87" s="850">
        <v>44706</v>
      </c>
      <c r="L87" s="563">
        <v>1042324</v>
      </c>
      <c r="M87" s="850">
        <v>44732</v>
      </c>
      <c r="N87" s="563">
        <v>959217</v>
      </c>
      <c r="O87" s="850"/>
      <c r="P87" s="563"/>
      <c r="Q87" s="850"/>
      <c r="R87" s="563"/>
      <c r="S87" s="850"/>
      <c r="T87" s="563"/>
      <c r="U87" s="850"/>
      <c r="V87" s="563"/>
      <c r="W87" s="850"/>
      <c r="X87" s="563"/>
      <c r="Y87" s="850"/>
      <c r="Z87" s="563"/>
      <c r="AA87" s="370"/>
      <c r="AB87" s="370"/>
      <c r="AC87" s="362"/>
    </row>
    <row r="88" spans="1:29" x14ac:dyDescent="0.25">
      <c r="A88" s="362"/>
      <c r="B88" s="362"/>
      <c r="C88" s="894" t="s">
        <v>87</v>
      </c>
      <c r="D88" s="894"/>
      <c r="E88" s="850">
        <v>44610</v>
      </c>
      <c r="F88" s="563">
        <v>355946</v>
      </c>
      <c r="G88" s="850" t="s">
        <v>6278</v>
      </c>
      <c r="H88" s="563">
        <f>127046+291600</f>
        <v>418646</v>
      </c>
      <c r="I88" s="850">
        <v>44701</v>
      </c>
      <c r="J88" s="563">
        <v>509069</v>
      </c>
      <c r="K88" s="850">
        <v>44706</v>
      </c>
      <c r="L88" s="563">
        <v>356740</v>
      </c>
      <c r="M88" s="850">
        <v>44732</v>
      </c>
      <c r="N88" s="563">
        <v>327000</v>
      </c>
      <c r="O88" s="850"/>
      <c r="P88" s="563"/>
      <c r="Q88" s="850"/>
      <c r="R88" s="563"/>
      <c r="S88" s="850"/>
      <c r="T88" s="563"/>
      <c r="U88" s="850"/>
      <c r="V88" s="563"/>
      <c r="W88" s="850"/>
      <c r="X88" s="563"/>
      <c r="Y88" s="850"/>
      <c r="Z88" s="563"/>
      <c r="AA88" s="370"/>
      <c r="AB88" s="370"/>
      <c r="AC88" s="362"/>
    </row>
    <row r="89" spans="1:29" x14ac:dyDescent="0.25">
      <c r="A89" s="362"/>
      <c r="B89" s="362"/>
      <c r="C89" s="894" t="s">
        <v>6185</v>
      </c>
      <c r="D89" s="894"/>
      <c r="E89" s="850">
        <v>44616</v>
      </c>
      <c r="F89" s="563">
        <v>600739</v>
      </c>
      <c r="G89" s="850">
        <v>44650</v>
      </c>
      <c r="H89" s="563">
        <v>432000</v>
      </c>
      <c r="I89" s="850">
        <v>44728</v>
      </c>
      <c r="J89" s="563">
        <v>436000</v>
      </c>
      <c r="K89" s="850"/>
      <c r="L89" s="563"/>
      <c r="M89" s="850"/>
      <c r="N89" s="563"/>
      <c r="O89" s="850"/>
      <c r="P89" s="563"/>
      <c r="Q89" s="850"/>
      <c r="R89" s="563"/>
      <c r="S89" s="850"/>
      <c r="T89" s="563"/>
      <c r="U89" s="850"/>
      <c r="V89" s="563"/>
      <c r="W89" s="850"/>
      <c r="X89" s="563"/>
      <c r="Y89" s="850"/>
      <c r="Z89" s="563"/>
      <c r="AA89" s="370"/>
      <c r="AB89" s="370"/>
      <c r="AC89" s="362"/>
    </row>
    <row r="90" spans="1:29" x14ac:dyDescent="0.25">
      <c r="A90" s="894"/>
      <c r="B90" s="1591" t="s">
        <v>221</v>
      </c>
      <c r="C90" s="894" t="s">
        <v>6258</v>
      </c>
      <c r="D90" s="362"/>
      <c r="E90" s="850">
        <v>44588</v>
      </c>
      <c r="F90" s="980">
        <f>70661200+58786100+12601000</f>
        <v>142048300</v>
      </c>
      <c r="G90" s="850">
        <v>44616</v>
      </c>
      <c r="H90" s="980">
        <f>70661200+58786100+12601000</f>
        <v>142048300</v>
      </c>
      <c r="I90" s="850">
        <v>44649</v>
      </c>
      <c r="J90" s="1251">
        <f>70661200+58786100+12601000</f>
        <v>142048300</v>
      </c>
      <c r="K90" s="850">
        <v>44677</v>
      </c>
      <c r="L90" s="1251">
        <f>70661200+58786100+12601000</f>
        <v>142048300</v>
      </c>
      <c r="M90" s="850">
        <v>44708</v>
      </c>
      <c r="N90" s="1251">
        <f>70661200+58786100+12601000</f>
        <v>142048300</v>
      </c>
      <c r="O90" s="850">
        <v>44740</v>
      </c>
      <c r="P90" s="1251">
        <f>70661200+58786100+12601000</f>
        <v>142048300</v>
      </c>
      <c r="Q90" s="850"/>
      <c r="R90" s="563"/>
      <c r="S90" s="850"/>
      <c r="T90" s="563"/>
      <c r="U90" s="850"/>
      <c r="V90" s="563"/>
      <c r="W90" s="850"/>
      <c r="X90" s="563"/>
      <c r="Y90" s="850"/>
      <c r="Z90" s="864"/>
      <c r="AA90" s="850"/>
      <c r="AB90" s="1251"/>
      <c r="AC90" s="362"/>
    </row>
    <row r="91" spans="1:29" x14ac:dyDescent="0.25">
      <c r="A91" s="894"/>
      <c r="B91" s="1592"/>
      <c r="C91" s="894" t="s">
        <v>6205</v>
      </c>
      <c r="D91" s="362"/>
      <c r="E91" s="850">
        <v>44566</v>
      </c>
      <c r="F91" s="980">
        <f>27759800*3</f>
        <v>83279400</v>
      </c>
      <c r="G91" s="850">
        <v>44596</v>
      </c>
      <c r="H91" s="1095">
        <f>27759800+27753800+27759800</f>
        <v>83273400</v>
      </c>
      <c r="I91" s="850">
        <v>44624</v>
      </c>
      <c r="J91" s="1095">
        <f>27759800+27759800+27759800</f>
        <v>83279400</v>
      </c>
      <c r="K91" s="850">
        <v>44656</v>
      </c>
      <c r="L91" s="1095">
        <f>27759800+27759800+27759800</f>
        <v>83279400</v>
      </c>
      <c r="M91" s="850">
        <v>44677</v>
      </c>
      <c r="N91" s="1095">
        <f>27759800+27759800+27759800</f>
        <v>83279400</v>
      </c>
      <c r="O91" s="850">
        <v>44715</v>
      </c>
      <c r="P91" s="1095">
        <f>27759800+27759800+27759800</f>
        <v>83279400</v>
      </c>
      <c r="Q91" s="850">
        <v>44747</v>
      </c>
      <c r="R91" s="1095">
        <f>27759800+27759800+27759800</f>
        <v>83279400</v>
      </c>
      <c r="S91" s="850"/>
      <c r="T91" s="563"/>
      <c r="U91" s="850"/>
      <c r="V91" s="563"/>
      <c r="W91" s="850"/>
      <c r="X91" s="563"/>
      <c r="Y91" s="850"/>
      <c r="Z91" s="1095"/>
      <c r="AA91" s="850"/>
      <c r="AB91" s="1095"/>
      <c r="AC91" s="362"/>
    </row>
    <row r="92" spans="1:29" x14ac:dyDescent="0.25">
      <c r="A92" s="894"/>
      <c r="B92" s="1592"/>
      <c r="C92" s="894" t="s">
        <v>6247</v>
      </c>
      <c r="D92" s="362"/>
      <c r="E92" s="850">
        <v>44578</v>
      </c>
      <c r="F92" s="980">
        <f>4003600+4003600+4442200+5017500</f>
        <v>17466900</v>
      </c>
      <c r="G92" s="850">
        <v>44609</v>
      </c>
      <c r="H92" s="864">
        <f>4003600+4003600+4442200+5017500</f>
        <v>17466900</v>
      </c>
      <c r="I92" s="850">
        <v>44637</v>
      </c>
      <c r="J92" s="864">
        <f>4003600+4003600+4442200+5017500</f>
        <v>17466900</v>
      </c>
      <c r="K92" s="850">
        <v>44665</v>
      </c>
      <c r="L92" s="864">
        <f>4003600+4003600+4442200+5017500</f>
        <v>17466900</v>
      </c>
      <c r="M92" s="850">
        <v>44698</v>
      </c>
      <c r="N92" s="864">
        <f>4003600+4003600+4442200+5017500</f>
        <v>17466900</v>
      </c>
      <c r="O92" s="850">
        <v>44729</v>
      </c>
      <c r="P92" s="864">
        <f>4003600+4003600+4442200+5017500</f>
        <v>17466900</v>
      </c>
      <c r="Q92" s="850"/>
      <c r="R92" s="563"/>
      <c r="S92" s="850"/>
      <c r="T92" s="563"/>
      <c r="U92" s="850"/>
      <c r="V92" s="563"/>
      <c r="W92" s="850"/>
      <c r="X92" s="563"/>
      <c r="Y92" s="850"/>
      <c r="Z92" s="1095"/>
      <c r="AA92" s="850"/>
      <c r="AB92" s="1095"/>
      <c r="AC92" s="362"/>
    </row>
    <row r="93" spans="1:29" x14ac:dyDescent="0.25">
      <c r="A93" s="894"/>
      <c r="B93" s="1592"/>
      <c r="C93" s="894" t="s">
        <v>6024</v>
      </c>
      <c r="D93" s="362"/>
      <c r="E93" s="850">
        <v>44592</v>
      </c>
      <c r="F93" s="864">
        <v>17070000</v>
      </c>
      <c r="G93" s="850">
        <v>44617</v>
      </c>
      <c r="H93" s="864">
        <v>17070000</v>
      </c>
      <c r="I93" s="850">
        <v>44649</v>
      </c>
      <c r="J93" s="864">
        <v>17070000</v>
      </c>
      <c r="K93" s="850">
        <v>44678</v>
      </c>
      <c r="L93" s="864">
        <v>17070000</v>
      </c>
      <c r="M93" s="850">
        <v>44708</v>
      </c>
      <c r="N93" s="864">
        <v>17070000</v>
      </c>
      <c r="O93" s="850"/>
      <c r="P93" s="563"/>
      <c r="Q93" s="850"/>
      <c r="R93" s="563"/>
      <c r="S93" s="850"/>
      <c r="T93" s="563"/>
      <c r="U93" s="850"/>
      <c r="V93" s="563"/>
      <c r="W93" s="850"/>
      <c r="X93" s="563"/>
      <c r="Y93" s="850"/>
      <c r="Z93" s="864"/>
      <c r="AA93" s="850"/>
      <c r="AB93" s="563"/>
      <c r="AC93" s="362"/>
    </row>
    <row r="94" spans="1:29" x14ac:dyDescent="0.25">
      <c r="A94" s="894"/>
      <c r="B94" s="1593"/>
      <c r="C94" s="894" t="s">
        <v>6279</v>
      </c>
      <c r="D94" s="362"/>
      <c r="E94" s="850"/>
      <c r="F94" s="864"/>
      <c r="G94" s="850"/>
      <c r="H94" s="864"/>
      <c r="I94" s="850"/>
      <c r="J94" s="864"/>
      <c r="K94" s="850"/>
      <c r="L94" s="864"/>
      <c r="M94" s="850"/>
      <c r="N94" s="864"/>
      <c r="O94" s="850">
        <v>44730</v>
      </c>
      <c r="P94" s="563">
        <v>12889100</v>
      </c>
      <c r="Q94" s="850"/>
      <c r="R94" s="563"/>
      <c r="S94" s="850"/>
      <c r="T94" s="563"/>
      <c r="U94" s="850"/>
      <c r="V94" s="563"/>
      <c r="W94" s="850"/>
      <c r="X94" s="563"/>
      <c r="Y94" s="850"/>
      <c r="Z94" s="864"/>
      <c r="AA94" s="850"/>
      <c r="AB94" s="563"/>
      <c r="AC94" s="362"/>
    </row>
    <row r="95" spans="1:29" x14ac:dyDescent="0.25">
      <c r="A95" s="362"/>
      <c r="B95" s="894" t="s">
        <v>5933</v>
      </c>
      <c r="C95" s="362" t="s">
        <v>5954</v>
      </c>
      <c r="D95" s="362"/>
      <c r="E95" s="850">
        <v>44588</v>
      </c>
      <c r="F95" s="563">
        <v>2800700</v>
      </c>
      <c r="G95" s="850">
        <v>44610</v>
      </c>
      <c r="H95" s="563">
        <v>9467700</v>
      </c>
      <c r="I95" s="850">
        <v>44656</v>
      </c>
      <c r="J95" s="563">
        <v>9971400</v>
      </c>
      <c r="K95" s="850">
        <v>44664</v>
      </c>
      <c r="L95" s="864">
        <f>8643800</f>
        <v>8643800</v>
      </c>
      <c r="M95" s="850">
        <v>44708</v>
      </c>
      <c r="N95" s="563">
        <v>9734600</v>
      </c>
      <c r="O95" s="850">
        <v>44736</v>
      </c>
      <c r="P95" s="563">
        <v>10685800</v>
      </c>
      <c r="Q95" s="850"/>
      <c r="R95" s="563"/>
      <c r="S95" s="850"/>
      <c r="T95" s="563"/>
      <c r="U95" s="850"/>
      <c r="V95" s="563"/>
      <c r="W95" s="850"/>
      <c r="X95" s="563"/>
      <c r="Y95" s="850"/>
      <c r="Z95" s="563"/>
      <c r="AA95" s="370"/>
      <c r="AB95" s="370"/>
      <c r="AC95" s="362"/>
    </row>
    <row r="96" spans="1:29" x14ac:dyDescent="0.25">
      <c r="A96" s="362"/>
      <c r="B96" s="894"/>
      <c r="C96" s="362" t="s">
        <v>6248</v>
      </c>
      <c r="D96" s="362"/>
      <c r="E96" s="850">
        <v>44588</v>
      </c>
      <c r="F96" s="563">
        <v>5861200</v>
      </c>
      <c r="G96" s="850"/>
      <c r="H96" s="563"/>
      <c r="I96" s="850"/>
      <c r="J96" s="563"/>
      <c r="K96" s="850"/>
      <c r="L96" s="563"/>
      <c r="M96" s="850"/>
      <c r="N96" s="563"/>
      <c r="O96" s="850"/>
      <c r="P96" s="563"/>
      <c r="Q96" s="850"/>
      <c r="R96" s="563"/>
      <c r="S96" s="850"/>
      <c r="T96" s="563"/>
      <c r="U96" s="850"/>
      <c r="V96" s="563"/>
      <c r="W96" s="850"/>
      <c r="X96" s="563"/>
      <c r="Y96" s="850"/>
      <c r="Z96" s="563"/>
      <c r="AA96" s="370"/>
      <c r="AB96" s="370"/>
      <c r="AC96" s="362"/>
    </row>
    <row r="97" spans="1:29" x14ac:dyDescent="0.25">
      <c r="A97" s="362"/>
      <c r="B97" s="894"/>
      <c r="C97" s="362"/>
      <c r="D97" s="362"/>
      <c r="E97" s="850"/>
      <c r="F97" s="563"/>
      <c r="G97" s="370"/>
      <c r="H97" s="370"/>
      <c r="I97" s="850"/>
      <c r="J97" s="563"/>
      <c r="K97" s="850"/>
      <c r="L97" s="563"/>
      <c r="M97" s="370"/>
      <c r="N97" s="370"/>
      <c r="O97" s="370"/>
      <c r="P97" s="370"/>
      <c r="Q97" s="370"/>
      <c r="R97" s="563"/>
      <c r="S97" s="370"/>
      <c r="T97" s="370"/>
      <c r="U97" s="850"/>
      <c r="V97" s="864"/>
      <c r="W97" s="370"/>
      <c r="X97" s="370"/>
      <c r="Y97" s="370"/>
      <c r="Z97" s="370"/>
      <c r="AA97" s="370"/>
      <c r="AB97" s="370"/>
      <c r="AC97" s="362"/>
    </row>
    <row r="98" spans="1:29" x14ac:dyDescent="0.25">
      <c r="A98" s="362"/>
      <c r="B98" s="894" t="s">
        <v>5930</v>
      </c>
      <c r="C98" s="362"/>
      <c r="D98" s="362"/>
      <c r="E98" s="850">
        <v>44586</v>
      </c>
      <c r="F98" s="563">
        <v>3989400</v>
      </c>
      <c r="G98" s="850">
        <v>44617</v>
      </c>
      <c r="H98" s="563">
        <v>4849760</v>
      </c>
      <c r="I98" s="850">
        <v>44645</v>
      </c>
      <c r="J98" s="563">
        <v>4899760</v>
      </c>
      <c r="K98" s="850">
        <v>44676</v>
      </c>
      <c r="L98" s="563">
        <v>4424000</v>
      </c>
      <c r="M98" s="850">
        <v>44706</v>
      </c>
      <c r="N98" s="563">
        <v>4344000</v>
      </c>
      <c r="O98" s="850">
        <v>44736</v>
      </c>
      <c r="P98" s="563">
        <v>4184000</v>
      </c>
      <c r="Q98" s="850"/>
      <c r="R98" s="563"/>
      <c r="S98" s="850"/>
      <c r="T98" s="563"/>
      <c r="U98" s="850"/>
      <c r="V98" s="563"/>
      <c r="W98" s="850"/>
      <c r="X98" s="563"/>
      <c r="Y98" s="850"/>
      <c r="Z98" s="563"/>
      <c r="AA98" s="850"/>
      <c r="AB98" s="563"/>
      <c r="AC98" s="362"/>
    </row>
    <row r="99" spans="1:29" x14ac:dyDescent="0.25">
      <c r="A99" s="362"/>
      <c r="B99" s="894" t="s">
        <v>6014</v>
      </c>
      <c r="C99" s="362"/>
      <c r="D99" s="362"/>
      <c r="E99" s="850">
        <v>44586</v>
      </c>
      <c r="F99" s="563">
        <v>7694000</v>
      </c>
      <c r="G99" s="850">
        <v>44617</v>
      </c>
      <c r="H99" s="563">
        <v>8701000</v>
      </c>
      <c r="I99" s="370"/>
      <c r="J99" s="370"/>
      <c r="K99" s="370"/>
      <c r="L99" s="370"/>
      <c r="M99" s="850">
        <v>44708</v>
      </c>
      <c r="N99" s="563">
        <v>9589000</v>
      </c>
      <c r="O99" s="850">
        <v>44739</v>
      </c>
      <c r="P99" s="563">
        <v>9769000</v>
      </c>
      <c r="Q99" s="370"/>
      <c r="R99" s="370"/>
      <c r="S99" s="850"/>
      <c r="T99" s="563"/>
      <c r="U99" s="850"/>
      <c r="V99" s="563"/>
      <c r="W99" s="850"/>
      <c r="X99" s="563"/>
      <c r="Y99" s="370"/>
      <c r="Z99" s="370"/>
      <c r="AA99" s="850"/>
      <c r="AB99" s="563"/>
      <c r="AC99" s="362"/>
    </row>
    <row r="100" spans="1:29" x14ac:dyDescent="0.25">
      <c r="A100" s="362"/>
      <c r="B100" s="894" t="s">
        <v>6020</v>
      </c>
      <c r="C100" s="362"/>
      <c r="D100" s="362"/>
      <c r="E100" s="850"/>
      <c r="F100" s="563"/>
      <c r="G100" s="850"/>
      <c r="H100" s="563"/>
      <c r="I100" s="850"/>
      <c r="J100" s="563"/>
      <c r="K100" s="850"/>
      <c r="L100" s="563"/>
      <c r="M100" s="850"/>
      <c r="N100" s="563"/>
      <c r="O100" s="850"/>
      <c r="P100" s="563"/>
      <c r="Q100" s="850"/>
      <c r="R100" s="563"/>
      <c r="S100" s="850"/>
      <c r="T100" s="563"/>
      <c r="U100" s="850"/>
      <c r="V100" s="563"/>
      <c r="W100" s="850"/>
      <c r="X100" s="563"/>
      <c r="Y100" s="850"/>
      <c r="Z100" s="563"/>
      <c r="AA100" s="850"/>
      <c r="AB100" s="563"/>
      <c r="AC100" s="362"/>
    </row>
    <row r="101" spans="1:29" x14ac:dyDescent="0.25">
      <c r="A101" s="362"/>
      <c r="B101" s="894" t="s">
        <v>6025</v>
      </c>
      <c r="C101" s="362"/>
      <c r="D101" s="362"/>
      <c r="E101" s="370"/>
      <c r="F101" s="370"/>
      <c r="G101" s="850"/>
      <c r="H101" s="563"/>
      <c r="I101" s="850"/>
      <c r="J101" s="563"/>
      <c r="K101" s="850">
        <v>44679</v>
      </c>
      <c r="L101" s="563">
        <v>24644667</v>
      </c>
      <c r="M101" s="850">
        <v>44712</v>
      </c>
      <c r="N101" s="370">
        <v>10476291</v>
      </c>
      <c r="O101" s="850"/>
      <c r="P101" s="563"/>
      <c r="Q101" s="850"/>
      <c r="R101" s="563"/>
      <c r="S101" s="850"/>
      <c r="T101" s="563"/>
      <c r="U101" s="370"/>
      <c r="V101" s="370"/>
      <c r="W101" s="370"/>
      <c r="X101" s="370"/>
      <c r="Y101" s="850"/>
      <c r="Z101" s="563"/>
      <c r="AA101" s="370"/>
      <c r="AB101" s="370"/>
      <c r="AC101" s="362"/>
    </row>
    <row r="102" spans="1:29" x14ac:dyDescent="0.25">
      <c r="A102" s="362"/>
      <c r="B102" s="894" t="s">
        <v>6026</v>
      </c>
      <c r="C102" s="362"/>
      <c r="D102" s="362"/>
      <c r="E102" s="370"/>
      <c r="F102" s="370"/>
      <c r="G102" s="850"/>
      <c r="H102" s="563"/>
      <c r="I102" s="37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62"/>
    </row>
    <row r="103" spans="1:29" x14ac:dyDescent="0.25">
      <c r="A103" s="362"/>
      <c r="B103" s="894"/>
      <c r="C103" s="362"/>
      <c r="D103" s="362"/>
      <c r="E103" s="370"/>
      <c r="F103" s="370"/>
      <c r="G103" s="850"/>
      <c r="H103" s="563"/>
      <c r="I103" s="37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62"/>
    </row>
    <row r="104" spans="1:29" x14ac:dyDescent="0.25">
      <c r="A104" s="362"/>
      <c r="B104" s="894" t="s">
        <v>6074</v>
      </c>
      <c r="C104" s="362"/>
      <c r="D104" s="362"/>
      <c r="E104" s="850">
        <v>44607</v>
      </c>
      <c r="F104" s="563">
        <v>4100850</v>
      </c>
      <c r="G104" s="850">
        <v>44629</v>
      </c>
      <c r="H104" s="563">
        <v>2919800</v>
      </c>
      <c r="I104" s="850">
        <v>44664</v>
      </c>
      <c r="J104" s="864">
        <f>3015600</f>
        <v>3015600</v>
      </c>
      <c r="K104" s="850">
        <v>44698</v>
      </c>
      <c r="L104" s="563">
        <v>3221100</v>
      </c>
      <c r="M104" s="850">
        <v>44725</v>
      </c>
      <c r="N104" s="563">
        <v>5337550</v>
      </c>
      <c r="O104" s="850">
        <v>44754</v>
      </c>
      <c r="P104" s="563">
        <v>5498300</v>
      </c>
      <c r="Q104" s="850"/>
      <c r="R104" s="563"/>
      <c r="S104" s="850"/>
      <c r="T104" s="563"/>
      <c r="U104" s="850"/>
      <c r="V104" s="563"/>
      <c r="W104" s="850"/>
      <c r="X104" s="563"/>
      <c r="Y104" s="850"/>
      <c r="Z104" s="563"/>
      <c r="AA104" s="370"/>
      <c r="AB104" s="370"/>
      <c r="AC104" s="362"/>
    </row>
    <row r="105" spans="1:29" x14ac:dyDescent="0.25">
      <c r="A105" s="362"/>
      <c r="B105" s="894" t="s">
        <v>6046</v>
      </c>
      <c r="C105" s="362" t="s">
        <v>6147</v>
      </c>
      <c r="D105" s="362"/>
      <c r="E105" s="850">
        <v>44617</v>
      </c>
      <c r="F105" s="563">
        <v>1320621</v>
      </c>
      <c r="G105" s="850">
        <v>44642</v>
      </c>
      <c r="H105" s="563">
        <v>866299</v>
      </c>
      <c r="I105" s="850">
        <v>44729</v>
      </c>
      <c r="J105" s="563">
        <v>819544</v>
      </c>
      <c r="K105" s="850">
        <v>44726</v>
      </c>
      <c r="L105" s="563">
        <v>1889663</v>
      </c>
      <c r="M105" s="850">
        <v>44726</v>
      </c>
      <c r="N105" s="563">
        <v>700463</v>
      </c>
      <c r="O105" s="850"/>
      <c r="P105" s="563"/>
      <c r="Q105" s="850"/>
      <c r="R105" s="563"/>
      <c r="S105" s="850"/>
      <c r="T105" s="563"/>
      <c r="U105" s="370"/>
      <c r="V105" s="370"/>
      <c r="W105" s="850"/>
      <c r="X105" s="563"/>
      <c r="Y105" s="850"/>
      <c r="Z105" s="563"/>
      <c r="AA105" s="370"/>
      <c r="AB105" s="370"/>
      <c r="AC105" s="362"/>
    </row>
    <row r="106" spans="1:29" x14ac:dyDescent="0.25">
      <c r="A106" s="362"/>
      <c r="B106" s="894"/>
      <c r="C106" s="362" t="s">
        <v>5996</v>
      </c>
      <c r="D106" s="362"/>
      <c r="E106" s="370"/>
      <c r="F106" s="370"/>
      <c r="G106" s="370"/>
      <c r="H106" s="370"/>
      <c r="I106" s="370"/>
      <c r="J106" s="370"/>
      <c r="K106" s="370"/>
      <c r="L106" s="370"/>
      <c r="M106" s="850">
        <v>44734</v>
      </c>
      <c r="N106" s="563">
        <v>408292</v>
      </c>
      <c r="O106" s="370"/>
      <c r="P106" s="370"/>
      <c r="Q106" s="850"/>
      <c r="R106" s="563"/>
      <c r="S106" s="850"/>
      <c r="T106" s="563"/>
      <c r="U106" s="850"/>
      <c r="V106" s="563"/>
      <c r="W106" s="850"/>
      <c r="X106" s="563"/>
      <c r="Y106" s="370"/>
      <c r="Z106" s="370"/>
      <c r="AA106" s="370"/>
      <c r="AB106" s="370"/>
      <c r="AC106" s="362"/>
    </row>
    <row r="107" spans="1:29" x14ac:dyDescent="0.25">
      <c r="A107" s="362"/>
      <c r="B107" s="894" t="s">
        <v>6099</v>
      </c>
      <c r="C107" s="362"/>
      <c r="D107" s="362"/>
      <c r="E107" s="850"/>
      <c r="F107" s="370"/>
      <c r="G107" s="370"/>
      <c r="H107" s="370"/>
      <c r="I107" s="37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62"/>
    </row>
    <row r="108" spans="1:29" x14ac:dyDescent="0.25">
      <c r="A108" s="362"/>
      <c r="B108" s="894"/>
      <c r="C108" s="362"/>
      <c r="D108" s="362"/>
      <c r="E108" s="850"/>
      <c r="F108" s="563"/>
      <c r="G108" s="370"/>
      <c r="H108" s="370"/>
      <c r="I108" s="370"/>
      <c r="J108" s="370"/>
      <c r="K108" s="370"/>
      <c r="L108" s="370"/>
      <c r="M108" s="370"/>
      <c r="N108" s="370"/>
      <c r="O108" s="370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62"/>
    </row>
    <row r="109" spans="1:29" x14ac:dyDescent="0.25">
      <c r="A109" s="362"/>
      <c r="B109" s="894"/>
      <c r="C109" s="362"/>
      <c r="D109" s="362"/>
      <c r="E109" s="370"/>
      <c r="F109" s="370"/>
      <c r="G109" s="370"/>
      <c r="H109" s="370"/>
      <c r="I109" s="37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62"/>
    </row>
    <row r="110" spans="1:29" x14ac:dyDescent="0.25">
      <c r="E110" s="565"/>
      <c r="F110" s="565"/>
      <c r="G110" s="565"/>
      <c r="H110" s="565"/>
      <c r="I110" s="565"/>
      <c r="J110" s="565"/>
      <c r="K110" s="565"/>
      <c r="L110" s="565"/>
      <c r="M110" s="565"/>
      <c r="N110" s="565"/>
      <c r="O110" s="565"/>
      <c r="P110" s="565"/>
      <c r="Q110" s="565"/>
      <c r="R110" s="565"/>
      <c r="S110" s="565"/>
      <c r="T110" s="565"/>
      <c r="U110" s="565"/>
      <c r="V110" s="565"/>
      <c r="W110" s="565"/>
      <c r="X110" s="565"/>
      <c r="Y110" s="565"/>
      <c r="Z110" s="565"/>
      <c r="AA110" s="565"/>
      <c r="AB110" s="565"/>
    </row>
    <row r="111" spans="1:29" x14ac:dyDescent="0.25">
      <c r="E111" s="565"/>
      <c r="F111" s="565"/>
      <c r="G111" s="565"/>
      <c r="H111" s="565"/>
      <c r="I111" s="565"/>
      <c r="J111" s="565"/>
      <c r="K111" s="565"/>
      <c r="L111" s="565"/>
      <c r="M111" s="565"/>
      <c r="N111" s="565"/>
      <c r="O111" s="565"/>
      <c r="P111" s="565"/>
      <c r="Q111" s="565"/>
      <c r="R111" s="565"/>
      <c r="S111" s="565"/>
      <c r="T111" s="565"/>
      <c r="U111" s="565"/>
      <c r="V111" s="565"/>
      <c r="W111" s="565"/>
      <c r="X111" s="565"/>
      <c r="Y111" s="565"/>
      <c r="Z111" s="565"/>
      <c r="AA111" s="565"/>
      <c r="AB111" s="565"/>
    </row>
    <row r="112" spans="1:29" x14ac:dyDescent="0.25">
      <c r="C112" s="362" t="s">
        <v>6098</v>
      </c>
      <c r="D112" s="362"/>
      <c r="E112" s="563"/>
      <c r="F112" s="565"/>
      <c r="G112" s="565"/>
      <c r="H112" s="565"/>
      <c r="I112" s="565"/>
      <c r="J112" s="565"/>
      <c r="K112" s="565"/>
      <c r="L112" s="565"/>
      <c r="M112" s="565"/>
      <c r="N112" s="565"/>
      <c r="O112" s="565"/>
      <c r="P112" s="565"/>
      <c r="Q112" s="565"/>
      <c r="R112" s="565"/>
      <c r="S112" s="565"/>
      <c r="T112" s="565"/>
      <c r="U112" s="565"/>
      <c r="V112" s="565"/>
      <c r="W112" s="565"/>
      <c r="X112" s="565"/>
      <c r="Y112" s="565"/>
      <c r="Z112" s="565"/>
      <c r="AA112" s="565"/>
      <c r="AB112" s="565"/>
    </row>
    <row r="113" spans="3:22" x14ac:dyDescent="0.25">
      <c r="C113" s="362" t="s">
        <v>6093</v>
      </c>
      <c r="D113" s="362"/>
      <c r="E113" s="560">
        <v>94000000</v>
      </c>
    </row>
    <row r="114" spans="3:22" x14ac:dyDescent="0.25">
      <c r="C114" s="362" t="s">
        <v>6094</v>
      </c>
      <c r="D114" s="362"/>
      <c r="E114" s="560">
        <v>69000000</v>
      </c>
      <c r="V114" s="254" t="s">
        <v>6202</v>
      </c>
    </row>
    <row r="115" spans="3:22" x14ac:dyDescent="0.25">
      <c r="C115" s="362" t="s">
        <v>6097</v>
      </c>
      <c r="D115" s="362"/>
      <c r="E115" s="629">
        <v>70000000</v>
      </c>
    </row>
    <row r="116" spans="3:22" x14ac:dyDescent="0.25">
      <c r="C116" s="362" t="s">
        <v>6095</v>
      </c>
      <c r="D116" s="362"/>
      <c r="E116" s="629">
        <v>11000000</v>
      </c>
    </row>
    <row r="117" spans="3:22" x14ac:dyDescent="0.25">
      <c r="C117" s="362" t="s">
        <v>6096</v>
      </c>
      <c r="D117" s="362"/>
      <c r="E117" s="629">
        <v>28000000</v>
      </c>
    </row>
    <row r="118" spans="3:22" x14ac:dyDescent="0.25">
      <c r="C118" s="362" t="s">
        <v>24</v>
      </c>
      <c r="D118" s="362"/>
      <c r="E118" s="629">
        <f>SUM(E112:E117)</f>
        <v>272000000</v>
      </c>
    </row>
    <row r="120" spans="3:22" x14ac:dyDescent="0.25">
      <c r="T120" s="254" t="s">
        <v>6110</v>
      </c>
    </row>
    <row r="122" spans="3:22" x14ac:dyDescent="0.25">
      <c r="S122" s="254" t="s">
        <v>6203</v>
      </c>
      <c r="U122" s="254" t="s">
        <v>6204</v>
      </c>
    </row>
    <row r="128" spans="3:22" x14ac:dyDescent="0.25">
      <c r="R128" s="254">
        <v>3451361</v>
      </c>
    </row>
    <row r="129" spans="18:20" x14ac:dyDescent="0.25">
      <c r="R129" s="254">
        <v>358639</v>
      </c>
      <c r="T129" s="254">
        <v>3485651</v>
      </c>
    </row>
    <row r="130" spans="18:20" x14ac:dyDescent="0.25">
      <c r="T130" s="254">
        <v>324349</v>
      </c>
    </row>
  </sheetData>
  <mergeCells count="10">
    <mergeCell ref="AC2:AC3"/>
    <mergeCell ref="F33:I33"/>
    <mergeCell ref="L33:P33"/>
    <mergeCell ref="R33:V33"/>
    <mergeCell ref="N36:R36"/>
    <mergeCell ref="B90:B94"/>
    <mergeCell ref="F24:J24"/>
    <mergeCell ref="A2:A3"/>
    <mergeCell ref="B2:B3"/>
    <mergeCell ref="E2:AB2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2"/>
  <sheetViews>
    <sheetView topLeftCell="A34" zoomScale="90" zoomScaleNormal="90" workbookViewId="0">
      <pane xSplit="3" topLeftCell="U1" activePane="topRight" state="frozen"/>
      <selection activeCell="A43" sqref="A43"/>
      <selection pane="topRight" activeCell="AA38" sqref="AA38"/>
    </sheetView>
  </sheetViews>
  <sheetFormatPr defaultColWidth="9.140625" defaultRowHeight="15" x14ac:dyDescent="0.25"/>
  <cols>
    <col min="1" max="1" width="9.140625" style="254"/>
    <col min="2" max="2" width="42.140625" style="254" customWidth="1"/>
    <col min="3" max="3" width="14" style="254" customWidth="1"/>
    <col min="4" max="4" width="9.140625" style="254" customWidth="1"/>
    <col min="5" max="5" width="15" style="254" customWidth="1"/>
    <col min="6" max="6" width="14.7109375" style="254" customWidth="1"/>
    <col min="7" max="7" width="15" style="254" customWidth="1"/>
    <col min="8" max="8" width="13.85546875" style="254" customWidth="1"/>
    <col min="9" max="9" width="13.7109375" style="254" customWidth="1"/>
    <col min="10" max="10" width="12" style="254" bestFit="1" customWidth="1"/>
    <col min="11" max="11" width="11" style="254" bestFit="1" customWidth="1"/>
    <col min="12" max="12" width="12" style="254" bestFit="1" customWidth="1"/>
    <col min="13" max="13" width="10.7109375" style="254" bestFit="1" customWidth="1"/>
    <col min="14" max="14" width="13" style="254" customWidth="1"/>
    <col min="15" max="15" width="10.7109375" style="254" bestFit="1" customWidth="1"/>
    <col min="16" max="16" width="12.5703125" style="254" bestFit="1" customWidth="1"/>
    <col min="17" max="17" width="10.7109375" style="254" bestFit="1" customWidth="1"/>
    <col min="18" max="18" width="12.5703125" style="254" bestFit="1" customWidth="1"/>
    <col min="19" max="19" width="12.7109375" style="254" customWidth="1"/>
    <col min="20" max="20" width="14" style="254" customWidth="1"/>
    <col min="21" max="21" width="12.42578125" style="254" customWidth="1"/>
    <col min="22" max="22" width="13.7109375" style="254" customWidth="1"/>
    <col min="23" max="23" width="12.5703125" style="254" customWidth="1"/>
    <col min="24" max="24" width="13.42578125" style="254" customWidth="1"/>
    <col min="25" max="25" width="12.42578125" style="254" customWidth="1"/>
    <col min="26" max="26" width="17.7109375" style="254" customWidth="1"/>
    <col min="27" max="27" width="11.5703125" style="254" bestFit="1" customWidth="1"/>
    <col min="28" max="28" width="13.42578125" style="254" customWidth="1"/>
    <col min="29" max="16384" width="9.140625" style="254"/>
  </cols>
  <sheetData>
    <row r="1" spans="1:29" ht="23.25" customHeight="1" x14ac:dyDescent="0.35">
      <c r="A1" s="242" t="s">
        <v>6178</v>
      </c>
      <c r="G1" s="254" t="s">
        <v>5468</v>
      </c>
    </row>
    <row r="2" spans="1:29" s="1" customFormat="1" x14ac:dyDescent="0.25">
      <c r="A2" s="1597" t="s">
        <v>131</v>
      </c>
      <c r="B2" s="1597" t="s">
        <v>3436</v>
      </c>
      <c r="C2" s="1388"/>
      <c r="D2" s="1388"/>
      <c r="E2" s="1598" t="s">
        <v>3443</v>
      </c>
      <c r="F2" s="1598"/>
      <c r="G2" s="1598"/>
      <c r="H2" s="1598"/>
      <c r="I2" s="1598"/>
      <c r="J2" s="1598"/>
      <c r="K2" s="1598"/>
      <c r="L2" s="1598"/>
      <c r="M2" s="1598"/>
      <c r="N2" s="1598"/>
      <c r="O2" s="1598"/>
      <c r="P2" s="1598"/>
      <c r="Q2" s="1598"/>
      <c r="R2" s="1598"/>
      <c r="S2" s="1598"/>
      <c r="T2" s="1598"/>
      <c r="U2" s="1598"/>
      <c r="V2" s="1598"/>
      <c r="W2" s="1598"/>
      <c r="X2" s="1598"/>
      <c r="Y2" s="1598"/>
      <c r="Z2" s="1598"/>
      <c r="AA2" s="1598"/>
      <c r="AB2" s="1598"/>
      <c r="AC2" s="1599" t="s">
        <v>24</v>
      </c>
    </row>
    <row r="3" spans="1:29" s="1" customFormat="1" x14ac:dyDescent="0.25">
      <c r="A3" s="1597"/>
      <c r="B3" s="1597"/>
      <c r="C3" s="1388"/>
      <c r="D3" s="1388"/>
      <c r="E3" s="1389" t="s">
        <v>3456</v>
      </c>
      <c r="F3" s="1389" t="s">
        <v>3444</v>
      </c>
      <c r="G3" s="1389" t="s">
        <v>3445</v>
      </c>
      <c r="H3" s="1389" t="s">
        <v>3444</v>
      </c>
      <c r="I3" s="1389" t="s">
        <v>3446</v>
      </c>
      <c r="J3" s="1389" t="s">
        <v>3444</v>
      </c>
      <c r="K3" s="1389" t="s">
        <v>3447</v>
      </c>
      <c r="L3" s="1389" t="s">
        <v>3444</v>
      </c>
      <c r="M3" s="1389" t="s">
        <v>3448</v>
      </c>
      <c r="N3" s="1389" t="s">
        <v>3444</v>
      </c>
      <c r="O3" s="1389" t="s">
        <v>3449</v>
      </c>
      <c r="P3" s="1389" t="s">
        <v>3444</v>
      </c>
      <c r="Q3" s="1389" t="s">
        <v>3450</v>
      </c>
      <c r="R3" s="1389" t="s">
        <v>3444</v>
      </c>
      <c r="S3" s="1389" t="s">
        <v>3451</v>
      </c>
      <c r="T3" s="1389" t="s">
        <v>3444</v>
      </c>
      <c r="U3" s="1389" t="s">
        <v>3452</v>
      </c>
      <c r="V3" s="1389" t="s">
        <v>3444</v>
      </c>
      <c r="W3" s="1389" t="s">
        <v>3453</v>
      </c>
      <c r="X3" s="1389" t="s">
        <v>3444</v>
      </c>
      <c r="Y3" s="1389" t="s">
        <v>3454</v>
      </c>
      <c r="Z3" s="1389" t="s">
        <v>3444</v>
      </c>
      <c r="AA3" s="1389" t="s">
        <v>3455</v>
      </c>
      <c r="AB3" s="1389" t="s">
        <v>3444</v>
      </c>
      <c r="AC3" s="1599"/>
    </row>
    <row r="4" spans="1:29" x14ac:dyDescent="0.25">
      <c r="A4" s="894"/>
      <c r="B4" s="898" t="s">
        <v>6015</v>
      </c>
      <c r="C4" s="894"/>
      <c r="D4" s="894"/>
      <c r="E4" s="609"/>
      <c r="F4" s="560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</row>
    <row r="5" spans="1:29" x14ac:dyDescent="0.25">
      <c r="A5" s="894"/>
      <c r="B5" s="894" t="s">
        <v>6004</v>
      </c>
      <c r="C5" s="894"/>
      <c r="D5" s="894"/>
      <c r="E5" s="609">
        <v>44223</v>
      </c>
      <c r="F5" s="560">
        <v>33850000</v>
      </c>
      <c r="G5" s="609">
        <v>44253</v>
      </c>
      <c r="H5" s="560">
        <v>38350000</v>
      </c>
      <c r="I5" s="362" t="s">
        <v>6083</v>
      </c>
      <c r="J5" s="560">
        <v>32770000</v>
      </c>
      <c r="K5" s="609">
        <v>44343</v>
      </c>
      <c r="L5" s="560">
        <v>29350000</v>
      </c>
      <c r="M5" s="362"/>
      <c r="N5" s="362"/>
      <c r="O5" s="609">
        <v>44377</v>
      </c>
      <c r="P5" s="560">
        <v>35570000</v>
      </c>
      <c r="Q5" s="609">
        <v>44407</v>
      </c>
      <c r="R5" s="560">
        <f>34800000+3010000</f>
        <v>37810000</v>
      </c>
      <c r="S5" s="609">
        <v>44438</v>
      </c>
      <c r="T5" s="560">
        <v>40900000</v>
      </c>
      <c r="U5" s="609">
        <v>44468</v>
      </c>
      <c r="V5" s="560">
        <v>39880000</v>
      </c>
      <c r="W5" s="609">
        <v>44497</v>
      </c>
      <c r="X5" s="560">
        <v>43080000</v>
      </c>
      <c r="Y5" s="609">
        <v>44529</v>
      </c>
      <c r="Z5" s="560">
        <v>44820000</v>
      </c>
      <c r="AA5" s="609">
        <v>44559</v>
      </c>
      <c r="AB5" s="560">
        <v>41880000</v>
      </c>
      <c r="AC5" s="362"/>
    </row>
    <row r="6" spans="1:29" x14ac:dyDescent="0.25">
      <c r="A6" s="894"/>
      <c r="B6" s="894" t="s">
        <v>6005</v>
      </c>
      <c r="C6" s="894"/>
      <c r="D6" s="894"/>
      <c r="E6" s="609">
        <v>44223</v>
      </c>
      <c r="F6" s="560">
        <v>6671977</v>
      </c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</row>
    <row r="7" spans="1:29" x14ac:dyDescent="0.25">
      <c r="A7" s="894"/>
      <c r="B7" s="894" t="s">
        <v>6006</v>
      </c>
      <c r="C7" s="362"/>
      <c r="D7" s="362"/>
      <c r="E7" s="609">
        <v>44223</v>
      </c>
      <c r="F7" s="560">
        <v>14651775</v>
      </c>
      <c r="G7" s="362" t="s">
        <v>6071</v>
      </c>
      <c r="H7" s="560">
        <v>15721175</v>
      </c>
      <c r="I7" s="362" t="s">
        <v>6083</v>
      </c>
      <c r="J7" s="560">
        <v>13987525</v>
      </c>
      <c r="K7" s="362"/>
      <c r="L7" s="362"/>
      <c r="M7" s="362"/>
      <c r="N7" s="362"/>
      <c r="O7" s="609">
        <v>44377</v>
      </c>
      <c r="P7" s="560">
        <v>14729375</v>
      </c>
      <c r="Q7" s="609">
        <v>44407</v>
      </c>
      <c r="R7" s="560">
        <v>14729375</v>
      </c>
      <c r="S7" s="609">
        <v>44438</v>
      </c>
      <c r="T7" s="560">
        <v>14895825</v>
      </c>
      <c r="U7" s="609">
        <v>44468</v>
      </c>
      <c r="V7" s="560">
        <v>15318550</v>
      </c>
      <c r="W7" s="609">
        <v>44497</v>
      </c>
      <c r="X7" s="560">
        <v>13115050</v>
      </c>
      <c r="Y7" s="609">
        <v>44529</v>
      </c>
      <c r="Z7" s="560">
        <v>14713350</v>
      </c>
      <c r="AA7" s="609">
        <v>44559</v>
      </c>
      <c r="AB7" s="560">
        <v>13876250</v>
      </c>
      <c r="AC7" s="362"/>
    </row>
    <row r="8" spans="1:29" x14ac:dyDescent="0.25">
      <c r="A8" s="362"/>
      <c r="B8" s="894" t="s">
        <v>5946</v>
      </c>
      <c r="C8" s="362"/>
      <c r="D8" s="362"/>
      <c r="E8" s="609">
        <v>44225</v>
      </c>
      <c r="F8" s="560">
        <v>37199500</v>
      </c>
      <c r="G8" s="609">
        <v>44256</v>
      </c>
      <c r="H8" s="560">
        <f>19395500+20696250+4947000+14520000</f>
        <v>59558750</v>
      </c>
      <c r="I8" s="609">
        <v>44284</v>
      </c>
      <c r="J8" s="560">
        <v>67608588</v>
      </c>
      <c r="K8" s="362"/>
      <c r="L8" s="362"/>
      <c r="M8" s="609">
        <v>44347</v>
      </c>
      <c r="N8" s="560">
        <v>62154307</v>
      </c>
      <c r="O8" s="609">
        <v>44377</v>
      </c>
      <c r="P8" s="560">
        <v>67046996</v>
      </c>
      <c r="Q8" s="609">
        <v>44407</v>
      </c>
      <c r="R8" s="560">
        <v>71270241</v>
      </c>
      <c r="S8" s="609">
        <v>44438</v>
      </c>
      <c r="T8" s="560">
        <v>74442549</v>
      </c>
      <c r="U8" s="609">
        <v>44468</v>
      </c>
      <c r="V8" s="560">
        <v>69154360</v>
      </c>
      <c r="W8" s="609">
        <v>44497</v>
      </c>
      <c r="X8" s="560">
        <v>78776914</v>
      </c>
      <c r="Y8" s="609">
        <v>44529</v>
      </c>
      <c r="Z8" s="560">
        <v>75474997</v>
      </c>
      <c r="AA8" s="609">
        <v>44559</v>
      </c>
      <c r="AB8" s="560">
        <v>72868631</v>
      </c>
      <c r="AC8" s="362"/>
    </row>
    <row r="9" spans="1:29" x14ac:dyDescent="0.25">
      <c r="A9" s="362"/>
      <c r="B9" s="894" t="s">
        <v>5946</v>
      </c>
      <c r="C9" s="362"/>
      <c r="D9" s="362"/>
      <c r="E9" s="609"/>
      <c r="F9" s="560"/>
      <c r="G9" s="609"/>
      <c r="H9" s="560"/>
      <c r="I9" s="609"/>
      <c r="J9" s="560"/>
      <c r="K9" s="362"/>
      <c r="L9" s="362"/>
      <c r="M9" s="609"/>
      <c r="N9" s="560"/>
      <c r="O9" s="609"/>
      <c r="P9" s="560"/>
      <c r="Q9" s="609"/>
      <c r="R9" s="560"/>
      <c r="S9" s="609"/>
      <c r="T9" s="560"/>
      <c r="U9" s="609"/>
      <c r="V9" s="560"/>
      <c r="W9" s="609"/>
      <c r="X9" s="560"/>
      <c r="Y9" s="609"/>
      <c r="Z9" s="560"/>
      <c r="AA9" s="609">
        <v>44594</v>
      </c>
      <c r="AB9" s="560">
        <v>26038292</v>
      </c>
      <c r="AC9" s="362"/>
    </row>
    <row r="10" spans="1:29" x14ac:dyDescent="0.25">
      <c r="A10" s="362"/>
      <c r="B10" s="894" t="s">
        <v>5984</v>
      </c>
      <c r="C10" s="362"/>
      <c r="D10" s="362"/>
      <c r="E10" s="609">
        <v>44230</v>
      </c>
      <c r="F10" s="560">
        <f>11305632+6948960</f>
        <v>18254592</v>
      </c>
      <c r="G10" s="609">
        <v>44263</v>
      </c>
      <c r="H10" s="560">
        <f>3052000+11595520</f>
        <v>14647520</v>
      </c>
      <c r="I10" s="362"/>
      <c r="J10" s="362"/>
      <c r="K10" s="362"/>
      <c r="L10" s="362"/>
      <c r="M10" s="362"/>
      <c r="N10" s="362"/>
      <c r="O10" s="362"/>
      <c r="P10" s="362"/>
      <c r="Q10" s="362"/>
      <c r="R10" s="362"/>
      <c r="S10" s="362"/>
      <c r="T10" s="362"/>
      <c r="U10" s="362"/>
      <c r="V10" s="362"/>
      <c r="W10" s="362"/>
      <c r="X10" s="362"/>
      <c r="Y10" s="362"/>
      <c r="Z10" s="362"/>
      <c r="AA10" s="362"/>
      <c r="AB10" s="362"/>
      <c r="AC10" s="362"/>
    </row>
    <row r="11" spans="1:29" x14ac:dyDescent="0.25">
      <c r="A11" s="362"/>
      <c r="B11" s="894" t="s">
        <v>6072</v>
      </c>
      <c r="C11" s="362"/>
      <c r="D11" s="362"/>
      <c r="E11" s="609"/>
      <c r="F11" s="560"/>
      <c r="G11" s="362" t="s">
        <v>6071</v>
      </c>
      <c r="H11" s="560">
        <v>4300000</v>
      </c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2"/>
      <c r="W11" s="362"/>
      <c r="X11" s="362"/>
      <c r="Y11" s="362"/>
      <c r="Z11" s="362"/>
      <c r="AA11" s="362"/>
      <c r="AB11" s="362"/>
      <c r="AC11" s="362"/>
    </row>
    <row r="12" spans="1:29" x14ac:dyDescent="0.25">
      <c r="A12" s="362"/>
      <c r="B12" s="894" t="s">
        <v>6107</v>
      </c>
      <c r="C12" s="362"/>
      <c r="D12" s="362"/>
      <c r="E12" s="609"/>
      <c r="F12" s="560"/>
      <c r="G12" s="362"/>
      <c r="H12" s="560"/>
      <c r="I12" s="362"/>
      <c r="J12" s="362"/>
      <c r="K12" s="609">
        <v>44326</v>
      </c>
      <c r="L12" s="560">
        <v>5392500</v>
      </c>
      <c r="M12" s="609">
        <v>44350</v>
      </c>
      <c r="N12" s="560">
        <v>20681204</v>
      </c>
      <c r="O12" s="609">
        <v>44382</v>
      </c>
      <c r="P12" s="560">
        <v>38283552</v>
      </c>
      <c r="Q12" s="362" t="s">
        <v>125</v>
      </c>
      <c r="R12" s="362" t="s">
        <v>125</v>
      </c>
      <c r="S12" s="609">
        <v>44454</v>
      </c>
      <c r="T12" s="560">
        <v>6164161</v>
      </c>
      <c r="U12" s="362"/>
      <c r="V12" s="362"/>
      <c r="W12" s="362"/>
      <c r="X12" s="362"/>
      <c r="Y12" s="362"/>
      <c r="Z12" s="362"/>
      <c r="AA12" s="362"/>
      <c r="AB12" s="362"/>
      <c r="AC12" s="362"/>
    </row>
    <row r="13" spans="1:29" x14ac:dyDescent="0.25">
      <c r="A13" s="362"/>
      <c r="B13" s="894" t="s">
        <v>6153</v>
      </c>
      <c r="C13" s="362"/>
      <c r="D13" s="362"/>
      <c r="E13" s="609"/>
      <c r="F13" s="560"/>
      <c r="G13" s="362"/>
      <c r="H13" s="560"/>
      <c r="I13" s="362"/>
      <c r="J13" s="362"/>
      <c r="K13" s="609"/>
      <c r="L13" s="560"/>
      <c r="M13" s="609"/>
      <c r="N13" s="560"/>
      <c r="O13" s="609"/>
      <c r="P13" s="560"/>
      <c r="Q13" s="362"/>
      <c r="R13" s="362"/>
      <c r="S13" s="609">
        <v>44449</v>
      </c>
      <c r="T13" s="560">
        <v>3124130</v>
      </c>
      <c r="U13" s="362"/>
      <c r="V13" s="362"/>
      <c r="W13" s="362"/>
      <c r="X13" s="362"/>
      <c r="Y13" s="362"/>
      <c r="Z13" s="362"/>
      <c r="AA13" s="362"/>
      <c r="AB13" s="362"/>
      <c r="AC13" s="362"/>
    </row>
    <row r="14" spans="1:29" x14ac:dyDescent="0.25">
      <c r="A14" s="894"/>
      <c r="B14" s="898" t="s">
        <v>6016</v>
      </c>
      <c r="C14" s="894"/>
      <c r="D14" s="894"/>
      <c r="E14" s="609"/>
      <c r="F14" s="560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  <c r="T14" s="362"/>
      <c r="U14" s="362"/>
      <c r="V14" s="362"/>
      <c r="W14" s="362"/>
      <c r="X14" s="362"/>
      <c r="Y14" s="362"/>
      <c r="Z14" s="362"/>
      <c r="AA14" s="362"/>
      <c r="AB14" s="362"/>
      <c r="AC14" s="362"/>
    </row>
    <row r="15" spans="1:29" x14ac:dyDescent="0.25">
      <c r="A15" s="894"/>
      <c r="B15" s="939" t="s">
        <v>6081</v>
      </c>
      <c r="C15" s="894"/>
      <c r="D15" s="894"/>
      <c r="E15" s="609"/>
      <c r="F15" s="560"/>
      <c r="G15" s="362" t="s">
        <v>6080</v>
      </c>
      <c r="H15" s="560">
        <v>28130000</v>
      </c>
      <c r="I15" s="362" t="s">
        <v>6103</v>
      </c>
      <c r="J15" s="560">
        <v>78792775</v>
      </c>
      <c r="K15" s="609">
        <v>44347</v>
      </c>
      <c r="L15" s="560">
        <v>14792500</v>
      </c>
      <c r="M15" s="609">
        <v>44382</v>
      </c>
      <c r="N15" s="560">
        <v>4122500</v>
      </c>
      <c r="O15" s="609">
        <v>44410</v>
      </c>
      <c r="P15" s="560">
        <v>4365000</v>
      </c>
      <c r="Q15" s="609">
        <v>44431</v>
      </c>
      <c r="R15" s="560">
        <v>7760000</v>
      </c>
      <c r="S15" s="609" t="s">
        <v>6177</v>
      </c>
      <c r="T15" s="560">
        <v>13531500</v>
      </c>
      <c r="U15" s="609">
        <v>44494</v>
      </c>
      <c r="V15" s="560">
        <v>7032500</v>
      </c>
      <c r="W15" s="609">
        <v>44529</v>
      </c>
      <c r="X15" s="560">
        <v>10427500</v>
      </c>
      <c r="Y15" s="609">
        <v>44564</v>
      </c>
      <c r="Z15" s="560">
        <v>9457500</v>
      </c>
      <c r="AA15" s="609">
        <v>44578</v>
      </c>
      <c r="AB15" s="560">
        <v>21825000</v>
      </c>
      <c r="AC15" s="362"/>
    </row>
    <row r="16" spans="1:29" x14ac:dyDescent="0.25">
      <c r="A16" s="894"/>
      <c r="B16" s="894" t="s">
        <v>6045</v>
      </c>
      <c r="C16" s="894"/>
      <c r="D16" s="894"/>
      <c r="E16" s="609">
        <v>44242</v>
      </c>
      <c r="F16" s="560">
        <v>5820000</v>
      </c>
      <c r="G16" s="362" t="s">
        <v>6080</v>
      </c>
      <c r="H16" s="560">
        <v>8924000</v>
      </c>
      <c r="I16" s="362"/>
      <c r="J16" s="362"/>
      <c r="K16" s="609">
        <v>44347</v>
      </c>
      <c r="L16" s="560">
        <v>5238000</v>
      </c>
      <c r="M16" s="609">
        <v>44382</v>
      </c>
      <c r="N16" s="560">
        <v>7081000</v>
      </c>
      <c r="O16" s="609">
        <v>44410</v>
      </c>
      <c r="P16" s="560">
        <v>970000</v>
      </c>
      <c r="Q16" s="609">
        <v>44431</v>
      </c>
      <c r="R16" s="560">
        <v>10379000</v>
      </c>
      <c r="S16" s="362"/>
      <c r="T16" s="362"/>
      <c r="U16" s="609">
        <v>44494</v>
      </c>
      <c r="V16" s="560">
        <v>6887000</v>
      </c>
      <c r="W16" s="609">
        <v>44529</v>
      </c>
      <c r="X16" s="560">
        <v>5820000</v>
      </c>
      <c r="Y16" s="609">
        <v>44564</v>
      </c>
      <c r="Z16" s="560">
        <v>6887000</v>
      </c>
      <c r="AA16" s="609">
        <v>44578</v>
      </c>
      <c r="AB16" s="560">
        <v>8051000</v>
      </c>
      <c r="AC16" s="362"/>
    </row>
    <row r="17" spans="1:29" x14ac:dyDescent="0.25">
      <c r="A17" s="894"/>
      <c r="B17" s="894" t="s">
        <v>6234</v>
      </c>
      <c r="C17" s="894"/>
      <c r="D17" s="894"/>
      <c r="E17" s="609"/>
      <c r="F17" s="560"/>
      <c r="G17" s="362"/>
      <c r="H17" s="560"/>
      <c r="I17" s="362"/>
      <c r="J17" s="362"/>
      <c r="K17" s="609"/>
      <c r="L17" s="560"/>
      <c r="M17" s="609"/>
      <c r="N17" s="560"/>
      <c r="O17" s="609"/>
      <c r="P17" s="560"/>
      <c r="Q17" s="609"/>
      <c r="R17" s="560"/>
      <c r="S17" s="362"/>
      <c r="T17" s="362"/>
      <c r="U17" s="609"/>
      <c r="V17" s="560"/>
      <c r="W17" s="609"/>
      <c r="X17" s="560"/>
      <c r="Y17" s="609">
        <v>44564</v>
      </c>
      <c r="Z17" s="560">
        <v>3589000</v>
      </c>
      <c r="AA17" s="609">
        <v>44578</v>
      </c>
      <c r="AB17" s="560">
        <v>4171000</v>
      </c>
      <c r="AC17" s="362"/>
    </row>
    <row r="18" spans="1:29" x14ac:dyDescent="0.25">
      <c r="A18" s="894"/>
      <c r="B18" s="894" t="s">
        <v>6212</v>
      </c>
      <c r="C18" s="894"/>
      <c r="D18" s="894"/>
      <c r="E18" s="609"/>
      <c r="F18" s="560"/>
      <c r="G18" s="362"/>
      <c r="H18" s="560"/>
      <c r="I18" s="362"/>
      <c r="J18" s="362"/>
      <c r="K18" s="609"/>
      <c r="L18" s="560"/>
      <c r="M18" s="609"/>
      <c r="N18" s="560"/>
      <c r="O18" s="609"/>
      <c r="P18" s="560"/>
      <c r="Q18" s="609"/>
      <c r="R18" s="560"/>
      <c r="S18" s="362"/>
      <c r="T18" s="362"/>
      <c r="U18" s="609"/>
      <c r="V18" s="560"/>
      <c r="W18" s="609">
        <v>44529</v>
      </c>
      <c r="X18" s="560">
        <v>1212500</v>
      </c>
      <c r="Y18" s="609">
        <v>44564</v>
      </c>
      <c r="Z18" s="560">
        <v>2182500</v>
      </c>
      <c r="AA18" s="609">
        <v>44578</v>
      </c>
      <c r="AB18" s="560">
        <v>1455000</v>
      </c>
      <c r="AC18" s="362"/>
    </row>
    <row r="19" spans="1:29" x14ac:dyDescent="0.25">
      <c r="A19" s="894"/>
      <c r="B19" s="894" t="s">
        <v>6050</v>
      </c>
      <c r="C19" s="894"/>
      <c r="D19" s="894"/>
      <c r="E19" s="609">
        <v>44326</v>
      </c>
      <c r="F19" s="560">
        <v>20108103</v>
      </c>
      <c r="G19" s="609">
        <v>44326</v>
      </c>
      <c r="H19" s="560">
        <v>12933173</v>
      </c>
      <c r="I19" s="609">
        <v>44326</v>
      </c>
      <c r="J19" s="560">
        <v>16755736</v>
      </c>
      <c r="K19" s="609">
        <v>44371</v>
      </c>
      <c r="L19" s="560">
        <v>14100000</v>
      </c>
      <c r="M19" s="609">
        <v>44431</v>
      </c>
      <c r="N19" s="560">
        <v>10600000</v>
      </c>
      <c r="O19" s="609">
        <v>44459</v>
      </c>
      <c r="P19" s="560">
        <v>15600000</v>
      </c>
      <c r="Q19" s="609">
        <v>44459</v>
      </c>
      <c r="R19" s="560">
        <v>12700000</v>
      </c>
      <c r="S19" s="609">
        <v>44522</v>
      </c>
      <c r="T19" s="560">
        <v>13900000</v>
      </c>
      <c r="U19" s="609">
        <v>44564</v>
      </c>
      <c r="V19" s="560">
        <v>18700000</v>
      </c>
      <c r="W19" s="609">
        <v>44564</v>
      </c>
      <c r="X19" s="560">
        <v>17500000</v>
      </c>
      <c r="Y19" s="609">
        <v>44629</v>
      </c>
      <c r="Z19" s="560">
        <v>21000000</v>
      </c>
      <c r="AA19" s="609">
        <v>44676</v>
      </c>
      <c r="AB19" s="560">
        <v>24950000</v>
      </c>
      <c r="AC19" s="362"/>
    </row>
    <row r="20" spans="1:29" x14ac:dyDescent="0.25">
      <c r="A20" s="894"/>
      <c r="B20" s="894"/>
      <c r="C20" s="894"/>
      <c r="D20" s="894"/>
      <c r="E20" s="609"/>
      <c r="F20" s="560"/>
      <c r="G20" s="609"/>
      <c r="H20" s="560"/>
      <c r="I20" s="609"/>
      <c r="J20" s="560"/>
      <c r="K20" s="609"/>
      <c r="L20" s="560"/>
      <c r="M20" s="609"/>
      <c r="N20" s="560"/>
      <c r="O20" s="609"/>
      <c r="P20" s="560"/>
      <c r="Q20" s="609"/>
      <c r="R20" s="560"/>
      <c r="S20" s="609"/>
      <c r="T20" s="560"/>
      <c r="U20" s="609"/>
      <c r="V20" s="560"/>
      <c r="W20" s="585">
        <v>44749</v>
      </c>
      <c r="X20" s="1594">
        <v>3000000</v>
      </c>
      <c r="Y20" s="1595"/>
      <c r="Z20" s="1595"/>
      <c r="AA20" s="1595"/>
      <c r="AB20" s="1596"/>
      <c r="AC20" s="362"/>
    </row>
    <row r="21" spans="1:29" x14ac:dyDescent="0.25">
      <c r="A21" s="894"/>
      <c r="B21" s="894" t="s">
        <v>6051</v>
      </c>
      <c r="C21" s="894"/>
      <c r="D21" s="894"/>
      <c r="E21" s="609" t="s">
        <v>6053</v>
      </c>
      <c r="F21" s="560">
        <v>17640420</v>
      </c>
      <c r="G21" s="609">
        <v>44281</v>
      </c>
      <c r="H21" s="560">
        <v>6667780</v>
      </c>
      <c r="I21" s="362" t="s">
        <v>6103</v>
      </c>
      <c r="J21" s="560">
        <v>21186352</v>
      </c>
      <c r="K21" s="609" t="s">
        <v>6108</v>
      </c>
      <c r="L21" s="560">
        <v>35197420</v>
      </c>
      <c r="M21" s="362"/>
      <c r="N21" s="362"/>
      <c r="O21" s="609">
        <v>44403</v>
      </c>
      <c r="P21" s="560">
        <v>20396190</v>
      </c>
      <c r="Q21" s="609">
        <v>44431</v>
      </c>
      <c r="R21" s="560">
        <v>8811092</v>
      </c>
      <c r="S21" s="609">
        <v>44459</v>
      </c>
      <c r="T21" s="560">
        <v>13829872</v>
      </c>
      <c r="U21" s="609">
        <v>44494</v>
      </c>
      <c r="V21" s="560">
        <v>22665020</v>
      </c>
      <c r="W21" s="609">
        <v>44522</v>
      </c>
      <c r="X21" s="560">
        <v>15777632</v>
      </c>
      <c r="Y21" s="609">
        <v>44550</v>
      </c>
      <c r="Z21" s="560">
        <v>23455570</v>
      </c>
      <c r="AA21" s="609">
        <v>44585</v>
      </c>
      <c r="AB21" s="560">
        <v>9501150</v>
      </c>
      <c r="AC21" s="362"/>
    </row>
    <row r="22" spans="1:29" x14ac:dyDescent="0.25">
      <c r="A22" s="894"/>
      <c r="B22" s="894" t="s">
        <v>6052</v>
      </c>
      <c r="C22" s="894"/>
      <c r="D22" s="894"/>
      <c r="E22" s="609" t="s">
        <v>6092</v>
      </c>
      <c r="F22" s="560">
        <v>13881686</v>
      </c>
      <c r="G22" s="362" t="s">
        <v>6092</v>
      </c>
      <c r="H22" s="560">
        <v>14049641</v>
      </c>
      <c r="I22" s="609" t="s">
        <v>6108</v>
      </c>
      <c r="J22" s="560">
        <v>12976078</v>
      </c>
      <c r="K22" s="609">
        <v>44396</v>
      </c>
      <c r="L22" s="560">
        <v>6920739</v>
      </c>
      <c r="M22" s="609">
        <v>44396</v>
      </c>
      <c r="N22" s="560">
        <v>7593453</v>
      </c>
      <c r="O22" s="609">
        <v>44424</v>
      </c>
      <c r="P22" s="560">
        <v>17929005</v>
      </c>
      <c r="Q22" s="609">
        <v>44473</v>
      </c>
      <c r="R22" s="560">
        <v>16948013</v>
      </c>
      <c r="S22" s="609">
        <v>44473</v>
      </c>
      <c r="T22" s="560">
        <v>17903368</v>
      </c>
      <c r="U22" s="609">
        <v>44536</v>
      </c>
      <c r="V22" s="560">
        <v>25259035</v>
      </c>
      <c r="W22" s="609">
        <v>44536</v>
      </c>
      <c r="X22" s="560">
        <v>22617482</v>
      </c>
      <c r="Y22" s="609">
        <v>44585</v>
      </c>
      <c r="Z22" s="560">
        <v>16368061</v>
      </c>
      <c r="AA22" s="609">
        <v>44585</v>
      </c>
      <c r="AB22" s="560">
        <v>27497032</v>
      </c>
      <c r="AC22" s="362"/>
    </row>
    <row r="23" spans="1:29" x14ac:dyDescent="0.25">
      <c r="A23" s="894"/>
      <c r="B23" s="894" t="s">
        <v>6054</v>
      </c>
      <c r="C23" s="894"/>
      <c r="D23" s="894"/>
      <c r="E23" s="609" t="s">
        <v>6053</v>
      </c>
      <c r="F23" s="560">
        <v>16440000</v>
      </c>
      <c r="G23" s="362" t="s">
        <v>6083</v>
      </c>
      <c r="H23" s="560">
        <v>14485000</v>
      </c>
      <c r="I23" s="362" t="s">
        <v>6092</v>
      </c>
      <c r="J23" s="560">
        <v>17030000</v>
      </c>
      <c r="K23" s="609">
        <v>44347</v>
      </c>
      <c r="L23" s="560">
        <v>23365000</v>
      </c>
      <c r="M23" s="609">
        <v>44368</v>
      </c>
      <c r="N23" s="560">
        <v>20470000</v>
      </c>
      <c r="O23" s="609">
        <v>44410</v>
      </c>
      <c r="P23" s="560">
        <v>19720000</v>
      </c>
      <c r="Q23" s="609">
        <v>44438</v>
      </c>
      <c r="R23" s="560">
        <v>17390000</v>
      </c>
      <c r="S23" s="609">
        <v>44473</v>
      </c>
      <c r="T23" s="560">
        <v>20865000</v>
      </c>
      <c r="U23" s="609">
        <v>44487</v>
      </c>
      <c r="V23" s="560">
        <v>18724669</v>
      </c>
      <c r="W23" s="609">
        <v>44515</v>
      </c>
      <c r="X23" s="560">
        <v>23290000</v>
      </c>
      <c r="Y23" s="609">
        <v>44550</v>
      </c>
      <c r="Z23" s="560">
        <v>24240000</v>
      </c>
      <c r="AA23" s="609">
        <v>44585</v>
      </c>
      <c r="AB23" s="560">
        <v>25505000</v>
      </c>
      <c r="AC23" s="362"/>
    </row>
    <row r="24" spans="1:29" x14ac:dyDescent="0.25">
      <c r="A24" s="894"/>
      <c r="B24" s="894" t="s">
        <v>6077</v>
      </c>
      <c r="C24" s="894"/>
      <c r="D24" s="894"/>
      <c r="E24" s="609" t="s">
        <v>6071</v>
      </c>
      <c r="F24" s="560">
        <v>111485579</v>
      </c>
      <c r="G24" s="362" t="s">
        <v>6078</v>
      </c>
      <c r="H24" s="560">
        <v>126556107</v>
      </c>
      <c r="I24" s="362"/>
      <c r="J24" s="362"/>
      <c r="K24" s="609">
        <v>44351</v>
      </c>
      <c r="L24" s="560">
        <v>187060614</v>
      </c>
      <c r="M24" s="609">
        <v>44371</v>
      </c>
      <c r="N24" s="560">
        <v>9247081</v>
      </c>
      <c r="O24" s="609">
        <v>44403</v>
      </c>
      <c r="P24" s="560">
        <v>92575461</v>
      </c>
      <c r="Q24" s="609">
        <v>44431</v>
      </c>
      <c r="R24" s="560">
        <v>88503900</v>
      </c>
      <c r="S24" s="609">
        <v>44459</v>
      </c>
      <c r="T24" s="560">
        <v>132146099</v>
      </c>
      <c r="U24" s="609">
        <v>44497</v>
      </c>
      <c r="V24" s="560">
        <v>147900476</v>
      </c>
      <c r="W24" s="609">
        <v>44515</v>
      </c>
      <c r="X24" s="560">
        <v>136830451</v>
      </c>
      <c r="Y24" s="609">
        <v>44543</v>
      </c>
      <c r="Z24" s="560">
        <v>129688849</v>
      </c>
      <c r="AA24" s="609">
        <v>44585</v>
      </c>
      <c r="AB24" s="560">
        <v>158661790</v>
      </c>
      <c r="AC24" s="362"/>
    </row>
    <row r="25" spans="1:29" x14ac:dyDescent="0.25">
      <c r="A25" s="894"/>
      <c r="B25" s="894" t="s">
        <v>6222</v>
      </c>
      <c r="C25" s="894"/>
      <c r="D25" s="894"/>
      <c r="E25" s="609" t="s">
        <v>125</v>
      </c>
      <c r="F25" s="609" t="s">
        <v>125</v>
      </c>
      <c r="G25" s="609" t="s">
        <v>125</v>
      </c>
      <c r="H25" s="609" t="s">
        <v>125</v>
      </c>
      <c r="I25" s="609" t="s">
        <v>125</v>
      </c>
      <c r="J25" s="609" t="s">
        <v>125</v>
      </c>
      <c r="K25" s="609" t="s">
        <v>125</v>
      </c>
      <c r="L25" s="609" t="s">
        <v>125</v>
      </c>
      <c r="M25" s="609" t="s">
        <v>125</v>
      </c>
      <c r="N25" s="609" t="s">
        <v>125</v>
      </c>
      <c r="O25" s="609" t="s">
        <v>125</v>
      </c>
      <c r="P25" s="609" t="s">
        <v>125</v>
      </c>
      <c r="Q25" s="609" t="s">
        <v>125</v>
      </c>
      <c r="R25" s="609" t="s">
        <v>125</v>
      </c>
      <c r="S25" s="609" t="s">
        <v>125</v>
      </c>
      <c r="T25" s="609" t="s">
        <v>125</v>
      </c>
      <c r="U25" s="585">
        <v>44543</v>
      </c>
      <c r="V25" s="562">
        <v>8272000</v>
      </c>
      <c r="W25" s="585"/>
      <c r="X25" s="562"/>
      <c r="Y25" s="362"/>
      <c r="Z25" s="362"/>
      <c r="AA25" s="362"/>
      <c r="AB25" s="362"/>
      <c r="AC25" s="362"/>
    </row>
    <row r="26" spans="1:29" x14ac:dyDescent="0.25">
      <c r="A26" s="894"/>
      <c r="B26" s="894" t="s">
        <v>6223</v>
      </c>
      <c r="C26" s="894"/>
      <c r="D26" s="894"/>
      <c r="E26" s="609" t="s">
        <v>125</v>
      </c>
      <c r="F26" s="609" t="s">
        <v>125</v>
      </c>
      <c r="G26" s="609" t="s">
        <v>125</v>
      </c>
      <c r="H26" s="609" t="s">
        <v>125</v>
      </c>
      <c r="I26" s="609" t="s">
        <v>125</v>
      </c>
      <c r="J26" s="609" t="s">
        <v>125</v>
      </c>
      <c r="K26" s="609" t="s">
        <v>125</v>
      </c>
      <c r="L26" s="609" t="s">
        <v>125</v>
      </c>
      <c r="M26" s="609" t="s">
        <v>125</v>
      </c>
      <c r="N26" s="609" t="s">
        <v>125</v>
      </c>
      <c r="O26" s="609" t="s">
        <v>125</v>
      </c>
      <c r="P26" s="609" t="s">
        <v>125</v>
      </c>
      <c r="Q26" s="609" t="s">
        <v>125</v>
      </c>
      <c r="R26" s="609" t="s">
        <v>125</v>
      </c>
      <c r="S26" s="609" t="s">
        <v>125</v>
      </c>
      <c r="T26" s="609" t="s">
        <v>125</v>
      </c>
      <c r="U26" s="585">
        <v>44543</v>
      </c>
      <c r="V26" s="562">
        <v>1457000</v>
      </c>
      <c r="W26" s="585"/>
      <c r="X26" s="562"/>
      <c r="Y26" s="362"/>
      <c r="Z26" s="362"/>
      <c r="AA26" s="362"/>
      <c r="AB26" s="362"/>
      <c r="AC26" s="362"/>
    </row>
    <row r="27" spans="1:29" x14ac:dyDescent="0.25">
      <c r="A27" s="894"/>
      <c r="B27" s="894" t="s">
        <v>6224</v>
      </c>
      <c r="C27" s="894"/>
      <c r="D27" s="894"/>
      <c r="E27" s="609" t="s">
        <v>125</v>
      </c>
      <c r="F27" s="609" t="s">
        <v>125</v>
      </c>
      <c r="G27" s="609" t="s">
        <v>125</v>
      </c>
      <c r="H27" s="609" t="s">
        <v>125</v>
      </c>
      <c r="I27" s="609" t="s">
        <v>125</v>
      </c>
      <c r="J27" s="609" t="s">
        <v>125</v>
      </c>
      <c r="K27" s="609" t="s">
        <v>125</v>
      </c>
      <c r="L27" s="609" t="s">
        <v>125</v>
      </c>
      <c r="M27" s="609" t="s">
        <v>125</v>
      </c>
      <c r="N27" s="609" t="s">
        <v>125</v>
      </c>
      <c r="O27" s="609" t="s">
        <v>125</v>
      </c>
      <c r="P27" s="609" t="s">
        <v>125</v>
      </c>
      <c r="Q27" s="609" t="s">
        <v>125</v>
      </c>
      <c r="R27" s="609" t="s">
        <v>125</v>
      </c>
      <c r="S27" s="609" t="s">
        <v>125</v>
      </c>
      <c r="T27" s="609" t="s">
        <v>125</v>
      </c>
      <c r="U27" s="850">
        <v>44543</v>
      </c>
      <c r="V27" s="563">
        <v>4928000</v>
      </c>
      <c r="W27" s="850">
        <v>44564</v>
      </c>
      <c r="X27" s="563">
        <v>5869000</v>
      </c>
      <c r="Y27" s="362"/>
      <c r="Z27" s="362"/>
      <c r="AA27" s="362"/>
      <c r="AB27" s="362"/>
      <c r="AC27" s="362"/>
    </row>
    <row r="28" spans="1:29" x14ac:dyDescent="0.25">
      <c r="A28" s="894"/>
      <c r="B28" s="894" t="s">
        <v>6079</v>
      </c>
      <c r="C28" s="894"/>
      <c r="D28" s="894"/>
      <c r="E28" s="609" t="s">
        <v>6080</v>
      </c>
      <c r="F28" s="560"/>
      <c r="G28" s="362" t="s">
        <v>6103</v>
      </c>
      <c r="H28" s="560">
        <v>10775000</v>
      </c>
      <c r="J28" s="560">
        <v>36325000</v>
      </c>
      <c r="K28" s="609">
        <v>44368</v>
      </c>
      <c r="L28" s="560">
        <v>38850000</v>
      </c>
      <c r="M28" s="609">
        <v>44368</v>
      </c>
      <c r="N28" s="560">
        <v>37750000</v>
      </c>
      <c r="O28" s="609">
        <v>44410</v>
      </c>
      <c r="P28" s="560">
        <v>37450000</v>
      </c>
      <c r="Q28" s="609">
        <v>44480</v>
      </c>
      <c r="R28" s="560">
        <v>28800000</v>
      </c>
      <c r="S28" s="609">
        <v>44480</v>
      </c>
      <c r="T28" s="560">
        <v>38575000</v>
      </c>
      <c r="U28" s="609">
        <v>44508</v>
      </c>
      <c r="V28" s="560">
        <v>40875000</v>
      </c>
      <c r="W28" s="609">
        <v>44564</v>
      </c>
      <c r="X28" s="560">
        <v>40375000</v>
      </c>
      <c r="Y28" s="609">
        <v>44564</v>
      </c>
      <c r="Z28" s="560">
        <v>42825000</v>
      </c>
      <c r="AA28" s="609">
        <v>44592</v>
      </c>
      <c r="AB28" s="560">
        <v>42000000</v>
      </c>
      <c r="AC28" s="362"/>
    </row>
    <row r="29" spans="1:29" x14ac:dyDescent="0.25">
      <c r="A29" s="894"/>
      <c r="B29" s="894"/>
      <c r="C29" s="894"/>
      <c r="D29" s="894"/>
      <c r="E29" s="628" t="s">
        <v>6103</v>
      </c>
      <c r="F29" s="1604">
        <v>91025000</v>
      </c>
      <c r="G29" s="1605"/>
      <c r="H29" s="1605"/>
      <c r="I29" s="1606"/>
      <c r="J29" s="628"/>
      <c r="K29" s="585">
        <v>44410</v>
      </c>
      <c r="L29" s="1594">
        <v>109800000</v>
      </c>
      <c r="M29" s="1595"/>
      <c r="N29" s="1595"/>
      <c r="O29" s="1595"/>
      <c r="P29" s="1596"/>
      <c r="Q29" s="678">
        <v>44508</v>
      </c>
      <c r="R29" s="1604">
        <v>114000000</v>
      </c>
      <c r="S29" s="1605"/>
      <c r="T29" s="1605"/>
      <c r="U29" s="1605"/>
      <c r="V29" s="1606"/>
      <c r="W29" s="585">
        <v>44592</v>
      </c>
      <c r="X29" s="1594">
        <v>117000000</v>
      </c>
      <c r="Y29" s="1595"/>
      <c r="Z29" s="1595"/>
      <c r="AA29" s="1595"/>
      <c r="AB29" s="1596"/>
      <c r="AC29" s="362"/>
    </row>
    <row r="30" spans="1:29" x14ac:dyDescent="0.25">
      <c r="A30" s="894"/>
      <c r="B30" s="894" t="s">
        <v>6089</v>
      </c>
      <c r="C30" s="894"/>
      <c r="D30" s="894"/>
      <c r="E30" s="609">
        <v>44292</v>
      </c>
      <c r="F30" s="560">
        <v>563010</v>
      </c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  <c r="S30" s="362"/>
      <c r="T30" s="362"/>
      <c r="U30" s="362"/>
      <c r="V30" s="362"/>
      <c r="W30" s="362"/>
      <c r="X30" s="362"/>
      <c r="Y30" s="362"/>
      <c r="Z30" s="362"/>
      <c r="AA30" s="362"/>
      <c r="AB30" s="362"/>
      <c r="AC30" s="362"/>
    </row>
    <row r="31" spans="1:29" x14ac:dyDescent="0.25">
      <c r="A31" s="894"/>
      <c r="B31" s="894" t="s">
        <v>6120</v>
      </c>
      <c r="C31" s="894"/>
      <c r="D31" s="894"/>
      <c r="E31" s="609"/>
      <c r="F31" s="560"/>
      <c r="G31" s="609">
        <v>44368</v>
      </c>
      <c r="H31" s="560">
        <v>53711000</v>
      </c>
      <c r="I31" s="609">
        <v>44424</v>
      </c>
      <c r="J31" s="560">
        <v>44214750</v>
      </c>
      <c r="K31" s="609">
        <v>44424</v>
      </c>
      <c r="L31" s="560">
        <v>87641750</v>
      </c>
      <c r="M31" s="609">
        <v>44438</v>
      </c>
      <c r="N31" s="560">
        <v>42607500</v>
      </c>
      <c r="O31" s="609">
        <v>44480</v>
      </c>
      <c r="P31" s="560">
        <v>57498250</v>
      </c>
      <c r="Q31" s="609">
        <v>44515</v>
      </c>
      <c r="R31" s="560">
        <v>35906500</v>
      </c>
      <c r="S31" s="609">
        <v>44564</v>
      </c>
      <c r="T31" s="560">
        <v>61181500</v>
      </c>
      <c r="U31" s="609">
        <v>44564</v>
      </c>
      <c r="V31" s="560">
        <v>56914750</v>
      </c>
      <c r="W31" s="609">
        <v>44606</v>
      </c>
      <c r="X31" s="560">
        <v>54930750</v>
      </c>
      <c r="Y31" s="609">
        <v>44641</v>
      </c>
      <c r="Z31" s="560">
        <v>54491250</v>
      </c>
      <c r="AA31" s="609">
        <v>44690</v>
      </c>
      <c r="AB31" s="560">
        <v>66531250</v>
      </c>
      <c r="AC31" s="362"/>
    </row>
    <row r="32" spans="1:29" x14ac:dyDescent="0.25">
      <c r="A32" s="894"/>
      <c r="B32" s="894"/>
      <c r="C32" s="894"/>
      <c r="D32" s="894"/>
      <c r="E32" s="585">
        <v>44424</v>
      </c>
      <c r="F32" s="562">
        <v>49987500</v>
      </c>
      <c r="G32" s="678">
        <v>44438</v>
      </c>
      <c r="H32" s="1604">
        <v>16737500</v>
      </c>
      <c r="I32" s="1605"/>
      <c r="J32" s="1605"/>
      <c r="K32" s="1605"/>
      <c r="L32" s="1606"/>
      <c r="M32" s="585">
        <v>44480</v>
      </c>
      <c r="N32" s="1594">
        <v>19787500</v>
      </c>
      <c r="O32" s="1595"/>
      <c r="P32" s="1595"/>
      <c r="Q32" s="1595"/>
      <c r="R32" s="1596"/>
      <c r="S32" s="678"/>
      <c r="T32" s="1604"/>
      <c r="U32" s="1605"/>
      <c r="V32" s="1605"/>
      <c r="W32" s="1605"/>
      <c r="X32" s="1606"/>
      <c r="Y32" s="362"/>
      <c r="Z32" s="362"/>
      <c r="AA32" s="362"/>
      <c r="AB32" s="362"/>
      <c r="AC32" s="362"/>
    </row>
    <row r="33" spans="1:29" x14ac:dyDescent="0.25">
      <c r="A33" s="894"/>
      <c r="B33" s="894" t="s">
        <v>6170</v>
      </c>
      <c r="C33" s="894"/>
      <c r="D33" s="894"/>
      <c r="E33" s="850"/>
      <c r="F33" s="563"/>
      <c r="G33" s="850"/>
      <c r="H33" s="1390"/>
      <c r="I33" s="1391"/>
      <c r="J33" s="1391"/>
      <c r="K33" s="1391"/>
      <c r="L33" s="1392"/>
      <c r="M33" s="362"/>
      <c r="N33" s="362"/>
      <c r="O33" s="362"/>
      <c r="P33" s="362"/>
      <c r="Q33" s="609">
        <v>44459</v>
      </c>
      <c r="R33" s="560">
        <v>5502040</v>
      </c>
      <c r="S33" s="609">
        <v>44487</v>
      </c>
      <c r="T33" s="560">
        <v>8306550</v>
      </c>
      <c r="U33" s="362"/>
      <c r="V33" s="362"/>
      <c r="W33" s="362"/>
      <c r="X33" s="362"/>
      <c r="Y33" s="362"/>
      <c r="Z33" s="362"/>
      <c r="AA33" s="362"/>
      <c r="AB33" s="362"/>
      <c r="AC33" s="362"/>
    </row>
    <row r="34" spans="1:29" x14ac:dyDescent="0.25">
      <c r="A34" s="894"/>
      <c r="B34" s="898" t="s">
        <v>6017</v>
      </c>
      <c r="C34" s="894"/>
      <c r="D34" s="894"/>
      <c r="E34" s="609"/>
      <c r="F34" s="560"/>
      <c r="G34" s="362"/>
      <c r="H34" s="362"/>
      <c r="I34" s="362"/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2"/>
      <c r="V34" s="362"/>
      <c r="W34" s="362"/>
      <c r="X34" s="362"/>
      <c r="Y34" s="362"/>
      <c r="Z34" s="362"/>
      <c r="AA34" s="362"/>
      <c r="AB34" s="362"/>
      <c r="AC34" s="362"/>
    </row>
    <row r="35" spans="1:29" x14ac:dyDescent="0.25">
      <c r="A35" s="894"/>
      <c r="B35" s="894" t="s">
        <v>6012</v>
      </c>
      <c r="C35" s="894"/>
      <c r="D35" s="894"/>
      <c r="E35" s="962">
        <v>44214</v>
      </c>
      <c r="F35" s="963">
        <f>800000000-80000000</f>
        <v>720000000</v>
      </c>
      <c r="G35" s="962">
        <v>44544</v>
      </c>
      <c r="H35" s="963">
        <f>800000000-80000000</f>
        <v>720000000</v>
      </c>
      <c r="I35" s="964"/>
      <c r="J35" s="964"/>
      <c r="K35" s="964"/>
      <c r="L35" s="964"/>
      <c r="M35" s="964"/>
      <c r="N35" s="964"/>
      <c r="O35" s="964"/>
      <c r="P35" s="964"/>
      <c r="Q35" s="964"/>
      <c r="R35" s="964"/>
      <c r="S35" s="964"/>
      <c r="T35" s="964"/>
      <c r="U35" s="964"/>
      <c r="V35" s="964"/>
      <c r="W35" s="964"/>
      <c r="X35" s="964"/>
      <c r="Y35" s="964"/>
      <c r="Z35" s="964"/>
      <c r="AA35" s="964"/>
      <c r="AB35" s="964"/>
      <c r="AC35" s="362"/>
    </row>
    <row r="36" spans="1:29" x14ac:dyDescent="0.25">
      <c r="A36" s="894"/>
      <c r="B36" s="894" t="s">
        <v>6011</v>
      </c>
      <c r="C36" s="894"/>
      <c r="D36" s="894"/>
      <c r="E36" s="962">
        <v>44221</v>
      </c>
      <c r="F36" s="963">
        <f>230000000-23000000</f>
        <v>207000000</v>
      </c>
      <c r="G36" s="962">
        <v>44544</v>
      </c>
      <c r="H36" s="963">
        <f>230000000-23000000</f>
        <v>207000000</v>
      </c>
      <c r="I36" s="964"/>
      <c r="J36" s="964"/>
      <c r="K36" s="964"/>
      <c r="L36" s="964"/>
      <c r="M36" s="964"/>
      <c r="N36" s="964"/>
      <c r="O36" s="964"/>
      <c r="P36" s="964"/>
      <c r="Q36" s="964"/>
      <c r="R36" s="964"/>
      <c r="S36" s="964"/>
      <c r="T36" s="964"/>
      <c r="U36" s="964"/>
      <c r="V36" s="964"/>
      <c r="W36" s="964"/>
      <c r="X36" s="964"/>
      <c r="Y36" s="964"/>
      <c r="Z36" s="964"/>
      <c r="AA36" s="964"/>
      <c r="AB36" s="964"/>
      <c r="AC36" s="362"/>
    </row>
    <row r="37" spans="1:29" x14ac:dyDescent="0.25">
      <c r="A37" s="894"/>
      <c r="B37" s="894" t="s">
        <v>6013</v>
      </c>
      <c r="C37" s="894"/>
      <c r="D37" s="894"/>
      <c r="E37" s="962">
        <v>44221</v>
      </c>
      <c r="F37" s="963">
        <f>225000000-22500000</f>
        <v>202500000</v>
      </c>
      <c r="G37" s="962">
        <v>44544</v>
      </c>
      <c r="H37" s="963">
        <f>225000000-22500000</f>
        <v>202500000</v>
      </c>
      <c r="I37" s="964"/>
      <c r="J37" s="964"/>
      <c r="K37" s="964"/>
      <c r="L37" s="964"/>
      <c r="M37" s="964"/>
      <c r="N37" s="964"/>
      <c r="O37" s="964"/>
      <c r="P37" s="964"/>
      <c r="Q37" s="964"/>
      <c r="R37" s="964"/>
      <c r="S37" s="964"/>
      <c r="T37" s="964"/>
      <c r="U37" s="964"/>
      <c r="V37" s="964"/>
      <c r="W37" s="964"/>
      <c r="X37" s="964"/>
      <c r="Y37" s="964"/>
      <c r="Z37" s="964"/>
      <c r="AA37" s="964"/>
      <c r="AB37" s="964"/>
      <c r="AC37" s="362"/>
    </row>
    <row r="38" spans="1:29" x14ac:dyDescent="0.25">
      <c r="A38" s="894"/>
      <c r="B38" s="894" t="s">
        <v>6225</v>
      </c>
      <c r="C38" s="894"/>
      <c r="D38" s="894"/>
      <c r="E38" s="962">
        <v>44550</v>
      </c>
      <c r="F38" s="963">
        <f>533333330+53333333-53333333</f>
        <v>533333330</v>
      </c>
      <c r="G38" s="962"/>
      <c r="H38" s="963"/>
      <c r="I38" s="964"/>
      <c r="J38" s="964"/>
      <c r="K38" s="964"/>
      <c r="L38" s="964"/>
      <c r="M38" s="964"/>
      <c r="N38" s="964"/>
      <c r="O38" s="964"/>
      <c r="P38" s="964"/>
      <c r="Q38" s="964"/>
      <c r="R38" s="964"/>
      <c r="S38" s="964"/>
      <c r="T38" s="964"/>
      <c r="U38" s="964"/>
      <c r="V38" s="964"/>
      <c r="W38" s="964"/>
      <c r="X38" s="964"/>
      <c r="Y38" s="964"/>
      <c r="Z38" s="964"/>
      <c r="AA38" s="964"/>
      <c r="AB38" s="964"/>
      <c r="AC38" s="362"/>
    </row>
    <row r="39" spans="1:29" x14ac:dyDescent="0.25">
      <c r="A39" s="894"/>
      <c r="B39" s="894" t="s">
        <v>6084</v>
      </c>
      <c r="C39" s="894"/>
      <c r="D39" s="894"/>
      <c r="E39" s="962">
        <v>44169</v>
      </c>
      <c r="F39" s="963">
        <v>760000000</v>
      </c>
      <c r="G39" s="964"/>
      <c r="H39" s="964"/>
      <c r="I39" s="964"/>
      <c r="J39" s="964"/>
      <c r="K39" s="964"/>
      <c r="L39" s="964"/>
      <c r="M39" s="964"/>
      <c r="N39" s="964"/>
      <c r="O39" s="964"/>
      <c r="P39" s="964"/>
      <c r="Q39" s="964"/>
      <c r="R39" s="964"/>
      <c r="S39" s="964"/>
      <c r="T39" s="964"/>
      <c r="U39" s="964"/>
      <c r="V39" s="964"/>
      <c r="W39" s="964"/>
      <c r="X39" s="964"/>
      <c r="Y39" s="964"/>
      <c r="Z39" s="964"/>
      <c r="AA39" s="964"/>
      <c r="AB39" s="964"/>
      <c r="AC39" s="362"/>
    </row>
    <row r="40" spans="1:29" x14ac:dyDescent="0.25">
      <c r="A40" s="894"/>
      <c r="B40" s="894" t="s">
        <v>6105</v>
      </c>
      <c r="C40" s="894"/>
      <c r="D40" s="894"/>
      <c r="E40" s="962">
        <v>44141</v>
      </c>
      <c r="F40" s="963">
        <v>25000000</v>
      </c>
      <c r="G40" s="962">
        <v>44320</v>
      </c>
      <c r="H40" s="963">
        <f>236000000+110000000</f>
        <v>346000000</v>
      </c>
      <c r="I40" s="964"/>
      <c r="J40" s="964"/>
      <c r="K40" s="964"/>
      <c r="L40" s="964"/>
      <c r="M40" s="964"/>
      <c r="N40" s="964"/>
      <c r="O40" s="964"/>
      <c r="P40" s="964"/>
      <c r="Q40" s="964"/>
      <c r="R40" s="964"/>
      <c r="S40" s="964"/>
      <c r="T40" s="964"/>
      <c r="U40" s="964"/>
      <c r="V40" s="964"/>
      <c r="W40" s="964"/>
      <c r="X40" s="964"/>
      <c r="Y40" s="964"/>
      <c r="Z40" s="964"/>
      <c r="AA40" s="964"/>
      <c r="AB40" s="964"/>
      <c r="AC40" s="362"/>
    </row>
    <row r="41" spans="1:29" x14ac:dyDescent="0.25">
      <c r="A41" s="894"/>
      <c r="B41" s="894" t="s">
        <v>6127</v>
      </c>
      <c r="C41" s="894"/>
      <c r="D41" s="894"/>
      <c r="E41" s="962">
        <v>44424</v>
      </c>
      <c r="F41" s="963">
        <v>50000000</v>
      </c>
      <c r="G41" s="962">
        <v>44484</v>
      </c>
      <c r="H41" s="963">
        <v>250000000</v>
      </c>
      <c r="I41" s="964"/>
      <c r="J41" s="964"/>
      <c r="K41" s="964"/>
      <c r="L41" s="964"/>
      <c r="M41" s="964"/>
      <c r="N41" s="964"/>
      <c r="O41" s="964"/>
      <c r="P41" s="964"/>
      <c r="Q41" s="964"/>
      <c r="R41" s="964"/>
      <c r="S41" s="964"/>
      <c r="T41" s="964"/>
      <c r="U41" s="964"/>
      <c r="V41" s="964"/>
      <c r="W41" s="964"/>
      <c r="X41" s="964"/>
      <c r="Y41" s="964"/>
      <c r="Z41" s="964"/>
      <c r="AA41" s="964"/>
      <c r="AB41" s="964"/>
      <c r="AC41" s="362"/>
    </row>
    <row r="42" spans="1:29" x14ac:dyDescent="0.25">
      <c r="A42" s="894"/>
      <c r="B42" s="894" t="s">
        <v>6181</v>
      </c>
      <c r="C42" s="894"/>
      <c r="D42" s="894"/>
      <c r="E42" s="962">
        <v>44484</v>
      </c>
      <c r="F42" s="963">
        <f>570000000-57000000</f>
        <v>513000000</v>
      </c>
      <c r="G42" s="962"/>
      <c r="H42" s="963"/>
      <c r="I42" s="964"/>
      <c r="J42" s="964"/>
      <c r="K42" s="964"/>
      <c r="L42" s="964"/>
      <c r="M42" s="964"/>
      <c r="N42" s="964"/>
      <c r="O42" s="964"/>
      <c r="P42" s="964"/>
      <c r="Q42" s="964"/>
      <c r="R42" s="964"/>
      <c r="S42" s="964"/>
      <c r="T42" s="964"/>
      <c r="U42" s="964"/>
      <c r="V42" s="964"/>
      <c r="W42" s="964"/>
      <c r="X42" s="964"/>
      <c r="Y42" s="964"/>
      <c r="Z42" s="964"/>
      <c r="AA42" s="964"/>
      <c r="AB42" s="964"/>
      <c r="AC42" s="362"/>
    </row>
    <row r="43" spans="1:29" x14ac:dyDescent="0.25">
      <c r="A43" s="894"/>
      <c r="B43" s="894" t="s">
        <v>6182</v>
      </c>
      <c r="C43" s="894"/>
      <c r="D43" s="894"/>
      <c r="E43" s="962">
        <v>44488</v>
      </c>
      <c r="F43" s="963">
        <v>250000000</v>
      </c>
      <c r="G43" s="962"/>
      <c r="H43" s="963"/>
      <c r="I43" s="964"/>
      <c r="J43" s="964"/>
      <c r="K43" s="964"/>
      <c r="L43" s="964"/>
      <c r="M43" s="964"/>
      <c r="N43" s="964"/>
      <c r="O43" s="964"/>
      <c r="P43" s="964"/>
      <c r="Q43" s="964"/>
      <c r="R43" s="964"/>
      <c r="S43" s="964"/>
      <c r="T43" s="964"/>
      <c r="U43" s="964"/>
      <c r="V43" s="964"/>
      <c r="W43" s="964"/>
      <c r="X43" s="964"/>
      <c r="Y43" s="964"/>
      <c r="Z43" s="964"/>
      <c r="AA43" s="964"/>
      <c r="AB43" s="964"/>
      <c r="AC43" s="362"/>
    </row>
    <row r="44" spans="1:29" x14ac:dyDescent="0.25">
      <c r="A44" s="894"/>
      <c r="B44" s="894" t="s">
        <v>6183</v>
      </c>
      <c r="C44" s="894"/>
      <c r="D44" s="894"/>
      <c r="E44" s="962">
        <v>44488</v>
      </c>
      <c r="F44" s="963">
        <v>250000000</v>
      </c>
      <c r="G44" s="962"/>
      <c r="H44" s="963"/>
      <c r="I44" s="964"/>
      <c r="J44" s="964"/>
      <c r="K44" s="964"/>
      <c r="L44" s="964"/>
      <c r="M44" s="964"/>
      <c r="N44" s="964"/>
      <c r="O44" s="964"/>
      <c r="P44" s="964"/>
      <c r="Q44" s="964"/>
      <c r="R44" s="964"/>
      <c r="S44" s="964"/>
      <c r="T44" s="964"/>
      <c r="U44" s="964"/>
      <c r="V44" s="964"/>
      <c r="W44" s="964"/>
      <c r="X44" s="964"/>
      <c r="Y44" s="964"/>
      <c r="Z44" s="964"/>
      <c r="AA44" s="964"/>
      <c r="AB44" s="964"/>
      <c r="AC44" s="362"/>
    </row>
    <row r="45" spans="1:29" x14ac:dyDescent="0.25">
      <c r="A45" s="894"/>
      <c r="B45" s="894" t="s">
        <v>6019</v>
      </c>
      <c r="C45" s="894"/>
      <c r="D45" s="894"/>
      <c r="E45" s="962">
        <v>44225</v>
      </c>
      <c r="F45" s="963">
        <v>16000000</v>
      </c>
      <c r="G45" s="964"/>
      <c r="H45" s="964"/>
      <c r="I45" s="964"/>
      <c r="J45" s="964"/>
      <c r="K45" s="964"/>
      <c r="L45" s="964"/>
      <c r="M45" s="964"/>
      <c r="N45" s="964"/>
      <c r="O45" s="964"/>
      <c r="P45" s="964"/>
      <c r="Q45" s="964"/>
      <c r="R45" s="964"/>
      <c r="S45" s="964"/>
      <c r="T45" s="964"/>
      <c r="U45" s="964"/>
      <c r="V45" s="964"/>
      <c r="W45" s="964"/>
      <c r="X45" s="964"/>
      <c r="Y45" s="964"/>
      <c r="Z45" s="964"/>
      <c r="AA45" s="964"/>
      <c r="AB45" s="964"/>
      <c r="AC45" s="362"/>
    </row>
    <row r="46" spans="1:29" x14ac:dyDescent="0.25">
      <c r="A46" s="894"/>
      <c r="B46" s="894" t="s">
        <v>6043</v>
      </c>
      <c r="C46" s="894"/>
      <c r="D46" s="894"/>
      <c r="E46" s="962">
        <v>44238</v>
      </c>
      <c r="F46" s="963">
        <v>14000000</v>
      </c>
      <c r="G46" s="964"/>
      <c r="H46" s="964"/>
      <c r="I46" s="964"/>
      <c r="J46" s="964"/>
      <c r="K46" s="964"/>
      <c r="L46" s="964"/>
      <c r="M46" s="964"/>
      <c r="N46" s="964"/>
      <c r="O46" s="964"/>
      <c r="P46" s="964"/>
      <c r="Q46" s="964"/>
      <c r="R46" s="964"/>
      <c r="S46" s="964"/>
      <c r="T46" s="964"/>
      <c r="U46" s="964"/>
      <c r="V46" s="964"/>
      <c r="W46" s="964"/>
      <c r="X46" s="964"/>
      <c r="Y46" s="964"/>
      <c r="Z46" s="964"/>
      <c r="AA46" s="964"/>
      <c r="AB46" s="964"/>
      <c r="AC46" s="362"/>
    </row>
    <row r="47" spans="1:29" x14ac:dyDescent="0.25">
      <c r="A47" s="894"/>
      <c r="B47" s="894" t="s">
        <v>6044</v>
      </c>
      <c r="C47" s="894"/>
      <c r="D47" s="894"/>
      <c r="E47" s="962">
        <v>44238</v>
      </c>
      <c r="F47" s="963">
        <v>5000000</v>
      </c>
      <c r="G47" s="964"/>
      <c r="H47" s="964"/>
      <c r="I47" s="964"/>
      <c r="J47" s="964"/>
      <c r="K47" s="964"/>
      <c r="L47" s="964"/>
      <c r="M47" s="964"/>
      <c r="N47" s="964"/>
      <c r="O47" s="964"/>
      <c r="P47" s="964"/>
      <c r="Q47" s="964"/>
      <c r="R47" s="964"/>
      <c r="S47" s="964"/>
      <c r="T47" s="964"/>
      <c r="U47" s="964"/>
      <c r="V47" s="964"/>
      <c r="W47" s="964"/>
      <c r="X47" s="964"/>
      <c r="Y47" s="964"/>
      <c r="Z47" s="964"/>
      <c r="AA47" s="964"/>
      <c r="AB47" s="964"/>
      <c r="AC47" s="362"/>
    </row>
    <row r="48" spans="1:29" x14ac:dyDescent="0.25">
      <c r="A48" s="894"/>
      <c r="B48" s="898" t="s">
        <v>6109</v>
      </c>
      <c r="C48" s="894"/>
      <c r="D48" s="894"/>
      <c r="E48" s="962"/>
      <c r="F48" s="963"/>
      <c r="G48" s="964"/>
      <c r="H48" s="964"/>
      <c r="I48" s="964"/>
      <c r="J48" s="964"/>
      <c r="K48" s="964"/>
      <c r="L48" s="964"/>
      <c r="M48" s="964"/>
      <c r="N48" s="964"/>
      <c r="O48" s="964"/>
      <c r="P48" s="964"/>
      <c r="Q48" s="964"/>
      <c r="R48" s="964"/>
      <c r="S48" s="964"/>
      <c r="T48" s="964"/>
      <c r="U48" s="964"/>
      <c r="V48" s="964"/>
      <c r="W48" s="964"/>
      <c r="X48" s="964"/>
      <c r="Y48" s="964"/>
      <c r="Z48" s="964"/>
      <c r="AA48" s="964"/>
      <c r="AB48" s="964"/>
      <c r="AC48" s="362"/>
    </row>
    <row r="49" spans="1:29" x14ac:dyDescent="0.25">
      <c r="A49" s="894"/>
      <c r="B49" s="894" t="s">
        <v>148</v>
      </c>
      <c r="C49" s="894"/>
      <c r="D49" s="894"/>
      <c r="E49" s="962">
        <v>44344</v>
      </c>
      <c r="F49" s="963">
        <v>17448704</v>
      </c>
      <c r="G49" s="964"/>
      <c r="H49" s="964"/>
      <c r="I49" s="964"/>
      <c r="J49" s="964"/>
      <c r="K49" s="964"/>
      <c r="L49" s="964"/>
      <c r="M49" s="964"/>
      <c r="N49" s="964"/>
      <c r="O49" s="964"/>
      <c r="P49" s="964"/>
      <c r="Q49" s="964"/>
      <c r="R49" s="964"/>
      <c r="S49" s="964"/>
      <c r="T49" s="964"/>
      <c r="U49" s="964"/>
      <c r="V49" s="964"/>
      <c r="W49" s="964"/>
      <c r="X49" s="964"/>
      <c r="Y49" s="964"/>
      <c r="Z49" s="964"/>
      <c r="AA49" s="964"/>
      <c r="AB49" s="964"/>
      <c r="AC49" s="362"/>
    </row>
    <row r="50" spans="1:29" x14ac:dyDescent="0.25">
      <c r="A50" s="894"/>
      <c r="B50" s="894" t="s">
        <v>6124</v>
      </c>
      <c r="C50" s="894"/>
      <c r="D50" s="894"/>
      <c r="E50" s="962">
        <v>44389</v>
      </c>
      <c r="F50" s="963">
        <v>9014816</v>
      </c>
      <c r="G50" s="964"/>
      <c r="H50" s="964"/>
      <c r="I50" s="964"/>
      <c r="J50" s="964"/>
      <c r="K50" s="964"/>
      <c r="L50" s="964"/>
      <c r="M50" s="964"/>
      <c r="N50" s="964"/>
      <c r="O50" s="964"/>
      <c r="P50" s="964"/>
      <c r="Q50" s="964"/>
      <c r="R50" s="964"/>
      <c r="S50" s="964"/>
      <c r="T50" s="964"/>
      <c r="U50" s="964"/>
      <c r="V50" s="964"/>
      <c r="W50" s="964"/>
      <c r="X50" s="964"/>
      <c r="Y50" s="964"/>
      <c r="Z50" s="964"/>
      <c r="AA50" s="964"/>
      <c r="AB50" s="964"/>
      <c r="AC50" s="362"/>
    </row>
    <row r="51" spans="1:29" x14ac:dyDescent="0.25">
      <c r="A51" s="894"/>
      <c r="B51" s="894" t="s">
        <v>84</v>
      </c>
      <c r="C51" s="894"/>
      <c r="D51" s="894"/>
      <c r="E51" s="962">
        <v>44389</v>
      </c>
      <c r="F51" s="963">
        <v>1885743</v>
      </c>
      <c r="G51" s="964"/>
      <c r="H51" s="964"/>
      <c r="I51" s="964"/>
      <c r="J51" s="964"/>
      <c r="K51" s="964"/>
      <c r="L51" s="964"/>
      <c r="M51" s="964"/>
      <c r="N51" s="964"/>
      <c r="O51" s="964"/>
      <c r="P51" s="964"/>
      <c r="Q51" s="964"/>
      <c r="R51" s="964"/>
      <c r="S51" s="964"/>
      <c r="T51" s="964"/>
      <c r="U51" s="964"/>
      <c r="V51" s="964"/>
      <c r="W51" s="964"/>
      <c r="X51" s="964"/>
      <c r="Y51" s="964"/>
      <c r="Z51" s="964"/>
      <c r="AA51" s="964"/>
      <c r="AB51" s="964"/>
      <c r="AC51" s="362"/>
    </row>
    <row r="52" spans="1:29" x14ac:dyDescent="0.25">
      <c r="A52" s="894"/>
      <c r="B52" s="898" t="s">
        <v>6018</v>
      </c>
      <c r="C52" s="894"/>
      <c r="D52" s="894"/>
      <c r="E52" s="609"/>
      <c r="F52" s="560"/>
      <c r="G52" s="362"/>
      <c r="H52" s="362"/>
      <c r="I52" s="362"/>
      <c r="J52" s="362"/>
      <c r="K52" s="362"/>
      <c r="L52" s="362"/>
      <c r="M52" s="362"/>
      <c r="N52" s="362"/>
      <c r="O52" s="362"/>
      <c r="P52" s="362"/>
      <c r="Q52" s="362"/>
      <c r="R52" s="362"/>
      <c r="S52" s="362"/>
      <c r="T52" s="362"/>
      <c r="U52" s="362"/>
      <c r="V52" s="362"/>
      <c r="W52" s="362"/>
      <c r="X52" s="362"/>
      <c r="Y52" s="362"/>
      <c r="Z52" s="362"/>
      <c r="AA52" s="362"/>
      <c r="AB52" s="362"/>
      <c r="AC52" s="362"/>
    </row>
    <row r="53" spans="1:29" x14ac:dyDescent="0.25">
      <c r="A53" s="894"/>
      <c r="B53" s="939" t="s">
        <v>3131</v>
      </c>
      <c r="C53" s="894"/>
      <c r="D53" s="894"/>
      <c r="E53" s="609">
        <v>44475</v>
      </c>
      <c r="F53" s="560">
        <v>459980323</v>
      </c>
      <c r="G53" s="609">
        <v>44476</v>
      </c>
      <c r="H53" s="560">
        <v>454085860</v>
      </c>
      <c r="I53" s="609">
        <v>44477</v>
      </c>
      <c r="J53" s="560">
        <v>558133192</v>
      </c>
      <c r="K53" s="609">
        <v>44480</v>
      </c>
      <c r="L53" s="560">
        <v>594495076</v>
      </c>
      <c r="M53" s="609">
        <v>44481</v>
      </c>
      <c r="N53" s="864">
        <v>356361074</v>
      </c>
      <c r="O53" s="609">
        <v>44482</v>
      </c>
      <c r="P53" s="560">
        <v>546942851</v>
      </c>
      <c r="Q53" s="609">
        <v>44483</v>
      </c>
      <c r="R53" s="560">
        <v>452455698</v>
      </c>
      <c r="S53" s="609">
        <v>44484</v>
      </c>
      <c r="T53" s="560">
        <v>502519990</v>
      </c>
      <c r="U53" s="609">
        <v>44487</v>
      </c>
      <c r="V53" s="560">
        <v>571247226</v>
      </c>
      <c r="W53" s="609">
        <v>44518</v>
      </c>
      <c r="X53" s="560">
        <v>490797282</v>
      </c>
      <c r="Y53" s="362"/>
      <c r="Z53" s="362"/>
      <c r="AA53" s="362"/>
      <c r="AB53" s="362"/>
      <c r="AC53" s="362"/>
    </row>
    <row r="54" spans="1:29" x14ac:dyDescent="0.25">
      <c r="A54" s="894"/>
      <c r="B54" s="894" t="s">
        <v>5987</v>
      </c>
      <c r="C54" s="894"/>
      <c r="D54" s="894"/>
      <c r="E54" s="609">
        <v>44203</v>
      </c>
      <c r="F54" s="560">
        <v>118261347</v>
      </c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362"/>
      <c r="AB54" s="362"/>
      <c r="AC54" s="362"/>
    </row>
    <row r="55" spans="1:29" x14ac:dyDescent="0.25">
      <c r="A55" s="894"/>
      <c r="B55" s="894"/>
      <c r="C55" s="894"/>
      <c r="D55" s="894"/>
      <c r="E55" s="609">
        <v>44203</v>
      </c>
      <c r="F55" s="560">
        <v>113819640</v>
      </c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362"/>
      <c r="AB55" s="362"/>
      <c r="AC55" s="362"/>
    </row>
    <row r="56" spans="1:29" x14ac:dyDescent="0.25">
      <c r="A56" s="894"/>
      <c r="B56" s="894"/>
      <c r="C56" s="894"/>
      <c r="D56" s="894"/>
      <c r="E56" s="609">
        <v>44207</v>
      </c>
      <c r="F56" s="560">
        <v>2740000</v>
      </c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2"/>
      <c r="W56" s="362"/>
      <c r="X56" s="362"/>
      <c r="Y56" s="362"/>
      <c r="Z56" s="362"/>
      <c r="AA56" s="362"/>
      <c r="AB56" s="362"/>
      <c r="AC56" s="362"/>
    </row>
    <row r="57" spans="1:29" x14ac:dyDescent="0.25">
      <c r="A57" s="894"/>
      <c r="B57" s="894"/>
      <c r="C57" s="894"/>
      <c r="D57" s="894"/>
      <c r="E57" s="609">
        <v>44208</v>
      </c>
      <c r="F57" s="560">
        <v>2183327</v>
      </c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2"/>
      <c r="W57" s="362"/>
      <c r="X57" s="362"/>
      <c r="Y57" s="362"/>
      <c r="Z57" s="362"/>
      <c r="AA57" s="362"/>
      <c r="AB57" s="362"/>
      <c r="AC57" s="362"/>
    </row>
    <row r="58" spans="1:29" x14ac:dyDescent="0.25">
      <c r="A58" s="894"/>
      <c r="B58" s="894" t="s">
        <v>5997</v>
      </c>
      <c r="C58" s="894"/>
      <c r="D58" s="894"/>
      <c r="E58" s="609">
        <v>44204</v>
      </c>
      <c r="F58" s="560">
        <v>45636675</v>
      </c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2"/>
      <c r="AA58" s="362"/>
      <c r="AB58" s="362"/>
      <c r="AC58" s="362"/>
    </row>
    <row r="59" spans="1:29" x14ac:dyDescent="0.25">
      <c r="A59" s="894"/>
      <c r="B59" s="894" t="s">
        <v>5990</v>
      </c>
      <c r="C59" s="894"/>
      <c r="D59" s="894"/>
      <c r="E59" s="609">
        <v>44204</v>
      </c>
      <c r="F59" s="560">
        <v>76000000</v>
      </c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362"/>
      <c r="AB59" s="362"/>
      <c r="AC59" s="362"/>
    </row>
    <row r="60" spans="1:29" x14ac:dyDescent="0.25">
      <c r="A60" s="894"/>
      <c r="B60" s="894"/>
      <c r="C60" s="894"/>
      <c r="D60" s="894"/>
      <c r="E60" s="362"/>
      <c r="F60" s="560">
        <v>80000000</v>
      </c>
      <c r="G60" s="362"/>
      <c r="H60" s="362"/>
      <c r="I60" s="362"/>
      <c r="J60" s="362"/>
      <c r="K60" s="362"/>
      <c r="L60" s="362"/>
      <c r="M60" s="362"/>
      <c r="N60" s="362"/>
      <c r="O60" s="362"/>
      <c r="P60" s="362"/>
      <c r="Q60" s="362"/>
      <c r="R60" s="362"/>
      <c r="S60" s="362"/>
      <c r="T60" s="362"/>
      <c r="U60" s="362"/>
      <c r="V60" s="362"/>
      <c r="W60" s="362"/>
      <c r="X60" s="362"/>
      <c r="Y60" s="362"/>
      <c r="Z60" s="362"/>
      <c r="AA60" s="362"/>
      <c r="AB60" s="362"/>
      <c r="AC60" s="362"/>
    </row>
    <row r="61" spans="1:29" x14ac:dyDescent="0.25">
      <c r="A61" s="894"/>
      <c r="B61" s="894"/>
      <c r="C61" s="894"/>
      <c r="D61" s="894"/>
      <c r="E61" s="362"/>
      <c r="F61" s="560">
        <v>23000000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362"/>
      <c r="AB61" s="362"/>
      <c r="AC61" s="362"/>
    </row>
    <row r="62" spans="1:29" x14ac:dyDescent="0.25">
      <c r="A62" s="894"/>
      <c r="B62" s="894"/>
      <c r="C62" s="894"/>
      <c r="D62" s="894"/>
      <c r="E62" s="362"/>
      <c r="F62" s="560">
        <v>22500000</v>
      </c>
      <c r="G62" s="362"/>
      <c r="H62" s="362"/>
      <c r="I62" s="362"/>
      <c r="J62" s="362"/>
      <c r="K62" s="362"/>
      <c r="L62" s="362"/>
      <c r="M62" s="362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362"/>
      <c r="AB62" s="362"/>
      <c r="AC62" s="362"/>
    </row>
    <row r="63" spans="1:29" x14ac:dyDescent="0.25">
      <c r="A63" s="894"/>
      <c r="B63" s="894" t="s">
        <v>6007</v>
      </c>
      <c r="C63" s="894" t="s">
        <v>217</v>
      </c>
      <c r="D63" s="894"/>
      <c r="E63" s="609">
        <v>44204</v>
      </c>
      <c r="F63" s="560">
        <v>5705166</v>
      </c>
      <c r="G63" s="609">
        <v>44237</v>
      </c>
      <c r="H63" s="560">
        <v>5613043</v>
      </c>
      <c r="I63" s="609">
        <v>44265</v>
      </c>
      <c r="J63" s="560">
        <v>5520920</v>
      </c>
      <c r="K63" s="609">
        <v>44295</v>
      </c>
      <c r="L63" s="560">
        <v>5520920</v>
      </c>
      <c r="M63" s="609">
        <v>44326</v>
      </c>
      <c r="N63" s="560">
        <v>5244551</v>
      </c>
      <c r="O63" s="609">
        <v>44357</v>
      </c>
      <c r="P63" s="560">
        <v>5336674</v>
      </c>
      <c r="Q63" s="609">
        <v>44386</v>
      </c>
      <c r="R63" s="560">
        <v>5550198</v>
      </c>
      <c r="S63" s="609">
        <v>44418</v>
      </c>
      <c r="T63" s="560">
        <v>5550198</v>
      </c>
      <c r="U63" s="609">
        <v>44449</v>
      </c>
      <c r="V63" s="560">
        <v>5550198</v>
      </c>
      <c r="W63" s="609">
        <v>44477</v>
      </c>
      <c r="X63" s="560">
        <v>5642321</v>
      </c>
      <c r="Y63" s="609">
        <v>44510</v>
      </c>
      <c r="Z63" s="560">
        <v>5550198</v>
      </c>
      <c r="AA63" s="609">
        <v>44540</v>
      </c>
      <c r="AB63" s="560">
        <v>5111069</v>
      </c>
      <c r="AC63" s="362"/>
    </row>
    <row r="64" spans="1:29" x14ac:dyDescent="0.25">
      <c r="A64" s="894"/>
      <c r="B64" s="894"/>
      <c r="C64" s="894"/>
      <c r="D64" s="894"/>
      <c r="E64" s="609">
        <v>44204</v>
      </c>
      <c r="F64" s="560">
        <v>61026676</v>
      </c>
      <c r="G64" s="609">
        <v>44237</v>
      </c>
      <c r="H64" s="560">
        <v>59254604</v>
      </c>
      <c r="I64" s="609">
        <v>44265</v>
      </c>
      <c r="J64" s="560">
        <v>59735302</v>
      </c>
      <c r="K64" s="609">
        <v>44295</v>
      </c>
      <c r="L64" s="560">
        <v>59279349</v>
      </c>
      <c r="M64" s="609">
        <v>44326</v>
      </c>
      <c r="N64" s="560">
        <v>60475243</v>
      </c>
      <c r="O64" s="609">
        <v>44357</v>
      </c>
      <c r="P64" s="560">
        <v>60212064</v>
      </c>
      <c r="Q64" s="609">
        <v>44386</v>
      </c>
      <c r="R64" s="560">
        <v>61424911</v>
      </c>
      <c r="S64" s="609">
        <v>44418</v>
      </c>
      <c r="T64" s="560">
        <v>61488913</v>
      </c>
      <c r="U64" s="609">
        <v>44449</v>
      </c>
      <c r="V64" s="560">
        <v>61641742</v>
      </c>
      <c r="W64" s="609">
        <v>44477</v>
      </c>
      <c r="X64" s="560">
        <v>61471489</v>
      </c>
      <c r="Y64" s="609">
        <v>44510</v>
      </c>
      <c r="Z64" s="560">
        <v>61812342</v>
      </c>
      <c r="AA64" s="609">
        <v>44540</v>
      </c>
      <c r="AB64" s="560">
        <v>60389335</v>
      </c>
      <c r="AC64" s="362"/>
    </row>
    <row r="65" spans="1:29" x14ac:dyDescent="0.25">
      <c r="A65" s="894"/>
      <c r="B65" s="894"/>
      <c r="C65" s="894" t="s">
        <v>6008</v>
      </c>
      <c r="D65" s="894"/>
      <c r="E65" s="609">
        <v>44224</v>
      </c>
      <c r="F65" s="560">
        <v>115445397</v>
      </c>
      <c r="G65" s="609">
        <v>44252</v>
      </c>
      <c r="H65" s="560">
        <v>123074166</v>
      </c>
      <c r="I65" s="609">
        <v>44285</v>
      </c>
      <c r="J65" s="560">
        <v>122361084</v>
      </c>
      <c r="K65" s="362"/>
      <c r="L65" s="362"/>
      <c r="M65" s="609">
        <v>44344</v>
      </c>
      <c r="N65" s="560">
        <v>127968161</v>
      </c>
      <c r="O65" s="609">
        <v>44376</v>
      </c>
      <c r="P65" s="560">
        <v>152050867</v>
      </c>
      <c r="Q65" s="609">
        <v>44404</v>
      </c>
      <c r="R65" s="560">
        <v>128525125</v>
      </c>
      <c r="S65" s="609">
        <v>44434</v>
      </c>
      <c r="T65" s="560">
        <v>127411012</v>
      </c>
      <c r="U65" s="609">
        <v>44468</v>
      </c>
      <c r="V65" s="560">
        <v>127522153</v>
      </c>
      <c r="W65" s="609">
        <v>44496</v>
      </c>
      <c r="X65" s="560">
        <v>124547072</v>
      </c>
      <c r="Y65" s="609">
        <v>44526</v>
      </c>
      <c r="Z65" s="560">
        <v>125265536</v>
      </c>
      <c r="AA65" s="609">
        <v>44559</v>
      </c>
      <c r="AB65" s="560">
        <v>131535483</v>
      </c>
      <c r="AC65" s="362"/>
    </row>
    <row r="66" spans="1:29" x14ac:dyDescent="0.25">
      <c r="A66" s="894"/>
      <c r="B66" s="894" t="s">
        <v>5991</v>
      </c>
      <c r="C66" s="894" t="s">
        <v>6021</v>
      </c>
      <c r="D66" s="894"/>
      <c r="E66" s="609">
        <v>44207</v>
      </c>
      <c r="F66" s="560">
        <v>110602494</v>
      </c>
      <c r="G66" s="609">
        <v>44267</v>
      </c>
      <c r="H66" s="560">
        <v>82970579</v>
      </c>
      <c r="I66" s="609">
        <v>44298</v>
      </c>
      <c r="J66" s="560">
        <v>67901051</v>
      </c>
      <c r="K66" s="609">
        <v>44327</v>
      </c>
      <c r="L66" s="560">
        <v>86038963</v>
      </c>
      <c r="M66" s="609">
        <v>44358</v>
      </c>
      <c r="N66" s="560">
        <v>106297880</v>
      </c>
      <c r="O66" s="609">
        <v>44390</v>
      </c>
      <c r="P66" s="560">
        <v>102548508</v>
      </c>
      <c r="Q66" s="609">
        <v>44420</v>
      </c>
      <c r="R66" s="560">
        <v>125731139</v>
      </c>
      <c r="S66" s="609">
        <v>44452</v>
      </c>
      <c r="T66" s="560">
        <v>45056121</v>
      </c>
      <c r="U66" s="362"/>
      <c r="V66" s="362"/>
      <c r="W66" s="362"/>
      <c r="X66" s="560"/>
      <c r="Y66" s="362"/>
      <c r="Z66" s="560"/>
      <c r="AA66" s="362"/>
      <c r="AB66" s="362"/>
      <c r="AC66" s="362"/>
    </row>
    <row r="67" spans="1:29" x14ac:dyDescent="0.25">
      <c r="A67" s="894"/>
      <c r="B67" s="894"/>
      <c r="C67" s="894" t="s">
        <v>6022</v>
      </c>
      <c r="D67" s="894"/>
      <c r="E67" s="609">
        <v>44228</v>
      </c>
      <c r="F67" s="560">
        <v>39774165</v>
      </c>
      <c r="G67" s="609">
        <v>44258</v>
      </c>
      <c r="H67" s="560">
        <v>51622104</v>
      </c>
      <c r="I67" s="609">
        <v>44291</v>
      </c>
      <c r="J67" s="560">
        <v>79386386</v>
      </c>
      <c r="K67" s="609">
        <v>44319</v>
      </c>
      <c r="L67" s="560">
        <v>75700662</v>
      </c>
      <c r="M67" s="609">
        <v>44349</v>
      </c>
      <c r="N67" s="560">
        <v>78967554</v>
      </c>
      <c r="O67" s="609">
        <v>44378</v>
      </c>
      <c r="P67" s="560">
        <v>41188136</v>
      </c>
      <c r="Q67" s="609">
        <v>44410</v>
      </c>
      <c r="R67" s="560">
        <v>67616443</v>
      </c>
      <c r="S67" s="609">
        <v>44440</v>
      </c>
      <c r="T67" s="560">
        <v>53943112</v>
      </c>
      <c r="U67" s="609">
        <v>44473</v>
      </c>
      <c r="V67" s="560">
        <v>81652323</v>
      </c>
      <c r="W67" s="609">
        <v>44501</v>
      </c>
      <c r="X67" s="560">
        <v>71460824</v>
      </c>
      <c r="Y67" s="609">
        <v>44531</v>
      </c>
      <c r="Z67" s="560">
        <v>114078936</v>
      </c>
      <c r="AA67" s="609">
        <v>44564</v>
      </c>
      <c r="AB67" s="560">
        <v>89668307</v>
      </c>
      <c r="AC67" s="362"/>
    </row>
    <row r="68" spans="1:29" x14ac:dyDescent="0.25">
      <c r="A68" s="894"/>
      <c r="B68" s="894"/>
      <c r="C68" s="894" t="s">
        <v>6023</v>
      </c>
      <c r="D68" s="894"/>
      <c r="E68" s="609">
        <v>44228</v>
      </c>
      <c r="F68" s="560">
        <v>99595018</v>
      </c>
      <c r="G68" s="609">
        <v>44258</v>
      </c>
      <c r="H68" s="560">
        <v>94195229</v>
      </c>
      <c r="I68" s="609">
        <v>44291</v>
      </c>
      <c r="J68" s="560">
        <v>105145722</v>
      </c>
      <c r="K68" s="609">
        <v>44319</v>
      </c>
      <c r="L68" s="560">
        <v>114340774</v>
      </c>
      <c r="M68" s="609">
        <v>44349</v>
      </c>
      <c r="N68" s="560">
        <v>110923682</v>
      </c>
      <c r="O68" s="609">
        <v>44378</v>
      </c>
      <c r="P68" s="560">
        <v>103242002</v>
      </c>
      <c r="Q68" s="609">
        <v>44410</v>
      </c>
      <c r="R68" s="560">
        <v>123497578</v>
      </c>
      <c r="S68" s="609">
        <v>44440</v>
      </c>
      <c r="T68" s="560">
        <v>93531110</v>
      </c>
      <c r="U68" s="609">
        <v>44473</v>
      </c>
      <c r="V68" s="560">
        <v>42167666</v>
      </c>
      <c r="W68" s="609">
        <v>44501</v>
      </c>
      <c r="X68" s="560">
        <v>38786239</v>
      </c>
      <c r="Y68" s="609">
        <v>44531</v>
      </c>
      <c r="Z68" s="560">
        <v>58255203</v>
      </c>
      <c r="AA68" s="609">
        <v>44564</v>
      </c>
      <c r="AB68" s="560">
        <v>140646841</v>
      </c>
      <c r="AC68" s="362"/>
    </row>
    <row r="69" spans="1:29" x14ac:dyDescent="0.25">
      <c r="A69" s="894"/>
      <c r="B69" s="894" t="s">
        <v>5993</v>
      </c>
      <c r="C69" s="894"/>
      <c r="D69" s="894"/>
      <c r="E69" s="609">
        <v>44211</v>
      </c>
      <c r="F69" s="560">
        <v>3000000</v>
      </c>
      <c r="G69" s="609">
        <v>44242</v>
      </c>
      <c r="H69" s="560">
        <v>3000000</v>
      </c>
      <c r="I69" s="609">
        <v>44270</v>
      </c>
      <c r="J69" s="560">
        <v>3000000</v>
      </c>
      <c r="K69" s="609">
        <v>44301</v>
      </c>
      <c r="L69" s="560">
        <v>3000000</v>
      </c>
      <c r="M69" s="609">
        <v>44333</v>
      </c>
      <c r="N69" s="560">
        <v>3000000</v>
      </c>
      <c r="O69" s="609">
        <v>44362</v>
      </c>
      <c r="P69" s="560">
        <v>3000000</v>
      </c>
      <c r="Q69" s="609">
        <v>44392</v>
      </c>
      <c r="R69" s="560">
        <v>3000000</v>
      </c>
      <c r="S69" s="609"/>
      <c r="T69" s="560"/>
      <c r="U69" s="609">
        <v>44454</v>
      </c>
      <c r="V69" s="560">
        <v>3000000</v>
      </c>
      <c r="W69" s="609">
        <v>44484</v>
      </c>
      <c r="X69" s="560">
        <v>3000000</v>
      </c>
      <c r="Y69" s="362"/>
      <c r="Z69" s="362"/>
      <c r="AA69" s="362"/>
      <c r="AB69" s="560"/>
      <c r="AC69" s="362"/>
    </row>
    <row r="70" spans="1:29" x14ac:dyDescent="0.25">
      <c r="A70" s="894"/>
      <c r="B70" s="894" t="s">
        <v>3420</v>
      </c>
      <c r="C70" s="894" t="s">
        <v>90</v>
      </c>
      <c r="D70" s="894"/>
      <c r="E70" s="609">
        <v>44211</v>
      </c>
      <c r="F70" s="560">
        <v>1800000</v>
      </c>
      <c r="G70" s="609">
        <v>44242</v>
      </c>
      <c r="H70" s="560">
        <v>1800000</v>
      </c>
      <c r="I70" s="609">
        <v>44278</v>
      </c>
      <c r="J70" s="560">
        <v>4200000</v>
      </c>
      <c r="K70" s="609">
        <v>44308</v>
      </c>
      <c r="L70" s="560">
        <v>3200000</v>
      </c>
      <c r="M70" s="609">
        <v>44334</v>
      </c>
      <c r="N70" s="560">
        <v>3200000</v>
      </c>
      <c r="O70" s="609">
        <v>44362</v>
      </c>
      <c r="P70" s="560">
        <v>3200000</v>
      </c>
      <c r="Q70" s="609">
        <v>44399</v>
      </c>
      <c r="R70" s="560">
        <v>3200000</v>
      </c>
      <c r="S70" s="609">
        <v>44427</v>
      </c>
      <c r="T70" s="560">
        <v>3200000</v>
      </c>
      <c r="U70" s="609">
        <v>44453</v>
      </c>
      <c r="V70" s="560">
        <v>3200000</v>
      </c>
      <c r="W70" s="609">
        <v>44487</v>
      </c>
      <c r="X70" s="560">
        <v>3200000</v>
      </c>
      <c r="Y70" s="609">
        <v>44519</v>
      </c>
      <c r="Z70" s="560">
        <v>3200000</v>
      </c>
      <c r="AA70" s="609">
        <v>44550</v>
      </c>
      <c r="AB70" s="560">
        <v>3200000</v>
      </c>
      <c r="AC70" s="362"/>
    </row>
    <row r="71" spans="1:29" x14ac:dyDescent="0.25">
      <c r="A71" s="894"/>
      <c r="B71" s="894"/>
      <c r="C71" s="894" t="s">
        <v>5996</v>
      </c>
      <c r="D71" s="894"/>
      <c r="E71" s="609">
        <v>44216</v>
      </c>
      <c r="F71" s="560">
        <v>1650000</v>
      </c>
      <c r="G71" s="609">
        <v>44244</v>
      </c>
      <c r="H71" s="560">
        <v>1650000</v>
      </c>
      <c r="I71" s="609">
        <v>44272</v>
      </c>
      <c r="J71" s="560">
        <v>1650000</v>
      </c>
      <c r="K71" s="609">
        <v>44305</v>
      </c>
      <c r="L71" s="560">
        <v>1650000</v>
      </c>
      <c r="M71" s="609">
        <v>44335</v>
      </c>
      <c r="N71" s="560">
        <v>1650000</v>
      </c>
      <c r="O71" s="609">
        <v>44362</v>
      </c>
      <c r="P71" s="560">
        <v>1650000</v>
      </c>
      <c r="Q71" s="609">
        <v>44390</v>
      </c>
      <c r="R71" s="560">
        <v>1650000</v>
      </c>
      <c r="S71" s="609">
        <v>44424</v>
      </c>
      <c r="T71" s="560">
        <v>1650000</v>
      </c>
      <c r="U71" s="609">
        <v>44487</v>
      </c>
      <c r="V71" s="560">
        <v>2750000</v>
      </c>
      <c r="W71" s="609">
        <v>44487</v>
      </c>
      <c r="X71" s="560">
        <v>2750000</v>
      </c>
      <c r="Y71" s="609">
        <v>44511</v>
      </c>
      <c r="Z71" s="560">
        <v>2750000</v>
      </c>
      <c r="AA71" s="609">
        <v>44543</v>
      </c>
      <c r="AB71" s="560">
        <v>2750000</v>
      </c>
      <c r="AC71" s="362"/>
    </row>
    <row r="72" spans="1:29" x14ac:dyDescent="0.25">
      <c r="A72" s="894"/>
      <c r="B72" s="894" t="s">
        <v>5994</v>
      </c>
      <c r="C72" s="894" t="s">
        <v>3250</v>
      </c>
      <c r="D72" s="894"/>
      <c r="E72" s="609">
        <v>44211</v>
      </c>
      <c r="F72" s="560">
        <v>29554000</v>
      </c>
      <c r="G72" s="609">
        <v>44245</v>
      </c>
      <c r="H72" s="560">
        <v>26752000</v>
      </c>
      <c r="I72" s="609">
        <v>44265</v>
      </c>
      <c r="J72" s="560">
        <v>30026000</v>
      </c>
      <c r="K72" s="609">
        <v>44300</v>
      </c>
      <c r="L72" s="560">
        <v>30738000</v>
      </c>
      <c r="M72" s="609">
        <v>44335</v>
      </c>
      <c r="N72" s="560">
        <v>30738000</v>
      </c>
      <c r="O72" s="609">
        <v>44369</v>
      </c>
      <c r="P72" s="560">
        <v>33075000</v>
      </c>
      <c r="Q72" s="609">
        <v>44398</v>
      </c>
      <c r="R72" s="560">
        <v>33905000</v>
      </c>
      <c r="S72" s="609">
        <v>44432</v>
      </c>
      <c r="T72" s="560">
        <v>32655000</v>
      </c>
      <c r="U72" s="609">
        <v>44460</v>
      </c>
      <c r="V72" s="560">
        <v>32681000</v>
      </c>
      <c r="W72" s="609">
        <v>44496</v>
      </c>
      <c r="X72" s="560">
        <v>29441000</v>
      </c>
      <c r="Y72" s="609">
        <v>44526</v>
      </c>
      <c r="Z72" s="560">
        <v>31406000</v>
      </c>
      <c r="AA72" s="609">
        <v>44544</v>
      </c>
      <c r="AB72" s="560">
        <v>32809000</v>
      </c>
      <c r="AC72" s="362"/>
    </row>
    <row r="73" spans="1:29" x14ac:dyDescent="0.25">
      <c r="A73" s="894"/>
      <c r="B73" s="894"/>
      <c r="C73" s="894" t="s">
        <v>5995</v>
      </c>
      <c r="D73" s="894"/>
      <c r="E73" s="609">
        <v>44214</v>
      </c>
      <c r="F73" s="560">
        <v>4456250</v>
      </c>
      <c r="G73" s="609">
        <v>44245</v>
      </c>
      <c r="H73" s="560">
        <v>4456250</v>
      </c>
      <c r="I73" s="609">
        <v>44265</v>
      </c>
      <c r="J73" s="560">
        <v>4743750</v>
      </c>
      <c r="K73" s="609">
        <v>44300</v>
      </c>
      <c r="L73" s="560">
        <v>4972500</v>
      </c>
      <c r="M73" s="609">
        <v>44335</v>
      </c>
      <c r="N73" s="560">
        <v>4972500</v>
      </c>
      <c r="O73" s="609">
        <v>44369</v>
      </c>
      <c r="P73" s="560">
        <v>5644000</v>
      </c>
      <c r="Q73" s="609">
        <v>44398</v>
      </c>
      <c r="R73" s="560">
        <v>5758500</v>
      </c>
      <c r="S73" s="609">
        <v>44432</v>
      </c>
      <c r="T73" s="560">
        <v>5933000</v>
      </c>
      <c r="U73" s="609">
        <v>44460</v>
      </c>
      <c r="V73" s="560">
        <v>5933000</v>
      </c>
      <c r="W73" s="609">
        <v>44496</v>
      </c>
      <c r="X73" s="560">
        <v>5409500</v>
      </c>
      <c r="Y73" s="609">
        <v>44526</v>
      </c>
      <c r="Z73" s="560">
        <v>5235000</v>
      </c>
      <c r="AA73" s="609">
        <v>44544</v>
      </c>
      <c r="AB73" s="560">
        <v>6107500</v>
      </c>
      <c r="AC73" s="362"/>
    </row>
    <row r="74" spans="1:29" x14ac:dyDescent="0.25">
      <c r="A74" s="894"/>
      <c r="B74" s="894" t="s">
        <v>5934</v>
      </c>
      <c r="C74" s="894" t="s">
        <v>6047</v>
      </c>
      <c r="D74" s="894"/>
      <c r="E74" s="609">
        <v>44215</v>
      </c>
      <c r="F74" s="560">
        <v>6507543</v>
      </c>
      <c r="G74" s="609">
        <v>44245</v>
      </c>
      <c r="H74" s="560">
        <f>5658090</f>
        <v>5658090</v>
      </c>
      <c r="I74" s="609">
        <v>44273</v>
      </c>
      <c r="J74" s="560">
        <v>5543135</v>
      </c>
      <c r="K74" s="609">
        <v>44305</v>
      </c>
      <c r="L74" s="560">
        <v>7263300</v>
      </c>
      <c r="M74" s="609">
        <v>44335</v>
      </c>
      <c r="N74" s="560">
        <v>7779747</v>
      </c>
      <c r="O74" s="609">
        <v>44364</v>
      </c>
      <c r="P74" s="560">
        <v>6478883</v>
      </c>
      <c r="Q74" s="609">
        <v>44396</v>
      </c>
      <c r="R74" s="560">
        <v>7072837</v>
      </c>
      <c r="S74" s="609">
        <v>44427</v>
      </c>
      <c r="T74" s="560">
        <v>6623852</v>
      </c>
      <c r="U74" s="609">
        <v>44456</v>
      </c>
      <c r="V74" s="560">
        <v>6920200</v>
      </c>
      <c r="W74" s="609">
        <v>44487</v>
      </c>
      <c r="X74" s="560">
        <v>7431811</v>
      </c>
      <c r="Y74" s="609">
        <v>44519</v>
      </c>
      <c r="Z74" s="560">
        <v>8884792</v>
      </c>
      <c r="AA74" s="609">
        <v>44547</v>
      </c>
      <c r="AB74" s="560">
        <v>8324112</v>
      </c>
      <c r="AC74" s="362"/>
    </row>
    <row r="75" spans="1:29" x14ac:dyDescent="0.25">
      <c r="A75" s="894"/>
      <c r="B75" s="894"/>
      <c r="C75" s="894" t="s">
        <v>6048</v>
      </c>
      <c r="D75" s="894"/>
      <c r="E75" s="609">
        <v>44215</v>
      </c>
      <c r="F75" s="560">
        <v>8045421</v>
      </c>
      <c r="G75" s="609">
        <v>44245</v>
      </c>
      <c r="H75" s="560">
        <v>7931521</v>
      </c>
      <c r="I75" s="609">
        <v>44273</v>
      </c>
      <c r="J75" s="560">
        <v>6449259</v>
      </c>
      <c r="K75" s="609">
        <v>44305</v>
      </c>
      <c r="L75" s="560">
        <v>7641310</v>
      </c>
      <c r="M75" s="609">
        <v>44335</v>
      </c>
      <c r="N75" s="560">
        <v>7699041</v>
      </c>
      <c r="O75" s="609">
        <v>44364</v>
      </c>
      <c r="P75" s="560">
        <v>6753512</v>
      </c>
      <c r="Q75" s="609">
        <v>44396</v>
      </c>
      <c r="R75" s="560">
        <v>7220036</v>
      </c>
      <c r="S75" s="609">
        <v>44427</v>
      </c>
      <c r="T75" s="560">
        <v>6797201</v>
      </c>
      <c r="U75" s="609">
        <v>44456</v>
      </c>
      <c r="V75" s="560">
        <v>7869110</v>
      </c>
      <c r="W75" s="609">
        <v>44487</v>
      </c>
      <c r="X75" s="560">
        <v>7951805</v>
      </c>
      <c r="Y75" s="609">
        <v>44519</v>
      </c>
      <c r="Z75" s="560">
        <v>7986130</v>
      </c>
      <c r="AA75" s="609">
        <v>44547</v>
      </c>
      <c r="AB75" s="560">
        <v>7327694</v>
      </c>
      <c r="AC75" s="362"/>
    </row>
    <row r="76" spans="1:29" x14ac:dyDescent="0.25">
      <c r="A76" s="894"/>
      <c r="B76" s="894"/>
      <c r="C76" s="894" t="s">
        <v>5980</v>
      </c>
      <c r="D76" s="894"/>
      <c r="E76" s="609">
        <v>44201</v>
      </c>
      <c r="F76" s="560">
        <v>3090000</v>
      </c>
      <c r="G76" s="609"/>
      <c r="H76" s="560"/>
      <c r="I76" s="609">
        <v>44256</v>
      </c>
      <c r="J76" s="560">
        <v>4450000</v>
      </c>
      <c r="K76" s="609">
        <v>44286</v>
      </c>
      <c r="L76" s="560">
        <v>3950000</v>
      </c>
      <c r="M76" s="362"/>
      <c r="N76" s="362"/>
      <c r="O76" s="609">
        <v>44350</v>
      </c>
      <c r="P76" s="560">
        <v>3700000</v>
      </c>
      <c r="Q76" s="362"/>
      <c r="R76" s="362"/>
      <c r="S76" s="609">
        <v>44421</v>
      </c>
      <c r="T76" s="560">
        <v>2800000</v>
      </c>
      <c r="U76" s="362"/>
      <c r="V76" s="560"/>
      <c r="W76" s="609">
        <v>44477</v>
      </c>
      <c r="X76" s="560">
        <v>2200000</v>
      </c>
      <c r="Y76" s="609">
        <v>44503</v>
      </c>
      <c r="Z76" s="560">
        <v>3300000</v>
      </c>
      <c r="AA76" s="362"/>
      <c r="AB76" s="362"/>
      <c r="AC76" s="362"/>
    </row>
    <row r="77" spans="1:29" x14ac:dyDescent="0.25">
      <c r="A77" s="894"/>
      <c r="B77" s="894" t="s">
        <v>5936</v>
      </c>
      <c r="C77" s="894" t="s">
        <v>80</v>
      </c>
      <c r="D77" s="894"/>
      <c r="E77" s="609">
        <v>44216</v>
      </c>
      <c r="F77" s="560">
        <v>41447420</v>
      </c>
      <c r="G77" s="609">
        <v>44277</v>
      </c>
      <c r="H77" s="560">
        <v>37810802</v>
      </c>
      <c r="I77" s="362"/>
      <c r="J77" s="362"/>
      <c r="K77" s="609">
        <v>44336</v>
      </c>
      <c r="L77" s="560">
        <v>41184462</v>
      </c>
      <c r="M77" s="609">
        <v>44368</v>
      </c>
      <c r="N77" s="560">
        <v>34534942</v>
      </c>
      <c r="O77" s="609">
        <v>44398</v>
      </c>
      <c r="P77" s="560">
        <v>38633541</v>
      </c>
      <c r="Q77" s="609">
        <v>44428</v>
      </c>
      <c r="R77" s="560">
        <v>40919282</v>
      </c>
      <c r="S77" s="362"/>
      <c r="T77" s="362"/>
      <c r="U77" s="609">
        <v>44490</v>
      </c>
      <c r="V77" s="560">
        <v>40665339</v>
      </c>
      <c r="W77" s="609">
        <v>44522</v>
      </c>
      <c r="X77" s="560">
        <v>41162292</v>
      </c>
      <c r="Y77" s="609">
        <v>44550</v>
      </c>
      <c r="Z77" s="560">
        <v>40360603</v>
      </c>
      <c r="AA77" s="362"/>
      <c r="AB77" s="362"/>
      <c r="AC77" s="362"/>
    </row>
    <row r="78" spans="1:29" x14ac:dyDescent="0.25">
      <c r="A78" s="894"/>
      <c r="B78" s="894"/>
      <c r="C78" s="894" t="s">
        <v>84</v>
      </c>
      <c r="D78" s="894"/>
      <c r="E78" s="609">
        <v>44216</v>
      </c>
      <c r="F78" s="560">
        <v>34959376</v>
      </c>
      <c r="G78" s="609">
        <v>44277</v>
      </c>
      <c r="H78" s="560">
        <v>31654864.739999998</v>
      </c>
      <c r="I78" s="362"/>
      <c r="J78" s="362"/>
      <c r="K78" s="609">
        <v>44336</v>
      </c>
      <c r="L78" s="560">
        <v>34392848.5</v>
      </c>
      <c r="M78" s="609">
        <v>44368</v>
      </c>
      <c r="N78" s="560">
        <v>28310546</v>
      </c>
      <c r="O78" s="609">
        <v>44398</v>
      </c>
      <c r="P78" s="560">
        <v>32560700</v>
      </c>
      <c r="Q78" s="609">
        <v>44428</v>
      </c>
      <c r="R78" s="560">
        <v>34247954</v>
      </c>
      <c r="S78" s="609">
        <v>44459</v>
      </c>
      <c r="T78" s="560">
        <v>33752420</v>
      </c>
      <c r="U78" s="609">
        <v>44490</v>
      </c>
      <c r="V78" s="560">
        <v>34876144</v>
      </c>
      <c r="W78" s="609">
        <v>44522</v>
      </c>
      <c r="X78" s="560">
        <v>35713540.609999999</v>
      </c>
      <c r="Y78" s="609">
        <v>44550</v>
      </c>
      <c r="Z78" s="1312">
        <v>27129269.399999999</v>
      </c>
      <c r="AA78" s="362"/>
      <c r="AB78" s="362"/>
      <c r="AC78" s="362"/>
    </row>
    <row r="79" spans="1:29" x14ac:dyDescent="0.25">
      <c r="A79" s="894"/>
      <c r="B79" s="894" t="s">
        <v>5998</v>
      </c>
      <c r="C79" s="894" t="s">
        <v>90</v>
      </c>
      <c r="D79" s="894"/>
      <c r="E79" s="609">
        <v>44258</v>
      </c>
      <c r="F79" s="560">
        <v>1473252</v>
      </c>
      <c r="G79" s="609">
        <v>44259</v>
      </c>
      <c r="H79" s="560">
        <v>1054060</v>
      </c>
      <c r="I79" s="609">
        <v>44300</v>
      </c>
      <c r="J79" s="560">
        <v>1774273</v>
      </c>
      <c r="K79" s="609">
        <v>44340</v>
      </c>
      <c r="L79" s="560">
        <v>490909</v>
      </c>
      <c r="M79" s="609">
        <v>44364</v>
      </c>
      <c r="N79" s="560">
        <v>727252</v>
      </c>
      <c r="O79" s="609">
        <v>44399</v>
      </c>
      <c r="P79" s="560">
        <v>1098959</v>
      </c>
      <c r="Q79" s="609">
        <v>44432</v>
      </c>
      <c r="R79" s="560">
        <v>788425</v>
      </c>
      <c r="S79" s="609">
        <v>44460</v>
      </c>
      <c r="T79" s="560">
        <v>859611</v>
      </c>
      <c r="U79" s="609">
        <v>44504</v>
      </c>
      <c r="V79" s="560">
        <v>1044680</v>
      </c>
      <c r="W79" s="609">
        <v>44504</v>
      </c>
      <c r="X79" s="560">
        <v>832350</v>
      </c>
      <c r="Y79" s="609">
        <v>44526</v>
      </c>
      <c r="Z79" s="560">
        <v>981705</v>
      </c>
      <c r="AA79" s="609">
        <v>44568</v>
      </c>
      <c r="AB79" s="560">
        <v>711146</v>
      </c>
      <c r="AC79" s="362"/>
    </row>
    <row r="80" spans="1:29" x14ac:dyDescent="0.25">
      <c r="A80" s="894"/>
      <c r="B80" s="362"/>
      <c r="C80" s="894" t="s">
        <v>5996</v>
      </c>
      <c r="D80" s="894"/>
      <c r="E80" s="609">
        <v>44244</v>
      </c>
      <c r="F80" s="560">
        <v>831300</v>
      </c>
      <c r="G80" s="609">
        <v>44272</v>
      </c>
      <c r="H80" s="560">
        <v>1655331</v>
      </c>
      <c r="I80" s="609">
        <v>44327</v>
      </c>
      <c r="J80" s="560">
        <v>441818</v>
      </c>
      <c r="K80" s="609">
        <v>44340</v>
      </c>
      <c r="L80" s="560">
        <v>858757</v>
      </c>
      <c r="M80" s="609">
        <v>44364</v>
      </c>
      <c r="N80" s="560">
        <v>1060717</v>
      </c>
      <c r="O80" s="609">
        <v>44399</v>
      </c>
      <c r="P80" s="560">
        <v>1189988</v>
      </c>
      <c r="Q80" s="609">
        <v>44432</v>
      </c>
      <c r="R80" s="560">
        <v>441818</v>
      </c>
      <c r="S80" s="609">
        <v>44456</v>
      </c>
      <c r="T80" s="560">
        <v>971087</v>
      </c>
      <c r="U80" s="609">
        <v>44497</v>
      </c>
      <c r="V80" s="560">
        <v>834889</v>
      </c>
      <c r="W80" s="609">
        <v>44526</v>
      </c>
      <c r="X80" s="560">
        <v>1170376</v>
      </c>
      <c r="Y80" s="609">
        <v>44551</v>
      </c>
      <c r="Z80" s="560">
        <v>1138497</v>
      </c>
      <c r="AA80" s="609">
        <v>44580</v>
      </c>
      <c r="AB80" s="560">
        <v>781979</v>
      </c>
      <c r="AC80" s="362"/>
    </row>
    <row r="81" spans="1:29" x14ac:dyDescent="0.25">
      <c r="A81" s="362"/>
      <c r="B81" s="362"/>
      <c r="C81" s="894" t="s">
        <v>5999</v>
      </c>
      <c r="D81" s="894"/>
      <c r="E81" s="609">
        <v>44244</v>
      </c>
      <c r="F81" s="560">
        <v>1744394</v>
      </c>
      <c r="G81" s="609">
        <v>44272</v>
      </c>
      <c r="H81" s="560">
        <v>1174592</v>
      </c>
      <c r="I81" s="609">
        <v>44307</v>
      </c>
      <c r="J81" s="560">
        <v>1352959</v>
      </c>
      <c r="K81" s="609">
        <v>44340</v>
      </c>
      <c r="L81" s="560">
        <v>1292922</v>
      </c>
      <c r="M81" s="609">
        <v>44364</v>
      </c>
      <c r="N81" s="560">
        <v>1240045</v>
      </c>
      <c r="O81" s="609">
        <v>44399</v>
      </c>
      <c r="P81" s="560">
        <v>1294207</v>
      </c>
      <c r="Q81" s="609">
        <v>44427</v>
      </c>
      <c r="R81" s="560">
        <v>1360395</v>
      </c>
      <c r="S81" s="609">
        <v>44456</v>
      </c>
      <c r="T81" s="560">
        <v>1297788</v>
      </c>
      <c r="U81" s="609">
        <v>44488</v>
      </c>
      <c r="V81" s="560">
        <v>1152835</v>
      </c>
      <c r="W81" s="609">
        <v>44526</v>
      </c>
      <c r="X81" s="560">
        <v>1211036</v>
      </c>
      <c r="Y81" s="609">
        <v>44551</v>
      </c>
      <c r="Z81" s="560">
        <v>1090871</v>
      </c>
      <c r="AA81" s="609">
        <v>44580</v>
      </c>
      <c r="AB81" s="560">
        <v>1197450</v>
      </c>
      <c r="AC81" s="362"/>
    </row>
    <row r="82" spans="1:29" x14ac:dyDescent="0.25">
      <c r="A82" s="362"/>
      <c r="B82" s="362"/>
      <c r="C82" s="894" t="s">
        <v>87</v>
      </c>
      <c r="D82" s="894"/>
      <c r="E82" s="609" t="s">
        <v>125</v>
      </c>
      <c r="F82" s="560">
        <v>0</v>
      </c>
      <c r="G82" s="609" t="s">
        <v>125</v>
      </c>
      <c r="H82" s="560">
        <v>0</v>
      </c>
      <c r="I82" s="609" t="s">
        <v>125</v>
      </c>
      <c r="J82" s="560">
        <v>0</v>
      </c>
      <c r="K82" s="609" t="s">
        <v>125</v>
      </c>
      <c r="L82" s="560">
        <v>0</v>
      </c>
      <c r="M82" s="609" t="s">
        <v>125</v>
      </c>
      <c r="N82" s="560">
        <v>0</v>
      </c>
      <c r="O82" s="609" t="s">
        <v>125</v>
      </c>
      <c r="P82" s="560">
        <v>0</v>
      </c>
      <c r="Q82" s="609">
        <v>44439</v>
      </c>
      <c r="R82" s="560">
        <v>340433</v>
      </c>
      <c r="S82" s="609">
        <v>44468</v>
      </c>
      <c r="T82" s="560">
        <v>499430</v>
      </c>
      <c r="U82" s="609">
        <v>44488</v>
      </c>
      <c r="V82" s="560">
        <v>388169</v>
      </c>
      <c r="W82" s="609">
        <v>44526</v>
      </c>
      <c r="X82" s="560">
        <v>338597</v>
      </c>
      <c r="Y82" s="609">
        <v>44551</v>
      </c>
      <c r="Z82" s="560">
        <v>374490</v>
      </c>
      <c r="AA82" s="609">
        <v>44580</v>
      </c>
      <c r="AB82" s="560">
        <v>405978</v>
      </c>
      <c r="AC82" s="362"/>
    </row>
    <row r="83" spans="1:29" x14ac:dyDescent="0.25">
      <c r="A83" s="362"/>
      <c r="B83" s="362"/>
      <c r="C83" s="894" t="s">
        <v>6185</v>
      </c>
      <c r="D83" s="894"/>
      <c r="E83" s="609" t="s">
        <v>125</v>
      </c>
      <c r="F83" s="560"/>
      <c r="G83" s="609"/>
      <c r="H83" s="560"/>
      <c r="I83" s="609"/>
      <c r="J83" s="560"/>
      <c r="K83" s="609"/>
      <c r="L83" s="560"/>
      <c r="M83" s="609"/>
      <c r="N83" s="560"/>
      <c r="O83" s="609"/>
      <c r="P83" s="560"/>
      <c r="Q83" s="609"/>
      <c r="R83" s="560"/>
      <c r="S83" s="609"/>
      <c r="T83" s="560"/>
      <c r="U83" s="609"/>
      <c r="V83" s="560"/>
      <c r="W83" s="609"/>
      <c r="X83" s="560"/>
      <c r="Y83" s="609">
        <v>44568</v>
      </c>
      <c r="Z83" s="560">
        <v>432000</v>
      </c>
      <c r="AA83" s="609">
        <v>44581</v>
      </c>
      <c r="AB83" s="560">
        <v>432000</v>
      </c>
      <c r="AC83" s="362"/>
    </row>
    <row r="84" spans="1:29" x14ac:dyDescent="0.25">
      <c r="A84" s="894"/>
      <c r="B84" s="894" t="s">
        <v>6211</v>
      </c>
      <c r="C84" s="362"/>
      <c r="D84" s="362"/>
      <c r="E84" s="609">
        <v>44224</v>
      </c>
      <c r="F84" s="980">
        <f>12601000+58786100+70661200</f>
        <v>142048300</v>
      </c>
      <c r="G84" s="609">
        <v>44253</v>
      </c>
      <c r="H84" s="980">
        <f>12601000+58786100+70661200</f>
        <v>142048300</v>
      </c>
      <c r="I84" s="609">
        <v>44284</v>
      </c>
      <c r="J84" s="980">
        <f>12601000+58786100+70661200</f>
        <v>142048300</v>
      </c>
      <c r="K84" s="609">
        <v>44314</v>
      </c>
      <c r="L84" s="980">
        <f>12601000+58786100+70661200</f>
        <v>142048300</v>
      </c>
      <c r="M84" s="609">
        <v>44343</v>
      </c>
      <c r="N84" s="560">
        <f>142048300</f>
        <v>142048300</v>
      </c>
      <c r="O84" s="609">
        <v>44376</v>
      </c>
      <c r="P84" s="560">
        <v>142048300</v>
      </c>
      <c r="Q84" s="609">
        <v>44405</v>
      </c>
      <c r="R84" s="560">
        <v>142048300</v>
      </c>
      <c r="S84" s="609">
        <v>44434</v>
      </c>
      <c r="T84" s="560">
        <v>142048300</v>
      </c>
      <c r="U84" s="609">
        <v>44466</v>
      </c>
      <c r="V84" s="560">
        <v>142048300</v>
      </c>
      <c r="W84" s="609">
        <v>44497</v>
      </c>
      <c r="X84" s="560">
        <v>142048300</v>
      </c>
      <c r="Y84" s="609">
        <v>44529</v>
      </c>
      <c r="Z84" s="864">
        <f>70661200+58786100+12601000</f>
        <v>142048300</v>
      </c>
      <c r="AA84" s="609">
        <v>44559</v>
      </c>
      <c r="AB84" s="1251">
        <f>70661200+58786100+12601000</f>
        <v>142048300</v>
      </c>
      <c r="AC84" s="362"/>
    </row>
    <row r="85" spans="1:29" x14ac:dyDescent="0.25">
      <c r="A85" s="894"/>
      <c r="B85" s="894" t="s">
        <v>6205</v>
      </c>
      <c r="C85" s="362"/>
      <c r="D85" s="362"/>
      <c r="E85" s="609"/>
      <c r="F85" s="980"/>
      <c r="G85" s="609"/>
      <c r="H85" s="980"/>
      <c r="I85" s="609"/>
      <c r="J85" s="980"/>
      <c r="K85" s="609"/>
      <c r="L85" s="980"/>
      <c r="M85" s="609"/>
      <c r="N85" s="560"/>
      <c r="O85" s="609"/>
      <c r="P85" s="560"/>
      <c r="Q85" s="609"/>
      <c r="R85" s="560"/>
      <c r="S85" s="609"/>
      <c r="T85" s="560"/>
      <c r="U85" s="609"/>
      <c r="V85" s="560"/>
      <c r="W85" s="609"/>
      <c r="X85" s="560"/>
      <c r="Y85" s="609">
        <v>44505</v>
      </c>
      <c r="Z85" s="1095">
        <f>27759800+27759800+27759800</f>
        <v>83279400</v>
      </c>
      <c r="AA85" s="609">
        <v>44533</v>
      </c>
      <c r="AB85" s="1095">
        <f>27759800+27759800+27759800</f>
        <v>83279400</v>
      </c>
      <c r="AC85" s="362"/>
    </row>
    <row r="86" spans="1:29" x14ac:dyDescent="0.25">
      <c r="A86" s="894"/>
      <c r="B86" s="894" t="s">
        <v>6024</v>
      </c>
      <c r="C86" s="362"/>
      <c r="D86" s="362"/>
      <c r="E86" s="609">
        <v>44228</v>
      </c>
      <c r="F86" s="980">
        <v>17070000</v>
      </c>
      <c r="G86" s="609">
        <v>44252</v>
      </c>
      <c r="H86" s="560">
        <v>17070000</v>
      </c>
      <c r="I86" s="609">
        <v>44284</v>
      </c>
      <c r="J86" s="560">
        <v>17070000</v>
      </c>
      <c r="K86" s="609">
        <v>44315</v>
      </c>
      <c r="L86" s="560">
        <v>17070000</v>
      </c>
      <c r="M86" s="609">
        <v>44343</v>
      </c>
      <c r="N86" s="560">
        <v>17070000</v>
      </c>
      <c r="O86" s="609">
        <v>44376</v>
      </c>
      <c r="P86" s="560">
        <v>17070000</v>
      </c>
      <c r="Q86" s="609">
        <v>44407</v>
      </c>
      <c r="R86" s="560">
        <v>17070000</v>
      </c>
      <c r="S86" s="609">
        <v>44435</v>
      </c>
      <c r="T86" s="560">
        <v>17070000</v>
      </c>
      <c r="U86" s="609">
        <v>44468</v>
      </c>
      <c r="V86" s="560">
        <v>17070000</v>
      </c>
      <c r="W86" s="609">
        <v>44497</v>
      </c>
      <c r="X86" s="560">
        <v>17070000</v>
      </c>
      <c r="Y86" s="609">
        <v>44529</v>
      </c>
      <c r="Z86" s="864">
        <f>17070000</f>
        <v>17070000</v>
      </c>
      <c r="AA86" s="609">
        <v>44558</v>
      </c>
      <c r="AB86" s="560">
        <v>17070000</v>
      </c>
      <c r="AC86" s="362"/>
    </row>
    <row r="87" spans="1:29" x14ac:dyDescent="0.25">
      <c r="A87" s="362"/>
      <c r="B87" s="894" t="s">
        <v>5933</v>
      </c>
      <c r="C87" s="362" t="s">
        <v>5954</v>
      </c>
      <c r="D87" s="362"/>
      <c r="E87" s="609">
        <v>44224</v>
      </c>
      <c r="F87" s="560">
        <v>630000</v>
      </c>
      <c r="G87" s="609">
        <v>44258</v>
      </c>
      <c r="H87" s="560">
        <v>3619700</v>
      </c>
      <c r="I87" s="609">
        <v>44279</v>
      </c>
      <c r="J87" s="560">
        <v>329000</v>
      </c>
      <c r="K87" s="609">
        <v>44327</v>
      </c>
      <c r="L87" s="560">
        <v>3037100</v>
      </c>
      <c r="M87" s="609">
        <v>44351</v>
      </c>
      <c r="N87" s="560">
        <v>4439000</v>
      </c>
      <c r="O87" s="609">
        <v>44390</v>
      </c>
      <c r="P87" s="560">
        <v>3108600</v>
      </c>
      <c r="Q87" s="609">
        <v>44420</v>
      </c>
      <c r="R87" s="560">
        <v>3319900</v>
      </c>
      <c r="S87" s="609">
        <v>44441</v>
      </c>
      <c r="T87" s="560">
        <v>3506700</v>
      </c>
      <c r="U87" s="609">
        <v>44481</v>
      </c>
      <c r="V87" s="560">
        <v>3022200</v>
      </c>
      <c r="W87" s="609">
        <v>44505</v>
      </c>
      <c r="X87" s="560">
        <v>3913100</v>
      </c>
      <c r="Y87" s="609">
        <v>44532</v>
      </c>
      <c r="Z87" s="560">
        <v>2925000</v>
      </c>
      <c r="AA87" s="609">
        <v>44554</v>
      </c>
      <c r="AB87" s="560">
        <v>3293250</v>
      </c>
      <c r="AC87" s="362"/>
    </row>
    <row r="88" spans="1:29" x14ac:dyDescent="0.25">
      <c r="A88" s="362"/>
      <c r="B88" s="894"/>
      <c r="C88" s="362" t="s">
        <v>6126</v>
      </c>
      <c r="D88" s="362"/>
      <c r="E88" s="609">
        <v>44228</v>
      </c>
      <c r="F88" s="560">
        <v>4407800</v>
      </c>
      <c r="G88" s="609">
        <v>44258</v>
      </c>
      <c r="H88" s="560">
        <v>4345400</v>
      </c>
      <c r="I88" s="609">
        <v>44284</v>
      </c>
      <c r="J88" s="560">
        <v>4557600</v>
      </c>
      <c r="K88" s="609">
        <v>44327</v>
      </c>
      <c r="L88" s="560">
        <v>4287300</v>
      </c>
      <c r="M88" s="609">
        <v>44351</v>
      </c>
      <c r="N88" s="560">
        <v>3632000</v>
      </c>
      <c r="O88" s="609">
        <v>44390</v>
      </c>
      <c r="P88" s="560">
        <v>4641425</v>
      </c>
      <c r="Q88" s="609">
        <v>44420</v>
      </c>
      <c r="R88" s="560">
        <v>5191300</v>
      </c>
      <c r="S88" s="609">
        <v>44441</v>
      </c>
      <c r="T88" s="560">
        <v>4565200</v>
      </c>
      <c r="U88" s="609">
        <v>44481</v>
      </c>
      <c r="V88" s="560">
        <v>4814500</v>
      </c>
      <c r="W88" s="609">
        <v>44505</v>
      </c>
      <c r="X88" s="560">
        <v>5857200</v>
      </c>
      <c r="Y88" s="609">
        <v>44532</v>
      </c>
      <c r="Z88" s="560">
        <v>5201400</v>
      </c>
      <c r="AA88" s="609">
        <v>44554</v>
      </c>
      <c r="AB88" s="560">
        <v>5729600</v>
      </c>
      <c r="AC88" s="362"/>
    </row>
    <row r="89" spans="1:29" x14ac:dyDescent="0.25">
      <c r="A89" s="362"/>
      <c r="B89" s="894"/>
      <c r="C89" s="362"/>
      <c r="D89" s="362"/>
      <c r="E89" s="609">
        <v>44228</v>
      </c>
      <c r="F89" s="560">
        <v>3302600</v>
      </c>
      <c r="G89" s="362"/>
      <c r="H89" s="362"/>
      <c r="I89" s="609">
        <v>44284</v>
      </c>
      <c r="J89" s="560">
        <v>2691800</v>
      </c>
      <c r="K89" s="609">
        <v>44327</v>
      </c>
      <c r="L89" s="560">
        <v>216000</v>
      </c>
      <c r="M89" s="362"/>
      <c r="N89" s="362"/>
      <c r="O89" s="362"/>
      <c r="P89" s="362"/>
      <c r="Q89" s="362"/>
      <c r="R89" s="560"/>
      <c r="S89" s="362"/>
      <c r="T89" s="362"/>
      <c r="U89" s="609">
        <v>44504</v>
      </c>
      <c r="V89" s="864">
        <f>402400+849500</f>
        <v>1251900</v>
      </c>
      <c r="W89" s="362"/>
      <c r="X89" s="362"/>
      <c r="Y89" s="362"/>
      <c r="Z89" s="362"/>
      <c r="AA89" s="362"/>
      <c r="AB89" s="362"/>
      <c r="AC89" s="362"/>
    </row>
    <row r="90" spans="1:29" x14ac:dyDescent="0.25">
      <c r="A90" s="362"/>
      <c r="B90" s="894" t="s">
        <v>5930</v>
      </c>
      <c r="C90" s="362"/>
      <c r="D90" s="362"/>
      <c r="E90" s="609">
        <v>44221</v>
      </c>
      <c r="F90" s="560">
        <v>3665100</v>
      </c>
      <c r="G90" s="609">
        <v>44252</v>
      </c>
      <c r="H90" s="560">
        <v>3713400</v>
      </c>
      <c r="I90" s="609">
        <v>44279</v>
      </c>
      <c r="J90" s="560">
        <v>3647250</v>
      </c>
      <c r="K90" s="609">
        <v>44309</v>
      </c>
      <c r="L90" s="560">
        <v>3540150</v>
      </c>
      <c r="M90" s="609">
        <v>44340</v>
      </c>
      <c r="N90" s="560">
        <v>3605600</v>
      </c>
      <c r="O90" s="609">
        <v>44371</v>
      </c>
      <c r="P90" s="560">
        <v>3106000</v>
      </c>
      <c r="Q90" s="609">
        <v>44399</v>
      </c>
      <c r="R90" s="560">
        <v>3617500</v>
      </c>
      <c r="S90" s="609">
        <v>44432</v>
      </c>
      <c r="T90" s="560">
        <v>3581800</v>
      </c>
      <c r="U90" s="609">
        <v>44462</v>
      </c>
      <c r="V90" s="560">
        <v>3692700</v>
      </c>
      <c r="W90" s="609">
        <v>44494</v>
      </c>
      <c r="X90" s="560">
        <v>3747900</v>
      </c>
      <c r="Y90" s="609">
        <v>44525</v>
      </c>
      <c r="Z90" s="560">
        <v>3803100</v>
      </c>
      <c r="AA90" s="609">
        <v>44554</v>
      </c>
      <c r="AB90" s="560">
        <v>3913500</v>
      </c>
      <c r="AC90" s="362"/>
    </row>
    <row r="91" spans="1:29" x14ac:dyDescent="0.25">
      <c r="A91" s="362"/>
      <c r="B91" s="894" t="s">
        <v>6014</v>
      </c>
      <c r="C91" s="362"/>
      <c r="D91" s="362"/>
      <c r="E91" s="609">
        <v>44222</v>
      </c>
      <c r="F91" s="560">
        <v>3580000</v>
      </c>
      <c r="G91" s="609">
        <v>44257</v>
      </c>
      <c r="H91" s="560">
        <v>3580000</v>
      </c>
      <c r="I91" s="362"/>
      <c r="J91" s="362"/>
      <c r="K91" s="362"/>
      <c r="L91" s="362"/>
      <c r="M91" s="609">
        <v>44343</v>
      </c>
      <c r="N91" s="560">
        <v>3820000</v>
      </c>
      <c r="O91" s="609">
        <v>44375</v>
      </c>
      <c r="P91" s="560">
        <v>5579000</v>
      </c>
      <c r="Q91" s="362"/>
      <c r="R91" s="362"/>
      <c r="S91" s="609">
        <v>44433</v>
      </c>
      <c r="T91" s="560">
        <v>6177500</v>
      </c>
      <c r="U91" s="609">
        <v>44468</v>
      </c>
      <c r="V91" s="560">
        <v>6637500</v>
      </c>
      <c r="W91" s="609">
        <v>44497</v>
      </c>
      <c r="X91" s="560">
        <v>8570000</v>
      </c>
      <c r="Y91" s="362"/>
      <c r="Z91" s="362"/>
      <c r="AA91" s="609">
        <v>44559</v>
      </c>
      <c r="AB91" s="560">
        <v>7715000</v>
      </c>
      <c r="AC91" s="362"/>
    </row>
    <row r="92" spans="1:29" x14ac:dyDescent="0.25">
      <c r="A92" s="362"/>
      <c r="B92" s="894" t="s">
        <v>6020</v>
      </c>
      <c r="C92" s="362"/>
      <c r="D92" s="362"/>
      <c r="E92" s="609">
        <v>44228</v>
      </c>
      <c r="F92" s="560">
        <v>35000000</v>
      </c>
      <c r="G92" s="609">
        <v>44253</v>
      </c>
      <c r="H92" s="560">
        <v>35000000</v>
      </c>
      <c r="I92" s="609">
        <v>44281</v>
      </c>
      <c r="J92" s="560">
        <v>35000000</v>
      </c>
      <c r="K92" s="609">
        <v>44314</v>
      </c>
      <c r="L92" s="560">
        <v>35000000</v>
      </c>
      <c r="M92" s="609">
        <v>44343</v>
      </c>
      <c r="N92" s="560">
        <v>35000000</v>
      </c>
      <c r="O92" s="609">
        <v>44375</v>
      </c>
      <c r="P92" s="560">
        <v>35000000</v>
      </c>
      <c r="Q92" s="609">
        <v>44407</v>
      </c>
      <c r="R92" s="560">
        <v>35000000</v>
      </c>
      <c r="S92" s="609">
        <v>44434</v>
      </c>
      <c r="T92" s="560">
        <v>35000000</v>
      </c>
      <c r="U92" s="609">
        <v>44467</v>
      </c>
      <c r="V92" s="560">
        <v>35000000</v>
      </c>
      <c r="W92" s="609">
        <v>44497</v>
      </c>
      <c r="X92" s="560">
        <v>35000000</v>
      </c>
      <c r="Y92" s="609">
        <v>44526</v>
      </c>
      <c r="Z92" s="560">
        <v>35000000</v>
      </c>
      <c r="AA92" s="609">
        <v>44558</v>
      </c>
      <c r="AB92" s="560">
        <v>35000000</v>
      </c>
      <c r="AC92" s="362"/>
    </row>
    <row r="93" spans="1:29" x14ac:dyDescent="0.25">
      <c r="A93" s="362"/>
      <c r="B93" s="894" t="s">
        <v>6025</v>
      </c>
      <c r="C93" s="362"/>
      <c r="D93" s="362"/>
      <c r="E93" s="362" t="s">
        <v>125</v>
      </c>
      <c r="F93" s="362" t="s">
        <v>125</v>
      </c>
      <c r="G93" s="609">
        <v>44228</v>
      </c>
      <c r="H93" s="560">
        <v>5753500</v>
      </c>
      <c r="I93" s="609">
        <v>44256</v>
      </c>
      <c r="J93" s="560">
        <v>5753500</v>
      </c>
      <c r="K93" s="609">
        <v>44287</v>
      </c>
      <c r="L93" s="560">
        <v>5753500</v>
      </c>
      <c r="M93" s="362"/>
      <c r="N93" s="362"/>
      <c r="O93" s="609">
        <v>44378</v>
      </c>
      <c r="P93" s="560">
        <v>5753500</v>
      </c>
      <c r="Q93" s="609">
        <v>44410</v>
      </c>
      <c r="R93" s="560">
        <v>5753500</v>
      </c>
      <c r="S93" s="609">
        <v>44440</v>
      </c>
      <c r="T93" s="560">
        <v>5753500</v>
      </c>
      <c r="U93" s="362"/>
      <c r="V93" s="362"/>
      <c r="W93" s="362"/>
      <c r="X93" s="362"/>
      <c r="Y93" s="609">
        <v>44531</v>
      </c>
      <c r="Z93" s="560">
        <v>5753500</v>
      </c>
      <c r="AA93" s="362"/>
      <c r="AB93" s="362"/>
      <c r="AC93" s="362"/>
    </row>
    <row r="94" spans="1:29" x14ac:dyDescent="0.25">
      <c r="A94" s="362"/>
      <c r="B94" s="894" t="s">
        <v>6026</v>
      </c>
      <c r="C94" s="362"/>
      <c r="D94" s="362"/>
      <c r="E94" s="362"/>
      <c r="F94" s="362"/>
      <c r="G94" s="609">
        <v>44228</v>
      </c>
      <c r="H94" s="560">
        <v>6000000</v>
      </c>
      <c r="I94" s="362"/>
      <c r="J94" s="362"/>
      <c r="K94" s="362"/>
      <c r="L94" s="362"/>
      <c r="M94" s="362"/>
      <c r="N94" s="362"/>
      <c r="O94" s="362"/>
      <c r="P94" s="362"/>
      <c r="Q94" s="362"/>
      <c r="R94" s="362"/>
      <c r="S94" s="362"/>
      <c r="T94" s="362"/>
      <c r="U94" s="362"/>
      <c r="V94" s="362"/>
      <c r="W94" s="362"/>
      <c r="X94" s="362"/>
      <c r="Y94" s="362"/>
      <c r="Z94" s="362"/>
      <c r="AA94" s="362"/>
      <c r="AB94" s="362"/>
      <c r="AC94" s="362"/>
    </row>
    <row r="95" spans="1:29" x14ac:dyDescent="0.25">
      <c r="A95" s="362"/>
      <c r="B95" s="894"/>
      <c r="C95" s="362"/>
      <c r="D95" s="362"/>
      <c r="E95" s="362"/>
      <c r="F95" s="362"/>
      <c r="G95" s="609">
        <v>44244</v>
      </c>
      <c r="H95" s="560">
        <v>3000000</v>
      </c>
      <c r="I95" s="362"/>
      <c r="J95" s="362"/>
      <c r="K95" s="362"/>
      <c r="L95" s="362"/>
      <c r="M95" s="362"/>
      <c r="N95" s="362"/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  <c r="Z95" s="362"/>
      <c r="AA95" s="362"/>
      <c r="AB95" s="362"/>
      <c r="AC95" s="362"/>
    </row>
    <row r="96" spans="1:29" x14ac:dyDescent="0.25">
      <c r="A96" s="362"/>
      <c r="B96" s="894" t="s">
        <v>6074</v>
      </c>
      <c r="C96" s="362"/>
      <c r="D96" s="362"/>
      <c r="E96" s="609">
        <v>44237</v>
      </c>
      <c r="F96" s="560">
        <v>4595050</v>
      </c>
      <c r="G96" s="609">
        <v>44264</v>
      </c>
      <c r="H96" s="560">
        <v>4488100</v>
      </c>
      <c r="I96" s="609">
        <v>44287</v>
      </c>
      <c r="J96" s="560">
        <v>4984800</v>
      </c>
      <c r="K96" s="609">
        <v>44327</v>
      </c>
      <c r="L96" s="560">
        <v>5614050</v>
      </c>
      <c r="M96" s="609">
        <v>44362</v>
      </c>
      <c r="N96" s="560">
        <v>5897250</v>
      </c>
      <c r="O96" s="609">
        <v>44390</v>
      </c>
      <c r="P96" s="560">
        <v>6500700</v>
      </c>
      <c r="Q96" s="609">
        <v>44412</v>
      </c>
      <c r="R96" s="560">
        <v>6036750</v>
      </c>
      <c r="S96" s="609">
        <v>44441</v>
      </c>
      <c r="T96" s="560">
        <v>5859400</v>
      </c>
      <c r="U96" s="609">
        <v>44487</v>
      </c>
      <c r="V96" s="560">
        <v>6184750</v>
      </c>
      <c r="W96" s="609">
        <v>44508</v>
      </c>
      <c r="X96" s="560">
        <v>5405200</v>
      </c>
      <c r="Y96" s="609">
        <v>44544</v>
      </c>
      <c r="Z96" s="560">
        <v>5617950</v>
      </c>
      <c r="AA96" s="362"/>
      <c r="AB96" s="362"/>
      <c r="AC96" s="362"/>
    </row>
    <row r="97" spans="1:29" x14ac:dyDescent="0.25">
      <c r="A97" s="362"/>
      <c r="B97" s="894" t="s">
        <v>6046</v>
      </c>
      <c r="C97" s="362" t="s">
        <v>6147</v>
      </c>
      <c r="D97" s="362"/>
      <c r="E97" s="609">
        <v>44244</v>
      </c>
      <c r="F97" s="560">
        <v>311114</v>
      </c>
      <c r="G97" s="609">
        <v>44272</v>
      </c>
      <c r="H97" s="560">
        <v>1793958</v>
      </c>
      <c r="I97" s="609">
        <v>44308</v>
      </c>
      <c r="J97" s="560">
        <v>1342675</v>
      </c>
      <c r="K97" s="609">
        <v>44340</v>
      </c>
      <c r="L97" s="560">
        <v>1198194</v>
      </c>
      <c r="M97" s="609">
        <v>44371</v>
      </c>
      <c r="N97" s="560">
        <v>2502740</v>
      </c>
      <c r="O97" s="609">
        <v>44405</v>
      </c>
      <c r="P97" s="560">
        <v>1481079</v>
      </c>
      <c r="Q97" s="609">
        <v>44432</v>
      </c>
      <c r="R97" s="560">
        <v>3162707</v>
      </c>
      <c r="S97" s="609">
        <v>44460</v>
      </c>
      <c r="T97" s="560">
        <v>2551259</v>
      </c>
      <c r="U97" s="362"/>
      <c r="V97" s="362"/>
      <c r="W97" s="609">
        <v>44526</v>
      </c>
      <c r="X97" s="560">
        <v>1793272</v>
      </c>
      <c r="Y97" s="609">
        <v>44552</v>
      </c>
      <c r="Z97" s="560">
        <v>1256222</v>
      </c>
      <c r="AA97" s="609">
        <v>44581</v>
      </c>
      <c r="AB97" s="560">
        <v>1506662</v>
      </c>
      <c r="AC97" s="362"/>
    </row>
    <row r="98" spans="1:29" x14ac:dyDescent="0.25">
      <c r="A98" s="362"/>
      <c r="B98" s="894"/>
      <c r="C98" s="362" t="s">
        <v>5996</v>
      </c>
      <c r="D98" s="362"/>
      <c r="E98" s="362" t="s">
        <v>125</v>
      </c>
      <c r="F98" s="362" t="s">
        <v>125</v>
      </c>
      <c r="G98" s="362" t="s">
        <v>125</v>
      </c>
      <c r="H98" s="362" t="s">
        <v>125</v>
      </c>
      <c r="I98" s="362" t="s">
        <v>125</v>
      </c>
      <c r="J98" s="362" t="s">
        <v>125</v>
      </c>
      <c r="K98" s="362" t="s">
        <v>125</v>
      </c>
      <c r="L98" s="362" t="s">
        <v>125</v>
      </c>
      <c r="M98" s="362" t="s">
        <v>125</v>
      </c>
      <c r="N98" s="362" t="s">
        <v>125</v>
      </c>
      <c r="O98" s="362" t="s">
        <v>125</v>
      </c>
      <c r="P98" s="362" t="s">
        <v>125</v>
      </c>
      <c r="Q98" s="609">
        <v>44439</v>
      </c>
      <c r="R98" s="560">
        <v>238090</v>
      </c>
      <c r="S98" s="609">
        <v>44467</v>
      </c>
      <c r="T98" s="560">
        <v>339149</v>
      </c>
      <c r="U98" s="609">
        <v>44503</v>
      </c>
      <c r="V98" s="560">
        <v>125465</v>
      </c>
      <c r="W98" s="609">
        <v>44511</v>
      </c>
      <c r="X98" s="560">
        <v>170554</v>
      </c>
      <c r="Y98" s="362"/>
      <c r="Z98" s="362"/>
      <c r="AA98" s="362"/>
      <c r="AB98" s="362"/>
      <c r="AC98" s="362"/>
    </row>
    <row r="99" spans="1:29" x14ac:dyDescent="0.25">
      <c r="A99" s="362"/>
      <c r="B99" s="894" t="s">
        <v>6099</v>
      </c>
      <c r="C99" s="362"/>
      <c r="D99" s="362"/>
      <c r="E99" s="609">
        <v>44306</v>
      </c>
      <c r="F99" s="362"/>
      <c r="G99" s="362"/>
      <c r="H99" s="362"/>
      <c r="I99" s="362"/>
      <c r="J99" s="362"/>
      <c r="K99" s="362"/>
      <c r="L99" s="362"/>
      <c r="M99" s="362"/>
      <c r="N99" s="362"/>
      <c r="O99" s="362"/>
      <c r="P99" s="362"/>
      <c r="Q99" s="362"/>
      <c r="R99" s="362"/>
      <c r="S99" s="362"/>
      <c r="T99" s="362"/>
      <c r="U99" s="362"/>
      <c r="V99" s="362"/>
      <c r="W99" s="362"/>
      <c r="X99" s="362"/>
      <c r="Y99" s="362"/>
      <c r="Z99" s="362"/>
      <c r="AA99" s="362"/>
      <c r="AB99" s="362"/>
      <c r="AC99" s="362"/>
    </row>
    <row r="100" spans="1:29" x14ac:dyDescent="0.25">
      <c r="A100" s="362"/>
      <c r="B100" s="894"/>
      <c r="C100" s="362"/>
      <c r="D100" s="362"/>
      <c r="E100" s="585">
        <v>44306</v>
      </c>
      <c r="F100" s="562">
        <v>950000</v>
      </c>
      <c r="G100" s="530"/>
      <c r="H100" s="530"/>
      <c r="I100" s="362"/>
      <c r="J100" s="362"/>
      <c r="K100" s="362"/>
      <c r="L100" s="362"/>
      <c r="M100" s="362"/>
      <c r="N100" s="362"/>
      <c r="O100" s="362"/>
      <c r="P100" s="362"/>
      <c r="Q100" s="362"/>
      <c r="R100" s="362"/>
      <c r="S100" s="362"/>
      <c r="T100" s="362"/>
      <c r="U100" s="362"/>
      <c r="V100" s="362"/>
      <c r="W100" s="362"/>
      <c r="X100" s="362"/>
      <c r="Y100" s="362"/>
      <c r="Z100" s="362"/>
      <c r="AA100" s="362"/>
      <c r="AB100" s="362"/>
      <c r="AC100" s="362"/>
    </row>
    <row r="101" spans="1:29" x14ac:dyDescent="0.25">
      <c r="A101" s="362"/>
      <c r="B101" s="894"/>
      <c r="C101" s="362"/>
      <c r="D101" s="362"/>
      <c r="E101" s="362"/>
      <c r="F101" s="362"/>
      <c r="G101" s="362"/>
      <c r="H101" s="362"/>
      <c r="I101" s="362"/>
      <c r="J101" s="362"/>
      <c r="K101" s="362"/>
      <c r="L101" s="362"/>
      <c r="M101" s="362"/>
      <c r="N101" s="362"/>
      <c r="O101" s="362"/>
      <c r="P101" s="362"/>
      <c r="Q101" s="362"/>
      <c r="R101" s="362"/>
      <c r="S101" s="362"/>
      <c r="T101" s="362"/>
      <c r="U101" s="362"/>
      <c r="V101" s="362"/>
      <c r="W101" s="362"/>
      <c r="X101" s="362"/>
      <c r="Y101" s="362"/>
      <c r="Z101" s="362"/>
      <c r="AA101" s="362"/>
      <c r="AB101" s="362"/>
      <c r="AC101" s="362"/>
    </row>
    <row r="104" spans="1:29" x14ac:dyDescent="0.25">
      <c r="C104" s="362" t="s">
        <v>6098</v>
      </c>
      <c r="D104" s="362"/>
      <c r="E104" s="560">
        <v>140000000</v>
      </c>
    </row>
    <row r="105" spans="1:29" x14ac:dyDescent="0.25">
      <c r="C105" s="362" t="s">
        <v>6093</v>
      </c>
      <c r="D105" s="362"/>
      <c r="E105" s="560">
        <v>94000000</v>
      </c>
    </row>
    <row r="106" spans="1:29" x14ac:dyDescent="0.25">
      <c r="C106" s="362" t="s">
        <v>6094</v>
      </c>
      <c r="D106" s="362"/>
      <c r="E106" s="560">
        <v>69000000</v>
      </c>
      <c r="V106" s="254" t="s">
        <v>6202</v>
      </c>
    </row>
    <row r="107" spans="1:29" x14ac:dyDescent="0.25">
      <c r="C107" s="362" t="s">
        <v>6097</v>
      </c>
      <c r="D107" s="362"/>
      <c r="E107" s="629">
        <v>70000000</v>
      </c>
    </row>
    <row r="108" spans="1:29" x14ac:dyDescent="0.25">
      <c r="C108" s="362" t="s">
        <v>6095</v>
      </c>
      <c r="D108" s="362"/>
      <c r="E108" s="629">
        <v>11000000</v>
      </c>
    </row>
    <row r="109" spans="1:29" x14ac:dyDescent="0.25">
      <c r="C109" s="362" t="s">
        <v>6096</v>
      </c>
      <c r="D109" s="362"/>
      <c r="E109" s="629">
        <v>28000000</v>
      </c>
    </row>
    <row r="110" spans="1:29" x14ac:dyDescent="0.25">
      <c r="C110" s="362" t="s">
        <v>24</v>
      </c>
      <c r="D110" s="362"/>
      <c r="E110" s="629">
        <f>SUM(E104:E109)</f>
        <v>412000000</v>
      </c>
    </row>
    <row r="112" spans="1:29" x14ac:dyDescent="0.25">
      <c r="T112" s="254" t="s">
        <v>6110</v>
      </c>
    </row>
    <row r="114" spans="18:21" x14ac:dyDescent="0.25">
      <c r="S114" s="254" t="s">
        <v>6203</v>
      </c>
      <c r="U114" s="254" t="s">
        <v>6204</v>
      </c>
    </row>
    <row r="120" spans="18:21" x14ac:dyDescent="0.25">
      <c r="R120" s="254">
        <v>3451361</v>
      </c>
    </row>
    <row r="121" spans="18:21" x14ac:dyDescent="0.25">
      <c r="R121" s="254">
        <v>358639</v>
      </c>
      <c r="T121" s="254">
        <v>3485651</v>
      </c>
    </row>
    <row r="122" spans="18:21" x14ac:dyDescent="0.25">
      <c r="T122" s="254">
        <v>324349</v>
      </c>
    </row>
  </sheetData>
  <mergeCells count="12">
    <mergeCell ref="A2:A3"/>
    <mergeCell ref="B2:B3"/>
    <mergeCell ref="E2:AB2"/>
    <mergeCell ref="X29:AB29"/>
    <mergeCell ref="AC2:AC3"/>
    <mergeCell ref="F29:I29"/>
    <mergeCell ref="L29:P29"/>
    <mergeCell ref="R29:V29"/>
    <mergeCell ref="T32:X32"/>
    <mergeCell ref="X20:AB20"/>
    <mergeCell ref="H32:L32"/>
    <mergeCell ref="N32:R32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K58"/>
  <sheetViews>
    <sheetView topLeftCell="A43" workbookViewId="0">
      <selection activeCell="D68" sqref="D68"/>
    </sheetView>
  </sheetViews>
  <sheetFormatPr defaultRowHeight="15" x14ac:dyDescent="0.25"/>
  <cols>
    <col min="1" max="1" width="10.28515625" style="254" customWidth="1"/>
    <col min="2" max="2" width="15.7109375" style="254" customWidth="1"/>
    <col min="3" max="3" width="16.5703125" style="254" customWidth="1"/>
    <col min="4" max="4" width="29.7109375" style="254" customWidth="1"/>
    <col min="5" max="5" width="13.85546875" style="254" customWidth="1"/>
    <col min="6" max="8" width="9.140625" style="254"/>
    <col min="9" max="9" width="19.140625" style="254" customWidth="1"/>
    <col min="10" max="10" width="4.85546875" style="254" customWidth="1"/>
    <col min="11" max="11" width="13.7109375" style="254" customWidth="1"/>
    <col min="12" max="16384" width="9.140625" style="254"/>
  </cols>
  <sheetData>
    <row r="2" spans="1:5" x14ac:dyDescent="0.25">
      <c r="A2" s="1607" t="s">
        <v>6118</v>
      </c>
      <c r="B2" s="1607"/>
      <c r="C2" s="1607"/>
      <c r="D2" s="1607"/>
      <c r="E2" s="1607"/>
    </row>
    <row r="3" spans="1:5" x14ac:dyDescent="0.25">
      <c r="A3" s="1607" t="s">
        <v>6112</v>
      </c>
      <c r="B3" s="1607"/>
      <c r="C3" s="1607"/>
      <c r="D3" s="1607"/>
      <c r="E3" s="1607"/>
    </row>
    <row r="5" spans="1:5" x14ac:dyDescent="0.25">
      <c r="A5" s="1327" t="s">
        <v>6116</v>
      </c>
      <c r="B5" s="1609" t="s">
        <v>6114</v>
      </c>
      <c r="C5" s="1610"/>
      <c r="D5" s="1609" t="s">
        <v>6115</v>
      </c>
      <c r="E5" s="1610"/>
    </row>
    <row r="6" spans="1:5" x14ac:dyDescent="0.25">
      <c r="A6" s="1327" t="s">
        <v>6113</v>
      </c>
      <c r="B6" s="1327" t="s">
        <v>5962</v>
      </c>
      <c r="C6" s="1327" t="s">
        <v>6117</v>
      </c>
      <c r="D6" s="1327" t="s">
        <v>5962</v>
      </c>
      <c r="E6" s="1327" t="s">
        <v>6117</v>
      </c>
    </row>
    <row r="7" spans="1:5" x14ac:dyDescent="0.25">
      <c r="A7" s="612">
        <v>43831</v>
      </c>
      <c r="B7" s="364">
        <v>44070</v>
      </c>
      <c r="C7" s="560">
        <v>400000000</v>
      </c>
      <c r="D7" s="364">
        <v>44071</v>
      </c>
      <c r="E7" s="560">
        <v>64038919</v>
      </c>
    </row>
    <row r="8" spans="1:5" x14ac:dyDescent="0.25">
      <c r="A8" s="612">
        <v>43862</v>
      </c>
      <c r="B8" s="364">
        <v>44144</v>
      </c>
      <c r="C8" s="560">
        <v>400000000</v>
      </c>
      <c r="D8" s="364">
        <v>44145</v>
      </c>
      <c r="E8" s="560">
        <v>69169894</v>
      </c>
    </row>
    <row r="9" spans="1:5" x14ac:dyDescent="0.25">
      <c r="A9" s="612">
        <v>43891</v>
      </c>
      <c r="B9" s="371">
        <v>44208</v>
      </c>
      <c r="C9" s="560">
        <v>200000000</v>
      </c>
      <c r="D9" s="371">
        <v>44209</v>
      </c>
      <c r="E9" s="560">
        <v>239696423</v>
      </c>
    </row>
    <row r="10" spans="1:5" x14ac:dyDescent="0.25">
      <c r="A10" s="612">
        <v>43922</v>
      </c>
      <c r="B10" s="371">
        <v>44284</v>
      </c>
      <c r="C10" s="560">
        <v>400000000</v>
      </c>
      <c r="D10" s="371">
        <v>44285</v>
      </c>
      <c r="E10" s="560">
        <v>138666850</v>
      </c>
    </row>
    <row r="11" spans="1:5" x14ac:dyDescent="0.25">
      <c r="A11" s="612">
        <v>43952</v>
      </c>
      <c r="B11" s="364">
        <v>44333</v>
      </c>
      <c r="C11" s="560">
        <v>200000000</v>
      </c>
      <c r="D11" s="364">
        <v>44334</v>
      </c>
      <c r="E11" s="560">
        <v>201634768</v>
      </c>
    </row>
    <row r="12" spans="1:5" x14ac:dyDescent="0.25">
      <c r="A12" s="612">
        <v>43983</v>
      </c>
      <c r="B12" s="364">
        <v>44335</v>
      </c>
      <c r="C12" s="560">
        <v>200000000</v>
      </c>
      <c r="D12" s="364">
        <v>44336</v>
      </c>
      <c r="E12" s="560">
        <v>211419459</v>
      </c>
    </row>
    <row r="13" spans="1:5" x14ac:dyDescent="0.25">
      <c r="A13" s="612">
        <v>44013</v>
      </c>
      <c r="B13" s="364">
        <v>44337</v>
      </c>
      <c r="C13" s="560">
        <v>200000000</v>
      </c>
      <c r="D13" s="364">
        <v>44340</v>
      </c>
      <c r="E13" s="560">
        <v>305574537</v>
      </c>
    </row>
    <row r="14" spans="1:5" x14ac:dyDescent="0.25">
      <c r="A14" s="612">
        <v>44044</v>
      </c>
      <c r="B14" s="364">
        <v>44341</v>
      </c>
      <c r="C14" s="560">
        <v>200000000</v>
      </c>
      <c r="D14" s="364">
        <v>44343</v>
      </c>
      <c r="E14" s="560">
        <v>225008135</v>
      </c>
    </row>
    <row r="15" spans="1:5" x14ac:dyDescent="0.25">
      <c r="A15" s="612">
        <v>44075</v>
      </c>
      <c r="B15" s="364">
        <v>44344</v>
      </c>
      <c r="C15" s="560">
        <v>200000000</v>
      </c>
      <c r="D15" s="364">
        <v>44347</v>
      </c>
      <c r="E15" s="560">
        <v>211968542</v>
      </c>
    </row>
    <row r="16" spans="1:5" x14ac:dyDescent="0.25">
      <c r="A16" s="612">
        <v>44105</v>
      </c>
      <c r="B16" s="364">
        <v>44349</v>
      </c>
      <c r="C16" s="560">
        <v>200000000</v>
      </c>
      <c r="D16" s="364">
        <v>44350</v>
      </c>
      <c r="E16" s="560">
        <v>298014347</v>
      </c>
    </row>
    <row r="17" spans="1:5" x14ac:dyDescent="0.25">
      <c r="A17" s="612">
        <v>44136</v>
      </c>
      <c r="B17" s="364">
        <v>44356</v>
      </c>
      <c r="C17" s="560">
        <v>200000000</v>
      </c>
      <c r="D17" s="364">
        <v>44357</v>
      </c>
      <c r="E17" s="560">
        <v>223859353</v>
      </c>
    </row>
    <row r="18" spans="1:5" x14ac:dyDescent="0.25">
      <c r="A18" s="612">
        <v>44166</v>
      </c>
      <c r="B18" s="364">
        <v>44358</v>
      </c>
      <c r="C18" s="560">
        <v>200000000</v>
      </c>
      <c r="D18" s="364">
        <v>44361</v>
      </c>
      <c r="E18" s="560">
        <v>310944619</v>
      </c>
    </row>
    <row r="19" spans="1:5" x14ac:dyDescent="0.25">
      <c r="A19" s="1608" t="s">
        <v>6117</v>
      </c>
      <c r="B19" s="1608"/>
      <c r="C19" s="949">
        <f>SUM(C7:C18)</f>
        <v>3000000000</v>
      </c>
      <c r="D19" s="894"/>
      <c r="E19" s="949">
        <f>SUM(E7:E18)</f>
        <v>2499995846</v>
      </c>
    </row>
    <row r="21" spans="1:5" x14ac:dyDescent="0.25">
      <c r="A21" s="1607" t="s">
        <v>6118</v>
      </c>
      <c r="B21" s="1607"/>
      <c r="C21" s="1607"/>
      <c r="D21" s="1607"/>
      <c r="E21" s="1607"/>
    </row>
    <row r="22" spans="1:5" x14ac:dyDescent="0.25">
      <c r="A22" s="1607" t="s">
        <v>6186</v>
      </c>
      <c r="B22" s="1607"/>
      <c r="C22" s="1607"/>
      <c r="D22" s="1607"/>
      <c r="E22" s="1607"/>
    </row>
    <row r="24" spans="1:5" x14ac:dyDescent="0.25">
      <c r="A24" s="1327" t="s">
        <v>114</v>
      </c>
      <c r="B24" s="1327" t="s">
        <v>6187</v>
      </c>
      <c r="C24" s="1327" t="s">
        <v>6188</v>
      </c>
      <c r="D24" s="1327" t="s">
        <v>5341</v>
      </c>
      <c r="E24" s="1327" t="s">
        <v>6117</v>
      </c>
    </row>
    <row r="25" spans="1:5" x14ac:dyDescent="0.25">
      <c r="A25" s="364">
        <v>44475</v>
      </c>
      <c r="B25" s="364" t="s">
        <v>6189</v>
      </c>
      <c r="C25" s="560" t="s">
        <v>6174</v>
      </c>
      <c r="D25" s="983" t="s">
        <v>6190</v>
      </c>
      <c r="E25" s="560">
        <v>459980323</v>
      </c>
    </row>
    <row r="26" spans="1:5" x14ac:dyDescent="0.25">
      <c r="A26" s="364">
        <v>44476</v>
      </c>
      <c r="B26" s="364" t="s">
        <v>6189</v>
      </c>
      <c r="C26" s="560" t="s">
        <v>6174</v>
      </c>
      <c r="D26" s="983" t="s">
        <v>6199</v>
      </c>
      <c r="E26" s="560">
        <v>454085860</v>
      </c>
    </row>
    <row r="27" spans="1:5" x14ac:dyDescent="0.25">
      <c r="A27" s="364">
        <v>44477</v>
      </c>
      <c r="B27" s="364" t="s">
        <v>6189</v>
      </c>
      <c r="C27" s="560" t="s">
        <v>6174</v>
      </c>
      <c r="D27" s="983" t="s">
        <v>6191</v>
      </c>
      <c r="E27" s="560">
        <v>558133192</v>
      </c>
    </row>
    <row r="28" spans="1:5" x14ac:dyDescent="0.25">
      <c r="A28" s="364">
        <v>44480</v>
      </c>
      <c r="B28" s="364" t="s">
        <v>6189</v>
      </c>
      <c r="C28" s="560" t="s">
        <v>6174</v>
      </c>
      <c r="D28" s="983" t="s">
        <v>6192</v>
      </c>
      <c r="E28" s="560">
        <v>594495076</v>
      </c>
    </row>
    <row r="29" spans="1:5" x14ac:dyDescent="0.25">
      <c r="A29" s="364">
        <v>44481</v>
      </c>
      <c r="B29" s="364" t="s">
        <v>6189</v>
      </c>
      <c r="C29" s="560" t="s">
        <v>6174</v>
      </c>
      <c r="D29" s="983" t="s">
        <v>6193</v>
      </c>
      <c r="E29" s="864">
        <v>356361074</v>
      </c>
    </row>
    <row r="30" spans="1:5" x14ac:dyDescent="0.25">
      <c r="A30" s="364">
        <v>44482</v>
      </c>
      <c r="B30" s="364" t="s">
        <v>6189</v>
      </c>
      <c r="C30" s="560" t="s">
        <v>6174</v>
      </c>
      <c r="D30" s="983" t="s">
        <v>6194</v>
      </c>
      <c r="E30" s="560">
        <v>546942851</v>
      </c>
    </row>
    <row r="31" spans="1:5" x14ac:dyDescent="0.25">
      <c r="A31" s="364">
        <v>44483</v>
      </c>
      <c r="B31" s="364" t="s">
        <v>6189</v>
      </c>
      <c r="C31" s="560" t="s">
        <v>6174</v>
      </c>
      <c r="D31" s="983" t="s">
        <v>6195</v>
      </c>
      <c r="E31" s="560">
        <v>452455698</v>
      </c>
    </row>
    <row r="32" spans="1:5" x14ac:dyDescent="0.25">
      <c r="A32" s="364">
        <v>44484</v>
      </c>
      <c r="B32" s="364" t="s">
        <v>6189</v>
      </c>
      <c r="C32" s="560" t="s">
        <v>6174</v>
      </c>
      <c r="D32" s="983" t="s">
        <v>6196</v>
      </c>
      <c r="E32" s="560">
        <v>502519990</v>
      </c>
    </row>
    <row r="33" spans="1:11" x14ac:dyDescent="0.25">
      <c r="A33" s="364">
        <v>44487</v>
      </c>
      <c r="B33" s="364" t="s">
        <v>22</v>
      </c>
      <c r="C33" s="560" t="s">
        <v>6197</v>
      </c>
      <c r="D33" s="983" t="s">
        <v>6198</v>
      </c>
      <c r="E33" s="560">
        <v>571247226</v>
      </c>
    </row>
    <row r="34" spans="1:11" x14ac:dyDescent="0.25">
      <c r="A34" s="364">
        <v>44518</v>
      </c>
      <c r="B34" s="364" t="s">
        <v>22</v>
      </c>
      <c r="C34" s="560" t="s">
        <v>6197</v>
      </c>
      <c r="D34" s="983" t="s">
        <v>6200</v>
      </c>
      <c r="E34" s="560">
        <v>490797282</v>
      </c>
    </row>
    <row r="35" spans="1:11" x14ac:dyDescent="0.25">
      <c r="A35" s="364">
        <v>44544</v>
      </c>
      <c r="B35" s="364" t="s">
        <v>22</v>
      </c>
      <c r="C35" s="560" t="s">
        <v>6197</v>
      </c>
      <c r="D35" s="983" t="s">
        <v>6206</v>
      </c>
      <c r="E35" s="560">
        <v>482809391</v>
      </c>
    </row>
    <row r="36" spans="1:11" x14ac:dyDescent="0.25">
      <c r="A36" s="364">
        <v>44573</v>
      </c>
      <c r="B36" s="364" t="s">
        <v>22</v>
      </c>
      <c r="C36" s="560" t="s">
        <v>6197</v>
      </c>
      <c r="D36" s="983" t="s">
        <v>6219</v>
      </c>
      <c r="E36" s="560">
        <v>595314905</v>
      </c>
    </row>
    <row r="37" spans="1:11" x14ac:dyDescent="0.25">
      <c r="A37" s="612"/>
      <c r="B37" s="364"/>
      <c r="C37" s="560"/>
      <c r="D37" s="364"/>
      <c r="E37" s="560"/>
    </row>
    <row r="38" spans="1:11" x14ac:dyDescent="0.25">
      <c r="A38" s="1608" t="s">
        <v>6117</v>
      </c>
      <c r="B38" s="1608"/>
      <c r="C38" s="949">
        <f>SUM(C25:C37)</f>
        <v>0</v>
      </c>
      <c r="D38" s="894"/>
      <c r="E38" s="949">
        <f>SUM(E25:E37)</f>
        <v>6065142868</v>
      </c>
    </row>
    <row r="41" spans="1:11" x14ac:dyDescent="0.25">
      <c r="A41" s="1607" t="s">
        <v>6118</v>
      </c>
      <c r="B41" s="1607"/>
      <c r="C41" s="1607"/>
      <c r="D41" s="1607"/>
      <c r="E41" s="1607"/>
    </row>
    <row r="42" spans="1:11" x14ac:dyDescent="0.25">
      <c r="A42" s="1607" t="s">
        <v>6302</v>
      </c>
      <c r="B42" s="1607"/>
      <c r="C42" s="1607"/>
      <c r="D42" s="1607"/>
      <c r="E42" s="1607"/>
    </row>
    <row r="44" spans="1:11" x14ac:dyDescent="0.25">
      <c r="A44" s="1415" t="s">
        <v>114</v>
      </c>
      <c r="B44" s="1415" t="s">
        <v>6187</v>
      </c>
      <c r="C44" s="1415" t="s">
        <v>6188</v>
      </c>
      <c r="D44" s="1415" t="s">
        <v>5341</v>
      </c>
      <c r="E44" s="1415" t="s">
        <v>6117</v>
      </c>
    </row>
    <row r="45" spans="1:11" x14ac:dyDescent="0.25">
      <c r="A45" s="364">
        <v>44676</v>
      </c>
      <c r="B45" s="364" t="s">
        <v>6029</v>
      </c>
      <c r="C45" s="560" t="s">
        <v>6303</v>
      </c>
      <c r="D45" s="983" t="s">
        <v>3473</v>
      </c>
      <c r="E45" s="560">
        <v>375000000</v>
      </c>
      <c r="I45" s="254" t="s">
        <v>6320</v>
      </c>
      <c r="K45" s="254" t="s">
        <v>6321</v>
      </c>
    </row>
    <row r="46" spans="1:11" x14ac:dyDescent="0.25">
      <c r="A46" s="364">
        <v>44676</v>
      </c>
      <c r="B46" s="364" t="s">
        <v>22</v>
      </c>
      <c r="C46" s="560" t="s">
        <v>6197</v>
      </c>
      <c r="D46" s="983" t="s">
        <v>6304</v>
      </c>
      <c r="E46" s="560">
        <v>375000000</v>
      </c>
      <c r="I46" s="254" t="s">
        <v>6319</v>
      </c>
      <c r="K46" s="254" t="s">
        <v>6322</v>
      </c>
    </row>
    <row r="47" spans="1:11" x14ac:dyDescent="0.25">
      <c r="A47" s="364">
        <v>44678</v>
      </c>
      <c r="B47" s="364" t="s">
        <v>6029</v>
      </c>
      <c r="C47" s="560" t="s">
        <v>6303</v>
      </c>
      <c r="D47" s="983" t="s">
        <v>6305</v>
      </c>
      <c r="E47" s="560">
        <v>332528362</v>
      </c>
    </row>
    <row r="48" spans="1:11" x14ac:dyDescent="0.25">
      <c r="A48" s="364">
        <v>44736</v>
      </c>
      <c r="B48" s="364" t="s">
        <v>6029</v>
      </c>
      <c r="C48" s="560" t="s">
        <v>6306</v>
      </c>
      <c r="D48" s="983" t="s">
        <v>6307</v>
      </c>
      <c r="E48" s="560">
        <v>733467465</v>
      </c>
    </row>
    <row r="49" spans="1:9" x14ac:dyDescent="0.25">
      <c r="A49" s="364">
        <v>44736</v>
      </c>
      <c r="B49" s="364" t="s">
        <v>6029</v>
      </c>
      <c r="C49" s="560" t="s">
        <v>6306</v>
      </c>
      <c r="D49" s="983" t="s">
        <v>3485</v>
      </c>
      <c r="E49" s="864">
        <v>579080531</v>
      </c>
    </row>
    <row r="50" spans="1:9" x14ac:dyDescent="0.25">
      <c r="A50" s="364">
        <v>44736</v>
      </c>
      <c r="B50" s="364" t="s">
        <v>6029</v>
      </c>
      <c r="C50" s="560" t="s">
        <v>6306</v>
      </c>
      <c r="D50" s="983" t="s">
        <v>3448</v>
      </c>
      <c r="E50" s="560">
        <v>375049788</v>
      </c>
    </row>
    <row r="51" spans="1:9" x14ac:dyDescent="0.25">
      <c r="A51" s="364">
        <v>44839</v>
      </c>
      <c r="B51" s="364" t="s">
        <v>6029</v>
      </c>
      <c r="C51" s="560" t="s">
        <v>6303</v>
      </c>
      <c r="D51" s="983" t="s">
        <v>6323</v>
      </c>
      <c r="E51" s="560">
        <v>500000000</v>
      </c>
    </row>
    <row r="52" spans="1:9" x14ac:dyDescent="0.25">
      <c r="A52" s="364">
        <v>44839</v>
      </c>
      <c r="B52" s="364" t="s">
        <v>6189</v>
      </c>
      <c r="C52" s="560" t="s">
        <v>6174</v>
      </c>
      <c r="D52" s="983" t="s">
        <v>6324</v>
      </c>
      <c r="E52" s="560">
        <v>500000000</v>
      </c>
      <c r="H52" s="254" t="s">
        <v>3449</v>
      </c>
      <c r="I52" s="463">
        <v>633125209</v>
      </c>
    </row>
    <row r="53" spans="1:9" x14ac:dyDescent="0.25">
      <c r="A53" s="364">
        <v>44840</v>
      </c>
      <c r="B53" s="364" t="s">
        <v>6029</v>
      </c>
      <c r="C53" s="560" t="s">
        <v>6174</v>
      </c>
      <c r="D53" s="983" t="s">
        <v>6325</v>
      </c>
      <c r="E53" s="560">
        <v>500000000</v>
      </c>
      <c r="H53" s="254" t="s">
        <v>3450</v>
      </c>
      <c r="I53" s="463">
        <v>517107806</v>
      </c>
    </row>
    <row r="54" spans="1:9" x14ac:dyDescent="0.25">
      <c r="A54" s="364"/>
      <c r="B54" s="364"/>
      <c r="C54" s="560"/>
      <c r="D54" s="983"/>
      <c r="E54" s="560">
        <v>159446411</v>
      </c>
      <c r="H54" s="254" t="s">
        <v>6332</v>
      </c>
      <c r="I54" s="463">
        <v>509213396</v>
      </c>
    </row>
    <row r="55" spans="1:9" x14ac:dyDescent="0.25">
      <c r="A55" s="364"/>
      <c r="B55" s="364"/>
      <c r="C55" s="560"/>
      <c r="D55" s="983"/>
      <c r="E55" s="560"/>
      <c r="I55" s="463"/>
    </row>
    <row r="56" spans="1:9" x14ac:dyDescent="0.25">
      <c r="A56" s="364"/>
      <c r="B56" s="364"/>
      <c r="C56" s="560"/>
      <c r="D56" s="983"/>
      <c r="E56" s="560"/>
      <c r="I56" s="463"/>
    </row>
    <row r="57" spans="1:9" x14ac:dyDescent="0.25">
      <c r="A57" s="612"/>
      <c r="B57" s="364"/>
      <c r="C57" s="560"/>
      <c r="D57" s="364"/>
      <c r="E57" s="560"/>
      <c r="I57" s="661">
        <f>I52+I53+I54-E51-E52-E53</f>
        <v>159446411</v>
      </c>
    </row>
    <row r="58" spans="1:9" x14ac:dyDescent="0.25">
      <c r="A58" s="1608" t="s">
        <v>6117</v>
      </c>
      <c r="B58" s="1608"/>
      <c r="C58" s="949">
        <f>SUM(C45:C57)</f>
        <v>0</v>
      </c>
      <c r="D58" s="894"/>
      <c r="E58" s="949">
        <f>SUM(E45:E57)</f>
        <v>4429572557</v>
      </c>
    </row>
  </sheetData>
  <mergeCells count="11">
    <mergeCell ref="A2:E2"/>
    <mergeCell ref="A3:E3"/>
    <mergeCell ref="B5:C5"/>
    <mergeCell ref="D5:E5"/>
    <mergeCell ref="A19:B19"/>
    <mergeCell ref="A41:E41"/>
    <mergeCell ref="A42:E42"/>
    <mergeCell ref="A58:B58"/>
    <mergeCell ref="A21:E21"/>
    <mergeCell ref="A22:E22"/>
    <mergeCell ref="A38:B38"/>
  </mergeCell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94"/>
  <sheetViews>
    <sheetView zoomScale="90" zoomScaleNormal="90" workbookViewId="0">
      <pane xSplit="3" ySplit="5" topLeftCell="Y66" activePane="bottomRight" state="frozen"/>
      <selection pane="topRight" activeCell="D1" sqref="D1"/>
      <selection pane="bottomLeft" activeCell="A6" sqref="A6"/>
      <selection pane="bottomRight" activeCell="AM80" sqref="AM80"/>
    </sheetView>
  </sheetViews>
  <sheetFormatPr defaultColWidth="9.140625" defaultRowHeight="11.25" x14ac:dyDescent="0.2"/>
  <cols>
    <col min="1" max="1" width="4.140625" style="317" customWidth="1"/>
    <col min="2" max="2" width="13.7109375" style="317" bestFit="1" customWidth="1"/>
    <col min="3" max="3" width="13.7109375" style="317" customWidth="1"/>
    <col min="4" max="4" width="13.42578125" style="317" bestFit="1" customWidth="1"/>
    <col min="5" max="5" width="9.140625" style="317"/>
    <col min="6" max="7" width="13.28515625" style="317" bestFit="1" customWidth="1"/>
    <col min="8" max="8" width="9.140625" style="317"/>
    <col min="9" max="9" width="13.28515625" style="317" bestFit="1" customWidth="1"/>
    <col min="10" max="10" width="2" style="317" customWidth="1"/>
    <col min="11" max="11" width="15.42578125" style="317" customWidth="1"/>
    <col min="12" max="12" width="9.140625" style="317"/>
    <col min="13" max="13" width="15.140625" style="317" customWidth="1"/>
    <col min="14" max="15" width="9.140625" style="317"/>
    <col min="16" max="16" width="13.28515625" style="317" bestFit="1" customWidth="1"/>
    <col min="17" max="17" width="1.5703125" style="317" customWidth="1"/>
    <col min="18" max="18" width="14.28515625" style="317" customWidth="1"/>
    <col min="19" max="19" width="9.140625" style="317"/>
    <col min="20" max="20" width="10.85546875" style="317" bestFit="1" customWidth="1"/>
    <col min="21" max="22" width="9.140625" style="317"/>
    <col min="23" max="23" width="11.140625" style="318" bestFit="1" customWidth="1"/>
    <col min="24" max="24" width="1.85546875" style="317" customWidth="1"/>
    <col min="25" max="30" width="9.140625" style="317"/>
    <col min="31" max="31" width="1.28515625" style="317" customWidth="1"/>
    <col min="32" max="37" width="9.140625" style="317"/>
    <col min="38" max="38" width="1.7109375" style="317" customWidth="1"/>
    <col min="39" max="44" width="9.140625" style="317"/>
    <col min="45" max="45" width="1.5703125" style="317" customWidth="1"/>
    <col min="46" max="51" width="9.140625" style="317"/>
    <col min="52" max="52" width="1.85546875" style="317" customWidth="1"/>
    <col min="53" max="58" width="9.140625" style="317"/>
    <col min="59" max="59" width="1" style="317" customWidth="1"/>
    <col min="60" max="65" width="9.140625" style="317"/>
    <col min="66" max="66" width="2.140625" style="317" customWidth="1"/>
    <col min="67" max="72" width="9.140625" style="317"/>
    <col min="73" max="73" width="1.28515625" style="317" customWidth="1"/>
    <col min="74" max="79" width="9.140625" style="317"/>
    <col min="80" max="80" width="1.5703125" style="317" customWidth="1"/>
    <col min="81" max="16384" width="9.140625" style="317"/>
  </cols>
  <sheetData>
    <row r="1" spans="1:86" x14ac:dyDescent="0.2">
      <c r="A1" s="317" t="s">
        <v>3472</v>
      </c>
    </row>
    <row r="2" spans="1:86" x14ac:dyDescent="0.2">
      <c r="A2" s="317" t="s">
        <v>3484</v>
      </c>
    </row>
    <row r="3" spans="1:86" x14ac:dyDescent="0.2">
      <c r="A3" s="1611" t="s">
        <v>131</v>
      </c>
      <c r="B3" s="1611" t="s">
        <v>139</v>
      </c>
      <c r="C3" s="1611" t="s">
        <v>3479</v>
      </c>
      <c r="D3" s="1611" t="s">
        <v>3443</v>
      </c>
      <c r="E3" s="1611"/>
      <c r="F3" s="1611"/>
      <c r="G3" s="1611"/>
      <c r="H3" s="1611"/>
      <c r="I3" s="1611" t="s">
        <v>24</v>
      </c>
      <c r="K3" s="1611" t="s">
        <v>3443</v>
      </c>
      <c r="L3" s="1611"/>
      <c r="M3" s="1611"/>
      <c r="N3" s="1611"/>
      <c r="O3" s="1611"/>
      <c r="P3" s="1611" t="s">
        <v>24</v>
      </c>
      <c r="R3" s="1611" t="s">
        <v>3443</v>
      </c>
      <c r="S3" s="1611"/>
      <c r="T3" s="1611"/>
      <c r="U3" s="1611"/>
      <c r="V3" s="1611"/>
      <c r="W3" s="1612" t="s">
        <v>24</v>
      </c>
      <c r="Y3" s="1611" t="s">
        <v>3443</v>
      </c>
      <c r="Z3" s="1611"/>
      <c r="AA3" s="1611"/>
      <c r="AB3" s="1611"/>
      <c r="AC3" s="1611"/>
      <c r="AD3" s="1611" t="s">
        <v>24</v>
      </c>
      <c r="AF3" s="1611" t="s">
        <v>3443</v>
      </c>
      <c r="AG3" s="1611"/>
      <c r="AH3" s="1611"/>
      <c r="AI3" s="1611"/>
      <c r="AJ3" s="1611"/>
      <c r="AK3" s="1611" t="s">
        <v>24</v>
      </c>
      <c r="AM3" s="1611" t="s">
        <v>3443</v>
      </c>
      <c r="AN3" s="1611"/>
      <c r="AO3" s="1611"/>
      <c r="AP3" s="1611"/>
      <c r="AQ3" s="1611"/>
      <c r="AR3" s="1611" t="s">
        <v>24</v>
      </c>
      <c r="AT3" s="1611" t="s">
        <v>3443</v>
      </c>
      <c r="AU3" s="1611"/>
      <c r="AV3" s="1611"/>
      <c r="AW3" s="1611"/>
      <c r="AX3" s="1611"/>
      <c r="AY3" s="1611" t="s">
        <v>24</v>
      </c>
      <c r="BA3" s="1611" t="s">
        <v>3443</v>
      </c>
      <c r="BB3" s="1611"/>
      <c r="BC3" s="1611"/>
      <c r="BD3" s="1611"/>
      <c r="BE3" s="1611"/>
      <c r="BF3" s="1611" t="s">
        <v>24</v>
      </c>
      <c r="BH3" s="1611" t="s">
        <v>3443</v>
      </c>
      <c r="BI3" s="1611"/>
      <c r="BJ3" s="1611"/>
      <c r="BK3" s="1611"/>
      <c r="BL3" s="1611"/>
      <c r="BM3" s="1611" t="s">
        <v>24</v>
      </c>
      <c r="BO3" s="1611" t="s">
        <v>3443</v>
      </c>
      <c r="BP3" s="1611"/>
      <c r="BQ3" s="1611"/>
      <c r="BR3" s="1611"/>
      <c r="BS3" s="1611"/>
      <c r="BT3" s="1611" t="s">
        <v>24</v>
      </c>
      <c r="BV3" s="1611" t="s">
        <v>3443</v>
      </c>
      <c r="BW3" s="1611"/>
      <c r="BX3" s="1611"/>
      <c r="BY3" s="1611"/>
      <c r="BZ3" s="1611"/>
      <c r="CA3" s="1611" t="s">
        <v>24</v>
      </c>
      <c r="CC3" s="1611" t="s">
        <v>3443</v>
      </c>
      <c r="CD3" s="1611"/>
      <c r="CE3" s="1611"/>
      <c r="CF3" s="1611"/>
      <c r="CG3" s="1611"/>
      <c r="CH3" s="1611" t="s">
        <v>24</v>
      </c>
    </row>
    <row r="4" spans="1:86" x14ac:dyDescent="0.2">
      <c r="A4" s="1611"/>
      <c r="B4" s="1611"/>
      <c r="C4" s="1611"/>
      <c r="D4" s="1611" t="s">
        <v>3473</v>
      </c>
      <c r="E4" s="1611"/>
      <c r="F4" s="1611"/>
      <c r="G4" s="1611"/>
      <c r="H4" s="1611"/>
      <c r="I4" s="1611"/>
      <c r="K4" s="1611" t="s">
        <v>3482</v>
      </c>
      <c r="L4" s="1611"/>
      <c r="M4" s="1611"/>
      <c r="N4" s="1611"/>
      <c r="O4" s="1611"/>
      <c r="P4" s="1611"/>
      <c r="R4" s="1611" t="s">
        <v>3483</v>
      </c>
      <c r="S4" s="1611"/>
      <c r="T4" s="1611"/>
      <c r="U4" s="1611"/>
      <c r="V4" s="1611"/>
      <c r="W4" s="1612"/>
      <c r="Y4" s="1611" t="s">
        <v>3485</v>
      </c>
      <c r="Z4" s="1611"/>
      <c r="AA4" s="1611"/>
      <c r="AB4" s="1611"/>
      <c r="AC4" s="1611"/>
      <c r="AD4" s="1611"/>
      <c r="AF4" s="1611" t="s">
        <v>3448</v>
      </c>
      <c r="AG4" s="1611"/>
      <c r="AH4" s="1611"/>
      <c r="AI4" s="1611"/>
      <c r="AJ4" s="1611"/>
      <c r="AK4" s="1611"/>
      <c r="AM4" s="1611" t="s">
        <v>3449</v>
      </c>
      <c r="AN4" s="1611"/>
      <c r="AO4" s="1611"/>
      <c r="AP4" s="1611"/>
      <c r="AQ4" s="1611"/>
      <c r="AR4" s="1611"/>
      <c r="AT4" s="1611" t="s">
        <v>3450</v>
      </c>
      <c r="AU4" s="1611"/>
      <c r="AV4" s="1611"/>
      <c r="AW4" s="1611"/>
      <c r="AX4" s="1611"/>
      <c r="AY4" s="1611"/>
      <c r="BA4" s="1611" t="s">
        <v>3488</v>
      </c>
      <c r="BB4" s="1611"/>
      <c r="BC4" s="1611"/>
      <c r="BD4" s="1611"/>
      <c r="BE4" s="1611"/>
      <c r="BF4" s="1611"/>
      <c r="BH4" s="1611" t="s">
        <v>3487</v>
      </c>
      <c r="BI4" s="1611"/>
      <c r="BJ4" s="1611"/>
      <c r="BK4" s="1611"/>
      <c r="BL4" s="1611"/>
      <c r="BM4" s="1611"/>
      <c r="BO4" s="1611" t="s">
        <v>3486</v>
      </c>
      <c r="BP4" s="1611"/>
      <c r="BQ4" s="1611"/>
      <c r="BR4" s="1611"/>
      <c r="BS4" s="1611"/>
      <c r="BT4" s="1611"/>
      <c r="BV4" s="1611" t="s">
        <v>135</v>
      </c>
      <c r="BW4" s="1611"/>
      <c r="BX4" s="1611"/>
      <c r="BY4" s="1611"/>
      <c r="BZ4" s="1611"/>
      <c r="CA4" s="1611"/>
      <c r="CC4" s="1611" t="s">
        <v>134</v>
      </c>
      <c r="CD4" s="1611"/>
      <c r="CE4" s="1611"/>
      <c r="CF4" s="1611"/>
      <c r="CG4" s="1611"/>
      <c r="CH4" s="1611"/>
    </row>
    <row r="5" spans="1:86" x14ac:dyDescent="0.2">
      <c r="A5" s="1611"/>
      <c r="B5" s="1611"/>
      <c r="C5" s="1611"/>
      <c r="D5" s="1394" t="s">
        <v>3474</v>
      </c>
      <c r="E5" s="1394" t="s">
        <v>3475</v>
      </c>
      <c r="F5" s="1394" t="s">
        <v>3476</v>
      </c>
      <c r="G5" s="1394" t="s">
        <v>3477</v>
      </c>
      <c r="H5" s="1394" t="s">
        <v>3478</v>
      </c>
      <c r="I5" s="1611"/>
      <c r="K5" s="1394" t="s">
        <v>3474</v>
      </c>
      <c r="L5" s="1394" t="s">
        <v>3475</v>
      </c>
      <c r="M5" s="1394" t="s">
        <v>3476</v>
      </c>
      <c r="N5" s="1394" t="s">
        <v>3477</v>
      </c>
      <c r="O5" s="1394" t="s">
        <v>3478</v>
      </c>
      <c r="P5" s="1611"/>
      <c r="R5" s="1394" t="s">
        <v>3474</v>
      </c>
      <c r="S5" s="1394" t="s">
        <v>3475</v>
      </c>
      <c r="T5" s="1394" t="s">
        <v>3476</v>
      </c>
      <c r="U5" s="1394" t="s">
        <v>3477</v>
      </c>
      <c r="V5" s="1394" t="s">
        <v>3478</v>
      </c>
      <c r="W5" s="1612"/>
      <c r="Y5" s="1394" t="s">
        <v>3474</v>
      </c>
      <c r="Z5" s="1394" t="s">
        <v>3475</v>
      </c>
      <c r="AA5" s="1394" t="s">
        <v>3476</v>
      </c>
      <c r="AB5" s="1394" t="s">
        <v>3477</v>
      </c>
      <c r="AC5" s="1394" t="s">
        <v>3478</v>
      </c>
      <c r="AD5" s="1611"/>
      <c r="AF5" s="1394" t="s">
        <v>3474</v>
      </c>
      <c r="AG5" s="1394" t="s">
        <v>3475</v>
      </c>
      <c r="AH5" s="1394" t="s">
        <v>3476</v>
      </c>
      <c r="AI5" s="1394" t="s">
        <v>3477</v>
      </c>
      <c r="AJ5" s="1394" t="s">
        <v>3478</v>
      </c>
      <c r="AK5" s="1611"/>
      <c r="AM5" s="1394" t="s">
        <v>3474</v>
      </c>
      <c r="AN5" s="1394" t="s">
        <v>3475</v>
      </c>
      <c r="AO5" s="1394" t="s">
        <v>3476</v>
      </c>
      <c r="AP5" s="1394" t="s">
        <v>3477</v>
      </c>
      <c r="AQ5" s="1394" t="s">
        <v>3478</v>
      </c>
      <c r="AR5" s="1611"/>
      <c r="AT5" s="1394" t="s">
        <v>3474</v>
      </c>
      <c r="AU5" s="1394" t="s">
        <v>3475</v>
      </c>
      <c r="AV5" s="1394" t="s">
        <v>3476</v>
      </c>
      <c r="AW5" s="1394" t="s">
        <v>3477</v>
      </c>
      <c r="AX5" s="1394" t="s">
        <v>3478</v>
      </c>
      <c r="AY5" s="1611"/>
      <c r="BA5" s="1394" t="s">
        <v>3474</v>
      </c>
      <c r="BB5" s="1394" t="s">
        <v>3475</v>
      </c>
      <c r="BC5" s="1394" t="s">
        <v>3476</v>
      </c>
      <c r="BD5" s="1394" t="s">
        <v>3477</v>
      </c>
      <c r="BE5" s="1394" t="s">
        <v>3478</v>
      </c>
      <c r="BF5" s="1611"/>
      <c r="BH5" s="1394" t="s">
        <v>3474</v>
      </c>
      <c r="BI5" s="1394" t="s">
        <v>3475</v>
      </c>
      <c r="BJ5" s="1394" t="s">
        <v>3476</v>
      </c>
      <c r="BK5" s="1394" t="s">
        <v>3477</v>
      </c>
      <c r="BL5" s="1394" t="s">
        <v>3478</v>
      </c>
      <c r="BM5" s="1611"/>
      <c r="BO5" s="1394" t="s">
        <v>3474</v>
      </c>
      <c r="BP5" s="1394" t="s">
        <v>3475</v>
      </c>
      <c r="BQ5" s="1394" t="s">
        <v>3476</v>
      </c>
      <c r="BR5" s="1394" t="s">
        <v>3477</v>
      </c>
      <c r="BS5" s="1394" t="s">
        <v>3478</v>
      </c>
      <c r="BT5" s="1611"/>
      <c r="BV5" s="1394" t="s">
        <v>3474</v>
      </c>
      <c r="BW5" s="1394" t="s">
        <v>3475</v>
      </c>
      <c r="BX5" s="1394" t="s">
        <v>3476</v>
      </c>
      <c r="BY5" s="1394" t="s">
        <v>3477</v>
      </c>
      <c r="BZ5" s="1394" t="s">
        <v>3478</v>
      </c>
      <c r="CA5" s="1611"/>
      <c r="CC5" s="1394" t="s">
        <v>3474</v>
      </c>
      <c r="CD5" s="1394" t="s">
        <v>3475</v>
      </c>
      <c r="CE5" s="1394" t="s">
        <v>3476</v>
      </c>
      <c r="CF5" s="1394" t="s">
        <v>3477</v>
      </c>
      <c r="CG5" s="1394" t="s">
        <v>3478</v>
      </c>
      <c r="CH5" s="1611"/>
    </row>
    <row r="6" spans="1:86" x14ac:dyDescent="0.2">
      <c r="A6" s="836">
        <v>1</v>
      </c>
      <c r="B6" s="836" t="s">
        <v>80</v>
      </c>
      <c r="C6" s="836" t="s">
        <v>114</v>
      </c>
      <c r="D6" s="1096">
        <v>43917</v>
      </c>
      <c r="E6" s="1096"/>
      <c r="F6" s="1096">
        <v>43917</v>
      </c>
      <c r="G6" s="1096"/>
      <c r="H6" s="1096"/>
      <c r="I6" s="836"/>
      <c r="K6" s="1097">
        <v>43927</v>
      </c>
      <c r="L6" s="1097"/>
      <c r="M6" s="1097">
        <v>43927</v>
      </c>
      <c r="N6" s="1097"/>
      <c r="O6" s="1097"/>
      <c r="P6" s="1098"/>
      <c r="R6" s="1097">
        <v>43938</v>
      </c>
      <c r="S6" s="1097"/>
      <c r="T6" s="1097">
        <v>43938</v>
      </c>
      <c r="U6" s="1097"/>
      <c r="V6" s="1097"/>
      <c r="W6" s="1099"/>
      <c r="Y6" s="1097">
        <v>43948</v>
      </c>
      <c r="Z6" s="1097"/>
      <c r="AA6" s="1097">
        <v>43978</v>
      </c>
      <c r="AB6" s="1097"/>
      <c r="AC6" s="1097"/>
      <c r="AD6" s="951"/>
      <c r="AF6" s="835">
        <v>44004</v>
      </c>
      <c r="AG6" s="836"/>
      <c r="AH6" s="835">
        <v>44004</v>
      </c>
      <c r="AI6" s="836"/>
      <c r="AJ6" s="836"/>
      <c r="AK6" s="836"/>
      <c r="AM6" s="835">
        <v>44018</v>
      </c>
      <c r="AN6" s="836"/>
      <c r="AO6" s="835">
        <v>44032</v>
      </c>
      <c r="AP6" s="836"/>
      <c r="AQ6" s="836"/>
      <c r="AR6" s="836"/>
      <c r="AT6" s="835">
        <v>44046</v>
      </c>
      <c r="AU6" s="836"/>
      <c r="AV6" s="835">
        <v>44067</v>
      </c>
      <c r="AW6" s="836"/>
      <c r="AX6" s="836"/>
      <c r="AY6" s="836"/>
      <c r="BA6" s="835">
        <v>44081</v>
      </c>
      <c r="BB6" s="836"/>
      <c r="BC6" s="835">
        <v>44095</v>
      </c>
      <c r="BD6" s="836"/>
      <c r="BE6" s="836"/>
      <c r="BF6" s="836"/>
      <c r="BH6" s="835">
        <v>44109</v>
      </c>
      <c r="BI6" s="836"/>
      <c r="BJ6" s="836"/>
      <c r="BK6" s="836"/>
      <c r="BL6" s="836"/>
      <c r="BM6" s="836"/>
      <c r="BO6" s="836"/>
      <c r="BP6" s="836"/>
      <c r="BQ6" s="835">
        <v>44158</v>
      </c>
      <c r="BR6" s="836"/>
      <c r="BS6" s="836"/>
      <c r="BT6" s="836"/>
      <c r="BV6" s="835">
        <v>44172</v>
      </c>
      <c r="BW6" s="836"/>
      <c r="BX6" s="835">
        <v>44186</v>
      </c>
      <c r="BY6" s="836"/>
      <c r="BZ6" s="836"/>
      <c r="CA6" s="836"/>
      <c r="CC6" s="835">
        <v>44207</v>
      </c>
      <c r="CD6" s="836"/>
      <c r="CE6" s="835">
        <v>44221</v>
      </c>
      <c r="CF6" s="836"/>
      <c r="CG6" s="836"/>
      <c r="CH6" s="951"/>
    </row>
    <row r="7" spans="1:86" x14ac:dyDescent="0.2">
      <c r="A7" s="836"/>
      <c r="B7" s="836"/>
      <c r="C7" s="836" t="s">
        <v>3480</v>
      </c>
      <c r="D7" s="1100">
        <v>3161594</v>
      </c>
      <c r="E7" s="1100"/>
      <c r="F7" s="1101">
        <v>3336813</v>
      </c>
      <c r="G7" s="1101"/>
      <c r="H7" s="1101"/>
      <c r="I7" s="951">
        <f>SUM(D7:H7)</f>
        <v>6498407</v>
      </c>
      <c r="K7" s="1100">
        <v>3402188</v>
      </c>
      <c r="L7" s="1100"/>
      <c r="M7" s="1101">
        <v>3344600</v>
      </c>
      <c r="N7" s="1101"/>
      <c r="O7" s="1098"/>
      <c r="P7" s="1098">
        <f>SUM(K7:O7)</f>
        <v>6746788</v>
      </c>
      <c r="R7" s="837">
        <v>3074280</v>
      </c>
      <c r="S7" s="837"/>
      <c r="T7" s="1102">
        <v>3366211</v>
      </c>
      <c r="U7" s="1102"/>
      <c r="V7" s="951"/>
      <c r="W7" s="1099">
        <f>SUM(R7:V7)</f>
        <v>6440491</v>
      </c>
      <c r="Y7" s="837">
        <v>3770163</v>
      </c>
      <c r="Z7" s="1103"/>
      <c r="AA7" s="1102">
        <v>3616523</v>
      </c>
      <c r="AB7" s="1104"/>
      <c r="AC7" s="836"/>
      <c r="AD7" s="951">
        <f>SUM(Y7:AC7)</f>
        <v>7386686</v>
      </c>
      <c r="AF7" s="837">
        <v>3645000</v>
      </c>
      <c r="AG7" s="837"/>
      <c r="AH7" s="1102">
        <v>3590297</v>
      </c>
      <c r="AI7" s="1102"/>
      <c r="AJ7" s="951"/>
      <c r="AK7" s="836">
        <f>SUM(AF7:AJ7)</f>
        <v>7235297</v>
      </c>
      <c r="AM7" s="837">
        <v>3246523</v>
      </c>
      <c r="AN7" s="1103"/>
      <c r="AO7" s="1102">
        <v>3019625</v>
      </c>
      <c r="AP7" s="1104"/>
      <c r="AQ7" s="836"/>
      <c r="AR7" s="951">
        <f>SUM(AM7:AQ7)</f>
        <v>6266148</v>
      </c>
      <c r="AT7" s="837">
        <v>3480000</v>
      </c>
      <c r="AU7" s="837"/>
      <c r="AV7" s="1102">
        <v>3183438</v>
      </c>
      <c r="AW7" s="1102"/>
      <c r="AX7" s="951"/>
      <c r="AY7" s="951">
        <f>SUM(AT7:AX7)</f>
        <v>6663438</v>
      </c>
      <c r="BA7" s="837">
        <v>3074589</v>
      </c>
      <c r="BB7" s="837"/>
      <c r="BC7" s="1102">
        <v>3230357</v>
      </c>
      <c r="BD7" s="1102"/>
      <c r="BE7" s="951"/>
      <c r="BF7" s="951">
        <f>SUM(BA7:BE7)</f>
        <v>6304946</v>
      </c>
      <c r="BH7" s="951">
        <v>3095759</v>
      </c>
      <c r="BI7" s="951"/>
      <c r="BJ7" s="951"/>
      <c r="BK7" s="951"/>
      <c r="BL7" s="951"/>
      <c r="BM7" s="951">
        <f>SUM(BH7:BL7)</f>
        <v>3095759</v>
      </c>
      <c r="BO7" s="836"/>
      <c r="BP7" s="836"/>
      <c r="BQ7" s="951">
        <v>3170536</v>
      </c>
      <c r="BR7" s="951"/>
      <c r="BS7" s="951"/>
      <c r="BT7" s="951">
        <f>SUM(BO7:BS7)</f>
        <v>3170536</v>
      </c>
      <c r="BV7" s="951">
        <v>3133571</v>
      </c>
      <c r="BW7" s="951"/>
      <c r="BX7" s="951">
        <v>3162232</v>
      </c>
      <c r="BY7" s="951"/>
      <c r="BZ7" s="951"/>
      <c r="CA7" s="951">
        <f>SUM(BV7:BZ7)</f>
        <v>6295803</v>
      </c>
      <c r="CB7" s="717"/>
      <c r="CC7" s="951">
        <v>2904825</v>
      </c>
      <c r="CD7" s="951"/>
      <c r="CE7" s="951">
        <v>3057706</v>
      </c>
      <c r="CF7" s="836"/>
      <c r="CG7" s="836"/>
      <c r="CH7" s="951">
        <f>SUM(CC7:CG7)</f>
        <v>5962531</v>
      </c>
    </row>
    <row r="8" spans="1:86" x14ac:dyDescent="0.2">
      <c r="A8" s="836">
        <v>2</v>
      </c>
      <c r="B8" s="836" t="s">
        <v>83</v>
      </c>
      <c r="C8" s="836" t="s">
        <v>114</v>
      </c>
      <c r="D8" s="1096">
        <v>43857</v>
      </c>
      <c r="E8" s="1096"/>
      <c r="F8" s="1096">
        <v>43878</v>
      </c>
      <c r="G8" s="1096"/>
      <c r="H8" s="1096"/>
      <c r="I8" s="951"/>
      <c r="K8" s="1097">
        <v>43892</v>
      </c>
      <c r="L8" s="1097"/>
      <c r="M8" s="1097">
        <v>43906</v>
      </c>
      <c r="N8" s="1097"/>
      <c r="O8" s="1097"/>
      <c r="P8" s="1098"/>
      <c r="R8" s="1097">
        <v>43927</v>
      </c>
      <c r="S8" s="1097"/>
      <c r="T8" s="1105" t="s">
        <v>5179</v>
      </c>
      <c r="U8" s="1105"/>
      <c r="V8" s="1097"/>
      <c r="W8" s="1099"/>
      <c r="Y8" s="1097">
        <v>43948</v>
      </c>
      <c r="Z8" s="1097"/>
      <c r="AA8" s="1097">
        <v>43978</v>
      </c>
      <c r="AB8" s="1097"/>
      <c r="AC8" s="1097"/>
      <c r="AD8" s="951"/>
      <c r="AF8" s="1097">
        <v>43990</v>
      </c>
      <c r="AG8" s="1097"/>
      <c r="AH8" s="1097">
        <v>43997</v>
      </c>
      <c r="AI8" s="1097"/>
      <c r="AJ8" s="1097"/>
      <c r="AK8" s="836"/>
      <c r="AM8" s="835">
        <v>44018</v>
      </c>
      <c r="AN8" s="836"/>
      <c r="AO8" s="835">
        <v>44027</v>
      </c>
      <c r="AP8" s="836"/>
      <c r="AQ8" s="836"/>
      <c r="AR8" s="951"/>
      <c r="AT8" s="835">
        <v>44046</v>
      </c>
      <c r="AU8" s="836"/>
      <c r="AV8" s="835">
        <v>44067</v>
      </c>
      <c r="AW8" s="836"/>
      <c r="AX8" s="836"/>
      <c r="AY8" s="836"/>
      <c r="BA8" s="835">
        <v>44081</v>
      </c>
      <c r="BB8" s="836"/>
      <c r="BC8" s="835">
        <v>44095</v>
      </c>
      <c r="BD8" s="836"/>
      <c r="BE8" s="836"/>
      <c r="BF8" s="836"/>
      <c r="BH8" s="835">
        <v>44109</v>
      </c>
      <c r="BI8" s="836"/>
      <c r="BJ8" s="836"/>
      <c r="BK8" s="836"/>
      <c r="BL8" s="836"/>
      <c r="BM8" s="836"/>
      <c r="BO8" s="835">
        <v>44137</v>
      </c>
      <c r="BP8" s="836"/>
      <c r="BQ8" s="835">
        <v>44158</v>
      </c>
      <c r="BR8" s="836"/>
      <c r="BS8" s="836"/>
      <c r="BT8" s="836"/>
      <c r="BV8" s="835">
        <v>44172</v>
      </c>
      <c r="BW8" s="836"/>
      <c r="BX8" s="835">
        <v>44186</v>
      </c>
      <c r="BY8" s="836"/>
      <c r="BZ8" s="836"/>
      <c r="CA8" s="836"/>
      <c r="CC8" s="835">
        <v>44207</v>
      </c>
      <c r="CD8" s="836"/>
      <c r="CE8" s="835">
        <v>44221</v>
      </c>
      <c r="CF8" s="836"/>
      <c r="CG8" s="836"/>
      <c r="CH8" s="951"/>
    </row>
    <row r="9" spans="1:86" x14ac:dyDescent="0.2">
      <c r="A9" s="836"/>
      <c r="B9" s="836"/>
      <c r="C9" s="836" t="s">
        <v>3480</v>
      </c>
      <c r="D9" s="1100">
        <v>3247500</v>
      </c>
      <c r="E9" s="1100"/>
      <c r="F9" s="1101">
        <v>3637500</v>
      </c>
      <c r="G9" s="1101"/>
      <c r="H9" s="1101"/>
      <c r="I9" s="951">
        <f>SUM(D9:H9)</f>
        <v>6885000</v>
      </c>
      <c r="K9" s="1100">
        <v>3634500</v>
      </c>
      <c r="L9" s="1100"/>
      <c r="M9" s="1101">
        <v>3747000</v>
      </c>
      <c r="N9" s="1101"/>
      <c r="O9" s="1106"/>
      <c r="P9" s="1098">
        <f>SUM(K9:O9)</f>
        <v>7381500</v>
      </c>
      <c r="R9" s="1100">
        <v>3405365</v>
      </c>
      <c r="S9" s="1100"/>
      <c r="T9" s="1107"/>
      <c r="U9" s="1107"/>
      <c r="V9" s="836"/>
      <c r="W9" s="1099">
        <f>SUM(R9:V9)</f>
        <v>3405365</v>
      </c>
      <c r="Y9" s="837">
        <v>3429000</v>
      </c>
      <c r="Z9" s="1103"/>
      <c r="AA9" s="1102">
        <v>3603000</v>
      </c>
      <c r="AB9" s="1104"/>
      <c r="AC9" s="1104"/>
      <c r="AD9" s="951">
        <f>SUM(Y9:AC9)</f>
        <v>7032000</v>
      </c>
      <c r="AF9" s="837">
        <v>3336000</v>
      </c>
      <c r="AG9" s="1103"/>
      <c r="AH9" s="1102">
        <v>3447000</v>
      </c>
      <c r="AI9" s="1104"/>
      <c r="AJ9" s="836"/>
      <c r="AK9" s="951">
        <f>SUM(AF9:AJ9)</f>
        <v>6783000</v>
      </c>
      <c r="AM9" s="837">
        <v>3049500</v>
      </c>
      <c r="AN9" s="1103"/>
      <c r="AO9" s="1102">
        <v>3348000</v>
      </c>
      <c r="AP9" s="1104"/>
      <c r="AQ9" s="836"/>
      <c r="AR9" s="951">
        <f>SUM(AM9:AQ9)</f>
        <v>6397500</v>
      </c>
      <c r="AT9" s="837">
        <v>3400500</v>
      </c>
      <c r="AU9" s="837"/>
      <c r="AV9" s="1102">
        <v>3727500</v>
      </c>
      <c r="AW9" s="1102"/>
      <c r="AX9" s="951"/>
      <c r="AY9" s="951">
        <f>SUM(AT9:AX9)</f>
        <v>7128000</v>
      </c>
      <c r="BA9" s="837">
        <v>3618000</v>
      </c>
      <c r="BB9" s="837"/>
      <c r="BC9" s="1102">
        <v>3607500</v>
      </c>
      <c r="BD9" s="1102"/>
      <c r="BE9" s="951"/>
      <c r="BF9" s="951">
        <f>SUM(BA9:BE9)</f>
        <v>7225500</v>
      </c>
      <c r="BH9" s="951">
        <v>3900000</v>
      </c>
      <c r="BI9" s="951"/>
      <c r="BJ9" s="951"/>
      <c r="BK9" s="951"/>
      <c r="BL9" s="951"/>
      <c r="BM9" s="951">
        <f>SUM(BH9:BL9)</f>
        <v>3900000</v>
      </c>
      <c r="BO9" s="951">
        <v>4002000</v>
      </c>
      <c r="BP9" s="951"/>
      <c r="BQ9" s="951">
        <v>3843000</v>
      </c>
      <c r="BR9" s="951"/>
      <c r="BS9" s="951"/>
      <c r="BT9" s="951">
        <f>SUM(BO9:BS9)</f>
        <v>7845000</v>
      </c>
      <c r="BV9" s="951">
        <v>19340419</v>
      </c>
      <c r="BW9" s="951"/>
      <c r="BX9" s="951">
        <v>3910500</v>
      </c>
      <c r="BY9" s="951"/>
      <c r="BZ9" s="951"/>
      <c r="CA9" s="951">
        <f>SUM(BV9:BZ9)</f>
        <v>23250919</v>
      </c>
      <c r="CB9" s="717"/>
      <c r="CC9" s="951">
        <v>3825000</v>
      </c>
      <c r="CD9" s="836"/>
      <c r="CE9" s="951">
        <v>4326000</v>
      </c>
      <c r="CF9" s="836"/>
      <c r="CG9" s="836"/>
      <c r="CH9" s="951">
        <f>SUM(CC9:CG9)</f>
        <v>8151000</v>
      </c>
    </row>
    <row r="10" spans="1:86" x14ac:dyDescent="0.2">
      <c r="A10" s="836">
        <v>3</v>
      </c>
      <c r="B10" s="836" t="s">
        <v>88</v>
      </c>
      <c r="C10" s="836" t="s">
        <v>114</v>
      </c>
      <c r="D10" s="1096">
        <v>43871</v>
      </c>
      <c r="E10" s="1096"/>
      <c r="F10" s="1096"/>
      <c r="G10" s="1096">
        <v>43878</v>
      </c>
      <c r="H10" s="1096"/>
      <c r="I10" s="951"/>
      <c r="K10" s="1097">
        <v>43906</v>
      </c>
      <c r="L10" s="1097"/>
      <c r="M10" s="1097">
        <v>43920</v>
      </c>
      <c r="N10" s="1097"/>
      <c r="O10" s="1097"/>
      <c r="P10" s="1098"/>
      <c r="R10" s="1097">
        <v>43920</v>
      </c>
      <c r="S10" s="1097"/>
      <c r="T10" s="1097">
        <v>43941</v>
      </c>
      <c r="U10" s="1097"/>
      <c r="V10" s="1097"/>
      <c r="W10" s="1099"/>
      <c r="Y10" s="1097">
        <v>43948</v>
      </c>
      <c r="Z10" s="1097"/>
      <c r="AA10" s="1097">
        <v>43978</v>
      </c>
      <c r="AB10" s="1097"/>
      <c r="AC10" s="1097"/>
      <c r="AD10" s="951"/>
      <c r="AF10" s="835">
        <v>44004</v>
      </c>
      <c r="AG10" s="836"/>
      <c r="AH10" s="835">
        <v>44004</v>
      </c>
      <c r="AI10" s="836"/>
      <c r="AJ10" s="836"/>
      <c r="AK10" s="951"/>
      <c r="AM10" s="835">
        <v>44018</v>
      </c>
      <c r="AN10" s="836"/>
      <c r="AO10" s="835">
        <v>44032</v>
      </c>
      <c r="AP10" s="836"/>
      <c r="AQ10" s="836"/>
      <c r="AR10" s="951"/>
      <c r="AT10" s="835">
        <v>44046</v>
      </c>
      <c r="AU10" s="836"/>
      <c r="AV10" s="835">
        <v>44067</v>
      </c>
      <c r="AW10" s="836"/>
      <c r="AX10" s="836"/>
      <c r="AY10" s="836"/>
      <c r="BA10" s="835">
        <v>44081</v>
      </c>
      <c r="BB10" s="836"/>
      <c r="BC10" s="835">
        <v>44095</v>
      </c>
      <c r="BD10" s="836"/>
      <c r="BE10" s="836"/>
      <c r="BF10" s="836"/>
      <c r="BH10" s="835">
        <v>44109</v>
      </c>
      <c r="BI10" s="836"/>
      <c r="BJ10" s="836"/>
      <c r="BK10" s="836"/>
      <c r="BL10" s="836"/>
      <c r="BM10" s="836"/>
      <c r="BO10" s="835">
        <v>44137</v>
      </c>
      <c r="BP10" s="836"/>
      <c r="BQ10" s="835">
        <v>44158</v>
      </c>
      <c r="BR10" s="836"/>
      <c r="BS10" s="836"/>
      <c r="BT10" s="836"/>
      <c r="BV10" s="835">
        <v>44172</v>
      </c>
      <c r="BW10" s="836"/>
      <c r="BX10" s="835">
        <v>44186</v>
      </c>
      <c r="BY10" s="836"/>
      <c r="BZ10" s="836"/>
      <c r="CA10" s="836"/>
      <c r="CC10" s="835">
        <v>44207</v>
      </c>
      <c r="CD10" s="836"/>
      <c r="CE10" s="835">
        <v>44221</v>
      </c>
      <c r="CF10" s="836"/>
      <c r="CG10" s="836"/>
      <c r="CH10" s="951"/>
    </row>
    <row r="11" spans="1:86" x14ac:dyDescent="0.2">
      <c r="A11" s="836"/>
      <c r="B11" s="836"/>
      <c r="C11" s="836" t="s">
        <v>3480</v>
      </c>
      <c r="D11" s="1100">
        <v>1787721</v>
      </c>
      <c r="E11" s="1100"/>
      <c r="F11" s="1100"/>
      <c r="G11" s="1101">
        <v>1689000</v>
      </c>
      <c r="H11" s="1101"/>
      <c r="I11" s="951">
        <f>SUM(D11:H11)</f>
        <v>3476721</v>
      </c>
      <c r="K11" s="1100">
        <v>1597500</v>
      </c>
      <c r="L11" s="1100"/>
      <c r="M11" s="1101">
        <v>1647387</v>
      </c>
      <c r="N11" s="1101"/>
      <c r="O11" s="1098"/>
      <c r="P11" s="1098">
        <f>SUM(K11:O11)</f>
        <v>3244887</v>
      </c>
      <c r="R11" s="1100">
        <v>1644225</v>
      </c>
      <c r="S11" s="1100"/>
      <c r="T11" s="1101">
        <v>1825090</v>
      </c>
      <c r="U11" s="1101"/>
      <c r="V11" s="1098"/>
      <c r="W11" s="1099">
        <f>SUM(R11:V11)</f>
        <v>3469315</v>
      </c>
      <c r="Y11" s="837">
        <v>1926000</v>
      </c>
      <c r="Z11" s="1103"/>
      <c r="AA11" s="1102">
        <v>1938000</v>
      </c>
      <c r="AB11" s="1104"/>
      <c r="AC11" s="1104"/>
      <c r="AD11" s="951">
        <f>SUM(Y11:AC11)</f>
        <v>3864000</v>
      </c>
      <c r="AF11" s="837">
        <v>1982838</v>
      </c>
      <c r="AG11" s="837"/>
      <c r="AH11" s="1102">
        <v>1694263</v>
      </c>
      <c r="AI11" s="1108"/>
      <c r="AJ11" s="951"/>
      <c r="AK11" s="951">
        <f>SUM(AF11:AJ11)</f>
        <v>3677101</v>
      </c>
      <c r="AM11" s="837">
        <v>1240643</v>
      </c>
      <c r="AN11" s="1103"/>
      <c r="AO11" s="1102">
        <v>2049000</v>
      </c>
      <c r="AP11" s="1104"/>
      <c r="AQ11" s="836"/>
      <c r="AR11" s="951">
        <f>SUM(AM11:AQ11)</f>
        <v>3289643</v>
      </c>
      <c r="AT11" s="837">
        <v>1823646</v>
      </c>
      <c r="AU11" s="837"/>
      <c r="AV11" s="1102">
        <v>2095714</v>
      </c>
      <c r="AW11" s="1102"/>
      <c r="AX11" s="951"/>
      <c r="AY11" s="951">
        <f>SUM(AT11:AX11)</f>
        <v>3919360</v>
      </c>
      <c r="BA11" s="837">
        <v>1533000</v>
      </c>
      <c r="BB11" s="837"/>
      <c r="BC11" s="1102">
        <v>1995821</v>
      </c>
      <c r="BD11" s="1102"/>
      <c r="BE11" s="951"/>
      <c r="BF11" s="951">
        <f>SUM(BA11:BE11)</f>
        <v>3528821</v>
      </c>
      <c r="BH11" s="951">
        <v>1920000</v>
      </c>
      <c r="BI11" s="951"/>
      <c r="BJ11" s="951"/>
      <c r="BK11" s="951"/>
      <c r="BL11" s="951"/>
      <c r="BM11" s="951">
        <f>SUM(BH11:BL11)</f>
        <v>1920000</v>
      </c>
      <c r="BO11" s="951">
        <v>1950000</v>
      </c>
      <c r="BP11" s="951"/>
      <c r="BQ11" s="951">
        <v>2166900</v>
      </c>
      <c r="BR11" s="951"/>
      <c r="BS11" s="951"/>
      <c r="BT11" s="951">
        <f>SUM(BO11:BS11)</f>
        <v>4116900</v>
      </c>
      <c r="BV11" s="951">
        <v>2147196</v>
      </c>
      <c r="BW11" s="951"/>
      <c r="BX11" s="951">
        <v>2216725</v>
      </c>
      <c r="BY11" s="951"/>
      <c r="BZ11" s="951"/>
      <c r="CA11" s="951">
        <f>SUM(BV11:BZ11)</f>
        <v>4363921</v>
      </c>
      <c r="CB11" s="717"/>
      <c r="CC11" s="951">
        <v>2030006</v>
      </c>
      <c r="CD11" s="951"/>
      <c r="CE11" s="951">
        <v>1941100</v>
      </c>
      <c r="CF11" s="836"/>
      <c r="CG11" s="836"/>
      <c r="CH11" s="951">
        <f>SUM(CC11:CG11)</f>
        <v>3971106</v>
      </c>
    </row>
    <row r="12" spans="1:86" x14ac:dyDescent="0.2">
      <c r="A12" s="836">
        <v>4</v>
      </c>
      <c r="B12" s="836" t="s">
        <v>82</v>
      </c>
      <c r="C12" s="836" t="s">
        <v>114</v>
      </c>
      <c r="D12" s="1096">
        <v>43906</v>
      </c>
      <c r="E12" s="1096"/>
      <c r="F12" s="1096">
        <v>43906</v>
      </c>
      <c r="G12" s="1096"/>
      <c r="H12" s="1096"/>
      <c r="I12" s="951"/>
      <c r="K12" s="1097">
        <v>43906</v>
      </c>
      <c r="L12" s="1097"/>
      <c r="M12" s="1097">
        <v>43927</v>
      </c>
      <c r="N12" s="1097"/>
      <c r="O12" s="1097"/>
      <c r="P12" s="1098"/>
      <c r="R12" s="1109"/>
      <c r="S12" s="1109"/>
      <c r="T12" s="1097">
        <v>43941</v>
      </c>
      <c r="U12" s="1097"/>
      <c r="V12" s="1097"/>
      <c r="W12" s="1099"/>
      <c r="Y12" s="1097">
        <v>43955</v>
      </c>
      <c r="Z12" s="1097"/>
      <c r="AA12" s="1097">
        <v>43978</v>
      </c>
      <c r="AB12" s="1097"/>
      <c r="AC12" s="1097"/>
      <c r="AD12" s="951"/>
      <c r="AF12" s="1097">
        <v>43990</v>
      </c>
      <c r="AG12" s="1097"/>
      <c r="AH12" s="677">
        <v>44004</v>
      </c>
      <c r="AI12" s="1097"/>
      <c r="AJ12" s="1097"/>
      <c r="AK12" s="951"/>
      <c r="AM12" s="835">
        <v>44018</v>
      </c>
      <c r="AN12" s="836"/>
      <c r="AO12" s="835">
        <v>44032</v>
      </c>
      <c r="AP12" s="836"/>
      <c r="AQ12" s="836"/>
      <c r="AR12" s="951"/>
      <c r="AT12" s="835">
        <v>44046</v>
      </c>
      <c r="AU12" s="836"/>
      <c r="AV12" s="835">
        <v>44067</v>
      </c>
      <c r="AW12" s="836"/>
      <c r="AX12" s="836"/>
      <c r="AY12" s="836"/>
      <c r="BA12" s="835">
        <v>44081</v>
      </c>
      <c r="BB12" s="836"/>
      <c r="BC12" s="835">
        <v>44095</v>
      </c>
      <c r="BD12" s="836"/>
      <c r="BE12" s="836"/>
      <c r="BF12" s="836"/>
      <c r="BH12" s="835">
        <v>44109</v>
      </c>
      <c r="BI12" s="836"/>
      <c r="BJ12" s="836"/>
      <c r="BK12" s="836"/>
      <c r="BL12" s="836"/>
      <c r="BM12" s="836"/>
      <c r="BO12" s="835">
        <v>44137</v>
      </c>
      <c r="BP12" s="836"/>
      <c r="BQ12" s="835">
        <v>44158</v>
      </c>
      <c r="BR12" s="836"/>
      <c r="BS12" s="836"/>
      <c r="BT12" s="836"/>
      <c r="BV12" s="835">
        <v>44172</v>
      </c>
      <c r="BW12" s="836"/>
      <c r="BX12" s="835">
        <v>44186</v>
      </c>
      <c r="BY12" s="836"/>
      <c r="BZ12" s="836"/>
      <c r="CA12" s="836"/>
      <c r="CC12" s="835">
        <v>44207</v>
      </c>
      <c r="CD12" s="836"/>
      <c r="CE12" s="835">
        <v>44221</v>
      </c>
      <c r="CF12" s="836"/>
      <c r="CG12" s="836"/>
      <c r="CH12" s="951"/>
    </row>
    <row r="13" spans="1:86" x14ac:dyDescent="0.2">
      <c r="A13" s="836"/>
      <c r="B13" s="836"/>
      <c r="C13" s="836" t="s">
        <v>3480</v>
      </c>
      <c r="D13" s="1100">
        <v>1482000</v>
      </c>
      <c r="E13" s="1100"/>
      <c r="F13" s="1101">
        <v>1920000</v>
      </c>
      <c r="G13" s="1101"/>
      <c r="H13" s="1098"/>
      <c r="I13" s="951">
        <f>SUM(D13:H13)</f>
        <v>3402000</v>
      </c>
      <c r="K13" s="1100">
        <v>1680000</v>
      </c>
      <c r="L13" s="1100"/>
      <c r="M13" s="1101">
        <v>1566000</v>
      </c>
      <c r="N13" s="1101"/>
      <c r="O13" s="1098"/>
      <c r="P13" s="1098">
        <f>SUM(K13:O13)</f>
        <v>3246000</v>
      </c>
      <c r="R13" s="1110"/>
      <c r="S13" s="1110"/>
      <c r="T13" s="1102">
        <v>1633772</v>
      </c>
      <c r="U13" s="1104"/>
      <c r="V13" s="836"/>
      <c r="W13" s="1099">
        <f>SUM(R13:V13)</f>
        <v>1633772</v>
      </c>
      <c r="Y13" s="837">
        <v>1596000</v>
      </c>
      <c r="Z13" s="1103"/>
      <c r="AA13" s="1102">
        <v>1692000</v>
      </c>
      <c r="AB13" s="1104"/>
      <c r="AC13" s="836"/>
      <c r="AD13" s="951">
        <f>SUM(Y13:AC13)</f>
        <v>3288000</v>
      </c>
      <c r="AF13" s="837">
        <v>1647000</v>
      </c>
      <c r="AG13" s="1103"/>
      <c r="AH13" s="1102">
        <v>861000</v>
      </c>
      <c r="AI13" s="1102"/>
      <c r="AJ13" s="836"/>
      <c r="AK13" s="951">
        <f>SUM(AF13:AJ13)</f>
        <v>2508000</v>
      </c>
      <c r="AM13" s="837">
        <v>1620667</v>
      </c>
      <c r="AN13" s="1103"/>
      <c r="AO13" s="1102">
        <v>1692000</v>
      </c>
      <c r="AP13" s="1104"/>
      <c r="AQ13" s="836"/>
      <c r="AR13" s="951">
        <f>SUM(AM13:AQ13)</f>
        <v>3312667</v>
      </c>
      <c r="AT13" s="837">
        <v>1518000</v>
      </c>
      <c r="AU13" s="837"/>
      <c r="AV13" s="1102">
        <v>1866000</v>
      </c>
      <c r="AW13" s="1102"/>
      <c r="AX13" s="951"/>
      <c r="AY13" s="951">
        <f>SUM(AT13:AX13)</f>
        <v>3384000</v>
      </c>
      <c r="BA13" s="837">
        <v>1668000</v>
      </c>
      <c r="BB13" s="837"/>
      <c r="BC13" s="1102">
        <v>1692000</v>
      </c>
      <c r="BD13" s="1102"/>
      <c r="BE13" s="951"/>
      <c r="BF13" s="951">
        <f>SUM(BA13:BE13)</f>
        <v>3360000</v>
      </c>
      <c r="BH13" s="951">
        <v>1751333</v>
      </c>
      <c r="BI13" s="951"/>
      <c r="BJ13" s="951"/>
      <c r="BK13" s="951"/>
      <c r="BL13" s="951"/>
      <c r="BM13" s="951">
        <f>SUM(BH13:BL13)</f>
        <v>1751333</v>
      </c>
      <c r="BO13" s="951">
        <v>1594500</v>
      </c>
      <c r="BP13" s="951"/>
      <c r="BQ13" s="951">
        <v>1734000</v>
      </c>
      <c r="BR13" s="951"/>
      <c r="BS13" s="951"/>
      <c r="BT13" s="951">
        <f>SUM(BO13:BS13)</f>
        <v>3328500</v>
      </c>
      <c r="BV13" s="951">
        <v>1505350</v>
      </c>
      <c r="BW13" s="951"/>
      <c r="BX13" s="951">
        <v>1740000</v>
      </c>
      <c r="BY13" s="951"/>
      <c r="BZ13" s="951"/>
      <c r="CA13" s="951">
        <f>SUM(BV13:BZ13)</f>
        <v>3245350</v>
      </c>
      <c r="CB13" s="717"/>
      <c r="CC13" s="951">
        <v>1692167</v>
      </c>
      <c r="CD13" s="951"/>
      <c r="CE13" s="951">
        <v>1902000</v>
      </c>
      <c r="CF13" s="951"/>
      <c r="CG13" s="836"/>
      <c r="CH13" s="951">
        <f>SUM(CC13:CG13)</f>
        <v>3594167</v>
      </c>
    </row>
    <row r="14" spans="1:86" x14ac:dyDescent="0.2">
      <c r="A14" s="836">
        <v>5</v>
      </c>
      <c r="B14" s="836" t="s">
        <v>86</v>
      </c>
      <c r="C14" s="836" t="s">
        <v>114</v>
      </c>
      <c r="D14" s="1096">
        <v>43864</v>
      </c>
      <c r="E14" s="1096"/>
      <c r="F14" s="1096">
        <v>43892</v>
      </c>
      <c r="G14" s="1096"/>
      <c r="H14" s="1096"/>
      <c r="I14" s="951"/>
      <c r="K14" s="1097">
        <v>43920</v>
      </c>
      <c r="L14" s="1097"/>
      <c r="M14" s="1097">
        <v>43927</v>
      </c>
      <c r="N14" s="1097"/>
      <c r="O14" s="1097"/>
      <c r="P14" s="1098"/>
      <c r="R14" s="1097">
        <v>43927</v>
      </c>
      <c r="S14" s="836"/>
      <c r="T14" s="1107" t="s">
        <v>5180</v>
      </c>
      <c r="U14" s="1107"/>
      <c r="V14" s="836"/>
      <c r="W14" s="1099"/>
      <c r="Y14" s="1097">
        <v>43955</v>
      </c>
      <c r="Z14" s="1097"/>
      <c r="AA14" s="1097">
        <v>43978</v>
      </c>
      <c r="AB14" s="1097"/>
      <c r="AC14" s="1097"/>
      <c r="AD14" s="951"/>
      <c r="AF14" s="835">
        <v>44004</v>
      </c>
      <c r="AG14" s="836"/>
      <c r="AH14" s="835">
        <v>44004</v>
      </c>
      <c r="AI14" s="836"/>
      <c r="AJ14" s="836"/>
      <c r="AK14" s="951"/>
      <c r="AM14" s="835">
        <v>44018</v>
      </c>
      <c r="AN14" s="836"/>
      <c r="AO14" s="835">
        <v>44032</v>
      </c>
      <c r="AP14" s="836"/>
      <c r="AQ14" s="836"/>
      <c r="AR14" s="951"/>
      <c r="AT14" s="835">
        <v>44046</v>
      </c>
      <c r="AU14" s="836"/>
      <c r="AV14" s="835">
        <v>44067</v>
      </c>
      <c r="AW14" s="836"/>
      <c r="AX14" s="836"/>
      <c r="AY14" s="836"/>
      <c r="BA14" s="835">
        <v>44081</v>
      </c>
      <c r="BB14" s="836"/>
      <c r="BC14" s="835">
        <v>44095</v>
      </c>
      <c r="BD14" s="836"/>
      <c r="BE14" s="836"/>
      <c r="BF14" s="836"/>
      <c r="BH14" s="835">
        <v>44109</v>
      </c>
      <c r="BI14" s="836"/>
      <c r="BJ14" s="835">
        <v>44123</v>
      </c>
      <c r="BK14" s="836"/>
      <c r="BL14" s="836"/>
      <c r="BM14" s="836"/>
      <c r="BO14" s="835">
        <v>44137</v>
      </c>
      <c r="BP14" s="836"/>
      <c r="BQ14" s="835">
        <v>44158</v>
      </c>
      <c r="BR14" s="836"/>
      <c r="BS14" s="836"/>
      <c r="BT14" s="836"/>
      <c r="BV14" s="835">
        <v>44172</v>
      </c>
      <c r="BW14" s="836"/>
      <c r="BX14" s="835">
        <v>44186</v>
      </c>
      <c r="BY14" s="836"/>
      <c r="BZ14" s="836"/>
      <c r="CA14" s="836"/>
      <c r="CC14" s="835">
        <v>44207</v>
      </c>
      <c r="CD14" s="836"/>
      <c r="CE14" s="835">
        <v>44221</v>
      </c>
      <c r="CF14" s="836"/>
      <c r="CG14" s="836"/>
      <c r="CH14" s="951"/>
    </row>
    <row r="15" spans="1:86" x14ac:dyDescent="0.2">
      <c r="A15" s="836"/>
      <c r="B15" s="836"/>
      <c r="C15" s="836" t="s">
        <v>3480</v>
      </c>
      <c r="D15" s="1100">
        <v>865800</v>
      </c>
      <c r="E15" s="1100"/>
      <c r="F15" s="1101">
        <v>1153319</v>
      </c>
      <c r="G15" s="1101"/>
      <c r="H15" s="1101"/>
      <c r="I15" s="951">
        <f>SUM(D15:H15)</f>
        <v>2019119</v>
      </c>
      <c r="K15" s="1100">
        <v>1234500</v>
      </c>
      <c r="L15" s="1100"/>
      <c r="M15" s="1101">
        <v>1176000</v>
      </c>
      <c r="N15" s="1101"/>
      <c r="O15" s="1098"/>
      <c r="P15" s="1098">
        <f>SUM(K15:O15)</f>
        <v>2410500</v>
      </c>
      <c r="R15" s="1100">
        <v>1248875</v>
      </c>
      <c r="S15" s="1100"/>
      <c r="T15" s="1107"/>
      <c r="U15" s="1107"/>
      <c r="V15" s="836"/>
      <c r="W15" s="1099">
        <f>SUM(R15:V15)</f>
        <v>1248875</v>
      </c>
      <c r="Y15" s="837">
        <v>1458000</v>
      </c>
      <c r="Z15" s="1103"/>
      <c r="AA15" s="1102">
        <v>1324383</v>
      </c>
      <c r="AB15" s="1104"/>
      <c r="AC15" s="1104"/>
      <c r="AD15" s="951">
        <f>SUM(Y15:AC15)</f>
        <v>2782383</v>
      </c>
      <c r="AF15" s="837">
        <v>1036938</v>
      </c>
      <c r="AG15" s="837"/>
      <c r="AH15" s="1102">
        <v>1188688</v>
      </c>
      <c r="AI15" s="1102"/>
      <c r="AJ15" s="951"/>
      <c r="AK15" s="951">
        <f>SUM(AF15:AJ15)</f>
        <v>2225626</v>
      </c>
      <c r="AM15" s="837">
        <v>1264656</v>
      </c>
      <c r="AN15" s="1103"/>
      <c r="AO15" s="1102">
        <v>1275042</v>
      </c>
      <c r="AP15" s="1104"/>
      <c r="AQ15" s="836"/>
      <c r="AR15" s="951">
        <f>SUM(AM15:AQ15)</f>
        <v>2539698</v>
      </c>
      <c r="AT15" s="837">
        <v>1074713</v>
      </c>
      <c r="AU15" s="837"/>
      <c r="AV15" s="1102">
        <v>1480689</v>
      </c>
      <c r="AW15" s="1102"/>
      <c r="AX15" s="951"/>
      <c r="AY15" s="951">
        <f>SUM(AT15:AX15)</f>
        <v>2555402</v>
      </c>
      <c r="BA15" s="837">
        <v>1322951</v>
      </c>
      <c r="BB15" s="837"/>
      <c r="BC15" s="1102">
        <v>1523456</v>
      </c>
      <c r="BD15" s="1102"/>
      <c r="BE15" s="951"/>
      <c r="BF15" s="951">
        <f>SUM(BA15:BE15)</f>
        <v>2846407</v>
      </c>
      <c r="BH15" s="837">
        <v>1476416</v>
      </c>
      <c r="BI15" s="837"/>
      <c r="BJ15" s="1102">
        <v>1617750</v>
      </c>
      <c r="BK15" s="1102"/>
      <c r="BL15" s="951"/>
      <c r="BM15" s="951">
        <f>SUM(BH15:BL15)</f>
        <v>3094166</v>
      </c>
      <c r="BO15" s="951">
        <v>1374146</v>
      </c>
      <c r="BP15" s="951"/>
      <c r="BQ15" s="951">
        <v>1608900</v>
      </c>
      <c r="BR15" s="951"/>
      <c r="BS15" s="951"/>
      <c r="BT15" s="951">
        <f>SUM(BO15:BS15)</f>
        <v>2983046</v>
      </c>
      <c r="BV15" s="951">
        <v>1097156</v>
      </c>
      <c r="BW15" s="951"/>
      <c r="BX15" s="951">
        <v>1523542</v>
      </c>
      <c r="BY15" s="951"/>
      <c r="BZ15" s="951"/>
      <c r="CA15" s="951">
        <f>SUM(BV15:BZ15)</f>
        <v>2620698</v>
      </c>
      <c r="CB15" s="717"/>
      <c r="CC15" s="951">
        <v>1350021</v>
      </c>
      <c r="CD15" s="951"/>
      <c r="CE15" s="951">
        <v>1362083</v>
      </c>
      <c r="CF15" s="836"/>
      <c r="CG15" s="836"/>
      <c r="CH15" s="951">
        <f>SUM(CC15:CG15)</f>
        <v>2712104</v>
      </c>
    </row>
    <row r="16" spans="1:86" x14ac:dyDescent="0.2">
      <c r="A16" s="836">
        <v>6</v>
      </c>
      <c r="B16" s="836" t="s">
        <v>87</v>
      </c>
      <c r="C16" s="836" t="s">
        <v>114</v>
      </c>
      <c r="D16" s="1096">
        <v>43871</v>
      </c>
      <c r="E16" s="1096"/>
      <c r="F16" s="1096">
        <v>43920</v>
      </c>
      <c r="G16" s="1096"/>
      <c r="H16" s="1096"/>
      <c r="I16" s="951"/>
      <c r="K16" s="1097">
        <v>43927</v>
      </c>
      <c r="L16" s="1097"/>
      <c r="M16" s="1105" t="s">
        <v>5179</v>
      </c>
      <c r="N16" s="1105"/>
      <c r="O16" s="1097"/>
      <c r="P16" s="1098"/>
      <c r="R16" s="1111">
        <v>44004</v>
      </c>
      <c r="S16" s="1112"/>
      <c r="T16" s="1111">
        <v>44004</v>
      </c>
      <c r="U16" s="1112"/>
      <c r="V16" s="836"/>
      <c r="W16" s="1099"/>
      <c r="Y16" s="1097">
        <v>43978</v>
      </c>
      <c r="Z16" s="1097"/>
      <c r="AA16" s="1097">
        <v>43990</v>
      </c>
      <c r="AB16" s="1097"/>
      <c r="AC16" s="1097"/>
      <c r="AD16" s="951"/>
      <c r="AF16" s="835">
        <v>44004</v>
      </c>
      <c r="AG16" s="836"/>
      <c r="AH16" s="835">
        <v>44004</v>
      </c>
      <c r="AI16" s="836"/>
      <c r="AJ16" s="836"/>
      <c r="AK16" s="951"/>
      <c r="AM16" s="835">
        <v>44018</v>
      </c>
      <c r="AN16" s="836"/>
      <c r="AO16" s="835">
        <v>44039</v>
      </c>
      <c r="AP16" s="836"/>
      <c r="AQ16" s="836"/>
      <c r="AR16" s="951"/>
      <c r="AT16" s="1113">
        <v>44067</v>
      </c>
      <c r="AU16" s="1103"/>
      <c r="AV16" s="1114">
        <v>44067</v>
      </c>
      <c r="AW16" s="1115"/>
      <c r="AX16" s="836"/>
      <c r="AY16" s="836"/>
      <c r="BA16" s="835">
        <v>44081</v>
      </c>
      <c r="BB16" s="836"/>
      <c r="BC16" s="835">
        <v>44095</v>
      </c>
      <c r="BD16" s="836"/>
      <c r="BE16" s="836"/>
      <c r="BF16" s="836"/>
      <c r="BH16" s="835">
        <v>44109</v>
      </c>
      <c r="BI16" s="836"/>
      <c r="BJ16" s="836"/>
      <c r="BK16" s="836"/>
      <c r="BL16" s="836"/>
      <c r="BM16" s="836"/>
      <c r="BO16" s="835">
        <v>44137</v>
      </c>
      <c r="BP16" s="836"/>
      <c r="BQ16" s="835">
        <v>44158</v>
      </c>
      <c r="BR16" s="836"/>
      <c r="BS16" s="836"/>
      <c r="BT16" s="836"/>
      <c r="BV16" s="835">
        <v>44172</v>
      </c>
      <c r="BW16" s="836"/>
      <c r="BX16" s="835">
        <v>44186</v>
      </c>
      <c r="BY16" s="836"/>
      <c r="BZ16" s="836"/>
      <c r="CA16" s="836"/>
      <c r="CC16" s="835">
        <v>44207</v>
      </c>
      <c r="CD16" s="836"/>
      <c r="CE16" s="835">
        <v>44221</v>
      </c>
      <c r="CF16" s="836"/>
      <c r="CG16" s="836"/>
      <c r="CH16" s="951"/>
    </row>
    <row r="17" spans="1:86" x14ac:dyDescent="0.2">
      <c r="A17" s="836"/>
      <c r="B17" s="836"/>
      <c r="C17" s="836" t="s">
        <v>3480</v>
      </c>
      <c r="D17" s="1100">
        <v>2220000</v>
      </c>
      <c r="E17" s="1100"/>
      <c r="F17" s="1101">
        <v>2538000</v>
      </c>
      <c r="G17" s="1101"/>
      <c r="H17" s="1101"/>
      <c r="I17" s="951">
        <f>SUM(D17:H17)</f>
        <v>4758000</v>
      </c>
      <c r="K17" s="1100">
        <v>2139679</v>
      </c>
      <c r="L17" s="1100"/>
      <c r="M17" s="1107"/>
      <c r="N17" s="1107"/>
      <c r="O17" s="836"/>
      <c r="P17" s="1098">
        <f>SUM(K17:O17)</f>
        <v>2139679</v>
      </c>
      <c r="R17" s="837">
        <v>2675893</v>
      </c>
      <c r="S17" s="837"/>
      <c r="T17" s="1102">
        <v>2685000</v>
      </c>
      <c r="U17" s="1102"/>
      <c r="V17" s="951"/>
      <c r="W17" s="1099">
        <f>SUM(R17:V17)</f>
        <v>5360893</v>
      </c>
      <c r="Y17" s="837">
        <v>2686911</v>
      </c>
      <c r="Z17" s="1103"/>
      <c r="AA17" s="1102">
        <v>2844000</v>
      </c>
      <c r="AB17" s="1104"/>
      <c r="AC17" s="1104"/>
      <c r="AD17" s="951">
        <f>SUM(Y17:AC17)</f>
        <v>5530911</v>
      </c>
      <c r="AF17" s="837">
        <v>3162893</v>
      </c>
      <c r="AG17" s="837"/>
      <c r="AH17" s="1102">
        <v>2466161</v>
      </c>
      <c r="AI17" s="1102"/>
      <c r="AJ17" s="951"/>
      <c r="AK17" s="951">
        <f>SUM(AF17:AJ17)</f>
        <v>5629054</v>
      </c>
      <c r="AM17" s="837">
        <v>2681250</v>
      </c>
      <c r="AN17" s="1103"/>
      <c r="AO17" s="1102">
        <v>2849196</v>
      </c>
      <c r="AP17" s="1102"/>
      <c r="AQ17" s="836"/>
      <c r="AR17" s="951">
        <f>SUM(AM17:AQ17)</f>
        <v>5530446</v>
      </c>
      <c r="AT17" s="951">
        <v>2875357</v>
      </c>
      <c r="AU17" s="951"/>
      <c r="AV17" s="951">
        <v>2944346</v>
      </c>
      <c r="AW17" s="951"/>
      <c r="AX17" s="836"/>
      <c r="AY17" s="836">
        <f>SUM(AT17:AX17)</f>
        <v>5819703</v>
      </c>
      <c r="BA17" s="837">
        <v>2877768</v>
      </c>
      <c r="BB17" s="837"/>
      <c r="BC17" s="1102">
        <v>3119321</v>
      </c>
      <c r="BD17" s="1102"/>
      <c r="BE17" s="951"/>
      <c r="BF17" s="951">
        <f>SUM(BA17:BE17)</f>
        <v>5997089</v>
      </c>
      <c r="BH17" s="951">
        <v>2789393</v>
      </c>
      <c r="BI17" s="951"/>
      <c r="BJ17" s="951"/>
      <c r="BK17" s="951"/>
      <c r="BL17" s="951"/>
      <c r="BM17" s="951">
        <f>SUM(BH17:BL17)</f>
        <v>2789393</v>
      </c>
      <c r="BO17" s="951">
        <v>2729866</v>
      </c>
      <c r="BP17" s="951"/>
      <c r="BQ17" s="951">
        <v>2564339</v>
      </c>
      <c r="BR17" s="951"/>
      <c r="BS17" s="951"/>
      <c r="BT17" s="951">
        <f>SUM(BO17:BS17)</f>
        <v>5294205</v>
      </c>
      <c r="BV17" s="951">
        <v>2419875</v>
      </c>
      <c r="BW17" s="951"/>
      <c r="BX17" s="951">
        <v>2261000</v>
      </c>
      <c r="BY17" s="951"/>
      <c r="BZ17" s="951"/>
      <c r="CA17" s="951">
        <f>SUM(BV17:BZ17)</f>
        <v>4680875</v>
      </c>
      <c r="CB17" s="717"/>
      <c r="CC17" s="951">
        <v>2555525</v>
      </c>
      <c r="CD17" s="951"/>
      <c r="CE17" s="951">
        <v>3053838</v>
      </c>
      <c r="CF17" s="836"/>
      <c r="CG17" s="836"/>
      <c r="CH17" s="951">
        <f>SUM(CC17:CG17)</f>
        <v>5609363</v>
      </c>
    </row>
    <row r="18" spans="1:86" x14ac:dyDescent="0.2">
      <c r="A18" s="836">
        <v>7</v>
      </c>
      <c r="B18" s="836" t="s">
        <v>77</v>
      </c>
      <c r="C18" s="836" t="s">
        <v>114</v>
      </c>
      <c r="D18" s="1096">
        <v>43872</v>
      </c>
      <c r="E18" s="1096"/>
      <c r="F18" s="1096"/>
      <c r="G18" s="1096">
        <v>43879</v>
      </c>
      <c r="H18" s="1096"/>
      <c r="I18" s="951"/>
      <c r="K18" s="1097">
        <v>43921</v>
      </c>
      <c r="L18" s="1097"/>
      <c r="M18" s="1097">
        <v>43928</v>
      </c>
      <c r="N18" s="1097"/>
      <c r="O18" s="1097"/>
      <c r="P18" s="1098"/>
      <c r="R18" s="1097"/>
      <c r="S18" s="1097"/>
      <c r="T18" s="1116"/>
      <c r="U18" s="1116"/>
      <c r="V18" s="1097"/>
      <c r="W18" s="1099"/>
      <c r="Y18" s="1097"/>
      <c r="Z18" s="1097"/>
      <c r="AA18" s="950">
        <v>43970</v>
      </c>
      <c r="AB18" s="950"/>
      <c r="AC18" s="950"/>
      <c r="AD18" s="951"/>
      <c r="AF18" s="835">
        <v>43998</v>
      </c>
      <c r="AG18" s="836"/>
      <c r="AH18" s="835">
        <v>43998</v>
      </c>
      <c r="AI18" s="836"/>
      <c r="AJ18" s="836"/>
      <c r="AK18" s="951"/>
      <c r="AM18" s="835">
        <v>44019</v>
      </c>
      <c r="AN18" s="836"/>
      <c r="AO18" s="835">
        <v>44033</v>
      </c>
      <c r="AP18" s="836"/>
      <c r="AQ18" s="836"/>
      <c r="AR18" s="951"/>
      <c r="AT18" s="835">
        <v>44040</v>
      </c>
      <c r="AU18" s="836"/>
      <c r="AV18" s="835">
        <v>44068</v>
      </c>
      <c r="AW18" s="836"/>
      <c r="AX18" s="836"/>
      <c r="AY18" s="836"/>
      <c r="BA18" s="835">
        <v>44082</v>
      </c>
      <c r="BB18" s="836"/>
      <c r="BC18" s="835">
        <v>44096</v>
      </c>
      <c r="BD18" s="836"/>
      <c r="BE18" s="836"/>
      <c r="BF18" s="836"/>
      <c r="BH18" s="835">
        <v>44110</v>
      </c>
      <c r="BI18" s="836"/>
      <c r="BJ18" s="835">
        <v>44124</v>
      </c>
      <c r="BK18" s="836"/>
      <c r="BL18" s="836"/>
      <c r="BM18" s="836"/>
      <c r="BO18" s="835">
        <v>44138</v>
      </c>
      <c r="BP18" s="836"/>
      <c r="BQ18" s="835">
        <v>44159</v>
      </c>
      <c r="BR18" s="836"/>
      <c r="BS18" s="836"/>
      <c r="BT18" s="836"/>
      <c r="BV18" s="835">
        <v>44173</v>
      </c>
      <c r="BW18" s="836"/>
      <c r="BX18" s="835">
        <v>44187</v>
      </c>
      <c r="BY18" s="836"/>
      <c r="BZ18" s="836"/>
      <c r="CA18" s="836"/>
      <c r="CC18" s="835">
        <v>44208</v>
      </c>
      <c r="CD18" s="836"/>
      <c r="CE18" s="835">
        <v>44222</v>
      </c>
      <c r="CF18" s="836"/>
      <c r="CG18" s="836"/>
      <c r="CH18" s="951"/>
    </row>
    <row r="19" spans="1:86" x14ac:dyDescent="0.2">
      <c r="A19" s="836"/>
      <c r="B19" s="836"/>
      <c r="C19" s="836" t="s">
        <v>3480</v>
      </c>
      <c r="D19" s="1100">
        <v>3434188</v>
      </c>
      <c r="E19" s="1100"/>
      <c r="F19" s="1100"/>
      <c r="G19" s="1101">
        <v>3626016</v>
      </c>
      <c r="H19" s="1101"/>
      <c r="I19" s="951">
        <f>SUM(D19:H19)</f>
        <v>7060204</v>
      </c>
      <c r="K19" s="1100">
        <v>3542321</v>
      </c>
      <c r="L19" s="1100"/>
      <c r="M19" s="1101">
        <v>4395000</v>
      </c>
      <c r="N19" s="1101"/>
      <c r="O19" s="1098"/>
      <c r="P19" s="1098">
        <f>SUM(K19:O19)</f>
        <v>7937321</v>
      </c>
      <c r="R19" s="836"/>
      <c r="S19" s="836"/>
      <c r="T19" s="1112"/>
      <c r="U19" s="1112"/>
      <c r="V19" s="836"/>
      <c r="W19" s="1099">
        <f>SUM(R19:V19)</f>
        <v>0</v>
      </c>
      <c r="Y19" s="836"/>
      <c r="Z19" s="836"/>
      <c r="AA19" s="1102">
        <v>3630000</v>
      </c>
      <c r="AB19" s="1104"/>
      <c r="AC19" s="1104"/>
      <c r="AD19" s="951">
        <f>SUM(Y19:AC19)</f>
        <v>3630000</v>
      </c>
      <c r="AF19" s="837">
        <v>4080000</v>
      </c>
      <c r="AG19" s="837"/>
      <c r="AH19" s="1102">
        <v>3844881</v>
      </c>
      <c r="AI19" s="1102"/>
      <c r="AJ19" s="836"/>
      <c r="AK19" s="951">
        <f>SUM(AF19:AJ19)</f>
        <v>7924881</v>
      </c>
      <c r="AM19" s="837">
        <v>3495000</v>
      </c>
      <c r="AN19" s="837"/>
      <c r="AO19" s="1102">
        <v>3798000</v>
      </c>
      <c r="AP19" s="1102"/>
      <c r="AQ19" s="951"/>
      <c r="AR19" s="951">
        <f>SUM(AM19:AQ19)</f>
        <v>7293000</v>
      </c>
      <c r="AT19" s="837">
        <v>3872264</v>
      </c>
      <c r="AU19" s="837"/>
      <c r="AV19" s="1102">
        <v>3498000</v>
      </c>
      <c r="AW19" s="1102"/>
      <c r="AX19" s="836"/>
      <c r="AY19" s="836">
        <f>SUM(AT19:AX19)</f>
        <v>7370264</v>
      </c>
      <c r="BA19" s="837">
        <v>3325500</v>
      </c>
      <c r="BB19" s="837"/>
      <c r="BC19" s="1102">
        <v>3564000</v>
      </c>
      <c r="BD19" s="1102"/>
      <c r="BE19" s="951"/>
      <c r="BF19" s="951">
        <f>SUM(BA19:BE19)</f>
        <v>6889500</v>
      </c>
      <c r="BH19" s="837">
        <v>3105000</v>
      </c>
      <c r="BI19" s="837"/>
      <c r="BJ19" s="1102">
        <v>3423000</v>
      </c>
      <c r="BK19" s="1102"/>
      <c r="BL19" s="951"/>
      <c r="BM19" s="951">
        <f>SUM(BH19:BL19)</f>
        <v>6528000</v>
      </c>
      <c r="BO19" s="951">
        <v>3099000</v>
      </c>
      <c r="BP19" s="951"/>
      <c r="BQ19" s="951">
        <v>3075000</v>
      </c>
      <c r="BR19" s="951"/>
      <c r="BS19" s="951"/>
      <c r="BT19" s="951">
        <f>SUM(BO19:BS19)</f>
        <v>6174000</v>
      </c>
      <c r="BV19" s="951">
        <v>3153000</v>
      </c>
      <c r="BW19" s="951"/>
      <c r="BX19" s="951">
        <v>3349500</v>
      </c>
      <c r="BY19" s="951"/>
      <c r="BZ19" s="951"/>
      <c r="CA19" s="951">
        <f>SUM(BV19:BZ19)</f>
        <v>6502500</v>
      </c>
      <c r="CB19" s="717"/>
      <c r="CC19" s="951">
        <v>3474750</v>
      </c>
      <c r="CD19" s="951"/>
      <c r="CE19" s="951">
        <v>3442500</v>
      </c>
      <c r="CF19" s="836"/>
      <c r="CG19" s="836"/>
      <c r="CH19" s="951">
        <f>SUM(CC19:CG19)</f>
        <v>6917250</v>
      </c>
    </row>
    <row r="20" spans="1:86" x14ac:dyDescent="0.2">
      <c r="A20" s="836">
        <v>8</v>
      </c>
      <c r="B20" s="836" t="s">
        <v>84</v>
      </c>
      <c r="C20" s="836" t="s">
        <v>114</v>
      </c>
      <c r="D20" s="1096">
        <v>43872</v>
      </c>
      <c r="E20" s="1096"/>
      <c r="F20" s="1096">
        <v>43900</v>
      </c>
      <c r="G20" s="1096"/>
      <c r="H20" s="1096"/>
      <c r="I20" s="951"/>
      <c r="K20" s="1097">
        <v>43921</v>
      </c>
      <c r="L20" s="1097"/>
      <c r="M20" s="1097">
        <v>43921</v>
      </c>
      <c r="N20" s="1097"/>
      <c r="O20" s="1097"/>
      <c r="P20" s="1098"/>
      <c r="R20" s="1097">
        <v>43942</v>
      </c>
      <c r="S20" s="1097"/>
      <c r="T20" s="1097">
        <v>43949</v>
      </c>
      <c r="U20" s="1097"/>
      <c r="V20" s="1097"/>
      <c r="W20" s="1099"/>
      <c r="Y20" s="1097">
        <v>43991</v>
      </c>
      <c r="Z20" s="1097"/>
      <c r="AA20" s="1097">
        <v>43991</v>
      </c>
      <c r="AB20" s="1097"/>
      <c r="AC20" s="1097"/>
      <c r="AD20" s="951"/>
      <c r="AF20" s="835">
        <v>43998</v>
      </c>
      <c r="AG20" s="836"/>
      <c r="AH20" s="835">
        <v>43998</v>
      </c>
      <c r="AI20" s="836"/>
      <c r="AJ20" s="836"/>
      <c r="AK20" s="951"/>
      <c r="AM20" s="835">
        <v>44027</v>
      </c>
      <c r="AN20" s="836"/>
      <c r="AO20" s="835">
        <v>44068</v>
      </c>
      <c r="AP20" s="836"/>
      <c r="AQ20" s="836"/>
      <c r="AR20" s="951"/>
      <c r="AT20" s="835">
        <v>44068</v>
      </c>
      <c r="AU20" s="836"/>
      <c r="AV20" s="835">
        <v>44096</v>
      </c>
      <c r="AW20" s="836"/>
      <c r="AX20" s="836"/>
      <c r="AY20" s="836"/>
      <c r="BA20" s="835">
        <v>44082</v>
      </c>
      <c r="BB20" s="836"/>
      <c r="BC20" s="835">
        <v>44096</v>
      </c>
      <c r="BD20" s="836"/>
      <c r="BE20" s="836"/>
      <c r="BF20" s="836"/>
      <c r="BH20" s="835">
        <v>44110</v>
      </c>
      <c r="BI20" s="836"/>
      <c r="BJ20" s="835">
        <v>44124</v>
      </c>
      <c r="BK20" s="836"/>
      <c r="BL20" s="836"/>
      <c r="BM20" s="836"/>
      <c r="BO20" s="835">
        <v>44138</v>
      </c>
      <c r="BP20" s="836"/>
      <c r="BQ20" s="835">
        <v>44159</v>
      </c>
      <c r="BR20" s="836"/>
      <c r="BS20" s="836"/>
      <c r="BT20" s="836"/>
      <c r="BV20" s="835">
        <v>44173</v>
      </c>
      <c r="BW20" s="836"/>
      <c r="BX20" s="835">
        <v>44187</v>
      </c>
      <c r="BY20" s="836"/>
      <c r="BZ20" s="836"/>
      <c r="CA20" s="836"/>
      <c r="CC20" s="835">
        <v>44208</v>
      </c>
      <c r="CD20" s="836"/>
      <c r="CE20" s="835">
        <v>44222</v>
      </c>
      <c r="CF20" s="836"/>
      <c r="CG20" s="836"/>
      <c r="CH20" s="951"/>
    </row>
    <row r="21" spans="1:86" x14ac:dyDescent="0.2">
      <c r="A21" s="836"/>
      <c r="B21" s="836"/>
      <c r="C21" s="836" t="s">
        <v>3480</v>
      </c>
      <c r="D21" s="1100">
        <v>4100759</v>
      </c>
      <c r="E21" s="1100"/>
      <c r="F21" s="1101">
        <v>3681814</v>
      </c>
      <c r="G21" s="1101"/>
      <c r="H21" s="1101"/>
      <c r="I21" s="951">
        <f>SUM(D21:H21)</f>
        <v>7782573</v>
      </c>
      <c r="K21" s="1100">
        <v>4146000</v>
      </c>
      <c r="L21" s="1100"/>
      <c r="M21" s="1101">
        <v>4405975</v>
      </c>
      <c r="N21" s="1101"/>
      <c r="O21" s="1098"/>
      <c r="P21" s="1098">
        <f>SUM(K21:O21)</f>
        <v>8551975</v>
      </c>
      <c r="R21" s="837">
        <v>4618688</v>
      </c>
      <c r="S21" s="1103"/>
      <c r="T21" s="1102">
        <v>4486500</v>
      </c>
      <c r="U21" s="1104"/>
      <c r="V21" s="836"/>
      <c r="W21" s="1099">
        <f>SUM(R21:V21)</f>
        <v>9105188</v>
      </c>
      <c r="Y21" s="837">
        <v>4626000</v>
      </c>
      <c r="Z21" s="1103"/>
      <c r="AA21" s="1102">
        <v>4716000</v>
      </c>
      <c r="AB21" s="1102"/>
      <c r="AC21" s="1102"/>
      <c r="AD21" s="951">
        <f>SUM(Y21:AC21)</f>
        <v>9342000</v>
      </c>
      <c r="AF21" s="837">
        <v>4618500</v>
      </c>
      <c r="AG21" s="837"/>
      <c r="AH21" s="1102">
        <v>4528500</v>
      </c>
      <c r="AI21" s="1102"/>
      <c r="AJ21" s="951"/>
      <c r="AK21" s="951">
        <f>SUM(AF21:AJ21)</f>
        <v>9147000</v>
      </c>
      <c r="AM21" s="837">
        <v>4203000</v>
      </c>
      <c r="AN21" s="1103"/>
      <c r="AO21" s="1102">
        <v>4117500</v>
      </c>
      <c r="AP21" s="1102"/>
      <c r="AQ21" s="951"/>
      <c r="AR21" s="951">
        <f>SUM(AM21:AQ21)</f>
        <v>8320500</v>
      </c>
      <c r="AT21" s="837">
        <v>4613955</v>
      </c>
      <c r="AU21" s="837"/>
      <c r="AV21" s="1102">
        <v>5089625</v>
      </c>
      <c r="AW21" s="1102"/>
      <c r="AX21" s="951"/>
      <c r="AY21" s="951">
        <f>SUM(AT21:AX21)</f>
        <v>9703580</v>
      </c>
      <c r="BA21" s="837">
        <v>4305000</v>
      </c>
      <c r="BB21" s="837"/>
      <c r="BC21" s="1102">
        <v>4221750</v>
      </c>
      <c r="BD21" s="1102"/>
      <c r="BE21" s="951"/>
      <c r="BF21" s="951">
        <f>SUM(BA21:BE21)</f>
        <v>8526750</v>
      </c>
      <c r="BH21" s="837">
        <v>4285488</v>
      </c>
      <c r="BI21" s="837"/>
      <c r="BJ21" s="1102">
        <v>4380000</v>
      </c>
      <c r="BK21" s="1102"/>
      <c r="BL21" s="951"/>
      <c r="BM21" s="951">
        <f>SUM(BH21:BL21)</f>
        <v>8665488</v>
      </c>
      <c r="BO21" s="951">
        <v>4503000</v>
      </c>
      <c r="BP21" s="951"/>
      <c r="BQ21" s="951">
        <v>4281719</v>
      </c>
      <c r="BR21" s="951"/>
      <c r="BS21" s="951"/>
      <c r="BT21" s="951">
        <f>SUM(BO21:BS21)</f>
        <v>8784719</v>
      </c>
      <c r="BV21" s="951">
        <v>3870000</v>
      </c>
      <c r="BW21" s="951"/>
      <c r="BX21" s="951">
        <v>3900000</v>
      </c>
      <c r="BY21" s="951"/>
      <c r="BZ21" s="951"/>
      <c r="CA21" s="951">
        <f>SUM(BV21:BZ21)</f>
        <v>7770000</v>
      </c>
      <c r="CB21" s="717"/>
      <c r="CC21" s="951">
        <v>3795000</v>
      </c>
      <c r="CD21" s="951"/>
      <c r="CE21" s="951">
        <v>3309741</v>
      </c>
      <c r="CF21" s="836"/>
      <c r="CG21" s="836"/>
      <c r="CH21" s="951">
        <f>SUM(CC21:CG21)</f>
        <v>7104741</v>
      </c>
    </row>
    <row r="22" spans="1:86" x14ac:dyDescent="0.2">
      <c r="A22" s="836">
        <v>9</v>
      </c>
      <c r="B22" s="836" t="s">
        <v>85</v>
      </c>
      <c r="C22" s="836" t="s">
        <v>114</v>
      </c>
      <c r="D22" s="1096">
        <v>43900</v>
      </c>
      <c r="E22" s="1096"/>
      <c r="F22" s="1096"/>
      <c r="G22" s="1096">
        <v>43900</v>
      </c>
      <c r="H22" s="1096"/>
      <c r="I22" s="951"/>
      <c r="K22" s="918">
        <v>44040</v>
      </c>
      <c r="L22" s="919"/>
      <c r="M22" s="918">
        <v>44040</v>
      </c>
      <c r="N22" s="919"/>
      <c r="O22" s="836"/>
      <c r="P22" s="1098"/>
      <c r="R22" s="950">
        <v>44040</v>
      </c>
      <c r="S22" s="950"/>
      <c r="T22" s="950">
        <v>44040</v>
      </c>
      <c r="U22" s="950"/>
      <c r="V22" s="1097"/>
      <c r="W22" s="1099"/>
      <c r="Y22" s="1097">
        <v>44019</v>
      </c>
      <c r="Z22" s="1097"/>
      <c r="AA22" s="1097">
        <v>44019</v>
      </c>
      <c r="AB22" s="1097"/>
      <c r="AC22" s="1097"/>
      <c r="AD22" s="951"/>
      <c r="AF22" s="835">
        <v>44019</v>
      </c>
      <c r="AG22" s="836"/>
      <c r="AH22" s="835">
        <v>44019</v>
      </c>
      <c r="AI22" s="836"/>
      <c r="AJ22" s="836"/>
      <c r="AK22" s="951"/>
      <c r="AM22" s="835">
        <v>44019</v>
      </c>
      <c r="AN22" s="836"/>
      <c r="AO22" s="835">
        <v>44019</v>
      </c>
      <c r="AP22" s="836"/>
      <c r="AQ22" s="836"/>
      <c r="AR22" s="951"/>
      <c r="AT22" s="836"/>
      <c r="AU22" s="836"/>
      <c r="AV22" s="836"/>
      <c r="AW22" s="836"/>
      <c r="AX22" s="836"/>
      <c r="AY22" s="836"/>
      <c r="BA22" s="836"/>
      <c r="BB22" s="836"/>
      <c r="BC22" s="836"/>
      <c r="BD22" s="836"/>
      <c r="BE22" s="836"/>
      <c r="BF22" s="836"/>
      <c r="BH22" s="836"/>
      <c r="BI22" s="836"/>
      <c r="BJ22" s="836"/>
      <c r="BK22" s="836"/>
      <c r="BL22" s="836"/>
      <c r="BM22" s="836"/>
      <c r="BO22" s="836"/>
      <c r="BP22" s="836"/>
      <c r="BQ22" s="836"/>
      <c r="BR22" s="836"/>
      <c r="BS22" s="836"/>
      <c r="BT22" s="836"/>
      <c r="BV22" s="836"/>
      <c r="BW22" s="836"/>
      <c r="BX22" s="836"/>
      <c r="BY22" s="836"/>
      <c r="BZ22" s="836"/>
      <c r="CA22" s="836"/>
      <c r="CC22" s="836"/>
      <c r="CD22" s="836"/>
      <c r="CE22" s="836"/>
      <c r="CF22" s="836"/>
      <c r="CG22" s="836"/>
      <c r="CH22" s="951"/>
    </row>
    <row r="23" spans="1:86" x14ac:dyDescent="0.2">
      <c r="A23" s="836"/>
      <c r="B23" s="836"/>
      <c r="C23" s="836" t="s">
        <v>3480</v>
      </c>
      <c r="D23" s="1100">
        <v>1133600</v>
      </c>
      <c r="E23" s="1100"/>
      <c r="F23" s="1117"/>
      <c r="G23" s="1101">
        <v>934125</v>
      </c>
      <c r="H23" s="1101"/>
      <c r="I23" s="951">
        <f>SUM(D23:H23)</f>
        <v>2067725</v>
      </c>
      <c r="K23" s="837">
        <v>846000</v>
      </c>
      <c r="L23" s="837"/>
      <c r="M23" s="1102">
        <v>1063000</v>
      </c>
      <c r="N23" s="1104"/>
      <c r="O23" s="836"/>
      <c r="P23" s="1098">
        <f>SUM(K23:O23)</f>
        <v>1909000</v>
      </c>
      <c r="R23" s="1118">
        <v>1024500</v>
      </c>
      <c r="S23" s="1118"/>
      <c r="T23" s="1102">
        <v>720000</v>
      </c>
      <c r="U23" s="1102"/>
      <c r="V23" s="836"/>
      <c r="W23" s="1099">
        <f>SUM(R23:V23)</f>
        <v>1744500</v>
      </c>
      <c r="Y23" s="837">
        <v>672000</v>
      </c>
      <c r="Z23" s="837"/>
      <c r="AA23" s="1102">
        <v>1152000</v>
      </c>
      <c r="AB23" s="1102"/>
      <c r="AC23" s="951"/>
      <c r="AD23" s="951">
        <f>SUM(Y23:AC23)</f>
        <v>1824000</v>
      </c>
      <c r="AF23" s="837">
        <v>1008000</v>
      </c>
      <c r="AG23" s="837"/>
      <c r="AH23" s="1102">
        <v>891000</v>
      </c>
      <c r="AI23" s="1102"/>
      <c r="AJ23" s="951"/>
      <c r="AK23" s="951">
        <f>SUM(AF23:AJ23)</f>
        <v>1899000</v>
      </c>
      <c r="AM23" s="837">
        <v>1152000</v>
      </c>
      <c r="AN23" s="837"/>
      <c r="AO23" s="1102">
        <v>1146000</v>
      </c>
      <c r="AP23" s="1102"/>
      <c r="AQ23" s="951"/>
      <c r="AR23" s="951">
        <f>SUM(AM23:AQ23)</f>
        <v>2298000</v>
      </c>
      <c r="AT23" s="836"/>
      <c r="AU23" s="836"/>
      <c r="AV23" s="836"/>
      <c r="AW23" s="836"/>
      <c r="AX23" s="836"/>
      <c r="AY23" s="836">
        <f>SUM(AT23:AX23)</f>
        <v>0</v>
      </c>
      <c r="BA23" s="836"/>
      <c r="BB23" s="836"/>
      <c r="BC23" s="836"/>
      <c r="BD23" s="836"/>
      <c r="BE23" s="836"/>
      <c r="BF23" s="836">
        <f>SUM(BA23:BE23)</f>
        <v>0</v>
      </c>
      <c r="BH23" s="836"/>
      <c r="BI23" s="836"/>
      <c r="BJ23" s="836"/>
      <c r="BK23" s="836"/>
      <c r="BL23" s="836"/>
      <c r="BM23" s="836">
        <f>SUM(BH23:BL23)</f>
        <v>0</v>
      </c>
      <c r="BO23" s="836"/>
      <c r="BP23" s="836"/>
      <c r="BQ23" s="836"/>
      <c r="BR23" s="836"/>
      <c r="BS23" s="836"/>
      <c r="BT23" s="836">
        <f>SUM(BO23:BS23)</f>
        <v>0</v>
      </c>
      <c r="BV23" s="836"/>
      <c r="BW23" s="836"/>
      <c r="BX23" s="836"/>
      <c r="BY23" s="836"/>
      <c r="BZ23" s="836"/>
      <c r="CA23" s="836">
        <f>SUM(BV23:BZ23)</f>
        <v>0</v>
      </c>
      <c r="CC23" s="836"/>
      <c r="CD23" s="836"/>
      <c r="CE23" s="836"/>
      <c r="CF23" s="836"/>
      <c r="CG23" s="836"/>
      <c r="CH23" s="951">
        <f>SUM(CC23:CG23)</f>
        <v>0</v>
      </c>
    </row>
    <row r="24" spans="1:86" x14ac:dyDescent="0.2">
      <c r="A24" s="836">
        <v>10</v>
      </c>
      <c r="B24" s="836" t="s">
        <v>89</v>
      </c>
      <c r="C24" s="836" t="s">
        <v>114</v>
      </c>
      <c r="D24" s="1119" t="s">
        <v>5178</v>
      </c>
      <c r="E24" s="1119"/>
      <c r="F24" s="1119"/>
      <c r="G24" s="1119"/>
      <c r="H24" s="1119"/>
      <c r="I24" s="951"/>
      <c r="K24" s="1107" t="s">
        <v>5178</v>
      </c>
      <c r="L24" s="1107"/>
      <c r="M24" s="1107"/>
      <c r="N24" s="1107"/>
      <c r="O24" s="836"/>
      <c r="P24" s="1098"/>
      <c r="R24" s="1107" t="s">
        <v>5178</v>
      </c>
      <c r="S24" s="1107"/>
      <c r="T24" s="1097">
        <v>43956</v>
      </c>
      <c r="U24" s="1097"/>
      <c r="V24" s="1097"/>
      <c r="W24" s="1099"/>
      <c r="Y24" s="1097">
        <v>43949</v>
      </c>
      <c r="Z24" s="1097"/>
      <c r="AA24" s="1097"/>
      <c r="AB24" s="1097"/>
      <c r="AC24" s="1097"/>
      <c r="AD24" s="951"/>
      <c r="AF24" s="1097">
        <v>44005</v>
      </c>
      <c r="AG24" s="1097"/>
      <c r="AH24" s="1097">
        <v>44005</v>
      </c>
      <c r="AI24" s="1097"/>
      <c r="AJ24" s="1097"/>
      <c r="AK24" s="951"/>
      <c r="AM24" s="835">
        <v>44033</v>
      </c>
      <c r="AN24" s="836"/>
      <c r="AO24" s="835">
        <v>44026</v>
      </c>
      <c r="AP24" s="836"/>
      <c r="AQ24" s="836"/>
      <c r="AR24" s="951"/>
      <c r="AT24" s="835">
        <v>44047</v>
      </c>
      <c r="AU24" s="836"/>
      <c r="AV24" s="835">
        <v>44082</v>
      </c>
      <c r="AW24" s="836"/>
      <c r="AX24" s="836"/>
      <c r="AY24" s="836"/>
      <c r="BA24" s="835">
        <v>44082</v>
      </c>
      <c r="BB24" s="836"/>
      <c r="BC24" s="835">
        <v>44096</v>
      </c>
      <c r="BD24" s="836"/>
      <c r="BE24" s="836"/>
      <c r="BF24" s="836"/>
      <c r="BH24" s="835">
        <v>44110</v>
      </c>
      <c r="BI24" s="836"/>
      <c r="BJ24" s="835">
        <v>44124</v>
      </c>
      <c r="BK24" s="836"/>
      <c r="BL24" s="836"/>
      <c r="BM24" s="836"/>
      <c r="BO24" s="835">
        <v>44138</v>
      </c>
      <c r="BP24" s="836"/>
      <c r="BQ24" s="835">
        <v>44159</v>
      </c>
      <c r="BR24" s="836"/>
      <c r="BS24" s="836"/>
      <c r="BT24" s="836"/>
      <c r="BV24" s="835">
        <v>44173</v>
      </c>
      <c r="BW24" s="836"/>
      <c r="BX24" s="835">
        <v>44187</v>
      </c>
      <c r="BY24" s="836"/>
      <c r="BZ24" s="836"/>
      <c r="CA24" s="836"/>
      <c r="CC24" s="836"/>
      <c r="CD24" s="836"/>
      <c r="CE24" s="835">
        <v>44222</v>
      </c>
      <c r="CF24" s="836"/>
      <c r="CG24" s="836"/>
      <c r="CH24" s="951"/>
    </row>
    <row r="25" spans="1:86" x14ac:dyDescent="0.2">
      <c r="A25" s="836"/>
      <c r="B25" s="836"/>
      <c r="C25" s="836" t="s">
        <v>3480</v>
      </c>
      <c r="D25" s="1107"/>
      <c r="E25" s="1107"/>
      <c r="F25" s="1107"/>
      <c r="G25" s="1107"/>
      <c r="H25" s="1107"/>
      <c r="I25" s="951">
        <f>SUM(D25:H25)</f>
        <v>0</v>
      </c>
      <c r="K25" s="1107"/>
      <c r="L25" s="1107"/>
      <c r="M25" s="1107"/>
      <c r="N25" s="1107"/>
      <c r="O25" s="836"/>
      <c r="P25" s="1098">
        <f>SUM(K25:O25)</f>
        <v>0</v>
      </c>
      <c r="R25" s="1107"/>
      <c r="S25" s="1107"/>
      <c r="T25" s="1102">
        <v>1416000</v>
      </c>
      <c r="U25" s="1104"/>
      <c r="V25" s="836"/>
      <c r="W25" s="1099">
        <f>SUM(R25:V25)</f>
        <v>1416000</v>
      </c>
      <c r="Y25" s="837">
        <v>1244513</v>
      </c>
      <c r="Z25" s="1103"/>
      <c r="AA25" s="836"/>
      <c r="AB25" s="836"/>
      <c r="AC25" s="836"/>
      <c r="AD25" s="951">
        <f>SUM(Y25:AC25)</f>
        <v>1244513</v>
      </c>
      <c r="AF25" s="951">
        <v>2115150</v>
      </c>
      <c r="AG25" s="951"/>
      <c r="AH25" s="951">
        <v>826000</v>
      </c>
      <c r="AI25" s="951"/>
      <c r="AJ25" s="951"/>
      <c r="AK25" s="951">
        <f>SUM(AF25:AJ25)</f>
        <v>2941150</v>
      </c>
      <c r="AM25" s="837">
        <v>2008575</v>
      </c>
      <c r="AN25" s="1103"/>
      <c r="AO25" s="1102">
        <v>2079300</v>
      </c>
      <c r="AP25" s="1104"/>
      <c r="AQ25" s="836"/>
      <c r="AR25" s="951">
        <f>SUM(AM25:AQ25)</f>
        <v>4087875</v>
      </c>
      <c r="AT25" s="837">
        <v>2005088</v>
      </c>
      <c r="AU25" s="837"/>
      <c r="AV25" s="1102">
        <v>2127075</v>
      </c>
      <c r="AW25" s="1102"/>
      <c r="AX25" s="951"/>
      <c r="AY25" s="951">
        <f>SUM(AT25:AX25)</f>
        <v>4132163</v>
      </c>
      <c r="BA25" s="837">
        <v>2047281</v>
      </c>
      <c r="BB25" s="837"/>
      <c r="BC25" s="1102">
        <v>2280000</v>
      </c>
      <c r="BD25" s="1102"/>
      <c r="BE25" s="951"/>
      <c r="BF25" s="951">
        <f>SUM(BA25:BE25)</f>
        <v>4327281</v>
      </c>
      <c r="BG25" s="717"/>
      <c r="BH25" s="837">
        <v>2076000</v>
      </c>
      <c r="BI25" s="837"/>
      <c r="BJ25" s="1102">
        <v>1980133</v>
      </c>
      <c r="BK25" s="1102"/>
      <c r="BL25" s="951"/>
      <c r="BM25" s="951">
        <f>SUM(BH25:BL25)</f>
        <v>4056133</v>
      </c>
      <c r="BO25" s="951">
        <v>1908000</v>
      </c>
      <c r="BP25" s="951"/>
      <c r="BQ25" s="951">
        <v>1768375</v>
      </c>
      <c r="BR25" s="951"/>
      <c r="BS25" s="951"/>
      <c r="BT25" s="951">
        <f>SUM(BO25:BS25)</f>
        <v>3676375</v>
      </c>
      <c r="BV25" s="951">
        <v>2002650</v>
      </c>
      <c r="BW25" s="951"/>
      <c r="BX25" s="951">
        <v>1834361</v>
      </c>
      <c r="BY25" s="951"/>
      <c r="BZ25" s="951"/>
      <c r="CA25" s="951">
        <f>SUM(BV25:BZ25)</f>
        <v>3837011</v>
      </c>
      <c r="CB25" s="717"/>
      <c r="CC25" s="951"/>
      <c r="CD25" s="951"/>
      <c r="CE25" s="951">
        <v>1920188</v>
      </c>
      <c r="CF25" s="836"/>
      <c r="CG25" s="836"/>
      <c r="CH25" s="951">
        <f>SUM(CC25:CG25)</f>
        <v>1920188</v>
      </c>
    </row>
    <row r="26" spans="1:86" x14ac:dyDescent="0.2">
      <c r="A26" s="836">
        <v>11</v>
      </c>
      <c r="B26" s="836" t="s">
        <v>81</v>
      </c>
      <c r="C26" s="836" t="s">
        <v>114</v>
      </c>
      <c r="D26" s="1096">
        <v>43858</v>
      </c>
      <c r="E26" s="1096"/>
      <c r="F26" s="1096">
        <v>43879</v>
      </c>
      <c r="G26" s="1096"/>
      <c r="H26" s="1096"/>
      <c r="I26" s="951"/>
      <c r="K26" s="1097">
        <v>43907</v>
      </c>
      <c r="L26" s="1097"/>
      <c r="M26" s="1097">
        <v>43907</v>
      </c>
      <c r="N26" s="1097"/>
      <c r="O26" s="1097"/>
      <c r="P26" s="1098"/>
      <c r="R26" s="1097">
        <v>43921</v>
      </c>
      <c r="S26" s="1097"/>
      <c r="T26" s="1105" t="s">
        <v>5180</v>
      </c>
      <c r="U26" s="1105"/>
      <c r="V26" s="1097"/>
      <c r="W26" s="1099"/>
      <c r="Y26" s="1097">
        <v>43949</v>
      </c>
      <c r="Z26" s="1097"/>
      <c r="AA26" s="1097"/>
      <c r="AB26" s="1097"/>
      <c r="AC26" s="1097"/>
      <c r="AD26" s="951"/>
      <c r="AF26" s="1120">
        <v>43987</v>
      </c>
      <c r="AG26" s="1120"/>
      <c r="AH26" s="1108">
        <v>43998</v>
      </c>
      <c r="AI26" s="1108"/>
      <c r="AJ26" s="1097"/>
      <c r="AK26" s="951"/>
      <c r="AM26" s="835">
        <v>44019</v>
      </c>
      <c r="AN26" s="836"/>
      <c r="AO26" s="835">
        <v>44033</v>
      </c>
      <c r="AP26" s="836"/>
      <c r="AQ26" s="836"/>
      <c r="AR26" s="951"/>
      <c r="AT26" s="835">
        <v>44040</v>
      </c>
      <c r="AU26" s="836"/>
      <c r="AV26" s="835">
        <v>44068</v>
      </c>
      <c r="AW26" s="836"/>
      <c r="AX26" s="836"/>
      <c r="AY26" s="836"/>
      <c r="BA26" s="835">
        <v>44082</v>
      </c>
      <c r="BB26" s="836"/>
      <c r="BC26" s="835">
        <v>44096</v>
      </c>
      <c r="BD26" s="836"/>
      <c r="BE26" s="836"/>
      <c r="BF26" s="836"/>
      <c r="BH26" s="835">
        <v>44110</v>
      </c>
      <c r="BI26" s="836"/>
      <c r="BJ26" s="835">
        <v>44124</v>
      </c>
      <c r="BK26" s="836"/>
      <c r="BL26" s="836"/>
      <c r="BM26" s="836"/>
      <c r="BO26" s="835">
        <v>44138</v>
      </c>
      <c r="BP26" s="836"/>
      <c r="BQ26" s="835">
        <v>44159</v>
      </c>
      <c r="BR26" s="836"/>
      <c r="BS26" s="836"/>
      <c r="BT26" s="836"/>
      <c r="BV26" s="835">
        <v>44173</v>
      </c>
      <c r="BW26" s="836"/>
      <c r="BX26" s="835">
        <v>44187</v>
      </c>
      <c r="BY26" s="836"/>
      <c r="BZ26" s="836"/>
      <c r="CA26" s="836"/>
      <c r="CC26" s="835">
        <v>44208</v>
      </c>
      <c r="CD26" s="836"/>
      <c r="CE26" s="836"/>
      <c r="CF26" s="836"/>
      <c r="CG26" s="836"/>
      <c r="CH26" s="951"/>
    </row>
    <row r="27" spans="1:86" x14ac:dyDescent="0.2">
      <c r="A27" s="836"/>
      <c r="B27" s="836"/>
      <c r="C27" s="836" t="s">
        <v>3480</v>
      </c>
      <c r="D27" s="1100">
        <v>2292863</v>
      </c>
      <c r="E27" s="1100"/>
      <c r="F27" s="1101">
        <v>2359631</v>
      </c>
      <c r="G27" s="1101"/>
      <c r="H27" s="1101"/>
      <c r="I27" s="920">
        <f>SUM(D27:H27)</f>
        <v>4652494</v>
      </c>
      <c r="K27" s="1100">
        <v>2666348</v>
      </c>
      <c r="L27" s="1100"/>
      <c r="M27" s="1101">
        <v>2446500</v>
      </c>
      <c r="N27" s="1101"/>
      <c r="O27" s="1106"/>
      <c r="P27" s="1098">
        <f>SUM(K27:O27)</f>
        <v>5112848</v>
      </c>
      <c r="R27" s="1100">
        <v>2353188</v>
      </c>
      <c r="S27" s="1100"/>
      <c r="T27" s="1121"/>
      <c r="U27" s="1121"/>
      <c r="V27" s="1098"/>
      <c r="W27" s="1099">
        <f>SUM(R27:V27)</f>
        <v>2353188</v>
      </c>
      <c r="Y27" s="837">
        <v>2317463</v>
      </c>
      <c r="Z27" s="1103"/>
      <c r="AA27" s="836"/>
      <c r="AB27" s="836"/>
      <c r="AC27" s="836"/>
      <c r="AD27" s="951">
        <f>SUM(Y27:AC27)</f>
        <v>2317463</v>
      </c>
      <c r="AF27" s="837">
        <v>2136000</v>
      </c>
      <c r="AG27" s="1103"/>
      <c r="AH27" s="1102">
        <v>2641800</v>
      </c>
      <c r="AI27" s="1102"/>
      <c r="AJ27" s="836"/>
      <c r="AK27" s="951">
        <f>SUM(AF27:AJ27)</f>
        <v>4777800</v>
      </c>
      <c r="AM27" s="837">
        <v>2410913</v>
      </c>
      <c r="AN27" s="837"/>
      <c r="AO27" s="1102">
        <v>2545350</v>
      </c>
      <c r="AP27" s="1102"/>
      <c r="AQ27" s="951"/>
      <c r="AR27" s="951">
        <f>SUM(AM27:AQ27)</f>
        <v>4956263</v>
      </c>
      <c r="AT27" s="837">
        <v>2048906</v>
      </c>
      <c r="AU27" s="837"/>
      <c r="AV27" s="1102">
        <v>2319406</v>
      </c>
      <c r="AW27" s="1102"/>
      <c r="AX27" s="951"/>
      <c r="AY27" s="951">
        <f>SUM(AT27:AX27)</f>
        <v>4368312</v>
      </c>
      <c r="BA27" s="837">
        <v>2066531</v>
      </c>
      <c r="BB27" s="837"/>
      <c r="BC27" s="951">
        <v>2329469</v>
      </c>
      <c r="BD27" s="951"/>
      <c r="BE27" s="951"/>
      <c r="BF27" s="951">
        <f>SUM(BA27:BE27)</f>
        <v>4396000</v>
      </c>
      <c r="BH27" s="837">
        <v>1858992</v>
      </c>
      <c r="BI27" s="837"/>
      <c r="BJ27" s="1102">
        <v>2130391</v>
      </c>
      <c r="BK27" s="1102"/>
      <c r="BL27" s="951"/>
      <c r="BM27" s="951">
        <f>SUM(BH27:BL27)</f>
        <v>3989383</v>
      </c>
      <c r="BO27" s="951">
        <v>2163672</v>
      </c>
      <c r="BP27" s="951"/>
      <c r="BQ27" s="951">
        <v>2238469</v>
      </c>
      <c r="BR27" s="951"/>
      <c r="BS27" s="951"/>
      <c r="BT27" s="951">
        <f>SUM(BO27:BS27)</f>
        <v>4402141</v>
      </c>
      <c r="BV27" s="951">
        <v>1909375</v>
      </c>
      <c r="BW27" s="951"/>
      <c r="BX27" s="951">
        <v>2028344</v>
      </c>
      <c r="BY27" s="951"/>
      <c r="BZ27" s="951"/>
      <c r="CA27" s="951">
        <f>SUM(BV27:BZ27)</f>
        <v>3937719</v>
      </c>
      <c r="CB27" s="717"/>
      <c r="CC27" s="951">
        <v>1835938</v>
      </c>
      <c r="CD27" s="951"/>
      <c r="CE27" s="836"/>
      <c r="CF27" s="836"/>
      <c r="CG27" s="836"/>
      <c r="CH27" s="951">
        <f>SUM(CC27:CG27)</f>
        <v>1835938</v>
      </c>
    </row>
    <row r="28" spans="1:86" x14ac:dyDescent="0.2">
      <c r="A28" s="836">
        <v>12</v>
      </c>
      <c r="B28" s="836" t="s">
        <v>78</v>
      </c>
      <c r="C28" s="836" t="s">
        <v>114</v>
      </c>
      <c r="D28" s="1096">
        <v>43879</v>
      </c>
      <c r="E28" s="1096"/>
      <c r="F28" s="1096">
        <v>43886</v>
      </c>
      <c r="G28" s="1096"/>
      <c r="H28" s="1096"/>
      <c r="I28" s="951"/>
      <c r="K28" s="1097">
        <v>43900</v>
      </c>
      <c r="L28" s="1097"/>
      <c r="M28" s="1097">
        <v>43921</v>
      </c>
      <c r="N28" s="1097"/>
      <c r="O28" s="1097"/>
      <c r="P28" s="1098"/>
      <c r="R28" s="1097">
        <v>43928</v>
      </c>
      <c r="S28" s="1097"/>
      <c r="T28" s="1097">
        <v>43942</v>
      </c>
      <c r="U28" s="1097"/>
      <c r="V28" s="1097"/>
      <c r="W28" s="1099"/>
      <c r="Y28" s="1097">
        <v>43949</v>
      </c>
      <c r="Z28" s="1097"/>
      <c r="AA28" s="1097"/>
      <c r="AB28" s="1097"/>
      <c r="AC28" s="1097"/>
      <c r="AD28" s="951"/>
      <c r="AF28" s="1097">
        <v>43987</v>
      </c>
      <c r="AG28" s="1097"/>
      <c r="AH28" s="1097">
        <v>43998</v>
      </c>
      <c r="AI28" s="1097"/>
      <c r="AJ28" s="1097"/>
      <c r="AK28" s="951"/>
      <c r="AM28" s="835">
        <v>44019</v>
      </c>
      <c r="AN28" s="836"/>
      <c r="AO28" s="835">
        <v>44033</v>
      </c>
      <c r="AP28" s="836"/>
      <c r="AQ28" s="836"/>
      <c r="AR28" s="951"/>
      <c r="AT28" s="835">
        <v>44048</v>
      </c>
      <c r="AU28" s="836"/>
      <c r="AV28" s="835">
        <v>44068</v>
      </c>
      <c r="AW28" s="836"/>
      <c r="AX28" s="836"/>
      <c r="AY28" s="836"/>
      <c r="BA28" s="835">
        <v>44082</v>
      </c>
      <c r="BB28" s="836"/>
      <c r="BC28" s="835">
        <v>44096</v>
      </c>
      <c r="BD28" s="836"/>
      <c r="BE28" s="836"/>
      <c r="BF28" s="836"/>
      <c r="BH28" s="835">
        <v>44110</v>
      </c>
      <c r="BI28" s="836"/>
      <c r="BJ28" s="835">
        <v>44124</v>
      </c>
      <c r="BK28" s="836"/>
      <c r="BL28" s="836"/>
      <c r="BM28" s="836"/>
      <c r="BO28" s="835">
        <v>44138</v>
      </c>
      <c r="BP28" s="836"/>
      <c r="BQ28" s="835">
        <v>44159</v>
      </c>
      <c r="BR28" s="836"/>
      <c r="BS28" s="836"/>
      <c r="BT28" s="836"/>
      <c r="BV28" s="835">
        <v>44173</v>
      </c>
      <c r="BW28" s="836"/>
      <c r="BX28" s="835">
        <v>44187</v>
      </c>
      <c r="BY28" s="836"/>
      <c r="BZ28" s="836"/>
      <c r="CA28" s="836"/>
      <c r="CC28" s="835">
        <v>44208</v>
      </c>
      <c r="CD28" s="836"/>
      <c r="CE28" s="835">
        <v>44222</v>
      </c>
      <c r="CF28" s="836"/>
      <c r="CG28" s="836"/>
      <c r="CH28" s="951"/>
    </row>
    <row r="29" spans="1:86" x14ac:dyDescent="0.2">
      <c r="A29" s="836"/>
      <c r="B29" s="836"/>
      <c r="C29" s="836" t="s">
        <v>3480</v>
      </c>
      <c r="D29" s="1100">
        <v>2639912</v>
      </c>
      <c r="E29" s="1100"/>
      <c r="F29" s="1101">
        <v>2693910</v>
      </c>
      <c r="G29" s="1101"/>
      <c r="H29" s="1101"/>
      <c r="I29" s="951">
        <f>SUM(D29:H29)</f>
        <v>5333822</v>
      </c>
      <c r="K29" s="1100">
        <v>2087930</v>
      </c>
      <c r="L29" s="1100"/>
      <c r="M29" s="1101">
        <v>2579914</v>
      </c>
      <c r="N29" s="1101"/>
      <c r="O29" s="1098"/>
      <c r="P29" s="1098">
        <f>SUM(K29:O29)</f>
        <v>4667844</v>
      </c>
      <c r="R29" s="1100">
        <v>2675911</v>
      </c>
      <c r="S29" s="1103"/>
      <c r="T29" s="1102">
        <v>2249250</v>
      </c>
      <c r="U29" s="1104"/>
      <c r="V29" s="836"/>
      <c r="W29" s="1099">
        <f>SUM(R29:V29)</f>
        <v>4925161</v>
      </c>
      <c r="Y29" s="837">
        <v>2159928</v>
      </c>
      <c r="Z29" s="1103"/>
      <c r="AA29" s="836"/>
      <c r="AB29" s="836"/>
      <c r="AC29" s="836"/>
      <c r="AD29" s="951">
        <f>SUM(Y29:AC29)</f>
        <v>2159928</v>
      </c>
      <c r="AF29" s="837">
        <v>2399920</v>
      </c>
      <c r="AG29" s="1103"/>
      <c r="AH29" s="1102">
        <v>2303923</v>
      </c>
      <c r="AI29" s="1102"/>
      <c r="AJ29" s="836"/>
      <c r="AK29" s="951">
        <f>SUM(AF29:AJ29)</f>
        <v>4703843</v>
      </c>
      <c r="AM29" s="837">
        <v>2207926</v>
      </c>
      <c r="AN29" s="837"/>
      <c r="AO29" s="1102">
        <v>2447918</v>
      </c>
      <c r="AP29" s="1102"/>
      <c r="AQ29" s="951"/>
      <c r="AR29" s="951">
        <f>SUM(AM29:AQ29)</f>
        <v>4655844</v>
      </c>
      <c r="AT29" s="837">
        <v>2248167</v>
      </c>
      <c r="AU29" s="837"/>
      <c r="AV29" s="1102">
        <v>2544000</v>
      </c>
      <c r="AW29" s="1102"/>
      <c r="AX29" s="951"/>
      <c r="AY29" s="951">
        <f>SUM(AT29:AX29)</f>
        <v>4792167</v>
      </c>
      <c r="BA29" s="837">
        <v>2592000</v>
      </c>
      <c r="BB29" s="837"/>
      <c r="BC29" s="951">
        <v>2592000</v>
      </c>
      <c r="BD29" s="951"/>
      <c r="BE29" s="951"/>
      <c r="BF29" s="951">
        <f>SUM(BA29:BE29)</f>
        <v>5184000</v>
      </c>
      <c r="BH29" s="837">
        <v>2352000</v>
      </c>
      <c r="BI29" s="837"/>
      <c r="BJ29" s="1102">
        <v>1998000</v>
      </c>
      <c r="BK29" s="1102"/>
      <c r="BL29" s="951"/>
      <c r="BM29" s="951">
        <f>SUM(BH29:BL29)</f>
        <v>4350000</v>
      </c>
      <c r="BO29" s="951">
        <v>1902000</v>
      </c>
      <c r="BP29" s="951"/>
      <c r="BQ29" s="951">
        <v>2058000</v>
      </c>
      <c r="BR29" s="951"/>
      <c r="BS29" s="951"/>
      <c r="BT29" s="951">
        <f>SUM(BO29:BS29)</f>
        <v>3960000</v>
      </c>
      <c r="BV29" s="951">
        <v>2124000</v>
      </c>
      <c r="BW29" s="951"/>
      <c r="BX29" s="951">
        <v>2124000</v>
      </c>
      <c r="BY29" s="951"/>
      <c r="BZ29" s="951"/>
      <c r="CA29" s="951">
        <f>SUM(BV29:BZ29)</f>
        <v>4248000</v>
      </c>
      <c r="CB29" s="717"/>
      <c r="CC29" s="951">
        <v>2184000</v>
      </c>
      <c r="CD29" s="951"/>
      <c r="CE29" s="951">
        <v>2502000</v>
      </c>
      <c r="CF29" s="836"/>
      <c r="CG29" s="836"/>
      <c r="CH29" s="951">
        <f>SUM(CC29:CG29)</f>
        <v>4686000</v>
      </c>
    </row>
    <row r="30" spans="1:86" x14ac:dyDescent="0.2">
      <c r="A30" s="836">
        <v>13</v>
      </c>
      <c r="B30" s="836" t="s">
        <v>79</v>
      </c>
      <c r="C30" s="836" t="s">
        <v>114</v>
      </c>
      <c r="D30" s="1096">
        <v>43858</v>
      </c>
      <c r="E30" s="1096"/>
      <c r="F30" s="1096">
        <v>43879</v>
      </c>
      <c r="G30" s="1096"/>
      <c r="H30" s="1096"/>
      <c r="I30" s="951"/>
      <c r="K30" s="1097">
        <v>43893</v>
      </c>
      <c r="L30" s="1097"/>
      <c r="M30" s="1097">
        <v>43907</v>
      </c>
      <c r="N30" s="1097"/>
      <c r="O30" s="1097"/>
      <c r="P30" s="1098"/>
      <c r="R30" s="1097">
        <v>43921</v>
      </c>
      <c r="S30" s="1097"/>
      <c r="T30" s="1116"/>
      <c r="U30" s="1116"/>
      <c r="V30" s="1097"/>
      <c r="W30" s="1099"/>
      <c r="Y30" s="1097">
        <v>43949</v>
      </c>
      <c r="Z30" s="1097"/>
      <c r="AA30" s="1097"/>
      <c r="AB30" s="1097"/>
      <c r="AC30" s="1097"/>
      <c r="AD30" s="951"/>
      <c r="AF30" s="1097">
        <v>43991</v>
      </c>
      <c r="AG30" s="1097"/>
      <c r="AH30" s="1097">
        <v>43991</v>
      </c>
      <c r="AI30" s="1097"/>
      <c r="AJ30" s="1097"/>
      <c r="AK30" s="951"/>
      <c r="AM30" s="1097">
        <v>44005</v>
      </c>
      <c r="AN30" s="836"/>
      <c r="AO30" s="836"/>
      <c r="AP30" s="836"/>
      <c r="AQ30" s="836"/>
      <c r="AR30" s="951"/>
      <c r="AT30" s="835">
        <v>44047</v>
      </c>
      <c r="AU30" s="836"/>
      <c r="AV30" s="835">
        <v>44068</v>
      </c>
      <c r="AW30" s="836"/>
      <c r="AX30" s="836"/>
      <c r="AY30" s="836"/>
      <c r="BA30" s="835">
        <v>44082</v>
      </c>
      <c r="BB30" s="836"/>
      <c r="BC30" s="835">
        <v>44096</v>
      </c>
      <c r="BD30" s="836"/>
      <c r="BE30" s="836"/>
      <c r="BF30" s="836"/>
      <c r="BH30" s="835">
        <v>44110</v>
      </c>
      <c r="BI30" s="836"/>
      <c r="BJ30" s="835">
        <v>44124</v>
      </c>
      <c r="BK30" s="836"/>
      <c r="BL30" s="836"/>
      <c r="BM30" s="836"/>
      <c r="BO30" s="835">
        <v>44138</v>
      </c>
      <c r="BP30" s="836"/>
      <c r="BQ30" s="835">
        <v>44159</v>
      </c>
      <c r="BR30" s="836"/>
      <c r="BS30" s="836"/>
      <c r="BT30" s="836"/>
      <c r="BV30" s="835">
        <v>44173</v>
      </c>
      <c r="BW30" s="836"/>
      <c r="BX30" s="835">
        <v>44187</v>
      </c>
      <c r="BY30" s="836"/>
      <c r="BZ30" s="836"/>
      <c r="CA30" s="836"/>
      <c r="CC30" s="835">
        <v>44208</v>
      </c>
      <c r="CD30" s="836"/>
      <c r="CE30" s="835">
        <v>44222</v>
      </c>
      <c r="CF30" s="836"/>
      <c r="CG30" s="836"/>
      <c r="CH30" s="951"/>
    </row>
    <row r="31" spans="1:86" x14ac:dyDescent="0.2">
      <c r="A31" s="836"/>
      <c r="B31" s="836"/>
      <c r="C31" s="836" t="s">
        <v>3480</v>
      </c>
      <c r="D31" s="1100">
        <v>919716</v>
      </c>
      <c r="E31" s="1100"/>
      <c r="F31" s="1101">
        <v>836025</v>
      </c>
      <c r="G31" s="1101"/>
      <c r="H31" s="1101"/>
      <c r="I31" s="951">
        <f>SUM(D31:H31)</f>
        <v>1755741</v>
      </c>
      <c r="K31" s="1100">
        <v>1047909</v>
      </c>
      <c r="L31" s="1100"/>
      <c r="M31" s="1101">
        <v>816000</v>
      </c>
      <c r="N31" s="1101"/>
      <c r="O31" s="1106"/>
      <c r="P31" s="1098">
        <f>SUM(K31:O31)</f>
        <v>1863909</v>
      </c>
      <c r="R31" s="1100">
        <v>599006</v>
      </c>
      <c r="S31" s="1100"/>
      <c r="T31" s="1122"/>
      <c r="U31" s="1122"/>
      <c r="V31" s="1098"/>
      <c r="W31" s="1099">
        <f>SUM(R31:V31)</f>
        <v>599006</v>
      </c>
      <c r="Y31" s="837">
        <v>888413</v>
      </c>
      <c r="Z31" s="1103"/>
      <c r="AA31" s="836"/>
      <c r="AB31" s="836"/>
      <c r="AC31" s="836"/>
      <c r="AD31" s="951">
        <f>SUM(Y31:AC31)</f>
        <v>888413</v>
      </c>
      <c r="AF31" s="837">
        <v>812475</v>
      </c>
      <c r="AG31" s="837"/>
      <c r="AH31" s="1104">
        <v>774000</v>
      </c>
      <c r="AI31" s="1104"/>
      <c r="AJ31" s="836"/>
      <c r="AK31" s="951">
        <f>SUM(AF31:AJ31)</f>
        <v>1586475</v>
      </c>
      <c r="AM31" s="837">
        <v>981338</v>
      </c>
      <c r="AN31" s="837"/>
      <c r="AO31" s="951"/>
      <c r="AP31" s="951"/>
      <c r="AQ31" s="951"/>
      <c r="AR31" s="951">
        <f>SUM(AM31:AQ31)</f>
        <v>981338</v>
      </c>
      <c r="AT31" s="837">
        <v>903304</v>
      </c>
      <c r="AU31" s="837"/>
      <c r="AV31" s="1102">
        <v>1180000</v>
      </c>
      <c r="AW31" s="1102"/>
      <c r="AX31" s="951"/>
      <c r="AY31" s="951">
        <f>SUM(AT31:AX31)</f>
        <v>2083304</v>
      </c>
      <c r="BA31" s="837">
        <v>762000</v>
      </c>
      <c r="BB31" s="837"/>
      <c r="BC31" s="951">
        <v>1044000</v>
      </c>
      <c r="BD31" s="951"/>
      <c r="BE31" s="951"/>
      <c r="BF31" s="951">
        <f>SUM(BA31:BE31)</f>
        <v>1806000</v>
      </c>
      <c r="BH31" s="837">
        <v>1014000</v>
      </c>
      <c r="BI31" s="837"/>
      <c r="BJ31" s="1102">
        <v>913500</v>
      </c>
      <c r="BK31" s="1102"/>
      <c r="BL31" s="951"/>
      <c r="BM31" s="951">
        <f>SUM(BH31:BL31)</f>
        <v>1927500</v>
      </c>
      <c r="BO31" s="951">
        <v>819000</v>
      </c>
      <c r="BP31" s="951"/>
      <c r="BQ31" s="951">
        <v>969000</v>
      </c>
      <c r="BR31" s="951"/>
      <c r="BS31" s="951"/>
      <c r="BT31" s="951">
        <f>SUM(BO31:BS31)</f>
        <v>1788000</v>
      </c>
      <c r="BV31" s="951">
        <v>718438</v>
      </c>
      <c r="BW31" s="951"/>
      <c r="BX31" s="951">
        <v>808500</v>
      </c>
      <c r="BY31" s="951"/>
      <c r="BZ31" s="951"/>
      <c r="CA31" s="951">
        <f>SUM(BV31:BZ31)</f>
        <v>1526938</v>
      </c>
      <c r="CB31" s="717"/>
      <c r="CC31" s="951">
        <v>790500</v>
      </c>
      <c r="CD31" s="951"/>
      <c r="CE31" s="951">
        <v>851906</v>
      </c>
      <c r="CF31" s="836"/>
      <c r="CG31" s="836"/>
      <c r="CH31" s="951">
        <f>SUM(CC31:CG31)</f>
        <v>1642406</v>
      </c>
    </row>
    <row r="32" spans="1:86" x14ac:dyDescent="0.2">
      <c r="AR32" s="717"/>
      <c r="CH32" s="717"/>
    </row>
    <row r="35" spans="1:86" x14ac:dyDescent="0.2">
      <c r="A35" s="317" t="s">
        <v>3472</v>
      </c>
    </row>
    <row r="36" spans="1:86" x14ac:dyDescent="0.2">
      <c r="A36" s="317" t="s">
        <v>6040</v>
      </c>
    </row>
    <row r="37" spans="1:86" x14ac:dyDescent="0.2">
      <c r="A37" s="1611" t="s">
        <v>131</v>
      </c>
      <c r="B37" s="1611" t="s">
        <v>139</v>
      </c>
      <c r="C37" s="1611" t="s">
        <v>3479</v>
      </c>
      <c r="D37" s="1611" t="s">
        <v>3443</v>
      </c>
      <c r="E37" s="1611"/>
      <c r="F37" s="1611"/>
      <c r="G37" s="1611"/>
      <c r="H37" s="1611"/>
      <c r="I37" s="1611" t="s">
        <v>24</v>
      </c>
      <c r="K37" s="1611" t="s">
        <v>3443</v>
      </c>
      <c r="L37" s="1611"/>
      <c r="M37" s="1611"/>
      <c r="N37" s="1611"/>
      <c r="O37" s="1611"/>
      <c r="P37" s="1611" t="s">
        <v>24</v>
      </c>
      <c r="R37" s="1611" t="s">
        <v>3443</v>
      </c>
      <c r="S37" s="1611"/>
      <c r="T37" s="1611"/>
      <c r="U37" s="1611"/>
      <c r="V37" s="1611"/>
      <c r="W37" s="1612" t="s">
        <v>24</v>
      </c>
      <c r="Y37" s="1611" t="s">
        <v>3443</v>
      </c>
      <c r="Z37" s="1611"/>
      <c r="AA37" s="1611"/>
      <c r="AB37" s="1611"/>
      <c r="AC37" s="1611"/>
      <c r="AD37" s="1611" t="s">
        <v>24</v>
      </c>
      <c r="AF37" s="1611" t="s">
        <v>3443</v>
      </c>
      <c r="AG37" s="1611"/>
      <c r="AH37" s="1611"/>
      <c r="AI37" s="1611"/>
      <c r="AJ37" s="1611"/>
      <c r="AK37" s="1611" t="s">
        <v>24</v>
      </c>
      <c r="AM37" s="1611" t="s">
        <v>3443</v>
      </c>
      <c r="AN37" s="1611"/>
      <c r="AO37" s="1611"/>
      <c r="AP37" s="1611"/>
      <c r="AQ37" s="1611"/>
      <c r="AR37" s="1611" t="s">
        <v>24</v>
      </c>
      <c r="AT37" s="1611" t="s">
        <v>3443</v>
      </c>
      <c r="AU37" s="1611"/>
      <c r="AV37" s="1611"/>
      <c r="AW37" s="1611"/>
      <c r="AX37" s="1611"/>
      <c r="AY37" s="1611" t="s">
        <v>24</v>
      </c>
      <c r="BA37" s="1611" t="s">
        <v>3443</v>
      </c>
      <c r="BB37" s="1611"/>
      <c r="BC37" s="1611"/>
      <c r="BD37" s="1611"/>
      <c r="BE37" s="1611"/>
      <c r="BF37" s="1611" t="s">
        <v>24</v>
      </c>
      <c r="BH37" s="1611" t="s">
        <v>3443</v>
      </c>
      <c r="BI37" s="1611"/>
      <c r="BJ37" s="1611"/>
      <c r="BK37" s="1611"/>
      <c r="BL37" s="1611"/>
      <c r="BM37" s="1611" t="s">
        <v>24</v>
      </c>
      <c r="BO37" s="1611" t="s">
        <v>3443</v>
      </c>
      <c r="BP37" s="1611"/>
      <c r="BQ37" s="1611"/>
      <c r="BR37" s="1611"/>
      <c r="BS37" s="1611"/>
      <c r="BT37" s="1611" t="s">
        <v>24</v>
      </c>
      <c r="BV37" s="1611" t="s">
        <v>3443</v>
      </c>
      <c r="BW37" s="1611"/>
      <c r="BX37" s="1611"/>
      <c r="BY37" s="1611"/>
      <c r="BZ37" s="1611"/>
      <c r="CA37" s="1611" t="s">
        <v>24</v>
      </c>
      <c r="CC37" s="1611" t="s">
        <v>3443</v>
      </c>
      <c r="CD37" s="1611"/>
      <c r="CE37" s="1611"/>
      <c r="CF37" s="1611"/>
      <c r="CG37" s="1611"/>
      <c r="CH37" s="1611" t="s">
        <v>24</v>
      </c>
    </row>
    <row r="38" spans="1:86" x14ac:dyDescent="0.2">
      <c r="A38" s="1611"/>
      <c r="B38" s="1611"/>
      <c r="C38" s="1611"/>
      <c r="D38" s="1611" t="s">
        <v>3473</v>
      </c>
      <c r="E38" s="1611"/>
      <c r="F38" s="1611"/>
      <c r="G38" s="1611"/>
      <c r="H38" s="1611"/>
      <c r="I38" s="1611"/>
      <c r="K38" s="1611" t="s">
        <v>3482</v>
      </c>
      <c r="L38" s="1611"/>
      <c r="M38" s="1611"/>
      <c r="N38" s="1611"/>
      <c r="O38" s="1611"/>
      <c r="P38" s="1611"/>
      <c r="R38" s="1611" t="s">
        <v>3483</v>
      </c>
      <c r="S38" s="1611"/>
      <c r="T38" s="1611"/>
      <c r="U38" s="1611"/>
      <c r="V38" s="1611"/>
      <c r="W38" s="1612"/>
      <c r="Y38" s="1611" t="s">
        <v>3485</v>
      </c>
      <c r="Z38" s="1611"/>
      <c r="AA38" s="1611"/>
      <c r="AB38" s="1611"/>
      <c r="AC38" s="1611"/>
      <c r="AD38" s="1611"/>
      <c r="AF38" s="1611" t="s">
        <v>3448</v>
      </c>
      <c r="AG38" s="1611"/>
      <c r="AH38" s="1611"/>
      <c r="AI38" s="1611"/>
      <c r="AJ38" s="1611"/>
      <c r="AK38" s="1611"/>
      <c r="AM38" s="1611" t="s">
        <v>3449</v>
      </c>
      <c r="AN38" s="1611"/>
      <c r="AO38" s="1611"/>
      <c r="AP38" s="1611"/>
      <c r="AQ38" s="1611"/>
      <c r="AR38" s="1611"/>
      <c r="AT38" s="1611" t="s">
        <v>3450</v>
      </c>
      <c r="AU38" s="1611"/>
      <c r="AV38" s="1611"/>
      <c r="AW38" s="1611"/>
      <c r="AX38" s="1611"/>
      <c r="AY38" s="1611"/>
      <c r="BA38" s="1611" t="s">
        <v>3488</v>
      </c>
      <c r="BB38" s="1611"/>
      <c r="BC38" s="1611"/>
      <c r="BD38" s="1611"/>
      <c r="BE38" s="1611"/>
      <c r="BF38" s="1611"/>
      <c r="BH38" s="1611" t="s">
        <v>3487</v>
      </c>
      <c r="BI38" s="1611"/>
      <c r="BJ38" s="1611"/>
      <c r="BK38" s="1611"/>
      <c r="BL38" s="1611"/>
      <c r="BM38" s="1611"/>
      <c r="BO38" s="1611" t="s">
        <v>3486</v>
      </c>
      <c r="BP38" s="1611"/>
      <c r="BQ38" s="1611"/>
      <c r="BR38" s="1611"/>
      <c r="BS38" s="1611"/>
      <c r="BT38" s="1611"/>
      <c r="BV38" s="1611" t="s">
        <v>135</v>
      </c>
      <c r="BW38" s="1611"/>
      <c r="BX38" s="1611"/>
      <c r="BY38" s="1611"/>
      <c r="BZ38" s="1611"/>
      <c r="CA38" s="1611"/>
      <c r="CC38" s="1611" t="s">
        <v>134</v>
      </c>
      <c r="CD38" s="1611"/>
      <c r="CE38" s="1611"/>
      <c r="CF38" s="1611"/>
      <c r="CG38" s="1611"/>
      <c r="CH38" s="1611"/>
    </row>
    <row r="39" spans="1:86" x14ac:dyDescent="0.2">
      <c r="A39" s="1611"/>
      <c r="B39" s="1611"/>
      <c r="C39" s="1611"/>
      <c r="D39" s="1394" t="s">
        <v>3474</v>
      </c>
      <c r="E39" s="1394" t="s">
        <v>3475</v>
      </c>
      <c r="F39" s="1394" t="s">
        <v>3476</v>
      </c>
      <c r="G39" s="1394" t="s">
        <v>3477</v>
      </c>
      <c r="H39" s="1394" t="s">
        <v>3478</v>
      </c>
      <c r="I39" s="1611"/>
      <c r="K39" s="1394" t="s">
        <v>3474</v>
      </c>
      <c r="L39" s="1394" t="s">
        <v>3475</v>
      </c>
      <c r="M39" s="1394" t="s">
        <v>3476</v>
      </c>
      <c r="N39" s="1394" t="s">
        <v>3477</v>
      </c>
      <c r="O39" s="1394" t="s">
        <v>3478</v>
      </c>
      <c r="P39" s="1611"/>
      <c r="R39" s="1394" t="s">
        <v>3474</v>
      </c>
      <c r="S39" s="1394" t="s">
        <v>3475</v>
      </c>
      <c r="T39" s="1394" t="s">
        <v>3476</v>
      </c>
      <c r="U39" s="1394" t="s">
        <v>3477</v>
      </c>
      <c r="V39" s="1394" t="s">
        <v>3478</v>
      </c>
      <c r="W39" s="1612"/>
      <c r="Y39" s="1394" t="s">
        <v>3474</v>
      </c>
      <c r="Z39" s="1394" t="s">
        <v>3475</v>
      </c>
      <c r="AA39" s="1394" t="s">
        <v>3476</v>
      </c>
      <c r="AB39" s="1394" t="s">
        <v>3477</v>
      </c>
      <c r="AC39" s="1394" t="s">
        <v>3478</v>
      </c>
      <c r="AD39" s="1611"/>
      <c r="AF39" s="1394" t="s">
        <v>3474</v>
      </c>
      <c r="AG39" s="1394" t="s">
        <v>3475</v>
      </c>
      <c r="AH39" s="1394" t="s">
        <v>3476</v>
      </c>
      <c r="AI39" s="1394" t="s">
        <v>3477</v>
      </c>
      <c r="AJ39" s="1394" t="s">
        <v>3478</v>
      </c>
      <c r="AK39" s="1611"/>
      <c r="AM39" s="1394" t="s">
        <v>3474</v>
      </c>
      <c r="AN39" s="1394" t="s">
        <v>3475</v>
      </c>
      <c r="AO39" s="1394" t="s">
        <v>3476</v>
      </c>
      <c r="AP39" s="1394" t="s">
        <v>3477</v>
      </c>
      <c r="AQ39" s="1394" t="s">
        <v>3478</v>
      </c>
      <c r="AR39" s="1611"/>
      <c r="AT39" s="1394" t="s">
        <v>3474</v>
      </c>
      <c r="AU39" s="1394" t="s">
        <v>3475</v>
      </c>
      <c r="AV39" s="1394" t="s">
        <v>3476</v>
      </c>
      <c r="AW39" s="1394" t="s">
        <v>3477</v>
      </c>
      <c r="AX39" s="1394" t="s">
        <v>3478</v>
      </c>
      <c r="AY39" s="1611"/>
      <c r="BA39" s="1394" t="s">
        <v>3474</v>
      </c>
      <c r="BB39" s="1394" t="s">
        <v>3475</v>
      </c>
      <c r="BC39" s="1394" t="s">
        <v>3476</v>
      </c>
      <c r="BD39" s="1394" t="s">
        <v>3477</v>
      </c>
      <c r="BE39" s="1394" t="s">
        <v>3478</v>
      </c>
      <c r="BF39" s="1611"/>
      <c r="BH39" s="1394" t="s">
        <v>3474</v>
      </c>
      <c r="BI39" s="1394" t="s">
        <v>3475</v>
      </c>
      <c r="BJ39" s="1394" t="s">
        <v>3476</v>
      </c>
      <c r="BK39" s="1394" t="s">
        <v>3477</v>
      </c>
      <c r="BL39" s="1394" t="s">
        <v>3478</v>
      </c>
      <c r="BM39" s="1611"/>
      <c r="BO39" s="1394" t="s">
        <v>3474</v>
      </c>
      <c r="BP39" s="1394" t="s">
        <v>3475</v>
      </c>
      <c r="BQ39" s="1394" t="s">
        <v>3476</v>
      </c>
      <c r="BR39" s="1394" t="s">
        <v>3477</v>
      </c>
      <c r="BS39" s="1394" t="s">
        <v>3478</v>
      </c>
      <c r="BT39" s="1611"/>
      <c r="BV39" s="1394" t="s">
        <v>3474</v>
      </c>
      <c r="BW39" s="1394" t="s">
        <v>3475</v>
      </c>
      <c r="BX39" s="1394" t="s">
        <v>3476</v>
      </c>
      <c r="BY39" s="1394" t="s">
        <v>3477</v>
      </c>
      <c r="BZ39" s="1394" t="s">
        <v>3478</v>
      </c>
      <c r="CA39" s="1611"/>
      <c r="CC39" s="1394" t="s">
        <v>3474</v>
      </c>
      <c r="CD39" s="1394" t="s">
        <v>3475</v>
      </c>
      <c r="CE39" s="1394" t="s">
        <v>3476</v>
      </c>
      <c r="CF39" s="1394" t="s">
        <v>3477</v>
      </c>
      <c r="CG39" s="1394" t="s">
        <v>3478</v>
      </c>
      <c r="CH39" s="1611"/>
    </row>
    <row r="40" spans="1:86" x14ac:dyDescent="0.2">
      <c r="A40" s="836">
        <v>1</v>
      </c>
      <c r="B40" s="836" t="s">
        <v>80</v>
      </c>
      <c r="C40" s="836" t="s">
        <v>114</v>
      </c>
      <c r="D40" s="1123">
        <v>44235</v>
      </c>
      <c r="E40" s="1123"/>
      <c r="F40" s="1123">
        <v>44249</v>
      </c>
      <c r="G40" s="1123"/>
      <c r="H40" s="1123"/>
      <c r="I40" s="836"/>
      <c r="K40" s="920">
        <v>44263</v>
      </c>
      <c r="L40" s="920"/>
      <c r="M40" s="1124">
        <v>44277</v>
      </c>
      <c r="N40" s="920"/>
      <c r="O40" s="951"/>
      <c r="P40" s="951"/>
      <c r="R40" s="950">
        <v>44305</v>
      </c>
      <c r="S40" s="950"/>
      <c r="T40" s="950">
        <v>44312</v>
      </c>
      <c r="U40" s="950"/>
      <c r="V40" s="950"/>
      <c r="W40" s="1099"/>
      <c r="Y40" s="950"/>
      <c r="Z40" s="950"/>
      <c r="AA40" s="918">
        <v>44347</v>
      </c>
      <c r="AB40" s="950"/>
      <c r="AC40" s="950"/>
      <c r="AD40" s="951"/>
      <c r="AF40" s="918">
        <v>44361</v>
      </c>
      <c r="AG40" s="919"/>
      <c r="AH40" s="835">
        <v>44375</v>
      </c>
      <c r="AI40" s="919"/>
      <c r="AJ40" s="919"/>
      <c r="AK40" s="836"/>
      <c r="AM40" s="918">
        <v>44396</v>
      </c>
      <c r="AN40" s="920">
        <v>3066000</v>
      </c>
      <c r="AO40" s="918">
        <v>44407</v>
      </c>
      <c r="AP40" s="919"/>
      <c r="AQ40" s="919"/>
      <c r="AR40" s="836"/>
      <c r="AT40" s="918">
        <v>44431</v>
      </c>
      <c r="AU40" s="919"/>
      <c r="AV40" s="918">
        <v>44438</v>
      </c>
      <c r="AW40" s="919"/>
      <c r="AX40" s="919"/>
      <c r="AY40" s="836"/>
      <c r="BA40" s="918"/>
      <c r="BB40" s="919"/>
      <c r="BC40" s="918">
        <v>44473</v>
      </c>
      <c r="BD40" s="919"/>
      <c r="BE40" s="919"/>
      <c r="BF40" s="836"/>
      <c r="BH40" s="918">
        <v>44497</v>
      </c>
      <c r="BI40" s="919"/>
      <c r="BJ40" s="919"/>
      <c r="BK40" s="919"/>
      <c r="BL40" s="919"/>
      <c r="BM40" s="836"/>
      <c r="BO40" s="835">
        <v>44515</v>
      </c>
      <c r="BP40" s="836"/>
      <c r="BQ40" s="835">
        <v>44522</v>
      </c>
      <c r="BR40" s="836"/>
      <c r="BS40" s="836"/>
      <c r="BT40" s="836"/>
      <c r="BV40" s="835">
        <v>44543</v>
      </c>
      <c r="BW40" s="836"/>
      <c r="BX40" s="835"/>
      <c r="BY40" s="836"/>
      <c r="BZ40" s="836"/>
      <c r="CA40" s="836"/>
      <c r="CC40" s="835"/>
      <c r="CD40" s="836"/>
      <c r="CE40" s="835"/>
      <c r="CF40" s="836"/>
      <c r="CG40" s="836"/>
      <c r="CH40" s="951"/>
    </row>
    <row r="41" spans="1:86" x14ac:dyDescent="0.2">
      <c r="A41" s="836"/>
      <c r="B41" s="836"/>
      <c r="C41" s="836" t="s">
        <v>3480</v>
      </c>
      <c r="D41" s="920">
        <v>3107000</v>
      </c>
      <c r="E41" s="920"/>
      <c r="F41" s="920">
        <v>2932500</v>
      </c>
      <c r="G41" s="920"/>
      <c r="H41" s="920"/>
      <c r="I41" s="951">
        <f>SUM(D41:H41)</f>
        <v>6039500</v>
      </c>
      <c r="K41" s="920">
        <v>3002438</v>
      </c>
      <c r="L41" s="920"/>
      <c r="M41" s="920">
        <v>3007500</v>
      </c>
      <c r="N41" s="920"/>
      <c r="O41" s="951"/>
      <c r="P41" s="951">
        <f>SUM(K41:O41)</f>
        <v>6009938</v>
      </c>
      <c r="R41" s="920">
        <v>2918063</v>
      </c>
      <c r="S41" s="920"/>
      <c r="T41" s="920">
        <v>3192144</v>
      </c>
      <c r="U41" s="920"/>
      <c r="V41" s="920"/>
      <c r="W41" s="1099">
        <f>SUM(R41:V41)</f>
        <v>6110207</v>
      </c>
      <c r="Y41" s="920"/>
      <c r="Z41" s="919"/>
      <c r="AA41" s="920">
        <v>3128438</v>
      </c>
      <c r="AB41" s="919"/>
      <c r="AC41" s="919"/>
      <c r="AD41" s="951">
        <f>SUM(Y41:AC41)</f>
        <v>3128438</v>
      </c>
      <c r="AF41" s="920">
        <v>1687500</v>
      </c>
      <c r="AG41" s="920"/>
      <c r="AH41" s="951">
        <v>3269525</v>
      </c>
      <c r="AI41" s="920"/>
      <c r="AJ41" s="920"/>
      <c r="AK41" s="836">
        <f>SUM(AF41:AJ41)</f>
        <v>4957025</v>
      </c>
      <c r="AM41" s="920"/>
      <c r="AN41" s="919"/>
      <c r="AO41" s="920">
        <v>2832150</v>
      </c>
      <c r="AP41" s="919"/>
      <c r="AQ41" s="919"/>
      <c r="AR41" s="951">
        <f>SUM(AM41:AQ41)</f>
        <v>2832150</v>
      </c>
      <c r="AT41" s="920">
        <v>2844563</v>
      </c>
      <c r="AU41" s="920"/>
      <c r="AV41" s="920">
        <v>3058464</v>
      </c>
      <c r="AW41" s="920"/>
      <c r="AX41" s="920"/>
      <c r="AY41" s="951">
        <f>SUM(AT41:AX41)</f>
        <v>5903027</v>
      </c>
      <c r="BA41" s="920"/>
      <c r="BB41" s="920"/>
      <c r="BC41" s="920">
        <v>3845512</v>
      </c>
      <c r="BD41" s="920"/>
      <c r="BE41" s="920"/>
      <c r="BF41" s="951">
        <f>SUM(BA41:BE41)</f>
        <v>3845512</v>
      </c>
      <c r="BH41" s="920">
        <v>3434134</v>
      </c>
      <c r="BI41" s="920"/>
      <c r="BJ41" s="920"/>
      <c r="BK41" s="920"/>
      <c r="BL41" s="920"/>
      <c r="BM41" s="951">
        <f>SUM(BH41:BL41)</f>
        <v>3434134</v>
      </c>
      <c r="BO41" s="951">
        <v>3678675</v>
      </c>
      <c r="BP41" s="836"/>
      <c r="BQ41" s="951">
        <v>1709641</v>
      </c>
      <c r="BR41" s="951"/>
      <c r="BS41" s="951"/>
      <c r="BT41" s="951">
        <f>SUM(BO41:BS41)</f>
        <v>5388316</v>
      </c>
      <c r="BV41" s="951">
        <v>2216920</v>
      </c>
      <c r="BW41" s="951"/>
      <c r="BX41" s="951"/>
      <c r="BY41" s="951"/>
      <c r="BZ41" s="951"/>
      <c r="CA41" s="951">
        <f>SUM(BV41:BZ41)</f>
        <v>2216920</v>
      </c>
      <c r="CB41" s="717"/>
      <c r="CC41" s="951"/>
      <c r="CD41" s="951"/>
      <c r="CE41" s="951"/>
      <c r="CF41" s="836"/>
      <c r="CG41" s="836"/>
      <c r="CH41" s="951">
        <f>SUM(CC41:CG41)</f>
        <v>0</v>
      </c>
    </row>
    <row r="42" spans="1:86" x14ac:dyDescent="0.2">
      <c r="A42" s="836">
        <v>2</v>
      </c>
      <c r="B42" s="836" t="s">
        <v>83</v>
      </c>
      <c r="C42" s="836" t="s">
        <v>114</v>
      </c>
      <c r="D42" s="1123">
        <v>44235</v>
      </c>
      <c r="E42" s="1123"/>
      <c r="F42" s="1123">
        <v>44249</v>
      </c>
      <c r="G42" s="1123"/>
      <c r="H42" s="1123"/>
      <c r="I42" s="951"/>
      <c r="K42" s="1124">
        <v>44263</v>
      </c>
      <c r="L42" s="1124"/>
      <c r="M42" s="1124">
        <v>44277</v>
      </c>
      <c r="N42" s="1124"/>
      <c r="O42" s="1125"/>
      <c r="P42" s="1125"/>
      <c r="R42" s="950">
        <v>44312</v>
      </c>
      <c r="S42" s="950"/>
      <c r="T42" s="950">
        <v>44312</v>
      </c>
      <c r="U42" s="950"/>
      <c r="V42" s="950"/>
      <c r="W42" s="1099"/>
      <c r="Y42" s="950"/>
      <c r="Z42" s="950"/>
      <c r="AA42" s="950">
        <v>44347</v>
      </c>
      <c r="AB42" s="950"/>
      <c r="AC42" s="950"/>
      <c r="AD42" s="951"/>
      <c r="AF42" s="950">
        <v>44361</v>
      </c>
      <c r="AG42" s="950"/>
      <c r="AH42" s="835">
        <v>44375</v>
      </c>
      <c r="AI42" s="950"/>
      <c r="AJ42" s="950"/>
      <c r="AK42" s="836"/>
      <c r="AM42" s="918">
        <v>44396</v>
      </c>
      <c r="AN42" s="920">
        <v>3312000</v>
      </c>
      <c r="AO42" s="918">
        <v>44407</v>
      </c>
      <c r="AP42" s="919"/>
      <c r="AQ42" s="919"/>
      <c r="AR42" s="951"/>
      <c r="AT42" s="918">
        <v>44431</v>
      </c>
      <c r="AU42" s="919"/>
      <c r="AV42" s="918">
        <v>44438</v>
      </c>
      <c r="AW42" s="919"/>
      <c r="AX42" s="919"/>
      <c r="AY42" s="836"/>
      <c r="BA42" s="918"/>
      <c r="BB42" s="919"/>
      <c r="BC42" s="918">
        <v>44473</v>
      </c>
      <c r="BD42" s="919"/>
      <c r="BE42" s="919"/>
      <c r="BF42" s="836"/>
      <c r="BH42" s="918">
        <v>44497</v>
      </c>
      <c r="BI42" s="919"/>
      <c r="BJ42" s="918">
        <v>44508</v>
      </c>
      <c r="BK42" s="919"/>
      <c r="BL42" s="919"/>
      <c r="BM42" s="836"/>
      <c r="BO42" s="835">
        <v>44515</v>
      </c>
      <c r="BP42" s="836"/>
      <c r="BQ42" s="835">
        <v>44522</v>
      </c>
      <c r="BR42" s="836"/>
      <c r="BS42" s="836"/>
      <c r="BT42" s="836"/>
      <c r="BV42" s="835">
        <v>44543</v>
      </c>
      <c r="BW42" s="836"/>
      <c r="BX42" s="835">
        <v>44550</v>
      </c>
      <c r="BY42" s="836"/>
      <c r="BZ42" s="836"/>
      <c r="CA42" s="836"/>
      <c r="CC42" s="835"/>
      <c r="CD42" s="836"/>
      <c r="CE42" s="835"/>
      <c r="CF42" s="836"/>
      <c r="CG42" s="836"/>
      <c r="CH42" s="951"/>
    </row>
    <row r="43" spans="1:86" x14ac:dyDescent="0.2">
      <c r="A43" s="836"/>
      <c r="B43" s="836"/>
      <c r="C43" s="836" t="s">
        <v>3480</v>
      </c>
      <c r="D43" s="920">
        <v>3654000</v>
      </c>
      <c r="E43" s="920"/>
      <c r="F43" s="920">
        <v>3558000</v>
      </c>
      <c r="G43" s="920"/>
      <c r="H43" s="920"/>
      <c r="I43" s="951">
        <f>SUM(D43:H43)</f>
        <v>7212000</v>
      </c>
      <c r="K43" s="920">
        <v>3504000</v>
      </c>
      <c r="L43" s="920"/>
      <c r="M43" s="920">
        <v>3618000</v>
      </c>
      <c r="N43" s="920"/>
      <c r="O43" s="920"/>
      <c r="P43" s="951">
        <f>SUM(K43:O43)</f>
        <v>7122000</v>
      </c>
      <c r="R43" s="1126">
        <v>1800000</v>
      </c>
      <c r="S43" s="1106"/>
      <c r="T43" s="920">
        <v>2136000</v>
      </c>
      <c r="U43" s="919"/>
      <c r="V43" s="919"/>
      <c r="W43" s="1099">
        <f>SUM(R43:V43)</f>
        <v>3936000</v>
      </c>
      <c r="Y43" s="920"/>
      <c r="Z43" s="919"/>
      <c r="AA43" s="920">
        <v>2142000</v>
      </c>
      <c r="AB43" s="919"/>
      <c r="AC43" s="919"/>
      <c r="AD43" s="951">
        <f>SUM(Y43:AC43)</f>
        <v>2142000</v>
      </c>
      <c r="AF43" s="920">
        <v>948000</v>
      </c>
      <c r="AG43" s="919"/>
      <c r="AH43" s="951">
        <v>1906500</v>
      </c>
      <c r="AI43" s="919"/>
      <c r="AJ43" s="919"/>
      <c r="AK43" s="951">
        <f>SUM(AF43:AJ43)</f>
        <v>2854500</v>
      </c>
      <c r="AM43" s="920"/>
      <c r="AN43" s="919"/>
      <c r="AO43" s="920">
        <v>3306000</v>
      </c>
      <c r="AP43" s="919"/>
      <c r="AQ43" s="919"/>
      <c r="AR43" s="951">
        <f>SUM(AM43:AQ43)</f>
        <v>3306000</v>
      </c>
      <c r="AT43" s="920">
        <v>3244500</v>
      </c>
      <c r="AU43" s="920"/>
      <c r="AV43" s="920">
        <v>3516000</v>
      </c>
      <c r="AW43" s="920"/>
      <c r="AX43" s="920"/>
      <c r="AY43" s="951">
        <f>SUM(AT43:AX43)</f>
        <v>6760500</v>
      </c>
      <c r="BA43" s="920"/>
      <c r="BB43" s="920"/>
      <c r="BC43" s="920">
        <v>3433500</v>
      </c>
      <c r="BD43" s="920"/>
      <c r="BE43" s="920"/>
      <c r="BF43" s="951">
        <f>SUM(BA43:BE43)</f>
        <v>3433500</v>
      </c>
      <c r="BH43" s="920">
        <v>3282000</v>
      </c>
      <c r="BI43" s="920"/>
      <c r="BJ43" s="920">
        <v>3570000</v>
      </c>
      <c r="BK43" s="920"/>
      <c r="BL43" s="920"/>
      <c r="BM43" s="951">
        <f>SUM(BH43:BL43)</f>
        <v>6852000</v>
      </c>
      <c r="BO43" s="951">
        <v>3174000</v>
      </c>
      <c r="BP43" s="951"/>
      <c r="BQ43" s="951">
        <v>3612000</v>
      </c>
      <c r="BR43" s="951"/>
      <c r="BS43" s="951"/>
      <c r="BT43" s="951">
        <f>SUM(BO43:BS43)</f>
        <v>6786000</v>
      </c>
      <c r="BV43" s="951">
        <v>3312000</v>
      </c>
      <c r="BW43" s="951"/>
      <c r="BX43" s="951">
        <v>3402000</v>
      </c>
      <c r="BY43" s="951"/>
      <c r="BZ43" s="951"/>
      <c r="CA43" s="951">
        <f>SUM(BV43:BZ43)</f>
        <v>6714000</v>
      </c>
      <c r="CB43" s="717"/>
      <c r="CC43" s="951"/>
      <c r="CD43" s="836"/>
      <c r="CE43" s="951"/>
      <c r="CF43" s="836"/>
      <c r="CG43" s="836"/>
      <c r="CH43" s="951">
        <f>SUM(CC43:CG43)</f>
        <v>0</v>
      </c>
    </row>
    <row r="44" spans="1:86" x14ac:dyDescent="0.2">
      <c r="A44" s="836">
        <v>3</v>
      </c>
      <c r="B44" s="836" t="s">
        <v>88</v>
      </c>
      <c r="C44" s="836" t="s">
        <v>114</v>
      </c>
      <c r="D44" s="1123">
        <v>44235</v>
      </c>
      <c r="E44" s="1123"/>
      <c r="F44" s="1123">
        <v>44249</v>
      </c>
      <c r="G44" s="1123"/>
      <c r="H44" s="1123"/>
      <c r="I44" s="951"/>
      <c r="K44" s="920">
        <v>44263</v>
      </c>
      <c r="L44" s="920"/>
      <c r="M44" s="1124">
        <v>44277</v>
      </c>
      <c r="N44" s="920"/>
      <c r="O44" s="951"/>
      <c r="P44" s="951"/>
      <c r="R44" s="950">
        <v>44305</v>
      </c>
      <c r="S44" s="950"/>
      <c r="T44" s="950">
        <v>44312</v>
      </c>
      <c r="U44" s="950"/>
      <c r="V44" s="950"/>
      <c r="W44" s="1099"/>
      <c r="Y44" s="950">
        <v>44326</v>
      </c>
      <c r="Z44" s="950"/>
      <c r="AA44" s="918">
        <v>44347</v>
      </c>
      <c r="AB44" s="950"/>
      <c r="AC44" s="950"/>
      <c r="AD44" s="951"/>
      <c r="AF44" s="918">
        <v>44361</v>
      </c>
      <c r="AG44" s="919"/>
      <c r="AH44" s="835">
        <v>44375</v>
      </c>
      <c r="AI44" s="919"/>
      <c r="AJ44" s="919"/>
      <c r="AK44" s="951"/>
      <c r="AM44" s="918">
        <v>44396</v>
      </c>
      <c r="AN44" s="920">
        <v>1896000</v>
      </c>
      <c r="AO44" s="918">
        <v>44407</v>
      </c>
      <c r="AP44" s="919"/>
      <c r="AQ44" s="919"/>
      <c r="AR44" s="951"/>
      <c r="AT44" s="918">
        <v>44431</v>
      </c>
      <c r="AU44" s="919"/>
      <c r="AV44" s="918">
        <v>44438</v>
      </c>
      <c r="AW44" s="919"/>
      <c r="AX44" s="919"/>
      <c r="AY44" s="836"/>
      <c r="BA44" s="918">
        <v>44459</v>
      </c>
      <c r="BB44" s="919"/>
      <c r="BC44" s="918">
        <v>44473</v>
      </c>
      <c r="BD44" s="919"/>
      <c r="BE44" s="919"/>
      <c r="BF44" s="836"/>
      <c r="BH44" s="918">
        <v>44497</v>
      </c>
      <c r="BI44" s="919"/>
      <c r="BJ44" s="918">
        <v>44508</v>
      </c>
      <c r="BK44" s="919"/>
      <c r="BL44" s="919"/>
      <c r="BM44" s="836"/>
      <c r="BO44" s="835">
        <v>44515</v>
      </c>
      <c r="BP44" s="836"/>
      <c r="BQ44" s="835">
        <v>44522</v>
      </c>
      <c r="BR44" s="836"/>
      <c r="BS44" s="836"/>
      <c r="BT44" s="836"/>
      <c r="BV44" s="835">
        <v>44543</v>
      </c>
      <c r="BW44" s="836"/>
      <c r="BX44" s="835">
        <v>44550</v>
      </c>
      <c r="BY44" s="836"/>
      <c r="BZ44" s="836"/>
      <c r="CA44" s="836"/>
      <c r="CC44" s="835"/>
      <c r="CD44" s="836"/>
      <c r="CE44" s="835"/>
      <c r="CF44" s="836"/>
      <c r="CG44" s="836"/>
      <c r="CH44" s="951"/>
    </row>
    <row r="45" spans="1:86" x14ac:dyDescent="0.2">
      <c r="A45" s="836"/>
      <c r="B45" s="836"/>
      <c r="C45" s="836" t="s">
        <v>3480</v>
      </c>
      <c r="D45" s="920">
        <v>1702875</v>
      </c>
      <c r="E45" s="920"/>
      <c r="F45" s="920">
        <v>1955250</v>
      </c>
      <c r="G45" s="920"/>
      <c r="H45" s="920"/>
      <c r="I45" s="951">
        <f>SUM(D45:H45)</f>
        <v>3658125</v>
      </c>
      <c r="K45" s="920">
        <v>1899179</v>
      </c>
      <c r="L45" s="920"/>
      <c r="M45" s="920">
        <v>1822500</v>
      </c>
      <c r="N45" s="920"/>
      <c r="O45" s="951"/>
      <c r="P45" s="951">
        <f>SUM(K45:O45)</f>
        <v>3721679</v>
      </c>
      <c r="R45" s="920">
        <v>2065856</v>
      </c>
      <c r="S45" s="920"/>
      <c r="T45" s="920">
        <v>1913494</v>
      </c>
      <c r="U45" s="920"/>
      <c r="V45" s="920"/>
      <c r="W45" s="951">
        <f>SUM(R45:V45)</f>
        <v>3979350</v>
      </c>
      <c r="Y45" s="920">
        <v>1795580</v>
      </c>
      <c r="Z45" s="919"/>
      <c r="AA45" s="920">
        <v>2055725</v>
      </c>
      <c r="AB45" s="919"/>
      <c r="AC45" s="919"/>
      <c r="AD45" s="951">
        <f>SUM(Y45:AC45)</f>
        <v>3851305</v>
      </c>
      <c r="AF45" s="920">
        <v>1116000</v>
      </c>
      <c r="AG45" s="920"/>
      <c r="AH45" s="951">
        <v>1695643</v>
      </c>
      <c r="AI45" s="950"/>
      <c r="AJ45" s="920"/>
      <c r="AK45" s="951">
        <f>SUM(AF45:AJ45)</f>
        <v>2811643</v>
      </c>
      <c r="AM45" s="920"/>
      <c r="AN45" s="919"/>
      <c r="AO45" s="920">
        <v>1723788</v>
      </c>
      <c r="AP45" s="919"/>
      <c r="AQ45" s="919"/>
      <c r="AR45" s="951">
        <f>SUM(AM45:AQ45)</f>
        <v>1723788</v>
      </c>
      <c r="AT45" s="920">
        <v>1504000</v>
      </c>
      <c r="AU45" s="920"/>
      <c r="AV45" s="920">
        <v>1920500</v>
      </c>
      <c r="AW45" s="920"/>
      <c r="AX45" s="920"/>
      <c r="AY45" s="951">
        <f>SUM(AT45:AX45)</f>
        <v>3424500</v>
      </c>
      <c r="BA45" s="920">
        <v>1780500</v>
      </c>
      <c r="BB45" s="920"/>
      <c r="BC45" s="920">
        <v>930000</v>
      </c>
      <c r="BD45" s="920"/>
      <c r="BE45" s="920"/>
      <c r="BF45" s="951">
        <f>SUM(BA45:BE45)</f>
        <v>2710500</v>
      </c>
      <c r="BH45" s="920">
        <v>1560696</v>
      </c>
      <c r="BI45" s="920"/>
      <c r="BJ45" s="920">
        <v>1970600</v>
      </c>
      <c r="BK45" s="920"/>
      <c r="BL45" s="920"/>
      <c r="BM45" s="951">
        <f>SUM(BH45:BL45)</f>
        <v>3531296</v>
      </c>
      <c r="BO45" s="951">
        <v>1608638</v>
      </c>
      <c r="BP45" s="951"/>
      <c r="BQ45" s="951">
        <v>1975469</v>
      </c>
      <c r="BR45" s="951"/>
      <c r="BS45" s="951"/>
      <c r="BT45" s="951">
        <f>SUM(BO45:BS45)</f>
        <v>3584107</v>
      </c>
      <c r="BV45" s="951">
        <v>1683000</v>
      </c>
      <c r="BW45" s="951"/>
      <c r="BX45" s="951">
        <v>1542000</v>
      </c>
      <c r="BY45" s="951"/>
      <c r="BZ45" s="951"/>
      <c r="CA45" s="951">
        <f>SUM(BV45:BZ45)</f>
        <v>3225000</v>
      </c>
      <c r="CB45" s="717"/>
      <c r="CC45" s="951"/>
      <c r="CD45" s="951"/>
      <c r="CE45" s="951"/>
      <c r="CF45" s="836"/>
      <c r="CG45" s="836"/>
      <c r="CH45" s="951">
        <f>SUM(CC45:CG45)</f>
        <v>0</v>
      </c>
    </row>
    <row r="46" spans="1:86" x14ac:dyDescent="0.2">
      <c r="A46" s="836">
        <v>4</v>
      </c>
      <c r="B46" s="836" t="s">
        <v>82</v>
      </c>
      <c r="C46" s="836" t="s">
        <v>114</v>
      </c>
      <c r="D46" s="1123">
        <v>44235</v>
      </c>
      <c r="E46" s="1123"/>
      <c r="F46" s="1123">
        <v>44249</v>
      </c>
      <c r="G46" s="1123"/>
      <c r="H46" s="1123"/>
      <c r="I46" s="951"/>
      <c r="K46" s="920"/>
      <c r="L46" s="920"/>
      <c r="M46" s="1124">
        <v>44277</v>
      </c>
      <c r="N46" s="920"/>
      <c r="O46" s="951"/>
      <c r="P46" s="951"/>
      <c r="R46" s="950">
        <v>44305</v>
      </c>
      <c r="S46" s="950"/>
      <c r="T46" s="950"/>
      <c r="U46" s="950"/>
      <c r="V46" s="950"/>
      <c r="W46" s="1099"/>
      <c r="Y46" s="950"/>
      <c r="Z46" s="950"/>
      <c r="AA46" s="917">
        <v>44347</v>
      </c>
      <c r="AB46" s="950"/>
      <c r="AC46" s="950"/>
      <c r="AD46" s="951"/>
      <c r="AF46" s="950">
        <v>44361</v>
      </c>
      <c r="AG46" s="950"/>
      <c r="AH46" s="835">
        <v>44375</v>
      </c>
      <c r="AI46" s="950"/>
      <c r="AJ46" s="950"/>
      <c r="AK46" s="951"/>
      <c r="AM46" s="918">
        <v>44396</v>
      </c>
      <c r="AN46" s="920">
        <v>1735500</v>
      </c>
      <c r="AO46" s="918">
        <v>44407</v>
      </c>
      <c r="AP46" s="919"/>
      <c r="AQ46" s="919"/>
      <c r="AR46" s="951"/>
      <c r="AT46" s="918">
        <v>44431</v>
      </c>
      <c r="AU46" s="919"/>
      <c r="AV46" s="918">
        <v>44438</v>
      </c>
      <c r="AW46" s="919"/>
      <c r="AX46" s="919"/>
      <c r="AY46" s="836"/>
      <c r="BA46" s="918"/>
      <c r="BB46" s="919"/>
      <c r="BC46" s="918">
        <v>44473</v>
      </c>
      <c r="BD46" s="919"/>
      <c r="BE46" s="919"/>
      <c r="BF46" s="836"/>
      <c r="BH46" s="918">
        <v>44497</v>
      </c>
      <c r="BI46" s="919"/>
      <c r="BJ46" s="918">
        <v>44508</v>
      </c>
      <c r="BK46" s="919"/>
      <c r="BL46" s="919"/>
      <c r="BM46" s="836"/>
      <c r="BO46" s="835">
        <v>44515</v>
      </c>
      <c r="BP46" s="836"/>
      <c r="BQ46" s="835">
        <v>44522</v>
      </c>
      <c r="BR46" s="836"/>
      <c r="BS46" s="836"/>
      <c r="BT46" s="836"/>
      <c r="BV46" s="835">
        <v>44543</v>
      </c>
      <c r="BW46" s="836"/>
      <c r="BX46" s="835">
        <v>44550</v>
      </c>
      <c r="BY46" s="836"/>
      <c r="BZ46" s="836"/>
      <c r="CA46" s="836"/>
      <c r="CC46" s="835">
        <v>44571</v>
      </c>
      <c r="CD46" s="836"/>
      <c r="CE46" s="835">
        <v>44585</v>
      </c>
      <c r="CF46" s="836"/>
      <c r="CG46" s="836"/>
      <c r="CH46" s="951"/>
    </row>
    <row r="47" spans="1:86" x14ac:dyDescent="0.2">
      <c r="A47" s="836"/>
      <c r="B47" s="836"/>
      <c r="C47" s="836" t="s">
        <v>3480</v>
      </c>
      <c r="D47" s="920">
        <v>1668000</v>
      </c>
      <c r="E47" s="920"/>
      <c r="F47" s="920">
        <v>1944000</v>
      </c>
      <c r="G47" s="920"/>
      <c r="H47" s="920"/>
      <c r="I47" s="951">
        <f>SUM(D47:H47)</f>
        <v>3612000</v>
      </c>
      <c r="J47" s="717"/>
      <c r="K47" s="920"/>
      <c r="L47" s="920"/>
      <c r="M47" s="920">
        <v>1722000</v>
      </c>
      <c r="N47" s="920"/>
      <c r="O47" s="951"/>
      <c r="P47" s="951">
        <f>SUM(K47:O47)</f>
        <v>1722000</v>
      </c>
      <c r="R47" s="920">
        <v>1440427</v>
      </c>
      <c r="S47" s="920"/>
      <c r="T47" s="920"/>
      <c r="U47" s="920"/>
      <c r="V47" s="920"/>
      <c r="W47" s="951">
        <f>SUM(R47:V47)</f>
        <v>1440427</v>
      </c>
      <c r="Y47" s="920"/>
      <c r="Z47" s="919"/>
      <c r="AA47" s="920">
        <v>1972500</v>
      </c>
      <c r="AB47" s="919"/>
      <c r="AC47" s="919"/>
      <c r="AD47" s="951">
        <f>SUM(Y47:AC47)</f>
        <v>1972500</v>
      </c>
      <c r="AF47" s="920">
        <v>1044000</v>
      </c>
      <c r="AG47" s="919"/>
      <c r="AH47" s="951">
        <v>1806000</v>
      </c>
      <c r="AI47" s="920"/>
      <c r="AJ47" s="919"/>
      <c r="AK47" s="951">
        <f>SUM(AF47:AJ47)</f>
        <v>2850000</v>
      </c>
      <c r="AM47" s="920"/>
      <c r="AN47" s="919"/>
      <c r="AO47" s="920">
        <v>1908463</v>
      </c>
      <c r="AP47" s="919"/>
      <c r="AQ47" s="919"/>
      <c r="AR47" s="951">
        <f>SUM(AM47:AQ47)</f>
        <v>1908463</v>
      </c>
      <c r="AT47" s="920">
        <v>1540500</v>
      </c>
      <c r="AU47" s="920"/>
      <c r="AV47" s="920">
        <v>1823250</v>
      </c>
      <c r="AW47" s="920"/>
      <c r="AX47" s="920"/>
      <c r="AY47" s="951">
        <f>SUM(AT47:AX47)</f>
        <v>3363750</v>
      </c>
      <c r="BA47" s="920"/>
      <c r="BB47" s="920"/>
      <c r="BC47" s="920">
        <v>1567500</v>
      </c>
      <c r="BD47" s="920"/>
      <c r="BE47" s="920"/>
      <c r="BF47" s="951">
        <f>SUM(BA47:BE47)</f>
        <v>1567500</v>
      </c>
      <c r="BH47" s="920">
        <v>1627500</v>
      </c>
      <c r="BI47" s="920"/>
      <c r="BJ47" s="920">
        <v>1908000</v>
      </c>
      <c r="BK47" s="920"/>
      <c r="BL47" s="920"/>
      <c r="BM47" s="951">
        <f>SUM(BH47:BL47)</f>
        <v>3535500</v>
      </c>
      <c r="BO47" s="951">
        <v>1578000</v>
      </c>
      <c r="BP47" s="951"/>
      <c r="BQ47" s="951">
        <v>1779000</v>
      </c>
      <c r="BR47" s="951"/>
      <c r="BS47" s="951"/>
      <c r="BT47" s="951">
        <f>SUM(BO47:BS47)</f>
        <v>3357000</v>
      </c>
      <c r="BV47" s="951">
        <v>503625</v>
      </c>
      <c r="BW47" s="951"/>
      <c r="BX47" s="951">
        <v>685367</v>
      </c>
      <c r="BY47" s="951"/>
      <c r="BZ47" s="951"/>
      <c r="CA47" s="951">
        <f>SUM(BV47:BZ47)</f>
        <v>1188992</v>
      </c>
      <c r="CB47" s="717"/>
      <c r="CC47" s="951">
        <v>555094</v>
      </c>
      <c r="CD47" s="951"/>
      <c r="CE47" s="951">
        <v>721000</v>
      </c>
      <c r="CF47" s="951"/>
      <c r="CG47" s="836"/>
      <c r="CH47" s="951">
        <f>SUM(CC47:CG47)</f>
        <v>1276094</v>
      </c>
    </row>
    <row r="48" spans="1:86" x14ac:dyDescent="0.2">
      <c r="A48" s="836">
        <v>5</v>
      </c>
      <c r="B48" s="836" t="s">
        <v>86</v>
      </c>
      <c r="C48" s="836" t="s">
        <v>114</v>
      </c>
      <c r="D48" s="1123">
        <v>44235</v>
      </c>
      <c r="E48" s="1123"/>
      <c r="F48" s="1123">
        <v>44249</v>
      </c>
      <c r="G48" s="1123"/>
      <c r="H48" s="1123"/>
      <c r="I48" s="951"/>
      <c r="K48" s="920"/>
      <c r="L48" s="920"/>
      <c r="M48" s="920"/>
      <c r="N48" s="920"/>
      <c r="O48" s="951"/>
      <c r="P48" s="951"/>
      <c r="R48" s="950">
        <v>44305</v>
      </c>
      <c r="S48" s="919"/>
      <c r="T48" s="919"/>
      <c r="U48" s="919"/>
      <c r="V48" s="919"/>
      <c r="W48" s="1099"/>
      <c r="Y48" s="950">
        <v>44326</v>
      </c>
      <c r="Z48" s="950"/>
      <c r="AA48" s="918">
        <v>44347</v>
      </c>
      <c r="AB48" s="950"/>
      <c r="AC48" s="950"/>
      <c r="AD48" s="951"/>
      <c r="AF48" s="918"/>
      <c r="AG48" s="919"/>
      <c r="AH48" s="835">
        <v>44375</v>
      </c>
      <c r="AI48" s="919"/>
      <c r="AJ48" s="919"/>
      <c r="AK48" s="951"/>
      <c r="AM48" s="918">
        <v>44396</v>
      </c>
      <c r="AN48" s="920">
        <v>1637038</v>
      </c>
      <c r="AO48" s="918"/>
      <c r="AP48" s="919"/>
      <c r="AQ48" s="919"/>
      <c r="AR48" s="951"/>
      <c r="AT48" s="918">
        <v>44431</v>
      </c>
      <c r="AU48" s="919"/>
      <c r="AV48" s="918">
        <v>44438</v>
      </c>
      <c r="AW48" s="919"/>
      <c r="AX48" s="919"/>
      <c r="AY48" s="836"/>
      <c r="BA48" s="918">
        <v>44459</v>
      </c>
      <c r="BB48" s="920"/>
      <c r="BC48" s="918">
        <v>44473</v>
      </c>
      <c r="BD48" s="919"/>
      <c r="BE48" s="919"/>
      <c r="BF48" s="836"/>
      <c r="BH48" s="918">
        <v>44497</v>
      </c>
      <c r="BI48" s="919"/>
      <c r="BJ48" s="918">
        <v>44508</v>
      </c>
      <c r="BK48" s="919"/>
      <c r="BL48" s="919"/>
      <c r="BM48" s="836"/>
      <c r="BO48" s="835">
        <v>44515</v>
      </c>
      <c r="BP48" s="836"/>
      <c r="BQ48" s="835">
        <v>44522</v>
      </c>
      <c r="BR48" s="836"/>
      <c r="BS48" s="836"/>
      <c r="BT48" s="836"/>
      <c r="BV48" s="835">
        <v>44543</v>
      </c>
      <c r="BW48" s="836"/>
      <c r="BX48" s="835"/>
      <c r="BY48" s="836"/>
      <c r="BZ48" s="836"/>
      <c r="CA48" s="836"/>
      <c r="CC48" s="835">
        <v>44571</v>
      </c>
      <c r="CD48" s="836"/>
      <c r="CE48" s="835">
        <v>44585</v>
      </c>
      <c r="CF48" s="836"/>
      <c r="CG48" s="836"/>
      <c r="CH48" s="951"/>
    </row>
    <row r="49" spans="1:86" x14ac:dyDescent="0.2">
      <c r="A49" s="836"/>
      <c r="B49" s="836"/>
      <c r="C49" s="836" t="s">
        <v>3480</v>
      </c>
      <c r="D49" s="920">
        <v>1483625</v>
      </c>
      <c r="E49" s="920"/>
      <c r="F49" s="920">
        <v>1680000</v>
      </c>
      <c r="G49" s="920"/>
      <c r="H49" s="920"/>
      <c r="I49" s="951">
        <f>SUM(D49:H49)</f>
        <v>3163625</v>
      </c>
      <c r="K49" s="920"/>
      <c r="L49" s="920"/>
      <c r="M49" s="920"/>
      <c r="N49" s="920"/>
      <c r="O49" s="951"/>
      <c r="P49" s="951">
        <f>SUM(K49:O49)</f>
        <v>0</v>
      </c>
      <c r="R49" s="920">
        <v>1596235</v>
      </c>
      <c r="S49" s="920"/>
      <c r="T49" s="920"/>
      <c r="U49" s="920"/>
      <c r="V49" s="920"/>
      <c r="W49" s="951">
        <f>SUM(R49:V49)</f>
        <v>1596235</v>
      </c>
      <c r="Y49" s="920">
        <v>1698000</v>
      </c>
      <c r="Z49" s="919"/>
      <c r="AA49" s="920">
        <v>1841563</v>
      </c>
      <c r="AB49" s="919"/>
      <c r="AC49" s="919"/>
      <c r="AD49" s="951">
        <f>SUM(Y49:AC49)</f>
        <v>3539563</v>
      </c>
      <c r="AF49" s="920"/>
      <c r="AG49" s="920"/>
      <c r="AH49" s="951">
        <v>773992</v>
      </c>
      <c r="AI49" s="920"/>
      <c r="AJ49" s="920"/>
      <c r="AK49" s="951">
        <f>SUM(AF49:AJ49)</f>
        <v>773992</v>
      </c>
      <c r="AM49" s="920"/>
      <c r="AN49" s="919"/>
      <c r="AO49" s="920"/>
      <c r="AP49" s="919"/>
      <c r="AQ49" s="919"/>
      <c r="AR49" s="951">
        <f>SUM(AM49:AQ49)</f>
        <v>0</v>
      </c>
      <c r="AT49" s="920">
        <v>1320000</v>
      </c>
      <c r="AU49" s="920"/>
      <c r="AV49" s="920">
        <v>1304875</v>
      </c>
      <c r="AW49" s="920"/>
      <c r="AX49" s="920"/>
      <c r="AY49" s="951">
        <f>SUM(AT49:AX49)</f>
        <v>2624875</v>
      </c>
      <c r="BA49" s="920">
        <v>1866708</v>
      </c>
      <c r="BB49" s="920"/>
      <c r="BC49" s="920">
        <v>1573500</v>
      </c>
      <c r="BD49" s="920"/>
      <c r="BE49" s="920"/>
      <c r="BF49" s="951">
        <f>SUM(BA49:BE49)</f>
        <v>3440208</v>
      </c>
      <c r="BH49" s="920">
        <v>1490781</v>
      </c>
      <c r="BI49" s="920"/>
      <c r="BJ49" s="920">
        <v>1395740</v>
      </c>
      <c r="BK49" s="920"/>
      <c r="BL49" s="920"/>
      <c r="BM49" s="951">
        <f>SUM(BH49:BL49)</f>
        <v>2886521</v>
      </c>
      <c r="BO49" s="951">
        <v>1313888</v>
      </c>
      <c r="BP49" s="951"/>
      <c r="BQ49" s="951">
        <v>1476177</v>
      </c>
      <c r="BR49" s="951"/>
      <c r="BS49" s="951"/>
      <c r="BT49" s="951">
        <f>SUM(BO49:BS49)</f>
        <v>2790065</v>
      </c>
      <c r="BV49" s="951">
        <v>1620219</v>
      </c>
      <c r="BW49" s="951"/>
      <c r="BX49" s="951"/>
      <c r="BY49" s="951"/>
      <c r="BZ49" s="951"/>
      <c r="CA49" s="951">
        <f>SUM(BV49:BZ49)</f>
        <v>1620219</v>
      </c>
      <c r="CB49" s="717"/>
      <c r="CC49" s="951">
        <v>1573000</v>
      </c>
      <c r="CD49" s="951"/>
      <c r="CE49" s="951">
        <v>1600250</v>
      </c>
      <c r="CF49" s="836"/>
      <c r="CG49" s="836"/>
      <c r="CH49" s="951">
        <f>SUM(CC49:CG49)</f>
        <v>3173250</v>
      </c>
    </row>
    <row r="50" spans="1:86" x14ac:dyDescent="0.2">
      <c r="A50" s="836">
        <v>6</v>
      </c>
      <c r="B50" s="836" t="s">
        <v>87</v>
      </c>
      <c r="C50" s="836" t="s">
        <v>114</v>
      </c>
      <c r="D50" s="1123">
        <v>44235</v>
      </c>
      <c r="E50" s="1123"/>
      <c r="F50" s="1123">
        <v>44249</v>
      </c>
      <c r="G50" s="1123"/>
      <c r="H50" s="1123"/>
      <c r="I50" s="951"/>
      <c r="K50" s="920">
        <v>44263</v>
      </c>
      <c r="L50" s="920"/>
      <c r="M50" s="1124">
        <v>44277</v>
      </c>
      <c r="N50" s="920"/>
      <c r="O50" s="951"/>
      <c r="P50" s="951"/>
      <c r="R50" s="918">
        <v>44305</v>
      </c>
      <c r="S50" s="919"/>
      <c r="T50" s="918"/>
      <c r="U50" s="919"/>
      <c r="V50" s="919"/>
      <c r="W50" s="1099"/>
      <c r="Y50" s="950"/>
      <c r="Z50" s="950"/>
      <c r="AA50" s="918">
        <v>44347</v>
      </c>
      <c r="AB50" s="950"/>
      <c r="AC50" s="950"/>
      <c r="AD50" s="951"/>
      <c r="AF50" s="918">
        <v>44361</v>
      </c>
      <c r="AG50" s="919"/>
      <c r="AH50" s="835">
        <v>44375</v>
      </c>
      <c r="AI50" s="919"/>
      <c r="AJ50" s="919"/>
      <c r="AK50" s="951"/>
      <c r="AM50" s="918">
        <v>44396</v>
      </c>
      <c r="AN50" s="920">
        <v>2122525</v>
      </c>
      <c r="AO50" s="918">
        <v>44407</v>
      </c>
      <c r="AP50" s="919"/>
      <c r="AQ50" s="919"/>
      <c r="AR50" s="951"/>
      <c r="AT50" s="918">
        <v>44431</v>
      </c>
      <c r="AU50" s="919"/>
      <c r="AV50" s="1127">
        <v>44438</v>
      </c>
      <c r="AW50" s="1128"/>
      <c r="AX50" s="919"/>
      <c r="AY50" s="836"/>
      <c r="BA50" s="918">
        <v>44459</v>
      </c>
      <c r="BB50" s="919"/>
      <c r="BC50" s="918">
        <v>44473</v>
      </c>
      <c r="BD50" s="919"/>
      <c r="BE50" s="919"/>
      <c r="BF50" s="836"/>
      <c r="BH50" s="918">
        <v>44497</v>
      </c>
      <c r="BI50" s="919"/>
      <c r="BJ50" s="918">
        <v>44508</v>
      </c>
      <c r="BK50" s="919"/>
      <c r="BL50" s="919"/>
      <c r="BM50" s="836"/>
      <c r="BO50" s="835">
        <v>44515</v>
      </c>
      <c r="BP50" s="836"/>
      <c r="BQ50" s="835">
        <v>44522</v>
      </c>
      <c r="BR50" s="836"/>
      <c r="BS50" s="836"/>
      <c r="BT50" s="836"/>
      <c r="BV50" s="835">
        <v>44543</v>
      </c>
      <c r="BW50" s="836"/>
      <c r="BX50" s="835">
        <v>44550</v>
      </c>
      <c r="BY50" s="836"/>
      <c r="BZ50" s="836"/>
      <c r="CA50" s="836"/>
      <c r="CC50" s="835">
        <v>44571</v>
      </c>
      <c r="CD50" s="836"/>
      <c r="CE50" s="835">
        <v>44585</v>
      </c>
      <c r="CF50" s="836"/>
      <c r="CG50" s="836"/>
      <c r="CH50" s="951"/>
    </row>
    <row r="51" spans="1:86" x14ac:dyDescent="0.2">
      <c r="A51" s="836"/>
      <c r="B51" s="836"/>
      <c r="C51" s="836" t="s">
        <v>3480</v>
      </c>
      <c r="D51" s="920">
        <v>2598000</v>
      </c>
      <c r="E51" s="920"/>
      <c r="F51" s="920">
        <v>2754475</v>
      </c>
      <c r="G51" s="920"/>
      <c r="H51" s="920"/>
      <c r="I51" s="951">
        <f>SUM(D51:H51)</f>
        <v>5352475</v>
      </c>
      <c r="K51" s="920"/>
      <c r="L51" s="920"/>
      <c r="M51" s="920">
        <v>3135650</v>
      </c>
      <c r="N51" s="920"/>
      <c r="O51" s="951"/>
      <c r="P51" s="951">
        <f>SUM(K51:O51)</f>
        <v>3135650</v>
      </c>
      <c r="R51" s="920">
        <v>2617050</v>
      </c>
      <c r="S51" s="920"/>
      <c r="T51" s="920"/>
      <c r="U51" s="920"/>
      <c r="V51" s="920"/>
      <c r="W51" s="1099">
        <f>SUM(R51:V51)</f>
        <v>2617050</v>
      </c>
      <c r="Y51" s="920"/>
      <c r="Z51" s="919"/>
      <c r="AA51" s="920">
        <v>3045450</v>
      </c>
      <c r="AB51" s="919"/>
      <c r="AC51" s="919"/>
      <c r="AD51" s="951">
        <f>SUM(Y51:AC51)</f>
        <v>3045450</v>
      </c>
      <c r="AF51" s="920">
        <v>1840300</v>
      </c>
      <c r="AG51" s="920"/>
      <c r="AH51" s="951">
        <v>2462550</v>
      </c>
      <c r="AI51" s="920"/>
      <c r="AJ51" s="920"/>
      <c r="AK51" s="951">
        <f>SUM(AF51:AJ51)</f>
        <v>4302850</v>
      </c>
      <c r="AM51" s="920"/>
      <c r="AN51" s="919"/>
      <c r="AO51" s="920">
        <v>1752800</v>
      </c>
      <c r="AP51" s="920"/>
      <c r="AQ51" s="919"/>
      <c r="AR51" s="951">
        <f>SUM(AM51:AQ51)</f>
        <v>1752800</v>
      </c>
      <c r="AT51" s="920">
        <v>3142850</v>
      </c>
      <c r="AU51" s="920"/>
      <c r="AV51" s="920">
        <v>3207050</v>
      </c>
      <c r="AW51" s="920"/>
      <c r="AX51" s="919"/>
      <c r="AY51" s="836">
        <f>SUM(AT51:AX51)</f>
        <v>6349900</v>
      </c>
      <c r="BA51" s="920">
        <v>2728075</v>
      </c>
      <c r="BB51" s="920"/>
      <c r="BC51" s="920">
        <v>3038288</v>
      </c>
      <c r="BD51" s="920"/>
      <c r="BE51" s="920"/>
      <c r="BF51" s="951">
        <f>SUM(BA51:BE51)</f>
        <v>5766363</v>
      </c>
      <c r="BH51" s="920">
        <v>2829000</v>
      </c>
      <c r="BI51" s="920"/>
      <c r="BJ51" s="920">
        <v>3227300</v>
      </c>
      <c r="BK51" s="920"/>
      <c r="BL51" s="920"/>
      <c r="BM51" s="951">
        <f>SUM(BH51:BL51)</f>
        <v>6056300</v>
      </c>
      <c r="BO51" s="951">
        <v>3105900</v>
      </c>
      <c r="BP51" s="951"/>
      <c r="BQ51" s="951">
        <v>3069000</v>
      </c>
      <c r="BR51" s="951"/>
      <c r="BS51" s="951"/>
      <c r="BT51" s="951">
        <f>SUM(BO51:BS51)</f>
        <v>6174900</v>
      </c>
      <c r="BV51" s="951">
        <v>2917550</v>
      </c>
      <c r="BW51" s="951"/>
      <c r="BX51" s="951">
        <v>3128400</v>
      </c>
      <c r="BY51" s="951"/>
      <c r="BZ51" s="951"/>
      <c r="CA51" s="951">
        <f>SUM(BV51:BZ51)</f>
        <v>6045950</v>
      </c>
      <c r="CB51" s="717"/>
      <c r="CC51" s="951">
        <v>2850050</v>
      </c>
      <c r="CD51" s="951"/>
      <c r="CE51" s="951">
        <v>3516450</v>
      </c>
      <c r="CF51" s="836"/>
      <c r="CG51" s="836"/>
      <c r="CH51" s="951">
        <f>SUM(CC51:CG51)</f>
        <v>6366500</v>
      </c>
    </row>
    <row r="52" spans="1:86" x14ac:dyDescent="0.2">
      <c r="A52" s="836">
        <v>7</v>
      </c>
      <c r="B52" s="836" t="s">
        <v>77</v>
      </c>
      <c r="C52" s="836" t="s">
        <v>114</v>
      </c>
      <c r="D52" s="1123">
        <v>44236</v>
      </c>
      <c r="E52" s="1123"/>
      <c r="F52" s="1123">
        <v>44250</v>
      </c>
      <c r="G52" s="1123"/>
      <c r="H52" s="1123"/>
      <c r="I52" s="951"/>
      <c r="K52" s="1129">
        <v>44264</v>
      </c>
      <c r="L52" s="1129"/>
      <c r="M52" s="1129">
        <v>44278</v>
      </c>
      <c r="N52" s="1129"/>
      <c r="O52" s="1130"/>
      <c r="P52" s="1130"/>
      <c r="R52" s="950"/>
      <c r="S52" s="950"/>
      <c r="T52" s="950"/>
      <c r="U52" s="950"/>
      <c r="V52" s="950"/>
      <c r="W52" s="1099"/>
      <c r="Y52" s="950"/>
      <c r="Z52" s="950"/>
      <c r="AA52" s="918">
        <v>44347</v>
      </c>
      <c r="AB52" s="950"/>
      <c r="AC52" s="950"/>
      <c r="AD52" s="951"/>
      <c r="AF52" s="918">
        <v>44361</v>
      </c>
      <c r="AG52" s="919"/>
      <c r="AH52" s="835">
        <v>44375</v>
      </c>
      <c r="AI52" s="919"/>
      <c r="AJ52" s="919"/>
      <c r="AK52" s="951"/>
      <c r="AM52" s="918">
        <v>44396</v>
      </c>
      <c r="AN52" s="920">
        <v>3300000</v>
      </c>
      <c r="AO52" s="918">
        <v>44407</v>
      </c>
      <c r="AP52" s="919"/>
      <c r="AQ52" s="919"/>
      <c r="AR52" s="951"/>
      <c r="AT52" s="918">
        <v>44431</v>
      </c>
      <c r="AU52" s="919"/>
      <c r="AV52" s="918">
        <v>44438</v>
      </c>
      <c r="AW52" s="919"/>
      <c r="AX52" s="919"/>
      <c r="AY52" s="836"/>
      <c r="BA52" s="918">
        <v>44459</v>
      </c>
      <c r="BB52" s="919"/>
      <c r="BC52" s="918">
        <v>44473</v>
      </c>
      <c r="BD52" s="919"/>
      <c r="BE52" s="919"/>
      <c r="BF52" s="836"/>
      <c r="BH52" s="918">
        <v>44497</v>
      </c>
      <c r="BI52" s="919"/>
      <c r="BJ52" s="918">
        <v>44508</v>
      </c>
      <c r="BK52" s="919"/>
      <c r="BL52" s="919"/>
      <c r="BM52" s="836"/>
      <c r="BO52" s="835">
        <v>44515</v>
      </c>
      <c r="BP52" s="836"/>
      <c r="BQ52" s="835">
        <v>44522</v>
      </c>
      <c r="BR52" s="836"/>
      <c r="BS52" s="836"/>
      <c r="BT52" s="836"/>
      <c r="BV52" s="835">
        <v>44543</v>
      </c>
      <c r="BW52" s="836"/>
      <c r="BX52" s="835">
        <v>44550</v>
      </c>
      <c r="BY52" s="836"/>
      <c r="BZ52" s="836"/>
      <c r="CA52" s="836"/>
      <c r="CC52" s="835"/>
      <c r="CD52" s="836"/>
      <c r="CE52" s="835"/>
      <c r="CF52" s="836"/>
      <c r="CG52" s="836"/>
      <c r="CH52" s="951"/>
    </row>
    <row r="53" spans="1:86" x14ac:dyDescent="0.2">
      <c r="A53" s="836"/>
      <c r="B53" s="836"/>
      <c r="C53" s="836" t="s">
        <v>3480</v>
      </c>
      <c r="D53" s="920">
        <v>3217500</v>
      </c>
      <c r="E53" s="920"/>
      <c r="F53" s="920">
        <v>3286500</v>
      </c>
      <c r="G53" s="920"/>
      <c r="H53" s="920"/>
      <c r="I53" s="951">
        <f>SUM(D53:H53)</f>
        <v>6504000</v>
      </c>
      <c r="K53" s="920">
        <v>3708000</v>
      </c>
      <c r="L53" s="920"/>
      <c r="M53" s="920">
        <v>2680400</v>
      </c>
      <c r="N53" s="920"/>
      <c r="O53" s="951"/>
      <c r="P53" s="951">
        <f>SUM(K53:O53)</f>
        <v>6388400</v>
      </c>
      <c r="R53" s="919"/>
      <c r="S53" s="919"/>
      <c r="T53" s="919"/>
      <c r="U53" s="919"/>
      <c r="V53" s="919"/>
      <c r="W53" s="1099">
        <f>SUM(R53:V53)</f>
        <v>0</v>
      </c>
      <c r="Y53" s="919"/>
      <c r="Z53" s="919"/>
      <c r="AA53" s="920">
        <v>2757000</v>
      </c>
      <c r="AB53" s="919"/>
      <c r="AC53" s="919"/>
      <c r="AD53" s="951">
        <f>SUM(Y53:AC53)</f>
        <v>2757000</v>
      </c>
      <c r="AF53" s="920">
        <v>3498000</v>
      </c>
      <c r="AG53" s="920"/>
      <c r="AH53" s="951">
        <v>3430500</v>
      </c>
      <c r="AI53" s="920"/>
      <c r="AJ53" s="919"/>
      <c r="AK53" s="951">
        <f>SUM(AF53:AJ53)</f>
        <v>6928500</v>
      </c>
      <c r="AM53" s="920"/>
      <c r="AN53" s="920"/>
      <c r="AO53" s="920">
        <v>2973513</v>
      </c>
      <c r="AP53" s="920"/>
      <c r="AQ53" s="920"/>
      <c r="AR53" s="951">
        <f>SUM(AM53:AQ53)</f>
        <v>2973513</v>
      </c>
      <c r="AT53" s="920">
        <v>3487500</v>
      </c>
      <c r="AU53" s="920"/>
      <c r="AV53" s="920">
        <v>2940000</v>
      </c>
      <c r="AW53" s="920"/>
      <c r="AX53" s="919"/>
      <c r="AY53" s="836">
        <f>SUM(AT53:AX53)</f>
        <v>6427500</v>
      </c>
      <c r="BA53" s="920">
        <v>3570000</v>
      </c>
      <c r="BB53" s="920"/>
      <c r="BC53" s="920">
        <v>3367500</v>
      </c>
      <c r="BD53" s="920"/>
      <c r="BE53" s="920"/>
      <c r="BF53" s="951">
        <f>SUM(BA53:BE53)</f>
        <v>6937500</v>
      </c>
      <c r="BH53" s="920">
        <v>3324000</v>
      </c>
      <c r="BI53" s="920"/>
      <c r="BJ53" s="920">
        <v>3325500</v>
      </c>
      <c r="BK53" s="920"/>
      <c r="BL53" s="920"/>
      <c r="BM53" s="951">
        <f>SUM(BH53:BL53)</f>
        <v>6649500</v>
      </c>
      <c r="BO53" s="951">
        <v>3501000</v>
      </c>
      <c r="BP53" s="951"/>
      <c r="BQ53" s="951">
        <v>4008000</v>
      </c>
      <c r="BR53" s="951"/>
      <c r="BS53" s="951"/>
      <c r="BT53" s="951">
        <f>SUM(BO53:BS53)</f>
        <v>7509000</v>
      </c>
      <c r="BV53" s="951">
        <v>3897000</v>
      </c>
      <c r="BW53" s="951"/>
      <c r="BX53" s="951">
        <v>3949500</v>
      </c>
      <c r="BY53" s="951"/>
      <c r="BZ53" s="951"/>
      <c r="CA53" s="951">
        <f>SUM(BV53:BZ53)</f>
        <v>7846500</v>
      </c>
      <c r="CB53" s="717"/>
      <c r="CC53" s="951"/>
      <c r="CD53" s="951"/>
      <c r="CE53" s="951"/>
      <c r="CF53" s="836"/>
      <c r="CG53" s="836"/>
      <c r="CH53" s="951">
        <f>SUM(CC53:CG53)</f>
        <v>0</v>
      </c>
    </row>
    <row r="54" spans="1:86" x14ac:dyDescent="0.2">
      <c r="A54" s="836">
        <v>8</v>
      </c>
      <c r="B54" s="836" t="s">
        <v>84</v>
      </c>
      <c r="C54" s="836" t="s">
        <v>114</v>
      </c>
      <c r="D54" s="1123">
        <v>44236</v>
      </c>
      <c r="E54" s="1123"/>
      <c r="F54" s="1123">
        <v>44250</v>
      </c>
      <c r="G54" s="1123"/>
      <c r="H54" s="1123"/>
      <c r="I54" s="951"/>
      <c r="K54" s="1129">
        <v>44264</v>
      </c>
      <c r="L54" s="1129"/>
      <c r="M54" s="1129">
        <v>44278</v>
      </c>
      <c r="N54" s="1129"/>
      <c r="O54" s="1130"/>
      <c r="P54" s="1130"/>
      <c r="R54" s="950"/>
      <c r="S54" s="950"/>
      <c r="T54" s="950"/>
      <c r="U54" s="950"/>
      <c r="V54" s="950"/>
      <c r="W54" s="1099"/>
      <c r="Y54" s="950"/>
      <c r="Z54" s="950"/>
      <c r="AA54" s="918">
        <v>44347</v>
      </c>
      <c r="AB54" s="950"/>
      <c r="AC54" s="950"/>
      <c r="AD54" s="951"/>
      <c r="AF54" s="918">
        <v>44361</v>
      </c>
      <c r="AG54" s="919"/>
      <c r="AH54" s="835">
        <v>44375</v>
      </c>
      <c r="AI54" s="919"/>
      <c r="AJ54" s="919"/>
      <c r="AK54" s="951"/>
      <c r="AM54" s="918">
        <v>44396</v>
      </c>
      <c r="AN54" s="920">
        <v>4514964</v>
      </c>
      <c r="AO54" s="918">
        <v>44407</v>
      </c>
      <c r="AP54" s="919"/>
      <c r="AQ54" s="919"/>
      <c r="AR54" s="951"/>
      <c r="AT54" s="918">
        <v>44431</v>
      </c>
      <c r="AU54" s="919"/>
      <c r="AV54" s="918">
        <v>44438</v>
      </c>
      <c r="AW54" s="919"/>
      <c r="AX54" s="919"/>
      <c r="AY54" s="836"/>
      <c r="BA54" s="918"/>
      <c r="BB54" s="919"/>
      <c r="BC54" s="918">
        <v>44473</v>
      </c>
      <c r="BD54" s="919"/>
      <c r="BE54" s="919"/>
      <c r="BF54" s="836"/>
      <c r="BH54" s="918">
        <v>44497</v>
      </c>
      <c r="BI54" s="919"/>
      <c r="BJ54" s="918">
        <v>44508</v>
      </c>
      <c r="BK54" s="919"/>
      <c r="BL54" s="919"/>
      <c r="BM54" s="836"/>
      <c r="BO54" s="835">
        <v>44515</v>
      </c>
      <c r="BP54" s="836"/>
      <c r="BQ54" s="835">
        <v>44522</v>
      </c>
      <c r="BR54" s="836"/>
      <c r="BS54" s="836"/>
      <c r="BT54" s="836"/>
      <c r="BV54" s="835"/>
      <c r="BW54" s="836"/>
      <c r="BX54" s="835">
        <v>44550</v>
      </c>
      <c r="BY54" s="836"/>
      <c r="BZ54" s="836"/>
      <c r="CA54" s="836"/>
      <c r="CC54" s="835"/>
      <c r="CD54" s="836"/>
      <c r="CE54" s="835"/>
      <c r="CF54" s="836"/>
      <c r="CG54" s="836"/>
      <c r="CH54" s="951"/>
    </row>
    <row r="55" spans="1:86" x14ac:dyDescent="0.2">
      <c r="A55" s="836"/>
      <c r="B55" s="836"/>
      <c r="C55" s="836" t="s">
        <v>3480</v>
      </c>
      <c r="D55" s="920">
        <v>4309196</v>
      </c>
      <c r="E55" s="920"/>
      <c r="F55" s="920">
        <v>4599563</v>
      </c>
      <c r="G55" s="920"/>
      <c r="H55" s="920"/>
      <c r="I55" s="951">
        <f>SUM(D55:H55)</f>
        <v>8908759</v>
      </c>
      <c r="K55" s="920">
        <v>4440411</v>
      </c>
      <c r="L55" s="920"/>
      <c r="M55" s="920">
        <v>4573500</v>
      </c>
      <c r="N55" s="920"/>
      <c r="O55" s="951"/>
      <c r="P55" s="951">
        <f>SUM(K55:O55)</f>
        <v>9013911</v>
      </c>
      <c r="R55" s="920"/>
      <c r="S55" s="919"/>
      <c r="T55" s="920"/>
      <c r="U55" s="919"/>
      <c r="V55" s="919"/>
      <c r="W55" s="1099">
        <f>SUM(R55:V55)</f>
        <v>0</v>
      </c>
      <c r="Y55" s="920"/>
      <c r="Z55" s="919"/>
      <c r="AA55" s="920">
        <v>4978638</v>
      </c>
      <c r="AB55" s="920"/>
      <c r="AC55" s="920"/>
      <c r="AD55" s="951">
        <f>SUM(Y55:AC55)</f>
        <v>4978638</v>
      </c>
      <c r="AF55" s="920">
        <v>4680000</v>
      </c>
      <c r="AG55" s="920"/>
      <c r="AH55" s="951">
        <v>4410000</v>
      </c>
      <c r="AI55" s="920"/>
      <c r="AJ55" s="920"/>
      <c r="AK55" s="951">
        <f>SUM(AF55:AJ55)</f>
        <v>9090000</v>
      </c>
      <c r="AM55" s="920"/>
      <c r="AN55" s="919"/>
      <c r="AO55" s="920">
        <v>4290804</v>
      </c>
      <c r="AP55" s="920"/>
      <c r="AQ55" s="920"/>
      <c r="AR55" s="951">
        <f>SUM(AM55:AQ55)</f>
        <v>4290804</v>
      </c>
      <c r="AT55" s="920">
        <v>4272518</v>
      </c>
      <c r="AU55" s="920"/>
      <c r="AV55" s="920">
        <v>4381214</v>
      </c>
      <c r="AW55" s="920"/>
      <c r="AX55" s="920"/>
      <c r="AY55" s="951">
        <f>SUM(AT55:AX55)</f>
        <v>8653732</v>
      </c>
      <c r="BA55" s="920"/>
      <c r="BB55" s="920"/>
      <c r="BC55" s="920">
        <v>4114500</v>
      </c>
      <c r="BD55" s="920"/>
      <c r="BE55" s="920"/>
      <c r="BF55" s="951">
        <f>SUM(BA55:BE55)</f>
        <v>4114500</v>
      </c>
      <c r="BH55" s="920">
        <v>4911000</v>
      </c>
      <c r="BI55" s="920"/>
      <c r="BJ55" s="920">
        <v>4282500</v>
      </c>
      <c r="BK55" s="920"/>
      <c r="BL55" s="920"/>
      <c r="BM55" s="951">
        <f>SUM(BH55:BL55)</f>
        <v>9193500</v>
      </c>
      <c r="BO55" s="951">
        <v>4800670</v>
      </c>
      <c r="BP55" s="951"/>
      <c r="BQ55" s="951">
        <v>5047277</v>
      </c>
      <c r="BR55" s="951"/>
      <c r="BS55" s="951"/>
      <c r="BT55" s="951">
        <f>SUM(BO55:BS55)</f>
        <v>9847947</v>
      </c>
      <c r="BV55" s="951"/>
      <c r="BW55" s="951"/>
      <c r="BX55" s="951">
        <v>5408406</v>
      </c>
      <c r="BY55" s="951"/>
      <c r="BZ55" s="951"/>
      <c r="CA55" s="951">
        <f>SUM(BV55:BZ55)</f>
        <v>5408406</v>
      </c>
      <c r="CB55" s="717"/>
      <c r="CC55" s="951"/>
      <c r="CD55" s="951"/>
      <c r="CE55" s="951"/>
      <c r="CF55" s="836"/>
      <c r="CG55" s="836"/>
      <c r="CH55" s="951">
        <f>SUM(CC55:CG55)</f>
        <v>0</v>
      </c>
    </row>
    <row r="56" spans="1:86" x14ac:dyDescent="0.2">
      <c r="A56" s="836">
        <v>9</v>
      </c>
      <c r="B56" s="836" t="s">
        <v>89</v>
      </c>
      <c r="C56" s="836" t="s">
        <v>114</v>
      </c>
      <c r="D56" s="1123">
        <v>44235</v>
      </c>
      <c r="E56" s="1123"/>
      <c r="F56" s="1123">
        <v>44250</v>
      </c>
      <c r="G56" s="1123"/>
      <c r="H56" s="1123"/>
      <c r="I56" s="951"/>
      <c r="K56" s="920"/>
      <c r="L56" s="920"/>
      <c r="M56" s="920">
        <v>44278</v>
      </c>
      <c r="N56" s="920"/>
      <c r="O56" s="951"/>
      <c r="P56" s="951"/>
      <c r="R56" s="918">
        <v>44306</v>
      </c>
      <c r="S56" s="919"/>
      <c r="T56" s="950"/>
      <c r="U56" s="950"/>
      <c r="V56" s="950"/>
      <c r="W56" s="1099"/>
      <c r="Y56" s="950"/>
      <c r="Z56" s="950"/>
      <c r="AA56" s="950">
        <v>44347</v>
      </c>
      <c r="AB56" s="950"/>
      <c r="AC56" s="950"/>
      <c r="AD56" s="951"/>
      <c r="AF56" s="950">
        <v>44361</v>
      </c>
      <c r="AG56" s="950"/>
      <c r="AH56" s="835">
        <v>44375</v>
      </c>
      <c r="AI56" s="950"/>
      <c r="AJ56" s="950"/>
      <c r="AK56" s="951"/>
      <c r="AM56" s="918">
        <v>44396</v>
      </c>
      <c r="AN56" s="920">
        <v>2144778</v>
      </c>
      <c r="AO56" s="918">
        <v>44407</v>
      </c>
      <c r="AP56" s="919"/>
      <c r="AQ56" s="919"/>
      <c r="AR56" s="951"/>
      <c r="AT56" s="918">
        <v>44431</v>
      </c>
      <c r="AU56" s="919"/>
      <c r="AV56" s="918">
        <v>44438</v>
      </c>
      <c r="AW56" s="919"/>
      <c r="AX56" s="919"/>
      <c r="AY56" s="836"/>
      <c r="BA56" s="918"/>
      <c r="BB56" s="919"/>
      <c r="BC56" s="918">
        <v>44473</v>
      </c>
      <c r="BD56" s="919"/>
      <c r="BE56" s="919"/>
      <c r="BF56" s="836"/>
      <c r="BH56" s="918">
        <v>44497</v>
      </c>
      <c r="BI56" s="919"/>
      <c r="BJ56" s="918">
        <v>44508</v>
      </c>
      <c r="BK56" s="919"/>
      <c r="BL56" s="919"/>
      <c r="BM56" s="836"/>
      <c r="BO56" s="835">
        <v>44515</v>
      </c>
      <c r="BP56" s="836"/>
      <c r="BQ56" s="835"/>
      <c r="BR56" s="836"/>
      <c r="BS56" s="836"/>
      <c r="BT56" s="836"/>
      <c r="BV56" s="835">
        <v>44543</v>
      </c>
      <c r="BW56" s="836"/>
      <c r="BX56" s="835">
        <v>44550</v>
      </c>
      <c r="BY56" s="836"/>
      <c r="BZ56" s="836"/>
      <c r="CA56" s="836"/>
      <c r="CC56" s="835">
        <v>44571</v>
      </c>
      <c r="CD56" s="836"/>
      <c r="CE56" s="835"/>
      <c r="CF56" s="836"/>
      <c r="CG56" s="836"/>
      <c r="CH56" s="951"/>
    </row>
    <row r="57" spans="1:86" x14ac:dyDescent="0.2">
      <c r="A57" s="836"/>
      <c r="B57" s="836"/>
      <c r="C57" s="836" t="s">
        <v>3480</v>
      </c>
      <c r="D57" s="920">
        <v>1865234</v>
      </c>
      <c r="E57" s="920"/>
      <c r="F57" s="920">
        <v>2047281</v>
      </c>
      <c r="G57" s="920"/>
      <c r="H57" s="920"/>
      <c r="I57" s="951">
        <f>SUM(D57:H57)</f>
        <v>3912515</v>
      </c>
      <c r="J57" s="717"/>
      <c r="K57" s="920"/>
      <c r="L57" s="920"/>
      <c r="M57" s="920">
        <v>2106969</v>
      </c>
      <c r="N57" s="920"/>
      <c r="O57" s="951"/>
      <c r="P57" s="951">
        <f>SUM(K57:O57)</f>
        <v>2106969</v>
      </c>
      <c r="R57" s="919"/>
      <c r="S57" s="919"/>
      <c r="T57" s="920"/>
      <c r="U57" s="919"/>
      <c r="V57" s="919"/>
      <c r="W57" s="1099">
        <f>SUM(R57:V57)</f>
        <v>0</v>
      </c>
      <c r="Y57" s="920"/>
      <c r="Z57" s="919"/>
      <c r="AA57" s="920">
        <v>2215312</v>
      </c>
      <c r="AB57" s="919"/>
      <c r="AC57" s="919"/>
      <c r="AD57" s="951">
        <f>SUM(Y57:AC57)</f>
        <v>2215312</v>
      </c>
      <c r="AF57" s="920">
        <v>1973153</v>
      </c>
      <c r="AG57" s="920"/>
      <c r="AH57" s="951">
        <v>1658160</v>
      </c>
      <c r="AI57" s="920"/>
      <c r="AJ57" s="920"/>
      <c r="AK57" s="951">
        <f>SUM(AF57:AJ57)</f>
        <v>3631313</v>
      </c>
      <c r="AM57" s="920"/>
      <c r="AN57" s="919"/>
      <c r="AO57" s="920">
        <v>1812159</v>
      </c>
      <c r="AP57" s="919"/>
      <c r="AQ57" s="919"/>
      <c r="AR57" s="951">
        <f>SUM(AM57:AQ57)</f>
        <v>1812159</v>
      </c>
      <c r="AT57" s="920">
        <v>2104575</v>
      </c>
      <c r="AU57" s="920"/>
      <c r="AV57" s="920">
        <v>1840300</v>
      </c>
      <c r="AW57" s="920"/>
      <c r="AX57" s="920"/>
      <c r="AY57" s="951">
        <f>SUM(AT57:AX57)</f>
        <v>3944875</v>
      </c>
      <c r="BA57" s="920"/>
      <c r="BB57" s="920"/>
      <c r="BC57" s="920">
        <v>1836000</v>
      </c>
      <c r="BD57" s="920"/>
      <c r="BE57" s="920"/>
      <c r="BF57" s="951">
        <f>SUM(BA57:BE57)</f>
        <v>1836000</v>
      </c>
      <c r="BG57" s="717"/>
      <c r="BH57" s="920">
        <v>1878531</v>
      </c>
      <c r="BI57" s="920"/>
      <c r="BJ57" s="920">
        <v>2192825</v>
      </c>
      <c r="BK57" s="920"/>
      <c r="BL57" s="920"/>
      <c r="BM57" s="951">
        <f>SUM(BH57:BL57)</f>
        <v>4071356</v>
      </c>
      <c r="BO57" s="951">
        <v>1899800</v>
      </c>
      <c r="BP57" s="951"/>
      <c r="BQ57" s="951"/>
      <c r="BR57" s="951"/>
      <c r="BS57" s="951"/>
      <c r="BT57" s="951">
        <f>SUM(BO57:BS57)</f>
        <v>1899800</v>
      </c>
      <c r="BV57" s="951">
        <v>2001626</v>
      </c>
      <c r="BW57" s="951"/>
      <c r="BX57" s="951">
        <v>1837313</v>
      </c>
      <c r="BY57" s="951"/>
      <c r="BZ57" s="951"/>
      <c r="CA57" s="951">
        <f>SUM(BV57:BZ57)</f>
        <v>3838939</v>
      </c>
      <c r="CB57" s="717"/>
      <c r="CC57" s="951">
        <v>1752300</v>
      </c>
      <c r="CD57" s="951"/>
      <c r="CE57" s="951"/>
      <c r="CF57" s="836"/>
      <c r="CG57" s="836"/>
      <c r="CH57" s="951">
        <f>SUM(CC57:CG57)</f>
        <v>1752300</v>
      </c>
    </row>
    <row r="58" spans="1:86" x14ac:dyDescent="0.2">
      <c r="A58" s="836">
        <v>10</v>
      </c>
      <c r="B58" s="836" t="s">
        <v>81</v>
      </c>
      <c r="C58" s="836" t="s">
        <v>114</v>
      </c>
      <c r="D58" s="1123">
        <v>44236</v>
      </c>
      <c r="E58" s="1123"/>
      <c r="F58" s="1123">
        <v>44250</v>
      </c>
      <c r="G58" s="1123"/>
      <c r="H58" s="1123"/>
      <c r="I58" s="951"/>
      <c r="K58" s="920"/>
      <c r="L58" s="920"/>
      <c r="M58" s="920"/>
      <c r="N58" s="920"/>
      <c r="O58" s="951"/>
      <c r="P58" s="951"/>
      <c r="R58" s="950">
        <v>44306</v>
      </c>
      <c r="S58" s="950"/>
      <c r="T58" s="950"/>
      <c r="U58" s="950"/>
      <c r="V58" s="950"/>
      <c r="W58" s="1099"/>
      <c r="Y58" s="950"/>
      <c r="Z58" s="950"/>
      <c r="AA58" s="950">
        <v>44347</v>
      </c>
      <c r="AB58" s="950"/>
      <c r="AC58" s="950"/>
      <c r="AD58" s="951"/>
      <c r="AF58" s="950">
        <v>44361</v>
      </c>
      <c r="AG58" s="950"/>
      <c r="AH58" s="835">
        <v>44375</v>
      </c>
      <c r="AI58" s="950"/>
      <c r="AJ58" s="950"/>
      <c r="AK58" s="951"/>
      <c r="AM58" s="918">
        <v>44396</v>
      </c>
      <c r="AN58" s="920">
        <v>2139000</v>
      </c>
      <c r="AO58" s="918">
        <v>44407</v>
      </c>
      <c r="AP58" s="919"/>
      <c r="AQ58" s="919"/>
      <c r="AR58" s="951"/>
      <c r="AT58" s="918">
        <v>44431</v>
      </c>
      <c r="AU58" s="919"/>
      <c r="AV58" s="918">
        <v>44438</v>
      </c>
      <c r="AW58" s="919"/>
      <c r="AX58" s="919"/>
      <c r="AY58" s="836"/>
      <c r="BA58" s="918">
        <v>44459</v>
      </c>
      <c r="BB58" s="919"/>
      <c r="BC58" s="918">
        <v>44473</v>
      </c>
      <c r="BD58" s="919"/>
      <c r="BE58" s="919"/>
      <c r="BF58" s="836"/>
      <c r="BH58" s="918">
        <v>44497</v>
      </c>
      <c r="BI58" s="919"/>
      <c r="BJ58" s="918">
        <v>44508</v>
      </c>
      <c r="BK58" s="919"/>
      <c r="BL58" s="919"/>
      <c r="BM58" s="836"/>
      <c r="BO58" s="835">
        <v>44515</v>
      </c>
      <c r="BP58" s="836"/>
      <c r="BQ58" s="835">
        <v>44522</v>
      </c>
      <c r="BR58" s="836"/>
      <c r="BS58" s="836"/>
      <c r="BT58" s="836"/>
      <c r="BV58" s="835">
        <v>44543</v>
      </c>
      <c r="BW58" s="836"/>
      <c r="BX58" s="835">
        <v>44550</v>
      </c>
      <c r="BY58" s="836"/>
      <c r="BZ58" s="836"/>
      <c r="CA58" s="836"/>
      <c r="CC58" s="835">
        <v>44571</v>
      </c>
      <c r="CD58" s="836"/>
      <c r="CE58" s="835">
        <v>44585</v>
      </c>
      <c r="CF58" s="836"/>
      <c r="CG58" s="836"/>
      <c r="CH58" s="951"/>
    </row>
    <row r="59" spans="1:86" x14ac:dyDescent="0.2">
      <c r="A59" s="836"/>
      <c r="B59" s="836"/>
      <c r="C59" s="836" t="s">
        <v>3480</v>
      </c>
      <c r="D59" s="920">
        <v>1870500</v>
      </c>
      <c r="E59" s="920"/>
      <c r="F59" s="920">
        <v>1947500</v>
      </c>
      <c r="G59" s="920"/>
      <c r="H59" s="920"/>
      <c r="I59" s="920">
        <f>SUM(D59:H59)</f>
        <v>3818000</v>
      </c>
      <c r="K59" s="920"/>
      <c r="L59" s="920"/>
      <c r="M59" s="920"/>
      <c r="N59" s="920"/>
      <c r="O59" s="920"/>
      <c r="P59" s="951">
        <f>SUM(K59:O59)</f>
        <v>0</v>
      </c>
      <c r="R59" s="920">
        <v>2078617</v>
      </c>
      <c r="S59" s="920"/>
      <c r="T59" s="920"/>
      <c r="U59" s="920"/>
      <c r="V59" s="920"/>
      <c r="W59" s="951">
        <f>SUM(R59:V59)</f>
        <v>2078617</v>
      </c>
      <c r="Y59" s="920"/>
      <c r="Z59" s="919"/>
      <c r="AA59" s="920">
        <v>6095000</v>
      </c>
      <c r="AB59" s="919"/>
      <c r="AC59" s="919"/>
      <c r="AD59" s="951">
        <f>SUM(Y59:AC59)</f>
        <v>6095000</v>
      </c>
      <c r="AF59" s="920">
        <v>2018063</v>
      </c>
      <c r="AG59" s="919"/>
      <c r="AH59" s="951">
        <v>2074500</v>
      </c>
      <c r="AI59" s="920"/>
      <c r="AJ59" s="919"/>
      <c r="AK59" s="951">
        <f>SUM(AF59:AJ59)</f>
        <v>4092563</v>
      </c>
      <c r="AM59" s="920"/>
      <c r="AN59" s="920"/>
      <c r="AO59" s="920">
        <v>1606314</v>
      </c>
      <c r="AP59" s="920"/>
      <c r="AQ59" s="920"/>
      <c r="AR59" s="951">
        <f>SUM(AM59:AQ59)</f>
        <v>1606314</v>
      </c>
      <c r="AT59" s="920">
        <v>1668500</v>
      </c>
      <c r="AU59" s="920"/>
      <c r="AV59" s="920">
        <v>1548398</v>
      </c>
      <c r="AW59" s="920"/>
      <c r="AX59" s="920"/>
      <c r="AY59" s="951">
        <f>SUM(AT59:AX59)</f>
        <v>3216898</v>
      </c>
      <c r="BA59" s="920">
        <v>1833844</v>
      </c>
      <c r="BB59" s="920"/>
      <c r="BC59" s="920">
        <v>1906242</v>
      </c>
      <c r="BD59" s="920"/>
      <c r="BE59" s="920"/>
      <c r="BF59" s="951">
        <f>SUM(BA59:BE59)</f>
        <v>3740086</v>
      </c>
      <c r="BH59" s="920">
        <v>1992830</v>
      </c>
      <c r="BI59" s="920"/>
      <c r="BJ59" s="920">
        <v>1623500</v>
      </c>
      <c r="BK59" s="920"/>
      <c r="BL59" s="920"/>
      <c r="BM59" s="951">
        <f>SUM(BH59:BL59)</f>
        <v>3616330</v>
      </c>
      <c r="BO59" s="951">
        <v>1977028</v>
      </c>
      <c r="BP59" s="951"/>
      <c r="BQ59" s="951">
        <v>1910391</v>
      </c>
      <c r="BR59" s="951"/>
      <c r="BS59" s="951"/>
      <c r="BT59" s="951">
        <f>SUM(BO59:BS59)</f>
        <v>3887419</v>
      </c>
      <c r="BV59" s="951">
        <v>1895547</v>
      </c>
      <c r="BW59" s="951"/>
      <c r="BX59" s="951">
        <v>2027653</v>
      </c>
      <c r="BY59" s="951"/>
      <c r="BZ59" s="951"/>
      <c r="CA59" s="951">
        <f>SUM(BV59:BZ59)</f>
        <v>3923200</v>
      </c>
      <c r="CB59" s="717"/>
      <c r="CC59" s="951">
        <v>1978714</v>
      </c>
      <c r="CD59" s="951"/>
      <c r="CE59" s="951">
        <v>1890708</v>
      </c>
      <c r="CF59" s="836"/>
      <c r="CG59" s="836"/>
      <c r="CH59" s="951">
        <f>SUM(CC59:CG59)</f>
        <v>3869422</v>
      </c>
    </row>
    <row r="60" spans="1:86" x14ac:dyDescent="0.2">
      <c r="A60" s="836">
        <v>11</v>
      </c>
      <c r="B60" s="836" t="s">
        <v>78</v>
      </c>
      <c r="C60" s="836" t="s">
        <v>114</v>
      </c>
      <c r="D60" s="1123">
        <v>44236</v>
      </c>
      <c r="E60" s="1123"/>
      <c r="F60" s="1123">
        <v>44250</v>
      </c>
      <c r="G60" s="1123"/>
      <c r="H60" s="1123"/>
      <c r="I60" s="951"/>
      <c r="K60" s="1129">
        <v>44264</v>
      </c>
      <c r="L60" s="1129"/>
      <c r="M60" s="1129">
        <v>44278</v>
      </c>
      <c r="N60" s="1129"/>
      <c r="O60" s="1130"/>
      <c r="P60" s="1130"/>
      <c r="R60" s="950">
        <v>44306</v>
      </c>
      <c r="S60" s="950"/>
      <c r="T60" s="950"/>
      <c r="U60" s="950"/>
      <c r="V60" s="950"/>
      <c r="W60" s="1099"/>
      <c r="Y60" s="950"/>
      <c r="Z60" s="950"/>
      <c r="AA60" s="950">
        <v>44347</v>
      </c>
      <c r="AB60" s="950"/>
      <c r="AC60" s="950"/>
      <c r="AD60" s="951"/>
      <c r="AF60" s="950">
        <v>44361</v>
      </c>
      <c r="AG60" s="950"/>
      <c r="AH60" s="835">
        <v>44375</v>
      </c>
      <c r="AI60" s="950"/>
      <c r="AJ60" s="950"/>
      <c r="AK60" s="951"/>
      <c r="AM60" s="918">
        <v>44396</v>
      </c>
      <c r="AN60" s="920">
        <v>2364000</v>
      </c>
      <c r="AO60" s="918">
        <v>44407</v>
      </c>
      <c r="AP60" s="919"/>
      <c r="AQ60" s="919"/>
      <c r="AR60" s="951"/>
      <c r="AT60" s="918">
        <v>44431</v>
      </c>
      <c r="AU60" s="919"/>
      <c r="AV60" s="918">
        <v>44438</v>
      </c>
      <c r="AW60" s="919"/>
      <c r="AX60" s="919"/>
      <c r="AY60" s="836"/>
      <c r="BA60" s="918">
        <v>44459</v>
      </c>
      <c r="BB60" s="919"/>
      <c r="BC60" s="918">
        <v>44473</v>
      </c>
      <c r="BD60" s="919"/>
      <c r="BE60" s="919"/>
      <c r="BF60" s="836"/>
      <c r="BH60" s="918">
        <v>44497</v>
      </c>
      <c r="BI60" s="919"/>
      <c r="BJ60" s="918">
        <v>44508</v>
      </c>
      <c r="BK60" s="919"/>
      <c r="BL60" s="919"/>
      <c r="BM60" s="836"/>
      <c r="BO60" s="835">
        <v>44515</v>
      </c>
      <c r="BP60" s="836"/>
      <c r="BQ60" s="835">
        <v>44522</v>
      </c>
      <c r="BR60" s="836"/>
      <c r="BS60" s="836"/>
      <c r="BT60" s="836"/>
      <c r="BV60" s="835">
        <v>44543</v>
      </c>
      <c r="BW60" s="836"/>
      <c r="BX60" s="835">
        <v>44550</v>
      </c>
      <c r="BY60" s="836"/>
      <c r="BZ60" s="836"/>
      <c r="CA60" s="836"/>
      <c r="CC60" s="835">
        <v>44571</v>
      </c>
      <c r="CD60" s="836"/>
      <c r="CE60" s="835">
        <v>44585</v>
      </c>
      <c r="CF60" s="836"/>
      <c r="CG60" s="836"/>
      <c r="CH60" s="951"/>
    </row>
    <row r="61" spans="1:86" x14ac:dyDescent="0.2">
      <c r="A61" s="836"/>
      <c r="B61" s="836"/>
      <c r="C61" s="836" t="s">
        <v>3480</v>
      </c>
      <c r="D61" s="920">
        <v>2232000</v>
      </c>
      <c r="E61" s="920"/>
      <c r="F61" s="920">
        <v>2412000</v>
      </c>
      <c r="G61" s="920"/>
      <c r="H61" s="920"/>
      <c r="I61" s="951">
        <f>SUM(D61:H61)</f>
        <v>4644000</v>
      </c>
      <c r="K61" s="920">
        <v>2238000</v>
      </c>
      <c r="L61" s="920"/>
      <c r="M61" s="920">
        <v>2550000</v>
      </c>
      <c r="N61" s="920"/>
      <c r="O61" s="951"/>
      <c r="P61" s="951">
        <f>SUM(K61:O61)</f>
        <v>4788000</v>
      </c>
      <c r="R61" s="920">
        <v>2346000</v>
      </c>
      <c r="S61" s="920"/>
      <c r="T61" s="920"/>
      <c r="U61" s="920"/>
      <c r="V61" s="920"/>
      <c r="W61" s="951">
        <f>SUM(R61:V61)</f>
        <v>2346000</v>
      </c>
      <c r="Y61" s="920"/>
      <c r="Z61" s="919"/>
      <c r="AA61" s="920">
        <v>2808000</v>
      </c>
      <c r="AB61" s="919"/>
      <c r="AC61" s="919"/>
      <c r="AD61" s="951">
        <f>SUM(Y61:AC61)</f>
        <v>2808000</v>
      </c>
      <c r="AF61" s="920">
        <v>2316000</v>
      </c>
      <c r="AG61" s="919"/>
      <c r="AH61" s="951">
        <v>2394000</v>
      </c>
      <c r="AI61" s="920"/>
      <c r="AJ61" s="919"/>
      <c r="AK61" s="951">
        <f>SUM(AF61:AJ61)</f>
        <v>4710000</v>
      </c>
      <c r="AM61" s="920"/>
      <c r="AN61" s="920"/>
      <c r="AO61" s="920">
        <v>2520375</v>
      </c>
      <c r="AP61" s="920"/>
      <c r="AQ61" s="920"/>
      <c r="AR61" s="951">
        <f>SUM(AM61:AQ61)</f>
        <v>2520375</v>
      </c>
      <c r="AT61" s="920">
        <v>1958800</v>
      </c>
      <c r="AU61" s="920"/>
      <c r="AV61" s="920">
        <v>1946467</v>
      </c>
      <c r="AW61" s="920"/>
      <c r="AX61" s="920"/>
      <c r="AY61" s="951">
        <f>SUM(AT61:AX61)</f>
        <v>3905267</v>
      </c>
      <c r="BA61" s="920">
        <v>2407500</v>
      </c>
      <c r="BB61" s="920"/>
      <c r="BC61" s="920">
        <v>2388000</v>
      </c>
      <c r="BD61" s="920"/>
      <c r="BE61" s="920"/>
      <c r="BF61" s="951">
        <f>SUM(BA61:BE61)</f>
        <v>4795500</v>
      </c>
      <c r="BH61" s="920">
        <v>2502000</v>
      </c>
      <c r="BI61" s="920"/>
      <c r="BJ61" s="920">
        <v>2842500</v>
      </c>
      <c r="BK61" s="920"/>
      <c r="BL61" s="920"/>
      <c r="BM61" s="951">
        <f>SUM(BH61:BL61)</f>
        <v>5344500</v>
      </c>
      <c r="BO61" s="951">
        <v>2190000</v>
      </c>
      <c r="BP61" s="951"/>
      <c r="BQ61" s="951">
        <v>2562000</v>
      </c>
      <c r="BR61" s="951"/>
      <c r="BS61" s="951"/>
      <c r="BT61" s="951">
        <f>SUM(BO61:BS61)</f>
        <v>4752000</v>
      </c>
      <c r="BV61" s="951">
        <v>2454000</v>
      </c>
      <c r="BW61" s="951"/>
      <c r="BX61" s="951">
        <v>2413125</v>
      </c>
      <c r="BY61" s="951"/>
      <c r="BZ61" s="951"/>
      <c r="CA61" s="951">
        <f>SUM(BV61:BZ61)</f>
        <v>4867125</v>
      </c>
      <c r="CB61" s="717"/>
      <c r="CC61" s="951">
        <v>2196000</v>
      </c>
      <c r="CD61" s="951"/>
      <c r="CE61" s="951">
        <v>2702700</v>
      </c>
      <c r="CF61" s="836"/>
      <c r="CG61" s="836"/>
      <c r="CH61" s="951">
        <f>SUM(CC61:CG61)</f>
        <v>4898700</v>
      </c>
    </row>
    <row r="62" spans="1:86" x14ac:dyDescent="0.2">
      <c r="A62" s="836">
        <v>12</v>
      </c>
      <c r="B62" s="836" t="s">
        <v>79</v>
      </c>
      <c r="C62" s="836" t="s">
        <v>114</v>
      </c>
      <c r="D62" s="1123">
        <v>44236</v>
      </c>
      <c r="E62" s="1123"/>
      <c r="F62" s="1123">
        <v>44250</v>
      </c>
      <c r="G62" s="1123"/>
      <c r="H62" s="1123"/>
      <c r="I62" s="951"/>
      <c r="K62" s="1129">
        <v>44264</v>
      </c>
      <c r="L62" s="1129"/>
      <c r="M62" s="1129">
        <v>44278</v>
      </c>
      <c r="N62" s="1129"/>
      <c r="O62" s="1130"/>
      <c r="P62" s="1130"/>
      <c r="R62" s="950"/>
      <c r="S62" s="950"/>
      <c r="T62" s="950"/>
      <c r="U62" s="950"/>
      <c r="V62" s="950"/>
      <c r="W62" s="1099"/>
      <c r="Y62" s="950"/>
      <c r="Z62" s="950"/>
      <c r="AA62" s="950">
        <v>44347</v>
      </c>
      <c r="AB62" s="950"/>
      <c r="AC62" s="950"/>
      <c r="AD62" s="951"/>
      <c r="AF62" s="950">
        <v>44361</v>
      </c>
      <c r="AG62" s="950"/>
      <c r="AH62" s="836"/>
      <c r="AI62" s="950"/>
      <c r="AJ62" s="950"/>
      <c r="AK62" s="951"/>
      <c r="AM62" s="950">
        <v>44396</v>
      </c>
      <c r="AN62" s="920">
        <v>1021500</v>
      </c>
      <c r="AO62" s="918">
        <v>44407</v>
      </c>
      <c r="AP62" s="919"/>
      <c r="AQ62" s="919"/>
      <c r="AR62" s="951"/>
      <c r="AT62" s="918">
        <v>44431</v>
      </c>
      <c r="AU62" s="919"/>
      <c r="AV62" s="918">
        <v>44438</v>
      </c>
      <c r="AW62" s="919"/>
      <c r="AX62" s="919"/>
      <c r="AY62" s="836"/>
      <c r="BA62" s="918"/>
      <c r="BB62" s="919"/>
      <c r="BC62" s="918">
        <v>44473</v>
      </c>
      <c r="BD62" s="919"/>
      <c r="BE62" s="919"/>
      <c r="BF62" s="836"/>
      <c r="BH62" s="918">
        <v>44497</v>
      </c>
      <c r="BI62" s="919"/>
      <c r="BJ62" s="918"/>
      <c r="BK62" s="919"/>
      <c r="BL62" s="919"/>
      <c r="BM62" s="836"/>
      <c r="BO62" s="835"/>
      <c r="BP62" s="836"/>
      <c r="BQ62" s="835">
        <v>44522</v>
      </c>
      <c r="BR62" s="836"/>
      <c r="BS62" s="836"/>
      <c r="BT62" s="836"/>
      <c r="BV62" s="835">
        <v>44543</v>
      </c>
      <c r="BW62" s="836"/>
      <c r="BX62" s="835">
        <v>44550</v>
      </c>
      <c r="BY62" s="836"/>
      <c r="BZ62" s="836"/>
      <c r="CA62" s="836"/>
      <c r="CC62" s="835">
        <v>44571</v>
      </c>
      <c r="CD62" s="836"/>
      <c r="CE62" s="835">
        <v>44585</v>
      </c>
      <c r="CF62" s="836"/>
      <c r="CG62" s="836"/>
      <c r="CH62" s="951"/>
    </row>
    <row r="63" spans="1:86" x14ac:dyDescent="0.2">
      <c r="A63" s="836"/>
      <c r="B63" s="836"/>
      <c r="C63" s="836" t="s">
        <v>3480</v>
      </c>
      <c r="D63" s="920">
        <v>631500</v>
      </c>
      <c r="E63" s="920"/>
      <c r="F63" s="920">
        <v>1141500</v>
      </c>
      <c r="G63" s="920"/>
      <c r="H63" s="920"/>
      <c r="I63" s="951">
        <f>SUM(D63:H63)</f>
        <v>1773000</v>
      </c>
      <c r="K63" s="920">
        <v>877266</v>
      </c>
      <c r="L63" s="920"/>
      <c r="M63" s="920">
        <v>984141</v>
      </c>
      <c r="N63" s="920"/>
      <c r="O63" s="920"/>
      <c r="P63" s="951">
        <f>SUM(K63:O63)</f>
        <v>1861407</v>
      </c>
      <c r="R63" s="1106"/>
      <c r="S63" s="1106"/>
      <c r="T63" s="1106"/>
      <c r="U63" s="1106"/>
      <c r="V63" s="1106"/>
      <c r="W63" s="1099">
        <f>SUM(R63:V63)</f>
        <v>0</v>
      </c>
      <c r="Y63" s="920"/>
      <c r="Z63" s="919"/>
      <c r="AA63" s="920">
        <v>676875</v>
      </c>
      <c r="AB63" s="919"/>
      <c r="AC63" s="919"/>
      <c r="AD63" s="951">
        <f>SUM(Y63:AC63)</f>
        <v>676875</v>
      </c>
      <c r="AF63" s="920">
        <v>858000</v>
      </c>
      <c r="AG63" s="920"/>
      <c r="AH63" s="836"/>
      <c r="AI63" s="919"/>
      <c r="AJ63" s="919"/>
      <c r="AK63" s="951">
        <f>SUM(AF63:AJ63)</f>
        <v>858000</v>
      </c>
      <c r="AM63" s="920"/>
      <c r="AN63" s="920"/>
      <c r="AO63" s="920">
        <v>819000</v>
      </c>
      <c r="AP63" s="920"/>
      <c r="AQ63" s="920"/>
      <c r="AR63" s="951">
        <f>SUM(AM63:AQ63)</f>
        <v>819000</v>
      </c>
      <c r="AT63" s="920">
        <v>967525</v>
      </c>
      <c r="AU63" s="920"/>
      <c r="AV63" s="920">
        <v>890900</v>
      </c>
      <c r="AW63" s="920"/>
      <c r="AX63" s="920"/>
      <c r="AY63" s="951">
        <f>SUM(AT63:AX63)</f>
        <v>1858425</v>
      </c>
      <c r="BA63" s="920"/>
      <c r="BB63" s="920"/>
      <c r="BC63" s="920">
        <v>990000</v>
      </c>
      <c r="BD63" s="920"/>
      <c r="BE63" s="920"/>
      <c r="BF63" s="951">
        <f>SUM(BA63:BE63)</f>
        <v>990000</v>
      </c>
      <c r="BH63" s="920">
        <v>1248000</v>
      </c>
      <c r="BI63" s="920"/>
      <c r="BJ63" s="920"/>
      <c r="BK63" s="920"/>
      <c r="BL63" s="920"/>
      <c r="BM63" s="951">
        <f>SUM(BH63:BL63)</f>
        <v>1248000</v>
      </c>
      <c r="BO63" s="951"/>
      <c r="BP63" s="951"/>
      <c r="BQ63" s="951">
        <v>924000</v>
      </c>
      <c r="BR63" s="951"/>
      <c r="BS63" s="951"/>
      <c r="BT63" s="951">
        <f>SUM(BO63:BS63)</f>
        <v>924000</v>
      </c>
      <c r="BV63" s="951">
        <v>1140000</v>
      </c>
      <c r="BW63" s="951"/>
      <c r="BX63" s="951">
        <v>930272</v>
      </c>
      <c r="BY63" s="951"/>
      <c r="BZ63" s="951"/>
      <c r="CA63" s="951">
        <f>SUM(BV63:BZ63)</f>
        <v>2070272</v>
      </c>
      <c r="CB63" s="717"/>
      <c r="CC63" s="951">
        <v>1138516</v>
      </c>
      <c r="CD63" s="951"/>
      <c r="CE63" s="951">
        <v>1300500</v>
      </c>
      <c r="CF63" s="836"/>
      <c r="CG63" s="836"/>
      <c r="CH63" s="951">
        <f>SUM(CC63:CG63)</f>
        <v>2439016</v>
      </c>
    </row>
    <row r="64" spans="1:86" x14ac:dyDescent="0.2">
      <c r="K64" s="717"/>
      <c r="L64" s="717"/>
      <c r="M64" s="717"/>
      <c r="N64" s="717"/>
      <c r="O64" s="717"/>
      <c r="P64" s="717"/>
      <c r="R64" s="916"/>
      <c r="S64" s="916"/>
      <c r="T64" s="916"/>
      <c r="U64" s="916"/>
      <c r="V64" s="916"/>
      <c r="Y64" s="916"/>
      <c r="Z64" s="916"/>
      <c r="AA64" s="916"/>
      <c r="AB64" s="916"/>
      <c r="AC64" s="916"/>
      <c r="AF64" s="916"/>
      <c r="AG64" s="916"/>
      <c r="AH64" s="916"/>
      <c r="AI64" s="916"/>
      <c r="AJ64" s="916"/>
      <c r="AM64" s="916"/>
      <c r="AN64" s="916"/>
      <c r="AO64" s="916"/>
      <c r="AP64" s="916"/>
      <c r="AQ64" s="916"/>
      <c r="AR64" s="717"/>
      <c r="BA64" s="916"/>
      <c r="BB64" s="916"/>
      <c r="BC64" s="916"/>
      <c r="BD64" s="916"/>
      <c r="BE64" s="916"/>
      <c r="BH64" s="916"/>
      <c r="BI64" s="916"/>
      <c r="BJ64" s="916"/>
      <c r="BK64" s="916"/>
      <c r="BL64" s="916"/>
      <c r="CH64" s="717"/>
    </row>
    <row r="65" spans="1:86" x14ac:dyDescent="0.2">
      <c r="A65" s="317" t="s">
        <v>3472</v>
      </c>
    </row>
    <row r="66" spans="1:86" x14ac:dyDescent="0.2">
      <c r="A66" s="317" t="s">
        <v>6259</v>
      </c>
    </row>
    <row r="67" spans="1:86" x14ac:dyDescent="0.2">
      <c r="A67" s="1611" t="s">
        <v>131</v>
      </c>
      <c r="B67" s="1611" t="s">
        <v>139</v>
      </c>
      <c r="C67" s="1611" t="s">
        <v>3479</v>
      </c>
      <c r="D67" s="1611" t="s">
        <v>3443</v>
      </c>
      <c r="E67" s="1611"/>
      <c r="F67" s="1611"/>
      <c r="G67" s="1611"/>
      <c r="H67" s="1611"/>
      <c r="I67" s="1611" t="s">
        <v>24</v>
      </c>
      <c r="K67" s="1611" t="s">
        <v>3443</v>
      </c>
      <c r="L67" s="1611"/>
      <c r="M67" s="1611"/>
      <c r="N67" s="1611"/>
      <c r="O67" s="1611"/>
      <c r="P67" s="1611" t="s">
        <v>24</v>
      </c>
      <c r="R67" s="1611" t="s">
        <v>3443</v>
      </c>
      <c r="S67" s="1611"/>
      <c r="T67" s="1611"/>
      <c r="U67" s="1611"/>
      <c r="V67" s="1611"/>
      <c r="W67" s="1612" t="s">
        <v>24</v>
      </c>
      <c r="Y67" s="1611" t="s">
        <v>3443</v>
      </c>
      <c r="Z67" s="1611"/>
      <c r="AA67" s="1611"/>
      <c r="AB67" s="1611"/>
      <c r="AC67" s="1611"/>
      <c r="AD67" s="1611" t="s">
        <v>24</v>
      </c>
      <c r="AF67" s="1611" t="s">
        <v>3443</v>
      </c>
      <c r="AG67" s="1611"/>
      <c r="AH67" s="1611"/>
      <c r="AI67" s="1611"/>
      <c r="AJ67" s="1611"/>
      <c r="AK67" s="1611" t="s">
        <v>24</v>
      </c>
      <c r="AM67" s="1611" t="s">
        <v>3443</v>
      </c>
      <c r="AN67" s="1611"/>
      <c r="AO67" s="1611"/>
      <c r="AP67" s="1611"/>
      <c r="AQ67" s="1611"/>
      <c r="AR67" s="1611" t="s">
        <v>24</v>
      </c>
      <c r="AT67" s="1611" t="s">
        <v>3443</v>
      </c>
      <c r="AU67" s="1611"/>
      <c r="AV67" s="1611"/>
      <c r="AW67" s="1611"/>
      <c r="AX67" s="1611"/>
      <c r="AY67" s="1611" t="s">
        <v>24</v>
      </c>
      <c r="BA67" s="1611" t="s">
        <v>3443</v>
      </c>
      <c r="BB67" s="1611"/>
      <c r="BC67" s="1611"/>
      <c r="BD67" s="1611"/>
      <c r="BE67" s="1611"/>
      <c r="BF67" s="1611" t="s">
        <v>24</v>
      </c>
      <c r="BH67" s="1611" t="s">
        <v>3443</v>
      </c>
      <c r="BI67" s="1611"/>
      <c r="BJ67" s="1611"/>
      <c r="BK67" s="1611"/>
      <c r="BL67" s="1611"/>
      <c r="BM67" s="1611" t="s">
        <v>24</v>
      </c>
      <c r="BO67" s="1611" t="s">
        <v>3443</v>
      </c>
      <c r="BP67" s="1611"/>
      <c r="BQ67" s="1611"/>
      <c r="BR67" s="1611"/>
      <c r="BS67" s="1611"/>
      <c r="BT67" s="1611" t="s">
        <v>24</v>
      </c>
      <c r="BV67" s="1611" t="s">
        <v>3443</v>
      </c>
      <c r="BW67" s="1611"/>
      <c r="BX67" s="1611"/>
      <c r="BY67" s="1611"/>
      <c r="BZ67" s="1611"/>
      <c r="CA67" s="1611" t="s">
        <v>24</v>
      </c>
      <c r="CC67" s="1611" t="s">
        <v>3443</v>
      </c>
      <c r="CD67" s="1611"/>
      <c r="CE67" s="1611"/>
      <c r="CF67" s="1611"/>
      <c r="CG67" s="1611"/>
      <c r="CH67" s="1611" t="s">
        <v>24</v>
      </c>
    </row>
    <row r="68" spans="1:86" x14ac:dyDescent="0.2">
      <c r="A68" s="1611"/>
      <c r="B68" s="1611"/>
      <c r="C68" s="1611"/>
      <c r="D68" s="1611" t="s">
        <v>3473</v>
      </c>
      <c r="E68" s="1611"/>
      <c r="F68" s="1611"/>
      <c r="G68" s="1611"/>
      <c r="H68" s="1611"/>
      <c r="I68" s="1611"/>
      <c r="K68" s="1611" t="s">
        <v>3482</v>
      </c>
      <c r="L68" s="1611"/>
      <c r="M68" s="1611"/>
      <c r="N68" s="1611"/>
      <c r="O68" s="1611"/>
      <c r="P68" s="1611"/>
      <c r="R68" s="1611" t="s">
        <v>3483</v>
      </c>
      <c r="S68" s="1611"/>
      <c r="T68" s="1611"/>
      <c r="U68" s="1611"/>
      <c r="V68" s="1611"/>
      <c r="W68" s="1612"/>
      <c r="Y68" s="1611" t="s">
        <v>3485</v>
      </c>
      <c r="Z68" s="1611"/>
      <c r="AA68" s="1611"/>
      <c r="AB68" s="1611"/>
      <c r="AC68" s="1611"/>
      <c r="AD68" s="1611"/>
      <c r="AF68" s="1611" t="s">
        <v>3448</v>
      </c>
      <c r="AG68" s="1611"/>
      <c r="AH68" s="1611"/>
      <c r="AI68" s="1611"/>
      <c r="AJ68" s="1611"/>
      <c r="AK68" s="1611"/>
      <c r="AM68" s="1611" t="s">
        <v>3449</v>
      </c>
      <c r="AN68" s="1611"/>
      <c r="AO68" s="1611"/>
      <c r="AP68" s="1611"/>
      <c r="AQ68" s="1611"/>
      <c r="AR68" s="1611"/>
      <c r="AT68" s="1611" t="s">
        <v>3450</v>
      </c>
      <c r="AU68" s="1611"/>
      <c r="AV68" s="1611"/>
      <c r="AW68" s="1611"/>
      <c r="AX68" s="1611"/>
      <c r="AY68" s="1611"/>
      <c r="BA68" s="1611" t="s">
        <v>3488</v>
      </c>
      <c r="BB68" s="1611"/>
      <c r="BC68" s="1611"/>
      <c r="BD68" s="1611"/>
      <c r="BE68" s="1611"/>
      <c r="BF68" s="1611"/>
      <c r="BH68" s="1611" t="s">
        <v>3487</v>
      </c>
      <c r="BI68" s="1611"/>
      <c r="BJ68" s="1611"/>
      <c r="BK68" s="1611"/>
      <c r="BL68" s="1611"/>
      <c r="BM68" s="1611"/>
      <c r="BO68" s="1611" t="s">
        <v>3486</v>
      </c>
      <c r="BP68" s="1611"/>
      <c r="BQ68" s="1611"/>
      <c r="BR68" s="1611"/>
      <c r="BS68" s="1611"/>
      <c r="BT68" s="1611"/>
      <c r="BV68" s="1611" t="s">
        <v>135</v>
      </c>
      <c r="BW68" s="1611"/>
      <c r="BX68" s="1611"/>
      <c r="BY68" s="1611"/>
      <c r="BZ68" s="1611"/>
      <c r="CA68" s="1611"/>
      <c r="CC68" s="1611" t="s">
        <v>134</v>
      </c>
      <c r="CD68" s="1611"/>
      <c r="CE68" s="1611"/>
      <c r="CF68" s="1611"/>
      <c r="CG68" s="1611"/>
      <c r="CH68" s="1611"/>
    </row>
    <row r="69" spans="1:86" x14ac:dyDescent="0.2">
      <c r="A69" s="1611"/>
      <c r="B69" s="1611"/>
      <c r="C69" s="1611"/>
      <c r="D69" s="1394" t="s">
        <v>3474</v>
      </c>
      <c r="E69" s="1394" t="s">
        <v>3475</v>
      </c>
      <c r="F69" s="1394" t="s">
        <v>3476</v>
      </c>
      <c r="G69" s="1394" t="s">
        <v>3477</v>
      </c>
      <c r="H69" s="1394" t="s">
        <v>3478</v>
      </c>
      <c r="I69" s="1611"/>
      <c r="K69" s="1394" t="s">
        <v>3474</v>
      </c>
      <c r="L69" s="1394" t="s">
        <v>3475</v>
      </c>
      <c r="M69" s="1394" t="s">
        <v>3476</v>
      </c>
      <c r="N69" s="1394" t="s">
        <v>3477</v>
      </c>
      <c r="O69" s="1394" t="s">
        <v>3478</v>
      </c>
      <c r="P69" s="1611"/>
      <c r="R69" s="1394" t="s">
        <v>3474</v>
      </c>
      <c r="S69" s="1394" t="s">
        <v>3475</v>
      </c>
      <c r="T69" s="1394" t="s">
        <v>3476</v>
      </c>
      <c r="U69" s="1394" t="s">
        <v>3477</v>
      </c>
      <c r="V69" s="1394" t="s">
        <v>3478</v>
      </c>
      <c r="W69" s="1612"/>
      <c r="Y69" s="1394" t="s">
        <v>3474</v>
      </c>
      <c r="Z69" s="1394" t="s">
        <v>3475</v>
      </c>
      <c r="AA69" s="1394" t="s">
        <v>3476</v>
      </c>
      <c r="AB69" s="1394" t="s">
        <v>3477</v>
      </c>
      <c r="AC69" s="1394" t="s">
        <v>3478</v>
      </c>
      <c r="AD69" s="1611"/>
      <c r="AF69" s="1394" t="s">
        <v>3474</v>
      </c>
      <c r="AG69" s="1394" t="s">
        <v>3475</v>
      </c>
      <c r="AH69" s="1394" t="s">
        <v>3476</v>
      </c>
      <c r="AI69" s="1394" t="s">
        <v>3477</v>
      </c>
      <c r="AJ69" s="1394" t="s">
        <v>3478</v>
      </c>
      <c r="AK69" s="1611"/>
      <c r="AM69" s="1394" t="s">
        <v>3474</v>
      </c>
      <c r="AN69" s="1394" t="s">
        <v>3475</v>
      </c>
      <c r="AO69" s="1394" t="s">
        <v>3476</v>
      </c>
      <c r="AP69" s="1394" t="s">
        <v>3477</v>
      </c>
      <c r="AQ69" s="1394" t="s">
        <v>3478</v>
      </c>
      <c r="AR69" s="1611"/>
      <c r="AT69" s="1394" t="s">
        <v>3474</v>
      </c>
      <c r="AU69" s="1394" t="s">
        <v>3475</v>
      </c>
      <c r="AV69" s="1394" t="s">
        <v>3476</v>
      </c>
      <c r="AW69" s="1394" t="s">
        <v>3477</v>
      </c>
      <c r="AX69" s="1394" t="s">
        <v>3478</v>
      </c>
      <c r="AY69" s="1611"/>
      <c r="BA69" s="1394" t="s">
        <v>3474</v>
      </c>
      <c r="BB69" s="1394" t="s">
        <v>3475</v>
      </c>
      <c r="BC69" s="1394" t="s">
        <v>3476</v>
      </c>
      <c r="BD69" s="1394" t="s">
        <v>3477</v>
      </c>
      <c r="BE69" s="1394" t="s">
        <v>3478</v>
      </c>
      <c r="BF69" s="1611"/>
      <c r="BH69" s="1394" t="s">
        <v>3474</v>
      </c>
      <c r="BI69" s="1394" t="s">
        <v>3475</v>
      </c>
      <c r="BJ69" s="1394" t="s">
        <v>3476</v>
      </c>
      <c r="BK69" s="1394" t="s">
        <v>3477</v>
      </c>
      <c r="BL69" s="1394" t="s">
        <v>3478</v>
      </c>
      <c r="BM69" s="1611"/>
      <c r="BO69" s="1394" t="s">
        <v>3474</v>
      </c>
      <c r="BP69" s="1394" t="s">
        <v>3475</v>
      </c>
      <c r="BQ69" s="1394" t="s">
        <v>3476</v>
      </c>
      <c r="BR69" s="1394" t="s">
        <v>3477</v>
      </c>
      <c r="BS69" s="1394" t="s">
        <v>3478</v>
      </c>
      <c r="BT69" s="1611"/>
      <c r="BV69" s="1394" t="s">
        <v>3474</v>
      </c>
      <c r="BW69" s="1394" t="s">
        <v>3475</v>
      </c>
      <c r="BX69" s="1394" t="s">
        <v>3476</v>
      </c>
      <c r="BY69" s="1394" t="s">
        <v>3477</v>
      </c>
      <c r="BZ69" s="1394" t="s">
        <v>3478</v>
      </c>
      <c r="CA69" s="1611"/>
      <c r="CC69" s="1394" t="s">
        <v>3474</v>
      </c>
      <c r="CD69" s="1394" t="s">
        <v>3475</v>
      </c>
      <c r="CE69" s="1394" t="s">
        <v>3476</v>
      </c>
      <c r="CF69" s="1394" t="s">
        <v>3477</v>
      </c>
      <c r="CG69" s="1394" t="s">
        <v>3478</v>
      </c>
      <c r="CH69" s="1611"/>
    </row>
    <row r="70" spans="1:86" x14ac:dyDescent="0.2">
      <c r="A70" s="836">
        <v>1</v>
      </c>
      <c r="B70" s="836" t="s">
        <v>80</v>
      </c>
      <c r="C70" s="836" t="s">
        <v>114</v>
      </c>
      <c r="D70" s="1123">
        <v>44606</v>
      </c>
      <c r="E70" s="1123"/>
      <c r="F70" s="1123">
        <v>44613</v>
      </c>
      <c r="G70" s="1123"/>
      <c r="H70" s="1123"/>
      <c r="I70" s="836"/>
      <c r="K70" s="1123">
        <v>44629</v>
      </c>
      <c r="L70" s="920"/>
      <c r="M70" s="1129">
        <v>44641</v>
      </c>
      <c r="N70" s="920"/>
      <c r="O70" s="951"/>
      <c r="P70" s="951"/>
      <c r="R70" s="950">
        <v>44655</v>
      </c>
      <c r="S70" s="950"/>
      <c r="T70" s="950"/>
      <c r="U70" s="950"/>
      <c r="V70" s="950"/>
      <c r="W70" s="1099"/>
      <c r="Y70" s="950"/>
      <c r="Z70" s="950"/>
      <c r="AA70" s="918"/>
      <c r="AB70" s="950"/>
      <c r="AC70" s="950"/>
      <c r="AD70" s="951"/>
      <c r="AF70" s="918"/>
      <c r="AG70" s="919"/>
      <c r="AH70" s="835"/>
      <c r="AI70" s="919"/>
      <c r="AJ70" s="919"/>
      <c r="AK70" s="836"/>
      <c r="AM70" s="918">
        <v>44753</v>
      </c>
      <c r="AN70" s="920"/>
      <c r="AO70" s="918"/>
      <c r="AP70" s="919"/>
      <c r="AQ70" s="919"/>
      <c r="AR70" s="836"/>
      <c r="AT70" s="918"/>
      <c r="AU70" s="919"/>
      <c r="AV70" s="918"/>
      <c r="AW70" s="919"/>
      <c r="AX70" s="919"/>
      <c r="AY70" s="836"/>
      <c r="BA70" s="918"/>
      <c r="BB70" s="919"/>
      <c r="BC70" s="918"/>
      <c r="BD70" s="919"/>
      <c r="BE70" s="919"/>
      <c r="BF70" s="836"/>
      <c r="BH70" s="918"/>
      <c r="BI70" s="919"/>
      <c r="BJ70" s="919"/>
      <c r="BK70" s="919"/>
      <c r="BL70" s="919"/>
      <c r="BM70" s="836"/>
      <c r="BO70" s="835"/>
      <c r="BP70" s="836"/>
      <c r="BQ70" s="835"/>
      <c r="BR70" s="836"/>
      <c r="BS70" s="836"/>
      <c r="BT70" s="836"/>
      <c r="BV70" s="835"/>
      <c r="BW70" s="836"/>
      <c r="BX70" s="835"/>
      <c r="BY70" s="836"/>
      <c r="BZ70" s="836"/>
      <c r="CA70" s="836"/>
      <c r="CC70" s="835"/>
      <c r="CD70" s="836"/>
      <c r="CE70" s="835"/>
      <c r="CF70" s="836"/>
      <c r="CG70" s="836"/>
      <c r="CH70" s="951"/>
    </row>
    <row r="71" spans="1:86" x14ac:dyDescent="0.2">
      <c r="A71" s="836"/>
      <c r="B71" s="836"/>
      <c r="C71" s="836" t="s">
        <v>3480</v>
      </c>
      <c r="D71" s="920">
        <v>4153500</v>
      </c>
      <c r="E71" s="920"/>
      <c r="F71" s="920">
        <v>4992113</v>
      </c>
      <c r="G71" s="920"/>
      <c r="H71" s="920"/>
      <c r="I71" s="951">
        <f>SUM(D71:H71)</f>
        <v>9145613</v>
      </c>
      <c r="K71" s="920">
        <v>4385981</v>
      </c>
      <c r="L71" s="920"/>
      <c r="M71" s="920">
        <v>5480191</v>
      </c>
      <c r="N71" s="920"/>
      <c r="O71" s="951"/>
      <c r="P71" s="951">
        <f>SUM(K71:O71)</f>
        <v>9866172</v>
      </c>
      <c r="R71" s="920">
        <v>4904761</v>
      </c>
      <c r="S71" s="920"/>
      <c r="T71" s="920"/>
      <c r="U71" s="920"/>
      <c r="V71" s="920"/>
      <c r="W71" s="1099">
        <f>SUM(R71:V71)</f>
        <v>4904761</v>
      </c>
      <c r="Y71" s="920"/>
      <c r="Z71" s="919"/>
      <c r="AA71" s="920"/>
      <c r="AB71" s="919"/>
      <c r="AC71" s="919"/>
      <c r="AD71" s="951">
        <f>SUM(Y71:AC71)</f>
        <v>0</v>
      </c>
      <c r="AF71" s="920"/>
      <c r="AG71" s="920"/>
      <c r="AH71" s="951"/>
      <c r="AI71" s="920"/>
      <c r="AJ71" s="920"/>
      <c r="AK71" s="836">
        <f>SUM(AF71:AJ71)</f>
        <v>0</v>
      </c>
      <c r="AM71" s="920">
        <v>3148957</v>
      </c>
      <c r="AN71" s="919"/>
      <c r="AO71" s="920"/>
      <c r="AP71" s="919"/>
      <c r="AQ71" s="919"/>
      <c r="AR71" s="951">
        <f>SUM(AM71:AQ71)</f>
        <v>3148957</v>
      </c>
      <c r="AT71" s="920"/>
      <c r="AU71" s="920"/>
      <c r="AV71" s="920"/>
      <c r="AW71" s="920"/>
      <c r="AX71" s="920"/>
      <c r="AY71" s="951">
        <f>SUM(AT71:AX71)</f>
        <v>0</v>
      </c>
      <c r="BA71" s="920"/>
      <c r="BB71" s="920"/>
      <c r="BC71" s="920"/>
      <c r="BD71" s="920"/>
      <c r="BE71" s="920"/>
      <c r="BF71" s="951">
        <f>SUM(BA71:BE71)</f>
        <v>0</v>
      </c>
      <c r="BH71" s="920"/>
      <c r="BI71" s="920"/>
      <c r="BJ71" s="920"/>
      <c r="BK71" s="920"/>
      <c r="BL71" s="920"/>
      <c r="BM71" s="951">
        <f>SUM(BH71:BL71)</f>
        <v>0</v>
      </c>
      <c r="BO71" s="951"/>
      <c r="BP71" s="836"/>
      <c r="BQ71" s="951"/>
      <c r="BR71" s="951"/>
      <c r="BS71" s="951"/>
      <c r="BT71" s="951">
        <f>SUM(BO71:BS71)</f>
        <v>0</v>
      </c>
      <c r="BV71" s="951"/>
      <c r="BW71" s="951"/>
      <c r="BX71" s="951"/>
      <c r="BY71" s="951"/>
      <c r="BZ71" s="951"/>
      <c r="CA71" s="951">
        <f>SUM(BV71:BZ71)</f>
        <v>0</v>
      </c>
      <c r="CB71" s="717"/>
      <c r="CC71" s="951"/>
      <c r="CD71" s="951"/>
      <c r="CE71" s="951"/>
      <c r="CF71" s="836"/>
      <c r="CG71" s="836"/>
      <c r="CH71" s="951">
        <f>SUM(CC71:CG71)</f>
        <v>0</v>
      </c>
    </row>
    <row r="72" spans="1:86" x14ac:dyDescent="0.2">
      <c r="A72" s="836">
        <v>2</v>
      </c>
      <c r="B72" s="836" t="s">
        <v>83</v>
      </c>
      <c r="C72" s="836" t="s">
        <v>114</v>
      </c>
      <c r="D72" s="1123">
        <v>44606</v>
      </c>
      <c r="E72" s="1123"/>
      <c r="F72" s="1123">
        <v>44613</v>
      </c>
      <c r="G72" s="1123"/>
      <c r="H72" s="1123"/>
      <c r="I72" s="951"/>
      <c r="K72" s="1123">
        <v>44629</v>
      </c>
      <c r="L72" s="1124"/>
      <c r="M72" s="1129">
        <v>44641</v>
      </c>
      <c r="N72" s="1124"/>
      <c r="O72" s="1125"/>
      <c r="P72" s="1125"/>
      <c r="R72" s="950"/>
      <c r="S72" s="950"/>
      <c r="T72" s="950">
        <v>44676</v>
      </c>
      <c r="U72" s="950"/>
      <c r="V72" s="950"/>
      <c r="W72" s="1099"/>
      <c r="Y72" s="950">
        <v>44708</v>
      </c>
      <c r="Z72" s="950"/>
      <c r="AA72" s="950"/>
      <c r="AB72" s="950"/>
      <c r="AC72" s="950"/>
      <c r="AD72" s="951"/>
      <c r="AF72" s="950"/>
      <c r="AG72" s="950">
        <v>44742</v>
      </c>
      <c r="AH72" s="835"/>
      <c r="AI72" s="950"/>
      <c r="AJ72" s="950"/>
      <c r="AK72" s="836"/>
      <c r="AM72" s="918">
        <v>44753</v>
      </c>
      <c r="AN72" s="920"/>
      <c r="AO72" s="918"/>
      <c r="AP72" s="919"/>
      <c r="AQ72" s="919"/>
      <c r="AR72" s="951"/>
      <c r="AT72" s="918"/>
      <c r="AU72" s="919"/>
      <c r="AV72" s="918"/>
      <c r="AW72" s="919"/>
      <c r="AX72" s="919"/>
      <c r="AY72" s="836"/>
      <c r="BA72" s="918"/>
      <c r="BB72" s="919"/>
      <c r="BC72" s="918"/>
      <c r="BD72" s="919"/>
      <c r="BE72" s="919"/>
      <c r="BF72" s="836"/>
      <c r="BH72" s="918"/>
      <c r="BI72" s="919"/>
      <c r="BJ72" s="918"/>
      <c r="BK72" s="919"/>
      <c r="BL72" s="919"/>
      <c r="BM72" s="836"/>
      <c r="BO72" s="835"/>
      <c r="BP72" s="836"/>
      <c r="BQ72" s="835"/>
      <c r="BR72" s="836"/>
      <c r="BS72" s="836"/>
      <c r="BT72" s="836"/>
      <c r="BV72" s="835"/>
      <c r="BW72" s="836"/>
      <c r="BX72" s="835"/>
      <c r="BY72" s="836"/>
      <c r="BZ72" s="836"/>
      <c r="CA72" s="836"/>
      <c r="CC72" s="835"/>
      <c r="CD72" s="836"/>
      <c r="CE72" s="835"/>
      <c r="CF72" s="836"/>
      <c r="CG72" s="836"/>
      <c r="CH72" s="951"/>
    </row>
    <row r="73" spans="1:86" x14ac:dyDescent="0.2">
      <c r="A73" s="836"/>
      <c r="B73" s="836"/>
      <c r="C73" s="836" t="s">
        <v>3480</v>
      </c>
      <c r="D73" s="920">
        <v>3153000</v>
      </c>
      <c r="E73" s="920"/>
      <c r="F73" s="920">
        <v>3472500</v>
      </c>
      <c r="G73" s="920"/>
      <c r="H73" s="920"/>
      <c r="I73" s="951">
        <f>SUM(D73:H73)</f>
        <v>6625500</v>
      </c>
      <c r="K73" s="920">
        <v>3096000</v>
      </c>
      <c r="L73" s="920"/>
      <c r="M73" s="920">
        <v>3604500</v>
      </c>
      <c r="N73" s="920"/>
      <c r="O73" s="920"/>
      <c r="P73" s="951">
        <f>SUM(K73:O73)</f>
        <v>6700500</v>
      </c>
      <c r="R73" s="1126"/>
      <c r="S73" s="1106"/>
      <c r="T73" s="920">
        <v>4069500</v>
      </c>
      <c r="U73" s="919"/>
      <c r="V73" s="919"/>
      <c r="W73" s="1099">
        <f>SUM(R73:V73)</f>
        <v>4069500</v>
      </c>
      <c r="Y73" s="920">
        <v>3219000</v>
      </c>
      <c r="Z73" s="919"/>
      <c r="AA73" s="920"/>
      <c r="AB73" s="919"/>
      <c r="AC73" s="919"/>
      <c r="AD73" s="951">
        <f>SUM(Y73:AC73)</f>
        <v>3219000</v>
      </c>
      <c r="AF73" s="920"/>
      <c r="AG73" s="920">
        <v>3433500</v>
      </c>
      <c r="AH73" s="951"/>
      <c r="AI73" s="919"/>
      <c r="AJ73" s="919"/>
      <c r="AK73" s="951">
        <f>SUM(AF73:AJ73)</f>
        <v>3433500</v>
      </c>
      <c r="AM73" s="920">
        <v>3138000</v>
      </c>
      <c r="AN73" s="919"/>
      <c r="AO73" s="920"/>
      <c r="AP73" s="919"/>
      <c r="AQ73" s="919"/>
      <c r="AR73" s="951">
        <f>SUM(AM73:AQ73)</f>
        <v>3138000</v>
      </c>
      <c r="AT73" s="920"/>
      <c r="AU73" s="920"/>
      <c r="AV73" s="920"/>
      <c r="AW73" s="920"/>
      <c r="AX73" s="920"/>
      <c r="AY73" s="951">
        <f>SUM(AT73:AX73)</f>
        <v>0</v>
      </c>
      <c r="BA73" s="920"/>
      <c r="BB73" s="920"/>
      <c r="BC73" s="920"/>
      <c r="BD73" s="920"/>
      <c r="BE73" s="920"/>
      <c r="BF73" s="951">
        <f>SUM(BA73:BE73)</f>
        <v>0</v>
      </c>
      <c r="BH73" s="920"/>
      <c r="BI73" s="920"/>
      <c r="BJ73" s="920"/>
      <c r="BK73" s="920"/>
      <c r="BL73" s="920"/>
      <c r="BM73" s="951">
        <f>SUM(BH73:BL73)</f>
        <v>0</v>
      </c>
      <c r="BO73" s="951"/>
      <c r="BP73" s="951"/>
      <c r="BQ73" s="951"/>
      <c r="BR73" s="951"/>
      <c r="BS73" s="951"/>
      <c r="BT73" s="951">
        <f>SUM(BO73:BS73)</f>
        <v>0</v>
      </c>
      <c r="BV73" s="951"/>
      <c r="BW73" s="951"/>
      <c r="BX73" s="951"/>
      <c r="BY73" s="951"/>
      <c r="BZ73" s="951"/>
      <c r="CA73" s="951">
        <f>SUM(BV73:BZ73)</f>
        <v>0</v>
      </c>
      <c r="CB73" s="717"/>
      <c r="CC73" s="951"/>
      <c r="CD73" s="836"/>
      <c r="CE73" s="951"/>
      <c r="CF73" s="836"/>
      <c r="CG73" s="836"/>
      <c r="CH73" s="951">
        <f>SUM(CC73:CG73)</f>
        <v>0</v>
      </c>
    </row>
    <row r="74" spans="1:86" x14ac:dyDescent="0.2">
      <c r="A74" s="836">
        <v>3</v>
      </c>
      <c r="B74" s="836" t="s">
        <v>88</v>
      </c>
      <c r="C74" s="836" t="s">
        <v>114</v>
      </c>
      <c r="D74" s="1123">
        <v>44606</v>
      </c>
      <c r="E74" s="1123"/>
      <c r="F74" s="1123">
        <v>44613</v>
      </c>
      <c r="G74" s="1123"/>
      <c r="H74" s="1123"/>
      <c r="I74" s="951"/>
      <c r="K74" s="1123">
        <v>44629</v>
      </c>
      <c r="L74" s="920"/>
      <c r="M74" s="1129">
        <v>44641</v>
      </c>
      <c r="N74" s="920"/>
      <c r="O74" s="951"/>
      <c r="P74" s="951"/>
      <c r="R74" s="950"/>
      <c r="S74" s="950"/>
      <c r="T74" s="950">
        <v>44676</v>
      </c>
      <c r="U74" s="950"/>
      <c r="V74" s="950"/>
      <c r="W74" s="1099"/>
      <c r="Y74" s="950">
        <v>44708</v>
      </c>
      <c r="Z74" s="950"/>
      <c r="AA74" s="918"/>
      <c r="AB74" s="950"/>
      <c r="AC74" s="950"/>
      <c r="AD74" s="951"/>
      <c r="AF74" s="918"/>
      <c r="AG74" s="919"/>
      <c r="AH74" s="835"/>
      <c r="AI74" s="919"/>
      <c r="AJ74" s="919"/>
      <c r="AK74" s="951"/>
      <c r="AM74" s="918">
        <v>44753</v>
      </c>
      <c r="AN74" s="920"/>
      <c r="AO74" s="918"/>
      <c r="AP74" s="919"/>
      <c r="AQ74" s="919"/>
      <c r="AR74" s="951"/>
      <c r="AT74" s="918"/>
      <c r="AU74" s="919"/>
      <c r="AV74" s="918"/>
      <c r="AW74" s="919"/>
      <c r="AX74" s="919"/>
      <c r="AY74" s="836"/>
      <c r="BA74" s="918"/>
      <c r="BB74" s="919"/>
      <c r="BC74" s="918"/>
      <c r="BD74" s="919"/>
      <c r="BE74" s="919"/>
      <c r="BF74" s="836"/>
      <c r="BH74" s="918"/>
      <c r="BI74" s="919"/>
      <c r="BJ74" s="918"/>
      <c r="BK74" s="919"/>
      <c r="BL74" s="919"/>
      <c r="BM74" s="836"/>
      <c r="BO74" s="835"/>
      <c r="BP74" s="836"/>
      <c r="BQ74" s="835"/>
      <c r="BR74" s="836"/>
      <c r="BS74" s="836"/>
      <c r="BT74" s="836"/>
      <c r="BV74" s="835"/>
      <c r="BW74" s="836"/>
      <c r="BX74" s="835"/>
      <c r="BY74" s="836"/>
      <c r="BZ74" s="836"/>
      <c r="CA74" s="836"/>
      <c r="CC74" s="835"/>
      <c r="CD74" s="836"/>
      <c r="CE74" s="835"/>
      <c r="CF74" s="836"/>
      <c r="CG74" s="836"/>
      <c r="CH74" s="951"/>
    </row>
    <row r="75" spans="1:86" x14ac:dyDescent="0.2">
      <c r="A75" s="836"/>
      <c r="B75" s="836"/>
      <c r="C75" s="836" t="s">
        <v>3480</v>
      </c>
      <c r="D75" s="920">
        <v>1902000</v>
      </c>
      <c r="E75" s="920"/>
      <c r="F75" s="920">
        <v>1992000</v>
      </c>
      <c r="G75" s="920"/>
      <c r="H75" s="920"/>
      <c r="I75" s="951">
        <f>SUM(D75:H75)</f>
        <v>3894000</v>
      </c>
      <c r="K75" s="920">
        <v>2025857</v>
      </c>
      <c r="L75" s="920"/>
      <c r="M75" s="920">
        <v>1643664</v>
      </c>
      <c r="N75" s="920"/>
      <c r="O75" s="951"/>
      <c r="P75" s="951">
        <f>SUM(K75:O75)</f>
        <v>3669521</v>
      </c>
      <c r="R75" s="920"/>
      <c r="S75" s="920"/>
      <c r="T75" s="920">
        <v>1684450</v>
      </c>
      <c r="U75" s="920"/>
      <c r="V75" s="920"/>
      <c r="W75" s="951">
        <f>SUM(R75:V75)</f>
        <v>1684450</v>
      </c>
      <c r="Y75" s="920">
        <v>1968000</v>
      </c>
      <c r="Z75" s="919"/>
      <c r="AA75" s="920"/>
      <c r="AB75" s="919"/>
      <c r="AC75" s="919"/>
      <c r="AD75" s="951">
        <f>SUM(Y75:AC75)</f>
        <v>1968000</v>
      </c>
      <c r="AF75" s="920"/>
      <c r="AG75" s="920"/>
      <c r="AH75" s="951"/>
      <c r="AI75" s="950"/>
      <c r="AJ75" s="920"/>
      <c r="AK75" s="951">
        <f>SUM(AF75:AJ75)</f>
        <v>0</v>
      </c>
      <c r="AM75" s="920">
        <v>1423538</v>
      </c>
      <c r="AN75" s="919"/>
      <c r="AO75" s="920"/>
      <c r="AP75" s="919"/>
      <c r="AQ75" s="919"/>
      <c r="AR75" s="951">
        <f>SUM(AM75:AQ75)</f>
        <v>1423538</v>
      </c>
      <c r="AT75" s="920"/>
      <c r="AU75" s="920"/>
      <c r="AV75" s="920"/>
      <c r="AW75" s="920"/>
      <c r="AX75" s="920"/>
      <c r="AY75" s="951">
        <f>SUM(AT75:AX75)</f>
        <v>0</v>
      </c>
      <c r="BA75" s="920"/>
      <c r="BB75" s="920"/>
      <c r="BC75" s="920"/>
      <c r="BD75" s="920"/>
      <c r="BE75" s="920"/>
      <c r="BF75" s="951">
        <f>SUM(BA75:BE75)</f>
        <v>0</v>
      </c>
      <c r="BH75" s="920"/>
      <c r="BI75" s="920"/>
      <c r="BJ75" s="920"/>
      <c r="BK75" s="920"/>
      <c r="BL75" s="920"/>
      <c r="BM75" s="951">
        <f>SUM(BH75:BL75)</f>
        <v>0</v>
      </c>
      <c r="BO75" s="951"/>
      <c r="BP75" s="951"/>
      <c r="BQ75" s="951"/>
      <c r="BR75" s="951"/>
      <c r="BS75" s="951"/>
      <c r="BT75" s="951">
        <f>SUM(BO75:BS75)</f>
        <v>0</v>
      </c>
      <c r="BV75" s="951"/>
      <c r="BW75" s="951"/>
      <c r="BX75" s="951"/>
      <c r="BY75" s="951"/>
      <c r="BZ75" s="951"/>
      <c r="CA75" s="951">
        <f>SUM(BV75:BZ75)</f>
        <v>0</v>
      </c>
      <c r="CB75" s="717"/>
      <c r="CC75" s="951"/>
      <c r="CD75" s="951"/>
      <c r="CE75" s="951"/>
      <c r="CF75" s="836"/>
      <c r="CG75" s="836"/>
      <c r="CH75" s="951">
        <f>SUM(CC75:CG75)</f>
        <v>0</v>
      </c>
    </row>
    <row r="76" spans="1:86" ht="9.75" customHeight="1" x14ac:dyDescent="0.2">
      <c r="A76" s="836">
        <v>4</v>
      </c>
      <c r="B76" s="836" t="s">
        <v>82</v>
      </c>
      <c r="C76" s="836" t="s">
        <v>114</v>
      </c>
      <c r="D76" s="1123">
        <v>44606</v>
      </c>
      <c r="E76" s="1123"/>
      <c r="F76" s="1123">
        <v>44613</v>
      </c>
      <c r="G76" s="1123"/>
      <c r="H76" s="1123"/>
      <c r="I76" s="951"/>
      <c r="K76" s="1123">
        <v>44629</v>
      </c>
      <c r="L76" s="920"/>
      <c r="M76" s="1129">
        <v>44641</v>
      </c>
      <c r="N76" s="920"/>
      <c r="O76" s="951"/>
      <c r="P76" s="951"/>
      <c r="R76" s="950">
        <v>44655</v>
      </c>
      <c r="S76" s="950"/>
      <c r="T76" s="950">
        <v>44676</v>
      </c>
      <c r="U76" s="950"/>
      <c r="V76" s="950"/>
      <c r="W76" s="1099"/>
      <c r="Y76" s="950"/>
      <c r="Z76" s="950"/>
      <c r="AA76" s="917"/>
      <c r="AB76" s="950"/>
      <c r="AC76" s="950"/>
      <c r="AD76" s="951"/>
      <c r="AF76" s="950"/>
      <c r="AG76" s="950">
        <v>44742</v>
      </c>
      <c r="AH76" s="835"/>
      <c r="AI76" s="950"/>
      <c r="AJ76" s="950"/>
      <c r="AK76" s="951"/>
      <c r="AM76" s="918"/>
      <c r="AN76" s="920"/>
      <c r="AO76" s="918"/>
      <c r="AP76" s="919"/>
      <c r="AQ76" s="919"/>
      <c r="AR76" s="951"/>
      <c r="AT76" s="918"/>
      <c r="AU76" s="919"/>
      <c r="AV76" s="918"/>
      <c r="AW76" s="919"/>
      <c r="AX76" s="919"/>
      <c r="AY76" s="836"/>
      <c r="BA76" s="918"/>
      <c r="BB76" s="919"/>
      <c r="BC76" s="918"/>
      <c r="BD76" s="919"/>
      <c r="BE76" s="919"/>
      <c r="BF76" s="836"/>
      <c r="BH76" s="918"/>
      <c r="BI76" s="919"/>
      <c r="BJ76" s="918"/>
      <c r="BK76" s="919"/>
      <c r="BL76" s="919"/>
      <c r="BM76" s="836"/>
      <c r="BO76" s="835"/>
      <c r="BP76" s="836"/>
      <c r="BQ76" s="835"/>
      <c r="BR76" s="836"/>
      <c r="BS76" s="836"/>
      <c r="BT76" s="836"/>
      <c r="BV76" s="835"/>
      <c r="BW76" s="836"/>
      <c r="BX76" s="835"/>
      <c r="BY76" s="836"/>
      <c r="BZ76" s="836"/>
      <c r="CA76" s="836"/>
      <c r="CC76" s="835"/>
      <c r="CD76" s="836"/>
      <c r="CE76" s="835"/>
      <c r="CF76" s="836"/>
      <c r="CG76" s="836"/>
      <c r="CH76" s="951"/>
    </row>
    <row r="77" spans="1:86" x14ac:dyDescent="0.2">
      <c r="A77" s="836"/>
      <c r="B77" s="836"/>
      <c r="C77" s="836" t="s">
        <v>3480</v>
      </c>
      <c r="D77" s="920">
        <v>1431833</v>
      </c>
      <c r="E77" s="920"/>
      <c r="F77" s="920">
        <v>1118677</v>
      </c>
      <c r="G77" s="920"/>
      <c r="H77" s="920"/>
      <c r="I77" s="951">
        <f>SUM(D77:H77)</f>
        <v>2550510</v>
      </c>
      <c r="J77" s="717"/>
      <c r="K77" s="920">
        <v>1148350</v>
      </c>
      <c r="L77" s="920"/>
      <c r="M77" s="920">
        <v>738833</v>
      </c>
      <c r="N77" s="920"/>
      <c r="O77" s="951"/>
      <c r="P77" s="951">
        <f>SUM(K77:O77)</f>
        <v>1887183</v>
      </c>
      <c r="R77" s="920">
        <v>1125000</v>
      </c>
      <c r="S77" s="920"/>
      <c r="T77" s="920">
        <v>1674000</v>
      </c>
      <c r="U77" s="920"/>
      <c r="V77" s="920"/>
      <c r="W77" s="951">
        <f>SUM(R77:V77)</f>
        <v>2799000</v>
      </c>
      <c r="Y77" s="920"/>
      <c r="Z77" s="919"/>
      <c r="AA77" s="920"/>
      <c r="AB77" s="919"/>
      <c r="AC77" s="919"/>
      <c r="AD77" s="951">
        <f>SUM(Y77:AC77)</f>
        <v>0</v>
      </c>
      <c r="AF77" s="920"/>
      <c r="AG77" s="920">
        <v>764678</v>
      </c>
      <c r="AH77" s="951"/>
      <c r="AI77" s="920"/>
      <c r="AJ77" s="919"/>
      <c r="AK77" s="951">
        <f>SUM(AF77:AJ77)</f>
        <v>764678</v>
      </c>
      <c r="AM77" s="920"/>
      <c r="AN77" s="919"/>
      <c r="AO77" s="920"/>
      <c r="AP77" s="919"/>
      <c r="AQ77" s="919"/>
      <c r="AR77" s="951">
        <f>SUM(AM77:AQ77)</f>
        <v>0</v>
      </c>
      <c r="AT77" s="920"/>
      <c r="AU77" s="920"/>
      <c r="AV77" s="920"/>
      <c r="AW77" s="920"/>
      <c r="AX77" s="920"/>
      <c r="AY77" s="951">
        <f>SUM(AT77:AX77)</f>
        <v>0</v>
      </c>
      <c r="BA77" s="920"/>
      <c r="BB77" s="920"/>
      <c r="BC77" s="920"/>
      <c r="BD77" s="920"/>
      <c r="BE77" s="920"/>
      <c r="BF77" s="951">
        <f>SUM(BA77:BE77)</f>
        <v>0</v>
      </c>
      <c r="BH77" s="920"/>
      <c r="BI77" s="920"/>
      <c r="BJ77" s="920"/>
      <c r="BK77" s="920"/>
      <c r="BL77" s="920"/>
      <c r="BM77" s="951">
        <f>SUM(BH77:BL77)</f>
        <v>0</v>
      </c>
      <c r="BO77" s="951"/>
      <c r="BP77" s="951"/>
      <c r="BQ77" s="951"/>
      <c r="BR77" s="951"/>
      <c r="BS77" s="951"/>
      <c r="BT77" s="951">
        <f>SUM(BO77:BS77)</f>
        <v>0</v>
      </c>
      <c r="BV77" s="951"/>
      <c r="BW77" s="951"/>
      <c r="BX77" s="951"/>
      <c r="BY77" s="951"/>
      <c r="BZ77" s="951"/>
      <c r="CA77" s="951">
        <f>SUM(BV77:BZ77)</f>
        <v>0</v>
      </c>
      <c r="CB77" s="717"/>
      <c r="CC77" s="951"/>
      <c r="CD77" s="951"/>
      <c r="CE77" s="951"/>
      <c r="CF77" s="951"/>
      <c r="CG77" s="836"/>
      <c r="CH77" s="951">
        <f>SUM(CC77:CG77)</f>
        <v>0</v>
      </c>
    </row>
    <row r="78" spans="1:86" x14ac:dyDescent="0.2">
      <c r="A78" s="836">
        <v>5</v>
      </c>
      <c r="B78" s="836" t="s">
        <v>86</v>
      </c>
      <c r="C78" s="836" t="s">
        <v>114</v>
      </c>
      <c r="D78" s="1123">
        <v>44606</v>
      </c>
      <c r="E78" s="1123"/>
      <c r="F78" s="1123">
        <v>44613</v>
      </c>
      <c r="G78" s="1123"/>
      <c r="H78" s="1123"/>
      <c r="I78" s="951"/>
      <c r="K78" s="1123">
        <v>44629</v>
      </c>
      <c r="L78" s="920"/>
      <c r="M78" s="1129">
        <v>44641</v>
      </c>
      <c r="N78" s="920"/>
      <c r="O78" s="951"/>
      <c r="P78" s="951"/>
      <c r="R78" s="950">
        <v>44655</v>
      </c>
      <c r="S78" s="919"/>
      <c r="T78" s="918">
        <v>44676</v>
      </c>
      <c r="U78" s="919"/>
      <c r="V78" s="919"/>
      <c r="W78" s="1099"/>
      <c r="Y78" s="950">
        <v>44708</v>
      </c>
      <c r="Z78" s="950"/>
      <c r="AA78" s="918">
        <v>44712</v>
      </c>
      <c r="AB78" s="950"/>
      <c r="AC78" s="950"/>
      <c r="AD78" s="951"/>
      <c r="AF78" s="918"/>
      <c r="AG78" s="919"/>
      <c r="AH78" s="835"/>
      <c r="AI78" s="919"/>
      <c r="AJ78" s="919"/>
      <c r="AK78" s="951"/>
      <c r="AM78" s="918">
        <v>44753</v>
      </c>
      <c r="AN78" s="920"/>
      <c r="AO78" s="918"/>
      <c r="AP78" s="919"/>
      <c r="AQ78" s="919"/>
      <c r="AR78" s="951"/>
      <c r="AT78" s="918"/>
      <c r="AU78" s="919"/>
      <c r="AV78" s="918"/>
      <c r="AW78" s="919"/>
      <c r="AX78" s="919"/>
      <c r="AY78" s="836"/>
      <c r="BA78" s="918"/>
      <c r="BB78" s="920"/>
      <c r="BC78" s="918"/>
      <c r="BD78" s="919"/>
      <c r="BE78" s="919"/>
      <c r="BF78" s="836"/>
      <c r="BH78" s="918"/>
      <c r="BI78" s="919"/>
      <c r="BJ78" s="918"/>
      <c r="BK78" s="919"/>
      <c r="BL78" s="919"/>
      <c r="BM78" s="836"/>
      <c r="BO78" s="835"/>
      <c r="BP78" s="836"/>
      <c r="BQ78" s="835"/>
      <c r="BR78" s="836"/>
      <c r="BS78" s="836"/>
      <c r="BT78" s="836"/>
      <c r="BV78" s="835"/>
      <c r="BW78" s="836"/>
      <c r="BX78" s="835"/>
      <c r="BY78" s="836"/>
      <c r="BZ78" s="836"/>
      <c r="CA78" s="836"/>
      <c r="CC78" s="835"/>
      <c r="CD78" s="836"/>
      <c r="CE78" s="835"/>
      <c r="CF78" s="836"/>
      <c r="CG78" s="836"/>
      <c r="CH78" s="951"/>
    </row>
    <row r="79" spans="1:86" x14ac:dyDescent="0.2">
      <c r="A79" s="836"/>
      <c r="B79" s="836"/>
      <c r="C79" s="836" t="s">
        <v>3480</v>
      </c>
      <c r="D79" s="920">
        <v>1704000</v>
      </c>
      <c r="E79" s="920"/>
      <c r="F79" s="920">
        <v>1728000</v>
      </c>
      <c r="G79" s="920"/>
      <c r="H79" s="920"/>
      <c r="I79" s="951">
        <f>SUM(D79:H79)</f>
        <v>3432000</v>
      </c>
      <c r="K79" s="920">
        <v>2118167</v>
      </c>
      <c r="L79" s="920"/>
      <c r="M79" s="920">
        <v>1445706</v>
      </c>
      <c r="N79" s="920"/>
      <c r="O79" s="951"/>
      <c r="P79" s="951">
        <f>SUM(K79:O79)</f>
        <v>3563873</v>
      </c>
      <c r="R79" s="920">
        <v>1837500</v>
      </c>
      <c r="S79" s="920"/>
      <c r="T79" s="920">
        <v>2189688</v>
      </c>
      <c r="U79" s="920"/>
      <c r="V79" s="920"/>
      <c r="W79" s="951">
        <f>SUM(R79:V79)</f>
        <v>4027188</v>
      </c>
      <c r="Y79" s="920">
        <v>1611219</v>
      </c>
      <c r="Z79" s="919"/>
      <c r="AA79" s="920">
        <v>1854913</v>
      </c>
      <c r="AB79" s="919"/>
      <c r="AC79" s="919"/>
      <c r="AD79" s="951">
        <f>SUM(Y79:AC79)</f>
        <v>3466132</v>
      </c>
      <c r="AF79" s="920"/>
      <c r="AG79" s="920"/>
      <c r="AH79" s="951"/>
      <c r="AI79" s="920"/>
      <c r="AJ79" s="920"/>
      <c r="AK79" s="951">
        <f>SUM(AF79:AJ79)</f>
        <v>0</v>
      </c>
      <c r="AM79" s="920">
        <v>1847479</v>
      </c>
      <c r="AN79" s="919"/>
      <c r="AO79" s="920"/>
      <c r="AP79" s="919"/>
      <c r="AQ79" s="919"/>
      <c r="AR79" s="951">
        <f>SUM(AM79:AQ79)</f>
        <v>1847479</v>
      </c>
      <c r="AT79" s="920"/>
      <c r="AU79" s="920"/>
      <c r="AV79" s="920"/>
      <c r="AW79" s="920"/>
      <c r="AX79" s="920"/>
      <c r="AY79" s="951">
        <f>SUM(AT79:AX79)</f>
        <v>0</v>
      </c>
      <c r="BA79" s="920"/>
      <c r="BB79" s="920"/>
      <c r="BC79" s="920"/>
      <c r="BD79" s="920"/>
      <c r="BE79" s="920"/>
      <c r="BF79" s="951">
        <f>SUM(BA79:BE79)</f>
        <v>0</v>
      </c>
      <c r="BH79" s="920"/>
      <c r="BI79" s="920"/>
      <c r="BJ79" s="920"/>
      <c r="BK79" s="920"/>
      <c r="BL79" s="920"/>
      <c r="BM79" s="951">
        <f>SUM(BH79:BL79)</f>
        <v>0</v>
      </c>
      <c r="BO79" s="951"/>
      <c r="BP79" s="951"/>
      <c r="BQ79" s="951"/>
      <c r="BR79" s="951"/>
      <c r="BS79" s="951"/>
      <c r="BT79" s="951">
        <f>SUM(BO79:BS79)</f>
        <v>0</v>
      </c>
      <c r="BV79" s="951"/>
      <c r="BW79" s="951"/>
      <c r="BX79" s="951"/>
      <c r="BY79" s="951"/>
      <c r="BZ79" s="951"/>
      <c r="CA79" s="951">
        <f>SUM(BV79:BZ79)</f>
        <v>0</v>
      </c>
      <c r="CB79" s="717"/>
      <c r="CC79" s="951"/>
      <c r="CD79" s="951"/>
      <c r="CE79" s="951"/>
      <c r="CF79" s="836"/>
      <c r="CG79" s="836"/>
      <c r="CH79" s="951">
        <f>SUM(CC79:CG79)</f>
        <v>0</v>
      </c>
    </row>
    <row r="80" spans="1:86" x14ac:dyDescent="0.2">
      <c r="A80" s="836">
        <v>6</v>
      </c>
      <c r="B80" s="836" t="s">
        <v>87</v>
      </c>
      <c r="C80" s="836" t="s">
        <v>114</v>
      </c>
      <c r="D80" s="1123">
        <v>44606</v>
      </c>
      <c r="E80" s="1123"/>
      <c r="F80" s="1123">
        <v>44613</v>
      </c>
      <c r="G80" s="1123"/>
      <c r="H80" s="1123"/>
      <c r="I80" s="951"/>
      <c r="K80" s="1123">
        <v>44629</v>
      </c>
      <c r="L80" s="920"/>
      <c r="M80" s="1129">
        <v>44641</v>
      </c>
      <c r="N80" s="920"/>
      <c r="O80" s="951"/>
      <c r="P80" s="951"/>
      <c r="R80" s="918"/>
      <c r="S80" s="919"/>
      <c r="T80" s="918">
        <v>44676</v>
      </c>
      <c r="U80" s="919"/>
      <c r="V80" s="919"/>
      <c r="W80" s="1099"/>
      <c r="Y80" s="950">
        <v>44708</v>
      </c>
      <c r="Z80" s="950"/>
      <c r="AA80" s="918"/>
      <c r="AB80" s="950"/>
      <c r="AC80" s="950"/>
      <c r="AD80" s="951"/>
      <c r="AF80" s="918"/>
      <c r="AG80" s="919"/>
      <c r="AH80" s="835"/>
      <c r="AI80" s="919"/>
      <c r="AJ80" s="919"/>
      <c r="AK80" s="951"/>
      <c r="AM80" s="918"/>
      <c r="AN80" s="920"/>
      <c r="AO80" s="918"/>
      <c r="AP80" s="919"/>
      <c r="AQ80" s="919"/>
      <c r="AR80" s="951"/>
      <c r="AT80" s="918"/>
      <c r="AU80" s="919"/>
      <c r="AV80" s="1127"/>
      <c r="AW80" s="1128"/>
      <c r="AX80" s="919"/>
      <c r="AY80" s="836"/>
      <c r="BA80" s="918"/>
      <c r="BB80" s="919"/>
      <c r="BC80" s="918"/>
      <c r="BD80" s="919"/>
      <c r="BE80" s="919"/>
      <c r="BF80" s="836"/>
      <c r="BH80" s="918"/>
      <c r="BI80" s="919"/>
      <c r="BJ80" s="918"/>
      <c r="BK80" s="919"/>
      <c r="BL80" s="919"/>
      <c r="BM80" s="836"/>
      <c r="BO80" s="835"/>
      <c r="BP80" s="836"/>
      <c r="BQ80" s="835"/>
      <c r="BR80" s="836"/>
      <c r="BS80" s="836"/>
      <c r="BT80" s="836"/>
      <c r="BV80" s="835"/>
      <c r="BW80" s="836"/>
      <c r="BX80" s="835"/>
      <c r="BY80" s="836"/>
      <c r="BZ80" s="836"/>
      <c r="CA80" s="836"/>
      <c r="CC80" s="835"/>
      <c r="CD80" s="836"/>
      <c r="CE80" s="835"/>
      <c r="CF80" s="836"/>
      <c r="CG80" s="836"/>
      <c r="CH80" s="951"/>
    </row>
    <row r="81" spans="1:86" x14ac:dyDescent="0.2">
      <c r="A81" s="836"/>
      <c r="B81" s="836"/>
      <c r="C81" s="836" t="s">
        <v>3480</v>
      </c>
      <c r="D81" s="920">
        <v>2975831</v>
      </c>
      <c r="E81" s="920"/>
      <c r="F81" s="920">
        <v>3334050</v>
      </c>
      <c r="G81" s="920"/>
      <c r="H81" s="920"/>
      <c r="I81" s="951">
        <f>SUM(D81:H81)</f>
        <v>6309881</v>
      </c>
      <c r="K81" s="920">
        <v>2960125</v>
      </c>
      <c r="L81" s="920"/>
      <c r="M81" s="920">
        <v>3187800</v>
      </c>
      <c r="N81" s="920"/>
      <c r="O81" s="951"/>
      <c r="P81" s="951">
        <f>SUM(K81:O81)</f>
        <v>6147925</v>
      </c>
      <c r="R81" s="920"/>
      <c r="S81" s="920"/>
      <c r="T81" s="920">
        <v>3993450</v>
      </c>
      <c r="U81" s="920"/>
      <c r="V81" s="920"/>
      <c r="W81" s="1099">
        <f>SUM(R81:V81)</f>
        <v>3993450</v>
      </c>
      <c r="Y81" s="920">
        <v>3602925</v>
      </c>
      <c r="Z81" s="919"/>
      <c r="AA81" s="920"/>
      <c r="AB81" s="919"/>
      <c r="AC81" s="919"/>
      <c r="AD81" s="951">
        <f>SUM(Y81:AC81)</f>
        <v>3602925</v>
      </c>
      <c r="AF81" s="920"/>
      <c r="AG81" s="920"/>
      <c r="AH81" s="951"/>
      <c r="AI81" s="920"/>
      <c r="AJ81" s="920"/>
      <c r="AK81" s="951">
        <f>SUM(AF81:AJ81)</f>
        <v>0</v>
      </c>
      <c r="AM81" s="920"/>
      <c r="AN81" s="919"/>
      <c r="AO81" s="920"/>
      <c r="AP81" s="920"/>
      <c r="AQ81" s="919"/>
      <c r="AR81" s="951">
        <f>SUM(AM81:AQ81)</f>
        <v>0</v>
      </c>
      <c r="AT81" s="920"/>
      <c r="AU81" s="920"/>
      <c r="AV81" s="920"/>
      <c r="AW81" s="920"/>
      <c r="AX81" s="919"/>
      <c r="AY81" s="836">
        <f>SUM(AT81:AX81)</f>
        <v>0</v>
      </c>
      <c r="BA81" s="920"/>
      <c r="BB81" s="920"/>
      <c r="BC81" s="920"/>
      <c r="BD81" s="920"/>
      <c r="BE81" s="920"/>
      <c r="BF81" s="951">
        <f>SUM(BA81:BE81)</f>
        <v>0</v>
      </c>
      <c r="BH81" s="920"/>
      <c r="BI81" s="920"/>
      <c r="BJ81" s="920"/>
      <c r="BK81" s="920"/>
      <c r="BL81" s="920"/>
      <c r="BM81" s="951">
        <f>SUM(BH81:BL81)</f>
        <v>0</v>
      </c>
      <c r="BO81" s="951"/>
      <c r="BP81" s="951"/>
      <c r="BQ81" s="951"/>
      <c r="BR81" s="951"/>
      <c r="BS81" s="951"/>
      <c r="BT81" s="951">
        <f>SUM(BO81:BS81)</f>
        <v>0</v>
      </c>
      <c r="BV81" s="951"/>
      <c r="BW81" s="951"/>
      <c r="BX81" s="951"/>
      <c r="BY81" s="951"/>
      <c r="BZ81" s="951"/>
      <c r="CA81" s="951">
        <f>SUM(BV81:BZ81)</f>
        <v>0</v>
      </c>
      <c r="CB81" s="717"/>
      <c r="CC81" s="951"/>
      <c r="CD81" s="951"/>
      <c r="CE81" s="951"/>
      <c r="CF81" s="836"/>
      <c r="CG81" s="836"/>
      <c r="CH81" s="951">
        <f>SUM(CC81:CG81)</f>
        <v>0</v>
      </c>
    </row>
    <row r="82" spans="1:86" x14ac:dyDescent="0.2">
      <c r="A82" s="836">
        <v>7</v>
      </c>
      <c r="B82" s="836" t="s">
        <v>77</v>
      </c>
      <c r="C82" s="836" t="s">
        <v>114</v>
      </c>
      <c r="D82" s="1123">
        <v>44606</v>
      </c>
      <c r="E82" s="1123"/>
      <c r="F82" s="1123">
        <v>44613</v>
      </c>
      <c r="G82" s="1123"/>
      <c r="H82" s="1123"/>
      <c r="I82" s="951"/>
      <c r="K82" s="1123">
        <v>44629</v>
      </c>
      <c r="L82" s="1129"/>
      <c r="M82" s="1129">
        <v>44641</v>
      </c>
      <c r="N82" s="1129"/>
      <c r="O82" s="1130"/>
      <c r="P82" s="1130"/>
      <c r="R82" s="950"/>
      <c r="S82" s="950"/>
      <c r="T82" s="950"/>
      <c r="U82" s="950"/>
      <c r="V82" s="950"/>
      <c r="W82" s="1099"/>
      <c r="Y82" s="950">
        <v>44708</v>
      </c>
      <c r="Z82" s="950"/>
      <c r="AA82" s="918"/>
      <c r="AB82" s="950"/>
      <c r="AC82" s="950"/>
      <c r="AD82" s="951"/>
      <c r="AF82" s="918"/>
      <c r="AG82" s="919"/>
      <c r="AH82" s="835"/>
      <c r="AI82" s="919"/>
      <c r="AJ82" s="919"/>
      <c r="AK82" s="951"/>
      <c r="AM82" s="918">
        <v>44753</v>
      </c>
      <c r="AN82" s="920"/>
      <c r="AO82" s="918"/>
      <c r="AP82" s="919"/>
      <c r="AQ82" s="919"/>
      <c r="AR82" s="951"/>
      <c r="AT82" s="918"/>
      <c r="AU82" s="919"/>
      <c r="AV82" s="918"/>
      <c r="AW82" s="919"/>
      <c r="AX82" s="919"/>
      <c r="AY82" s="836"/>
      <c r="BA82" s="918"/>
      <c r="BB82" s="919"/>
      <c r="BC82" s="918"/>
      <c r="BD82" s="919"/>
      <c r="BE82" s="919"/>
      <c r="BF82" s="836"/>
      <c r="BH82" s="918"/>
      <c r="BI82" s="919"/>
      <c r="BJ82" s="918"/>
      <c r="BK82" s="919"/>
      <c r="BL82" s="919"/>
      <c r="BM82" s="836"/>
      <c r="BO82" s="835"/>
      <c r="BP82" s="836"/>
      <c r="BQ82" s="835"/>
      <c r="BR82" s="836"/>
      <c r="BS82" s="836"/>
      <c r="BT82" s="836"/>
      <c r="BV82" s="835"/>
      <c r="BW82" s="836"/>
      <c r="BX82" s="835"/>
      <c r="BY82" s="836"/>
      <c r="BZ82" s="836"/>
      <c r="CA82" s="836"/>
      <c r="CC82" s="835"/>
      <c r="CD82" s="836"/>
      <c r="CE82" s="835"/>
      <c r="CF82" s="836"/>
      <c r="CG82" s="836"/>
      <c r="CH82" s="951"/>
    </row>
    <row r="83" spans="1:86" x14ac:dyDescent="0.2">
      <c r="A83" s="836"/>
      <c r="B83" s="836"/>
      <c r="C83" s="836" t="s">
        <v>3480</v>
      </c>
      <c r="D83" s="920">
        <v>4470000</v>
      </c>
      <c r="E83" s="920"/>
      <c r="F83" s="920">
        <v>3938943</v>
      </c>
      <c r="G83" s="920"/>
      <c r="H83" s="920"/>
      <c r="I83" s="951">
        <f>SUM(D83:H83)</f>
        <v>8408943</v>
      </c>
      <c r="K83" s="920">
        <v>3976500</v>
      </c>
      <c r="L83" s="920"/>
      <c r="M83" s="920">
        <v>3846964</v>
      </c>
      <c r="N83" s="920"/>
      <c r="O83" s="951"/>
      <c r="P83" s="951">
        <f>SUM(K83:O83)</f>
        <v>7823464</v>
      </c>
      <c r="R83" s="919"/>
      <c r="S83" s="919"/>
      <c r="T83" s="919"/>
      <c r="U83" s="919"/>
      <c r="V83" s="919"/>
      <c r="W83" s="1099">
        <f>SUM(R83:V83)</f>
        <v>0</v>
      </c>
      <c r="Y83" s="920">
        <v>4110000</v>
      </c>
      <c r="Z83" s="919"/>
      <c r="AA83" s="920"/>
      <c r="AB83" s="919"/>
      <c r="AC83" s="919"/>
      <c r="AD83" s="951">
        <f>SUM(Y83:AC83)</f>
        <v>4110000</v>
      </c>
      <c r="AF83" s="920"/>
      <c r="AG83" s="920"/>
      <c r="AH83" s="951"/>
      <c r="AI83" s="920"/>
      <c r="AJ83" s="919"/>
      <c r="AK83" s="951">
        <f>SUM(AF83:AJ83)</f>
        <v>0</v>
      </c>
      <c r="AM83" s="920">
        <v>4524000</v>
      </c>
      <c r="AN83" s="920"/>
      <c r="AO83" s="920"/>
      <c r="AP83" s="920"/>
      <c r="AQ83" s="920"/>
      <c r="AR83" s="951">
        <f>SUM(AM83:AQ83)</f>
        <v>4524000</v>
      </c>
      <c r="AT83" s="920"/>
      <c r="AU83" s="920"/>
      <c r="AV83" s="920"/>
      <c r="AW83" s="920"/>
      <c r="AX83" s="919"/>
      <c r="AY83" s="836">
        <f>SUM(AT83:AX83)</f>
        <v>0</v>
      </c>
      <c r="BA83" s="920"/>
      <c r="BB83" s="920"/>
      <c r="BC83" s="920"/>
      <c r="BD83" s="920"/>
      <c r="BE83" s="920"/>
      <c r="BF83" s="951">
        <f>SUM(BA83:BE83)</f>
        <v>0</v>
      </c>
      <c r="BH83" s="920"/>
      <c r="BI83" s="920"/>
      <c r="BJ83" s="920"/>
      <c r="BK83" s="920"/>
      <c r="BL83" s="920"/>
      <c r="BM83" s="951">
        <f>SUM(BH83:BL83)</f>
        <v>0</v>
      </c>
      <c r="BO83" s="951"/>
      <c r="BP83" s="951"/>
      <c r="BQ83" s="951"/>
      <c r="BR83" s="951"/>
      <c r="BS83" s="951"/>
      <c r="BT83" s="951">
        <f>SUM(BO83:BS83)</f>
        <v>0</v>
      </c>
      <c r="BV83" s="951"/>
      <c r="BW83" s="951"/>
      <c r="BX83" s="951"/>
      <c r="BY83" s="951"/>
      <c r="BZ83" s="951"/>
      <c r="CA83" s="951">
        <f>SUM(BV83:BZ83)</f>
        <v>0</v>
      </c>
      <c r="CB83" s="717"/>
      <c r="CC83" s="951"/>
      <c r="CD83" s="951"/>
      <c r="CE83" s="951"/>
      <c r="CF83" s="836"/>
      <c r="CG83" s="836"/>
      <c r="CH83" s="951">
        <f>SUM(CC83:CG83)</f>
        <v>0</v>
      </c>
    </row>
    <row r="84" spans="1:86" x14ac:dyDescent="0.2">
      <c r="A84" s="836">
        <v>8</v>
      </c>
      <c r="B84" s="836" t="s">
        <v>84</v>
      </c>
      <c r="C84" s="836" t="s">
        <v>114</v>
      </c>
      <c r="D84" s="1123">
        <v>44606</v>
      </c>
      <c r="E84" s="1123"/>
      <c r="F84" s="1123">
        <v>44613</v>
      </c>
      <c r="G84" s="1123"/>
      <c r="H84" s="1123"/>
      <c r="I84" s="951"/>
      <c r="K84" s="1123">
        <v>44629</v>
      </c>
      <c r="L84" s="1129"/>
      <c r="M84" s="1129">
        <v>44641</v>
      </c>
      <c r="N84" s="1129"/>
      <c r="O84" s="1130"/>
      <c r="P84" s="1130"/>
      <c r="R84" s="950">
        <v>44655</v>
      </c>
      <c r="S84" s="950"/>
      <c r="T84" s="950">
        <v>44676</v>
      </c>
      <c r="U84" s="950"/>
      <c r="V84" s="950"/>
      <c r="W84" s="1099"/>
      <c r="Y84" s="950">
        <v>44708</v>
      </c>
      <c r="Z84" s="950"/>
      <c r="AA84" s="918"/>
      <c r="AB84" s="950"/>
      <c r="AC84" s="950"/>
      <c r="AD84" s="951"/>
      <c r="AF84" s="918"/>
      <c r="AG84" s="919"/>
      <c r="AH84" s="835"/>
      <c r="AI84" s="919"/>
      <c r="AJ84" s="919"/>
      <c r="AK84" s="951"/>
      <c r="AM84" s="918">
        <v>44753</v>
      </c>
      <c r="AN84" s="920"/>
      <c r="AO84" s="918"/>
      <c r="AP84" s="919"/>
      <c r="AQ84" s="919"/>
      <c r="AR84" s="951"/>
      <c r="AT84" s="918"/>
      <c r="AU84" s="919"/>
      <c r="AV84" s="918"/>
      <c r="AW84" s="919"/>
      <c r="AX84" s="919"/>
      <c r="AY84" s="836"/>
      <c r="BA84" s="918"/>
      <c r="BB84" s="919"/>
      <c r="BC84" s="918"/>
      <c r="BD84" s="919"/>
      <c r="BE84" s="919"/>
      <c r="BF84" s="836"/>
      <c r="BH84" s="918"/>
      <c r="BI84" s="919"/>
      <c r="BJ84" s="918"/>
      <c r="BK84" s="919"/>
      <c r="BL84" s="919"/>
      <c r="BM84" s="836"/>
      <c r="BO84" s="835"/>
      <c r="BP84" s="836"/>
      <c r="BQ84" s="835"/>
      <c r="BR84" s="836"/>
      <c r="BS84" s="836"/>
      <c r="BT84" s="836"/>
      <c r="BV84" s="835"/>
      <c r="BW84" s="836"/>
      <c r="BX84" s="835"/>
      <c r="BY84" s="836"/>
      <c r="BZ84" s="836"/>
      <c r="CA84" s="836"/>
      <c r="CC84" s="835"/>
      <c r="CD84" s="836"/>
      <c r="CE84" s="835"/>
      <c r="CF84" s="836"/>
      <c r="CG84" s="836"/>
      <c r="CH84" s="951"/>
    </row>
    <row r="85" spans="1:86" x14ac:dyDescent="0.2">
      <c r="A85" s="836"/>
      <c r="B85" s="836"/>
      <c r="C85" s="836" t="s">
        <v>3480</v>
      </c>
      <c r="D85" s="920">
        <v>5197600</v>
      </c>
      <c r="E85" s="920"/>
      <c r="F85" s="920">
        <v>5621344</v>
      </c>
      <c r="G85" s="920"/>
      <c r="H85" s="920"/>
      <c r="I85" s="951">
        <f>SUM(D85:H85)</f>
        <v>10818944</v>
      </c>
      <c r="K85" s="920">
        <v>5319283</v>
      </c>
      <c r="L85" s="920"/>
      <c r="M85" s="920">
        <v>5151213</v>
      </c>
      <c r="N85" s="920"/>
      <c r="O85" s="951"/>
      <c r="P85" s="951">
        <f>SUM(K85:O85)</f>
        <v>10470496</v>
      </c>
      <c r="R85" s="920">
        <v>5531350</v>
      </c>
      <c r="S85" s="919"/>
      <c r="T85" s="920">
        <v>5413826</v>
      </c>
      <c r="U85" s="919"/>
      <c r="V85" s="919"/>
      <c r="W85" s="1099">
        <f>SUM(R85:V85)</f>
        <v>10945176</v>
      </c>
      <c r="Y85" s="920">
        <v>5447344</v>
      </c>
      <c r="Z85" s="919"/>
      <c r="AA85" s="920"/>
      <c r="AB85" s="920"/>
      <c r="AC85" s="920"/>
      <c r="AD85" s="951">
        <f>SUM(Y85:AC85)</f>
        <v>5447344</v>
      </c>
      <c r="AF85" s="920"/>
      <c r="AG85" s="920"/>
      <c r="AH85" s="951"/>
      <c r="AI85" s="920"/>
      <c r="AJ85" s="920"/>
      <c r="AK85" s="951">
        <f>SUM(AF85:AJ85)</f>
        <v>0</v>
      </c>
      <c r="AM85" s="920">
        <v>5133502</v>
      </c>
      <c r="AN85" s="919"/>
      <c r="AO85" s="920"/>
      <c r="AP85" s="920"/>
      <c r="AQ85" s="920"/>
      <c r="AR85" s="951">
        <f>SUM(AM85:AQ85)</f>
        <v>5133502</v>
      </c>
      <c r="AT85" s="920"/>
      <c r="AU85" s="920"/>
      <c r="AV85" s="920"/>
      <c r="AW85" s="920"/>
      <c r="AX85" s="920"/>
      <c r="AY85" s="951">
        <f>SUM(AT85:AX85)</f>
        <v>0</v>
      </c>
      <c r="BA85" s="920"/>
      <c r="BB85" s="920"/>
      <c r="BC85" s="920"/>
      <c r="BD85" s="920"/>
      <c r="BE85" s="920"/>
      <c r="BF85" s="951">
        <f>SUM(BA85:BE85)</f>
        <v>0</v>
      </c>
      <c r="BH85" s="920"/>
      <c r="BI85" s="920"/>
      <c r="BJ85" s="920"/>
      <c r="BK85" s="920"/>
      <c r="BL85" s="920"/>
      <c r="BM85" s="951">
        <f>SUM(BH85:BL85)</f>
        <v>0</v>
      </c>
      <c r="BO85" s="951"/>
      <c r="BP85" s="951"/>
      <c r="BQ85" s="951"/>
      <c r="BR85" s="951"/>
      <c r="BS85" s="951"/>
      <c r="BT85" s="951">
        <f>SUM(BO85:BS85)</f>
        <v>0</v>
      </c>
      <c r="BV85" s="951"/>
      <c r="BW85" s="951"/>
      <c r="BX85" s="951"/>
      <c r="BY85" s="951"/>
      <c r="BZ85" s="951"/>
      <c r="CA85" s="951">
        <f>SUM(BV85:BZ85)</f>
        <v>0</v>
      </c>
      <c r="CB85" s="717"/>
      <c r="CC85" s="951"/>
      <c r="CD85" s="951"/>
      <c r="CE85" s="951"/>
      <c r="CF85" s="836"/>
      <c r="CG85" s="836"/>
      <c r="CH85" s="951">
        <f>SUM(CC85:CG85)</f>
        <v>0</v>
      </c>
    </row>
    <row r="86" spans="1:86" x14ac:dyDescent="0.2">
      <c r="A86" s="836">
        <v>9</v>
      </c>
      <c r="B86" s="836" t="s">
        <v>89</v>
      </c>
      <c r="C86" s="836" t="s">
        <v>114</v>
      </c>
      <c r="D86" s="1123">
        <v>44606</v>
      </c>
      <c r="E86" s="1123"/>
      <c r="F86" s="1123">
        <v>44613</v>
      </c>
      <c r="G86" s="1123"/>
      <c r="H86" s="1123"/>
      <c r="I86" s="951"/>
      <c r="K86" s="1123">
        <v>44629</v>
      </c>
      <c r="L86" s="920"/>
      <c r="M86" s="1129">
        <v>44641</v>
      </c>
      <c r="N86" s="920"/>
      <c r="O86" s="951"/>
      <c r="P86" s="951"/>
      <c r="R86" s="918">
        <v>44655</v>
      </c>
      <c r="S86" s="919"/>
      <c r="T86" s="950">
        <v>44676</v>
      </c>
      <c r="U86" s="950"/>
      <c r="V86" s="950"/>
      <c r="W86" s="1099"/>
      <c r="Y86" s="950">
        <v>44708</v>
      </c>
      <c r="Z86" s="950"/>
      <c r="AA86" s="950"/>
      <c r="AB86" s="950"/>
      <c r="AC86" s="950"/>
      <c r="AD86" s="951"/>
      <c r="AF86" s="950"/>
      <c r="AG86" s="950"/>
      <c r="AH86" s="835"/>
      <c r="AI86" s="950"/>
      <c r="AJ86" s="950"/>
      <c r="AK86" s="951"/>
      <c r="AM86" s="918">
        <v>44753</v>
      </c>
      <c r="AN86" s="920"/>
      <c r="AO86" s="918"/>
      <c r="AP86" s="919"/>
      <c r="AQ86" s="919"/>
      <c r="AR86" s="951"/>
      <c r="AT86" s="918"/>
      <c r="AU86" s="919"/>
      <c r="AV86" s="918"/>
      <c r="AW86" s="919"/>
      <c r="AX86" s="919"/>
      <c r="AY86" s="836"/>
      <c r="BA86" s="918"/>
      <c r="BB86" s="919"/>
      <c r="BC86" s="918"/>
      <c r="BD86" s="919"/>
      <c r="BE86" s="919"/>
      <c r="BF86" s="836"/>
      <c r="BH86" s="918"/>
      <c r="BI86" s="919"/>
      <c r="BJ86" s="918"/>
      <c r="BK86" s="919"/>
      <c r="BL86" s="919"/>
      <c r="BM86" s="836"/>
      <c r="BO86" s="835"/>
      <c r="BP86" s="836"/>
      <c r="BQ86" s="835"/>
      <c r="BR86" s="836"/>
      <c r="BS86" s="836"/>
      <c r="BT86" s="836"/>
      <c r="BV86" s="835"/>
      <c r="BW86" s="836"/>
      <c r="BX86" s="835"/>
      <c r="BY86" s="836"/>
      <c r="BZ86" s="836"/>
      <c r="CA86" s="836"/>
      <c r="CC86" s="835"/>
      <c r="CD86" s="836"/>
      <c r="CE86" s="835"/>
      <c r="CF86" s="836"/>
      <c r="CG86" s="836"/>
      <c r="CH86" s="951"/>
    </row>
    <row r="87" spans="1:86" x14ac:dyDescent="0.2">
      <c r="A87" s="836"/>
      <c r="B87" s="836"/>
      <c r="C87" s="836" t="s">
        <v>3480</v>
      </c>
      <c r="D87" s="920">
        <v>2214888</v>
      </c>
      <c r="E87" s="920"/>
      <c r="F87" s="920">
        <v>2338350</v>
      </c>
      <c r="G87" s="920"/>
      <c r="H87" s="920"/>
      <c r="I87" s="951">
        <f>SUM(D87:H87)</f>
        <v>4553238</v>
      </c>
      <c r="J87" s="717"/>
      <c r="K87" s="920">
        <v>2357688</v>
      </c>
      <c r="L87" s="920"/>
      <c r="M87" s="920">
        <v>2581200</v>
      </c>
      <c r="N87" s="920"/>
      <c r="O87" s="951"/>
      <c r="P87" s="951">
        <f>SUM(K87:O87)</f>
        <v>4938888</v>
      </c>
      <c r="R87" s="920">
        <v>2476688</v>
      </c>
      <c r="S87" s="919"/>
      <c r="T87" s="920">
        <v>2364425</v>
      </c>
      <c r="U87" s="919"/>
      <c r="V87" s="919"/>
      <c r="W87" s="1099">
        <f>SUM(R87:V87)</f>
        <v>4841113</v>
      </c>
      <c r="Y87" s="920">
        <v>2260044</v>
      </c>
      <c r="Z87" s="919"/>
      <c r="AA87" s="920"/>
      <c r="AB87" s="919"/>
      <c r="AC87" s="919"/>
      <c r="AD87" s="951">
        <f>SUM(Y87:AC87)</f>
        <v>2260044</v>
      </c>
      <c r="AF87" s="920"/>
      <c r="AG87" s="920"/>
      <c r="AH87" s="951"/>
      <c r="AI87" s="920"/>
      <c r="AJ87" s="920"/>
      <c r="AK87" s="951">
        <f>SUM(AF87:AJ87)</f>
        <v>0</v>
      </c>
      <c r="AM87" s="920">
        <v>2288425</v>
      </c>
      <c r="AN87" s="919"/>
      <c r="AO87" s="920"/>
      <c r="AP87" s="919"/>
      <c r="AQ87" s="919"/>
      <c r="AR87" s="951">
        <f>SUM(AM87:AQ87)</f>
        <v>2288425</v>
      </c>
      <c r="AT87" s="920"/>
      <c r="AU87" s="920"/>
      <c r="AV87" s="920"/>
      <c r="AW87" s="920"/>
      <c r="AX87" s="920"/>
      <c r="AY87" s="951">
        <f>SUM(AT87:AX87)</f>
        <v>0</v>
      </c>
      <c r="BA87" s="920"/>
      <c r="BB87" s="920"/>
      <c r="BC87" s="920"/>
      <c r="BD87" s="920"/>
      <c r="BE87" s="920"/>
      <c r="BF87" s="951">
        <f>SUM(BA87:BE87)</f>
        <v>0</v>
      </c>
      <c r="BG87" s="717"/>
      <c r="BH87" s="920"/>
      <c r="BI87" s="920"/>
      <c r="BJ87" s="920"/>
      <c r="BK87" s="920"/>
      <c r="BL87" s="920"/>
      <c r="BM87" s="951">
        <f>SUM(BH87:BL87)</f>
        <v>0</v>
      </c>
      <c r="BO87" s="951"/>
      <c r="BP87" s="951"/>
      <c r="BQ87" s="951"/>
      <c r="BR87" s="951"/>
      <c r="BS87" s="951"/>
      <c r="BT87" s="951">
        <f>SUM(BO87:BS87)</f>
        <v>0</v>
      </c>
      <c r="BV87" s="951"/>
      <c r="BW87" s="951"/>
      <c r="BX87" s="951"/>
      <c r="BY87" s="951"/>
      <c r="BZ87" s="951"/>
      <c r="CA87" s="951">
        <f>SUM(BV87:BZ87)</f>
        <v>0</v>
      </c>
      <c r="CB87" s="717"/>
      <c r="CC87" s="951"/>
      <c r="CD87" s="951"/>
      <c r="CE87" s="951"/>
      <c r="CF87" s="836"/>
      <c r="CG87" s="836"/>
      <c r="CH87" s="951">
        <f>SUM(CC87:CG87)</f>
        <v>0</v>
      </c>
    </row>
    <row r="88" spans="1:86" x14ac:dyDescent="0.2">
      <c r="A88" s="836">
        <v>10</v>
      </c>
      <c r="B88" s="836" t="s">
        <v>81</v>
      </c>
      <c r="C88" s="836" t="s">
        <v>114</v>
      </c>
      <c r="D88" s="1123">
        <v>44606</v>
      </c>
      <c r="E88" s="1123"/>
      <c r="F88" s="1123">
        <v>44613</v>
      </c>
      <c r="G88" s="1123"/>
      <c r="H88" s="1123"/>
      <c r="I88" s="951"/>
      <c r="K88" s="1123">
        <v>44629</v>
      </c>
      <c r="L88" s="920"/>
      <c r="M88" s="1129">
        <v>44641</v>
      </c>
      <c r="N88" s="920"/>
      <c r="O88" s="951"/>
      <c r="P88" s="951"/>
      <c r="R88" s="950"/>
      <c r="S88" s="950"/>
      <c r="T88" s="950">
        <v>44676</v>
      </c>
      <c r="U88" s="950"/>
      <c r="V88" s="950"/>
      <c r="W88" s="1099"/>
      <c r="Y88" s="950">
        <v>44708</v>
      </c>
      <c r="Z88" s="950"/>
      <c r="AA88" s="950"/>
      <c r="AB88" s="950"/>
      <c r="AC88" s="950"/>
      <c r="AD88" s="951"/>
      <c r="AF88" s="950"/>
      <c r="AG88" s="950"/>
      <c r="AH88" s="835"/>
      <c r="AI88" s="950"/>
      <c r="AJ88" s="950"/>
      <c r="AK88" s="951"/>
      <c r="AM88" s="918">
        <v>44753</v>
      </c>
      <c r="AN88" s="920"/>
      <c r="AO88" s="918"/>
      <c r="AP88" s="919"/>
      <c r="AQ88" s="919"/>
      <c r="AR88" s="951"/>
      <c r="AT88" s="918"/>
      <c r="AU88" s="919"/>
      <c r="AV88" s="918"/>
      <c r="AW88" s="919"/>
      <c r="AX88" s="919"/>
      <c r="AY88" s="836"/>
      <c r="BA88" s="918"/>
      <c r="BB88" s="919"/>
      <c r="BC88" s="918"/>
      <c r="BD88" s="919"/>
      <c r="BE88" s="919"/>
      <c r="BF88" s="836"/>
      <c r="BH88" s="918"/>
      <c r="BI88" s="919"/>
      <c r="BJ88" s="918"/>
      <c r="BK88" s="919"/>
      <c r="BL88" s="919"/>
      <c r="BM88" s="836"/>
      <c r="BO88" s="835"/>
      <c r="BP88" s="836"/>
      <c r="BQ88" s="835"/>
      <c r="BR88" s="836"/>
      <c r="BS88" s="836"/>
      <c r="BT88" s="836"/>
      <c r="BV88" s="835"/>
      <c r="BW88" s="836"/>
      <c r="BX88" s="835"/>
      <c r="BY88" s="836"/>
      <c r="BZ88" s="836"/>
      <c r="CA88" s="836"/>
      <c r="CC88" s="835"/>
      <c r="CD88" s="836"/>
      <c r="CE88" s="835"/>
      <c r="CF88" s="836"/>
      <c r="CG88" s="836"/>
      <c r="CH88" s="951"/>
    </row>
    <row r="89" spans="1:86" x14ac:dyDescent="0.2">
      <c r="A89" s="836"/>
      <c r="B89" s="836"/>
      <c r="C89" s="836" t="s">
        <v>3480</v>
      </c>
      <c r="D89" s="920">
        <v>2143438</v>
      </c>
      <c r="E89" s="920"/>
      <c r="F89" s="920">
        <v>1942575</v>
      </c>
      <c r="G89" s="920"/>
      <c r="H89" s="920"/>
      <c r="I89" s="920">
        <f>SUM(D89:H89)</f>
        <v>4086013</v>
      </c>
      <c r="K89" s="920"/>
      <c r="L89" s="920"/>
      <c r="M89" s="920">
        <v>2101881</v>
      </c>
      <c r="N89" s="920"/>
      <c r="O89" s="920"/>
      <c r="P89" s="951">
        <f>SUM(K89:O89)</f>
        <v>2101881</v>
      </c>
      <c r="R89" s="920"/>
      <c r="S89" s="920"/>
      <c r="T89" s="920">
        <v>2120733</v>
      </c>
      <c r="U89" s="920"/>
      <c r="V89" s="920"/>
      <c r="W89" s="951">
        <f>SUM(R89:V89)</f>
        <v>2120733</v>
      </c>
      <c r="Y89" s="920">
        <v>2182050</v>
      </c>
      <c r="Z89" s="919"/>
      <c r="AA89" s="920"/>
      <c r="AB89" s="919"/>
      <c r="AC89" s="919"/>
      <c r="AD89" s="951">
        <f>SUM(Y89:AC89)</f>
        <v>2182050</v>
      </c>
      <c r="AF89" s="920"/>
      <c r="AG89" s="919"/>
      <c r="AH89" s="951"/>
      <c r="AI89" s="920"/>
      <c r="AJ89" s="919"/>
      <c r="AK89" s="951">
        <f>SUM(AF89:AJ89)</f>
        <v>0</v>
      </c>
      <c r="AM89" s="920">
        <v>2168031</v>
      </c>
      <c r="AN89" s="920"/>
      <c r="AO89" s="920"/>
      <c r="AP89" s="920"/>
      <c r="AQ89" s="920"/>
      <c r="AR89" s="951">
        <f>SUM(AM89:AQ89)</f>
        <v>2168031</v>
      </c>
      <c r="AT89" s="920"/>
      <c r="AU89" s="920"/>
      <c r="AV89" s="920"/>
      <c r="AW89" s="920"/>
      <c r="AX89" s="920"/>
      <c r="AY89" s="951">
        <f>SUM(AT89:AX89)</f>
        <v>0</v>
      </c>
      <c r="BA89" s="920"/>
      <c r="BB89" s="920"/>
      <c r="BC89" s="920"/>
      <c r="BD89" s="920"/>
      <c r="BE89" s="920"/>
      <c r="BF89" s="951">
        <f>SUM(BA89:BE89)</f>
        <v>0</v>
      </c>
      <c r="BH89" s="920"/>
      <c r="BI89" s="920"/>
      <c r="BJ89" s="920"/>
      <c r="BK89" s="920"/>
      <c r="BL89" s="920"/>
      <c r="BM89" s="951">
        <f>SUM(BH89:BL89)</f>
        <v>0</v>
      </c>
      <c r="BO89" s="951"/>
      <c r="BP89" s="951"/>
      <c r="BQ89" s="951"/>
      <c r="BR89" s="951"/>
      <c r="BS89" s="951"/>
      <c r="BT89" s="951">
        <f>SUM(BO89:BS89)</f>
        <v>0</v>
      </c>
      <c r="BV89" s="951"/>
      <c r="BW89" s="951"/>
      <c r="BX89" s="951"/>
      <c r="BY89" s="951"/>
      <c r="BZ89" s="951"/>
      <c r="CA89" s="951">
        <f>SUM(BV89:BZ89)</f>
        <v>0</v>
      </c>
      <c r="CB89" s="717"/>
      <c r="CC89" s="951"/>
      <c r="CD89" s="951"/>
      <c r="CE89" s="951"/>
      <c r="CF89" s="836"/>
      <c r="CG89" s="836"/>
      <c r="CH89" s="951">
        <f>SUM(CC89:CG89)</f>
        <v>0</v>
      </c>
    </row>
    <row r="90" spans="1:86" x14ac:dyDescent="0.2">
      <c r="A90" s="836">
        <v>11</v>
      </c>
      <c r="B90" s="836" t="s">
        <v>78</v>
      </c>
      <c r="C90" s="836" t="s">
        <v>114</v>
      </c>
      <c r="D90" s="1123">
        <v>44606</v>
      </c>
      <c r="E90" s="1123"/>
      <c r="F90" s="1123">
        <v>44613</v>
      </c>
      <c r="G90" s="1123"/>
      <c r="H90" s="1123"/>
      <c r="I90" s="951"/>
      <c r="K90" s="1123">
        <v>44629</v>
      </c>
      <c r="L90" s="1129"/>
      <c r="M90" s="1129">
        <v>44641</v>
      </c>
      <c r="N90" s="1129"/>
      <c r="O90" s="1130"/>
      <c r="P90" s="1130"/>
      <c r="R90" s="950">
        <v>44655</v>
      </c>
      <c r="S90" s="950"/>
      <c r="T90" s="950">
        <v>44676</v>
      </c>
      <c r="U90" s="950"/>
      <c r="V90" s="950"/>
      <c r="W90" s="1099"/>
      <c r="Y90" s="950">
        <v>44708</v>
      </c>
      <c r="Z90" s="950"/>
      <c r="AA90" s="950"/>
      <c r="AB90" s="950"/>
      <c r="AC90" s="950"/>
      <c r="AD90" s="951"/>
      <c r="AF90" s="950"/>
      <c r="AG90" s="950"/>
      <c r="AH90" s="835"/>
      <c r="AI90" s="950"/>
      <c r="AJ90" s="950"/>
      <c r="AK90" s="951"/>
      <c r="AM90" s="918">
        <v>44753</v>
      </c>
      <c r="AN90" s="920"/>
      <c r="AO90" s="918"/>
      <c r="AP90" s="919"/>
      <c r="AQ90" s="919"/>
      <c r="AR90" s="951"/>
      <c r="AT90" s="918"/>
      <c r="AU90" s="919"/>
      <c r="AV90" s="918"/>
      <c r="AW90" s="919"/>
      <c r="AX90" s="919"/>
      <c r="AY90" s="836"/>
      <c r="BA90" s="918"/>
      <c r="BB90" s="919"/>
      <c r="BC90" s="918"/>
      <c r="BD90" s="919"/>
      <c r="BE90" s="919"/>
      <c r="BF90" s="836"/>
      <c r="BH90" s="918"/>
      <c r="BI90" s="919"/>
      <c r="BJ90" s="918"/>
      <c r="BK90" s="919"/>
      <c r="BL90" s="919"/>
      <c r="BM90" s="836"/>
      <c r="BO90" s="835"/>
      <c r="BP90" s="836"/>
      <c r="BQ90" s="835"/>
      <c r="BR90" s="836"/>
      <c r="BS90" s="836"/>
      <c r="BT90" s="836"/>
      <c r="BV90" s="835"/>
      <c r="BW90" s="836"/>
      <c r="BX90" s="835"/>
      <c r="BY90" s="836"/>
      <c r="BZ90" s="836"/>
      <c r="CA90" s="836"/>
      <c r="CC90" s="835"/>
      <c r="CD90" s="836"/>
      <c r="CE90" s="835"/>
      <c r="CF90" s="836"/>
      <c r="CG90" s="836"/>
      <c r="CH90" s="951"/>
    </row>
    <row r="91" spans="1:86" x14ac:dyDescent="0.2">
      <c r="A91" s="836"/>
      <c r="B91" s="836"/>
      <c r="C91" s="836" t="s">
        <v>3480</v>
      </c>
      <c r="D91" s="920">
        <v>2340375</v>
      </c>
      <c r="E91" s="920"/>
      <c r="F91" s="920">
        <v>2232000</v>
      </c>
      <c r="G91" s="920"/>
      <c r="H91" s="920"/>
      <c r="I91" s="951">
        <f>SUM(D91:H91)</f>
        <v>4572375</v>
      </c>
      <c r="K91" s="920">
        <v>2154000</v>
      </c>
      <c r="L91" s="920"/>
      <c r="M91" s="920">
        <v>2064917</v>
      </c>
      <c r="N91" s="920"/>
      <c r="O91" s="951"/>
      <c r="P91" s="951">
        <f>SUM(K91:O91)</f>
        <v>4218917</v>
      </c>
      <c r="R91" s="920">
        <v>1998000</v>
      </c>
      <c r="S91" s="920"/>
      <c r="T91" s="920">
        <v>1992000</v>
      </c>
      <c r="U91" s="920"/>
      <c r="V91" s="920"/>
      <c r="W91" s="951">
        <f>SUM(R91:V91)</f>
        <v>3990000</v>
      </c>
      <c r="Y91" s="920">
        <v>2346000</v>
      </c>
      <c r="Z91" s="919"/>
      <c r="AA91" s="920"/>
      <c r="AB91" s="919"/>
      <c r="AC91" s="919"/>
      <c r="AD91" s="951">
        <f>SUM(Y91:AC91)</f>
        <v>2346000</v>
      </c>
      <c r="AF91" s="920"/>
      <c r="AG91" s="919"/>
      <c r="AH91" s="951"/>
      <c r="AI91" s="920"/>
      <c r="AJ91" s="919"/>
      <c r="AK91" s="951">
        <f>SUM(AF91:AJ91)</f>
        <v>0</v>
      </c>
      <c r="AM91" s="920">
        <v>2316000</v>
      </c>
      <c r="AN91" s="920"/>
      <c r="AO91" s="920"/>
      <c r="AP91" s="920"/>
      <c r="AQ91" s="920"/>
      <c r="AR91" s="951">
        <f>SUM(AM91:AQ91)</f>
        <v>2316000</v>
      </c>
      <c r="AT91" s="920"/>
      <c r="AU91" s="920"/>
      <c r="AV91" s="920"/>
      <c r="AW91" s="920"/>
      <c r="AX91" s="920"/>
      <c r="AY91" s="951">
        <f>SUM(AT91:AX91)</f>
        <v>0</v>
      </c>
      <c r="BA91" s="920"/>
      <c r="BB91" s="920"/>
      <c r="BC91" s="920"/>
      <c r="BD91" s="920"/>
      <c r="BE91" s="920"/>
      <c r="BF91" s="951">
        <f>SUM(BA91:BE91)</f>
        <v>0</v>
      </c>
      <c r="BH91" s="920"/>
      <c r="BI91" s="920"/>
      <c r="BJ91" s="920"/>
      <c r="BK91" s="920"/>
      <c r="BL91" s="920"/>
      <c r="BM91" s="951">
        <f>SUM(BH91:BL91)</f>
        <v>0</v>
      </c>
      <c r="BO91" s="951"/>
      <c r="BP91" s="951"/>
      <c r="BQ91" s="951"/>
      <c r="BR91" s="951"/>
      <c r="BS91" s="951"/>
      <c r="BT91" s="951">
        <f>SUM(BO91:BS91)</f>
        <v>0</v>
      </c>
      <c r="BV91" s="951"/>
      <c r="BW91" s="951"/>
      <c r="BX91" s="951"/>
      <c r="BY91" s="951"/>
      <c r="BZ91" s="951"/>
      <c r="CA91" s="951">
        <f>SUM(BV91:BZ91)</f>
        <v>0</v>
      </c>
      <c r="CB91" s="717"/>
      <c r="CC91" s="951"/>
      <c r="CD91" s="951"/>
      <c r="CE91" s="951"/>
      <c r="CF91" s="836"/>
      <c r="CG91" s="836"/>
      <c r="CH91" s="951">
        <f>SUM(CC91:CG91)</f>
        <v>0</v>
      </c>
    </row>
    <row r="92" spans="1:86" x14ac:dyDescent="0.2">
      <c r="A92" s="836">
        <v>12</v>
      </c>
      <c r="B92" s="836" t="s">
        <v>79</v>
      </c>
      <c r="C92" s="836" t="s">
        <v>114</v>
      </c>
      <c r="D92" s="1123">
        <v>44606</v>
      </c>
      <c r="E92" s="1123"/>
      <c r="F92" s="1123">
        <v>44613</v>
      </c>
      <c r="G92" s="1123"/>
      <c r="H92" s="1123"/>
      <c r="I92" s="951"/>
      <c r="K92" s="1129">
        <v>44629</v>
      </c>
      <c r="L92" s="1129"/>
      <c r="M92" s="1129">
        <v>44641</v>
      </c>
      <c r="N92" s="1129"/>
      <c r="O92" s="1130"/>
      <c r="P92" s="1130"/>
      <c r="R92" s="950">
        <v>44655</v>
      </c>
      <c r="S92" s="950"/>
      <c r="T92" s="950"/>
      <c r="U92" s="950"/>
      <c r="V92" s="950"/>
      <c r="W92" s="1099"/>
      <c r="Y92" s="950">
        <v>44708</v>
      </c>
      <c r="Z92" s="950"/>
      <c r="AA92" s="950"/>
      <c r="AB92" s="950"/>
      <c r="AC92" s="950"/>
      <c r="AD92" s="951"/>
      <c r="AF92" s="950"/>
      <c r="AG92" s="950"/>
      <c r="AH92" s="836"/>
      <c r="AI92" s="950"/>
      <c r="AJ92" s="950"/>
      <c r="AK92" s="951"/>
      <c r="AM92" s="950">
        <v>44753</v>
      </c>
      <c r="AN92" s="920"/>
      <c r="AO92" s="918"/>
      <c r="AP92" s="919"/>
      <c r="AQ92" s="919"/>
      <c r="AR92" s="951"/>
      <c r="AT92" s="918"/>
      <c r="AU92" s="919"/>
      <c r="AV92" s="918"/>
      <c r="AW92" s="919"/>
      <c r="AX92" s="919"/>
      <c r="AY92" s="836"/>
      <c r="BA92" s="918"/>
      <c r="BB92" s="919"/>
      <c r="BC92" s="918"/>
      <c r="BD92" s="919"/>
      <c r="BE92" s="919"/>
      <c r="BF92" s="836"/>
      <c r="BH92" s="918"/>
      <c r="BI92" s="919"/>
      <c r="BJ92" s="918"/>
      <c r="BK92" s="919"/>
      <c r="BL92" s="919"/>
      <c r="BM92" s="836"/>
      <c r="BO92" s="835"/>
      <c r="BP92" s="836"/>
      <c r="BQ92" s="835"/>
      <c r="BR92" s="836"/>
      <c r="BS92" s="836"/>
      <c r="BT92" s="836"/>
      <c r="BV92" s="835"/>
      <c r="BW92" s="836"/>
      <c r="BX92" s="835"/>
      <c r="BY92" s="836"/>
      <c r="BZ92" s="836"/>
      <c r="CA92" s="836"/>
      <c r="CC92" s="835"/>
      <c r="CD92" s="836"/>
      <c r="CE92" s="835"/>
      <c r="CF92" s="836"/>
      <c r="CG92" s="836"/>
      <c r="CH92" s="951"/>
    </row>
    <row r="93" spans="1:86" x14ac:dyDescent="0.2">
      <c r="A93" s="836"/>
      <c r="B93" s="836"/>
      <c r="C93" s="836" t="s">
        <v>3480</v>
      </c>
      <c r="D93" s="920">
        <v>1142156</v>
      </c>
      <c r="E93" s="920"/>
      <c r="F93" s="920">
        <v>815156</v>
      </c>
      <c r="G93" s="920"/>
      <c r="H93" s="920"/>
      <c r="I93" s="951">
        <f>SUM(D93:H93)</f>
        <v>1957312</v>
      </c>
      <c r="K93" s="920">
        <v>1454775</v>
      </c>
      <c r="L93" s="920"/>
      <c r="M93" s="920">
        <v>1689800</v>
      </c>
      <c r="N93" s="920"/>
      <c r="O93" s="920"/>
      <c r="P93" s="951">
        <f>SUM(K93:O93)</f>
        <v>3144575</v>
      </c>
      <c r="R93" s="1106">
        <v>1250000</v>
      </c>
      <c r="S93" s="1106"/>
      <c r="T93" s="1106"/>
      <c r="U93" s="1106"/>
      <c r="V93" s="1106"/>
      <c r="W93" s="1099">
        <f>SUM(R93:V93)</f>
        <v>1250000</v>
      </c>
      <c r="Y93" s="920">
        <v>912656</v>
      </c>
      <c r="Z93" s="919"/>
      <c r="AA93" s="920"/>
      <c r="AB93" s="919"/>
      <c r="AC93" s="919"/>
      <c r="AD93" s="951">
        <f>SUM(Y93:AC93)</f>
        <v>912656</v>
      </c>
      <c r="AF93" s="920"/>
      <c r="AG93" s="920"/>
      <c r="AH93" s="836"/>
      <c r="AI93" s="919"/>
      <c r="AJ93" s="919"/>
      <c r="AK93" s="951">
        <f>SUM(AF93:AJ93)</f>
        <v>0</v>
      </c>
      <c r="AM93" s="920">
        <v>914500</v>
      </c>
      <c r="AN93" s="920"/>
      <c r="AO93" s="920"/>
      <c r="AP93" s="920"/>
      <c r="AQ93" s="920"/>
      <c r="AR93" s="951">
        <f>SUM(AM93:AQ93)</f>
        <v>914500</v>
      </c>
      <c r="AT93" s="920"/>
      <c r="AU93" s="920"/>
      <c r="AV93" s="920"/>
      <c r="AW93" s="920"/>
      <c r="AX93" s="920"/>
      <c r="AY93" s="951">
        <f>SUM(AT93:AX93)</f>
        <v>0</v>
      </c>
      <c r="BA93" s="920"/>
      <c r="BB93" s="920"/>
      <c r="BC93" s="920"/>
      <c r="BD93" s="920"/>
      <c r="BE93" s="920"/>
      <c r="BF93" s="951">
        <f>SUM(BA93:BE93)</f>
        <v>0</v>
      </c>
      <c r="BH93" s="920"/>
      <c r="BI93" s="920"/>
      <c r="BJ93" s="920"/>
      <c r="BK93" s="920"/>
      <c r="BL93" s="920"/>
      <c r="BM93" s="951">
        <f>SUM(BH93:BL93)</f>
        <v>0</v>
      </c>
      <c r="BO93" s="951"/>
      <c r="BP93" s="951"/>
      <c r="BQ93" s="951"/>
      <c r="BR93" s="951"/>
      <c r="BS93" s="951"/>
      <c r="BT93" s="951">
        <f>SUM(BO93:BS93)</f>
        <v>0</v>
      </c>
      <c r="BV93" s="951"/>
      <c r="BW93" s="951"/>
      <c r="BX93" s="951"/>
      <c r="BY93" s="951"/>
      <c r="BZ93" s="951"/>
      <c r="CA93" s="951">
        <f>SUM(BV93:BZ93)</f>
        <v>0</v>
      </c>
      <c r="CB93" s="717"/>
      <c r="CC93" s="951"/>
      <c r="CD93" s="951"/>
      <c r="CE93" s="951"/>
      <c r="CF93" s="836"/>
      <c r="CG93" s="836"/>
      <c r="CH93" s="951">
        <f>SUM(CC93:CG93)</f>
        <v>0</v>
      </c>
    </row>
    <row r="94" spans="1:86" x14ac:dyDescent="0.2">
      <c r="K94" s="717"/>
      <c r="L94" s="717"/>
      <c r="M94" s="717"/>
      <c r="N94" s="717"/>
      <c r="O94" s="717"/>
      <c r="P94" s="717"/>
      <c r="R94" s="916"/>
      <c r="S94" s="916"/>
      <c r="T94" s="916"/>
      <c r="U94" s="916"/>
      <c r="V94" s="916"/>
      <c r="Y94" s="916"/>
      <c r="Z94" s="916"/>
      <c r="AA94" s="916"/>
      <c r="AB94" s="916"/>
      <c r="AC94" s="916"/>
      <c r="AF94" s="916"/>
      <c r="AG94" s="916"/>
      <c r="AH94" s="916"/>
      <c r="AI94" s="916"/>
      <c r="AJ94" s="916"/>
      <c r="AM94" s="916"/>
      <c r="AN94" s="916"/>
      <c r="AO94" s="916"/>
      <c r="AP94" s="916"/>
      <c r="AQ94" s="916"/>
      <c r="AR94" s="717"/>
      <c r="BA94" s="916"/>
      <c r="BB94" s="916"/>
      <c r="BC94" s="916"/>
      <c r="BD94" s="916"/>
      <c r="BE94" s="916"/>
      <c r="BH94" s="916"/>
      <c r="BI94" s="916"/>
      <c r="BJ94" s="916"/>
      <c r="BK94" s="916"/>
      <c r="BL94" s="916"/>
      <c r="CH94" s="717"/>
    </row>
  </sheetData>
  <mergeCells count="117">
    <mergeCell ref="CC37:CG37"/>
    <mergeCell ref="CH37:CH39"/>
    <mergeCell ref="D38:H38"/>
    <mergeCell ref="K38:O38"/>
    <mergeCell ref="R38:V38"/>
    <mergeCell ref="Y38:AC38"/>
    <mergeCell ref="AF38:AJ38"/>
    <mergeCell ref="AM38:AQ38"/>
    <mergeCell ref="AT38:AX38"/>
    <mergeCell ref="BA38:BE38"/>
    <mergeCell ref="BH38:BL38"/>
    <mergeCell ref="BO38:BS38"/>
    <mergeCell ref="BV38:BZ38"/>
    <mergeCell ref="CC38:CG38"/>
    <mergeCell ref="BM37:BM39"/>
    <mergeCell ref="BO37:BS37"/>
    <mergeCell ref="AR37:AR39"/>
    <mergeCell ref="BT37:BT39"/>
    <mergeCell ref="BV37:BZ37"/>
    <mergeCell ref="CA37:CA39"/>
    <mergeCell ref="AT37:AX37"/>
    <mergeCell ref="AY37:AY39"/>
    <mergeCell ref="BA37:BE37"/>
    <mergeCell ref="BF37:BF39"/>
    <mergeCell ref="BH37:BL37"/>
    <mergeCell ref="K37:O37"/>
    <mergeCell ref="P37:P39"/>
    <mergeCell ref="R37:V37"/>
    <mergeCell ref="W37:W39"/>
    <mergeCell ref="Y37:AC37"/>
    <mergeCell ref="AD37:AD39"/>
    <mergeCell ref="AF37:AJ37"/>
    <mergeCell ref="AK37:AK39"/>
    <mergeCell ref="AM37:AQ37"/>
    <mergeCell ref="I3:I5"/>
    <mergeCell ref="D4:H4"/>
    <mergeCell ref="D3:H3"/>
    <mergeCell ref="A3:A5"/>
    <mergeCell ref="B3:B5"/>
    <mergeCell ref="C3:C5"/>
    <mergeCell ref="A37:A39"/>
    <mergeCell ref="B37:B39"/>
    <mergeCell ref="C37:C39"/>
    <mergeCell ref="D37:H37"/>
    <mergeCell ref="I37:I39"/>
    <mergeCell ref="Y4:AC4"/>
    <mergeCell ref="AF4:AJ4"/>
    <mergeCell ref="AM4:AQ4"/>
    <mergeCell ref="K3:O3"/>
    <mergeCell ref="P3:P5"/>
    <mergeCell ref="K4:O4"/>
    <mergeCell ref="R3:V3"/>
    <mergeCell ref="W3:W5"/>
    <mergeCell ref="R4:V4"/>
    <mergeCell ref="Y3:AC3"/>
    <mergeCell ref="AD3:AD5"/>
    <mergeCell ref="AF3:AJ3"/>
    <mergeCell ref="AK3:AK5"/>
    <mergeCell ref="AM3:AQ3"/>
    <mergeCell ref="A67:A69"/>
    <mergeCell ref="B67:B69"/>
    <mergeCell ref="C67:C69"/>
    <mergeCell ref="D67:H67"/>
    <mergeCell ref="I67:I69"/>
    <mergeCell ref="CA3:CA5"/>
    <mergeCell ref="CC3:CG3"/>
    <mergeCell ref="CH3:CH5"/>
    <mergeCell ref="BO4:BS4"/>
    <mergeCell ref="BV4:BZ4"/>
    <mergeCell ref="CC4:CG4"/>
    <mergeCell ref="BT3:BT5"/>
    <mergeCell ref="BV3:BZ3"/>
    <mergeCell ref="BM3:BM5"/>
    <mergeCell ref="AT4:AX4"/>
    <mergeCell ref="BA4:BE4"/>
    <mergeCell ref="BH4:BL4"/>
    <mergeCell ref="BO3:BS3"/>
    <mergeCell ref="AT3:AX3"/>
    <mergeCell ref="AY3:AY5"/>
    <mergeCell ref="BA3:BE3"/>
    <mergeCell ref="BF3:BF5"/>
    <mergeCell ref="BH3:BL3"/>
    <mergeCell ref="AR3:AR5"/>
    <mergeCell ref="AD67:AD69"/>
    <mergeCell ref="AF67:AJ67"/>
    <mergeCell ref="AK67:AK69"/>
    <mergeCell ref="AM67:AQ67"/>
    <mergeCell ref="AR67:AR69"/>
    <mergeCell ref="K67:O67"/>
    <mergeCell ref="P67:P69"/>
    <mergeCell ref="R67:V67"/>
    <mergeCell ref="W67:W69"/>
    <mergeCell ref="Y67:AC67"/>
    <mergeCell ref="CC67:CG67"/>
    <mergeCell ref="CH67:CH69"/>
    <mergeCell ref="D68:H68"/>
    <mergeCell ref="K68:O68"/>
    <mergeCell ref="R68:V68"/>
    <mergeCell ref="Y68:AC68"/>
    <mergeCell ref="AF68:AJ68"/>
    <mergeCell ref="AM68:AQ68"/>
    <mergeCell ref="AT68:AX68"/>
    <mergeCell ref="BA68:BE68"/>
    <mergeCell ref="BH68:BL68"/>
    <mergeCell ref="BO68:BS68"/>
    <mergeCell ref="BV68:BZ68"/>
    <mergeCell ref="CC68:CG68"/>
    <mergeCell ref="BM67:BM69"/>
    <mergeCell ref="BO67:BS67"/>
    <mergeCell ref="BT67:BT69"/>
    <mergeCell ref="BV67:BZ67"/>
    <mergeCell ref="CA67:CA69"/>
    <mergeCell ref="AT67:AX67"/>
    <mergeCell ref="AY67:AY69"/>
    <mergeCell ref="BA67:BE67"/>
    <mergeCell ref="BF67:BF69"/>
    <mergeCell ref="BH67:BL67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0942"/>
  <sheetViews>
    <sheetView zoomScale="90" zoomScaleNormal="90" workbookViewId="0">
      <pane ySplit="3" topLeftCell="A10864" activePane="bottomLeft" state="frozen"/>
      <selection pane="bottomLeft" activeCell="F10880" sqref="F10880"/>
    </sheetView>
  </sheetViews>
  <sheetFormatPr defaultRowHeight="15" x14ac:dyDescent="0.25"/>
  <cols>
    <col min="1" max="1" width="9.140625" style="254"/>
    <col min="2" max="2" width="13.140625" style="254" customWidth="1"/>
    <col min="3" max="3" width="16.140625" style="254" customWidth="1"/>
    <col min="4" max="4" width="16.7109375" style="254" customWidth="1"/>
    <col min="5" max="5" width="15.42578125" style="254" customWidth="1"/>
    <col min="6" max="6" width="15.28515625" style="254" customWidth="1"/>
    <col min="7" max="7" width="15.42578125" style="254" customWidth="1"/>
    <col min="8" max="8" width="12" style="254" bestFit="1" customWidth="1"/>
    <col min="9" max="9" width="11" style="254" bestFit="1" customWidth="1"/>
    <col min="10" max="10" width="12.5703125" style="254" customWidth="1"/>
    <col min="11" max="11" width="12" style="254" bestFit="1" customWidth="1"/>
    <col min="12" max="12" width="14.28515625" style="254" customWidth="1"/>
    <col min="13" max="13" width="15.28515625" style="254" customWidth="1"/>
    <col min="14" max="14" width="16.7109375" style="254" customWidth="1"/>
    <col min="15" max="16384" width="9.140625" style="254"/>
  </cols>
  <sheetData>
    <row r="1" spans="1:14" ht="30" customHeight="1" x14ac:dyDescent="0.25">
      <c r="A1" s="1626" t="s">
        <v>131</v>
      </c>
      <c r="B1" s="1626" t="s">
        <v>114</v>
      </c>
      <c r="C1" s="1626" t="s">
        <v>139</v>
      </c>
      <c r="D1" s="1627" t="s">
        <v>4766</v>
      </c>
      <c r="E1" s="1627"/>
      <c r="F1" s="1625" t="s">
        <v>4749</v>
      </c>
      <c r="G1" s="1625" t="s">
        <v>4750</v>
      </c>
      <c r="H1" s="1623" t="s">
        <v>5359</v>
      </c>
      <c r="I1" s="1619" t="s">
        <v>5358</v>
      </c>
      <c r="J1" s="1622" t="s">
        <v>5360</v>
      </c>
    </row>
    <row r="2" spans="1:14" x14ac:dyDescent="0.25">
      <c r="A2" s="1628"/>
      <c r="B2" s="1628"/>
      <c r="C2" s="1628"/>
      <c r="D2" s="1627"/>
      <c r="E2" s="1627"/>
      <c r="F2" s="1625"/>
      <c r="G2" s="1625"/>
      <c r="H2" s="1624"/>
      <c r="I2" s="1619"/>
      <c r="J2" s="1622"/>
    </row>
    <row r="3" spans="1:14" ht="30" x14ac:dyDescent="0.25">
      <c r="A3" s="1628"/>
      <c r="B3" s="1628"/>
      <c r="C3" s="1628"/>
      <c r="D3" s="620" t="s">
        <v>4764</v>
      </c>
      <c r="E3" s="621" t="s">
        <v>4765</v>
      </c>
      <c r="F3" s="1626"/>
      <c r="G3" s="1626"/>
      <c r="H3" s="1624"/>
      <c r="I3" s="1619"/>
      <c r="J3" s="1622"/>
    </row>
    <row r="4" spans="1:14" ht="8.25" customHeight="1" x14ac:dyDescent="0.25">
      <c r="A4" s="574"/>
      <c r="B4" s="574"/>
      <c r="C4" s="574"/>
      <c r="D4" s="572"/>
      <c r="E4" s="573"/>
      <c r="F4" s="574"/>
      <c r="G4" s="574"/>
      <c r="H4" s="362"/>
      <c r="I4" s="622"/>
      <c r="J4" s="362"/>
    </row>
    <row r="5" spans="1:14" ht="16.5" customHeight="1" x14ac:dyDescent="0.25">
      <c r="A5" s="1620" t="s">
        <v>5354</v>
      </c>
      <c r="B5" s="1621"/>
      <c r="C5" s="1621"/>
      <c r="D5" s="1621"/>
      <c r="E5" s="1621"/>
      <c r="F5" s="1621"/>
      <c r="G5" s="1621"/>
      <c r="H5" s="1621"/>
      <c r="I5" s="1621"/>
      <c r="J5" s="628"/>
    </row>
    <row r="6" spans="1:14" x14ac:dyDescent="0.25">
      <c r="A6" s="454">
        <v>1</v>
      </c>
      <c r="B6" s="452">
        <v>43955</v>
      </c>
      <c r="C6" s="451" t="s">
        <v>80</v>
      </c>
      <c r="D6" s="459">
        <v>228969852</v>
      </c>
      <c r="E6" s="459"/>
      <c r="F6" s="1412">
        <v>240665000</v>
      </c>
      <c r="G6" s="453">
        <f>D6-F6</f>
        <v>-11695148</v>
      </c>
      <c r="H6" s="362"/>
      <c r="I6" s="622"/>
      <c r="J6" s="362"/>
      <c r="L6" s="463"/>
      <c r="M6" s="463"/>
      <c r="N6" s="463"/>
    </row>
    <row r="7" spans="1:14" x14ac:dyDescent="0.25">
      <c r="A7" s="454">
        <v>2</v>
      </c>
      <c r="B7" s="452">
        <v>43955</v>
      </c>
      <c r="C7" s="451" t="s">
        <v>140</v>
      </c>
      <c r="D7" s="459">
        <v>223560393</v>
      </c>
      <c r="E7" s="459"/>
      <c r="F7" s="1412">
        <v>383337000</v>
      </c>
      <c r="G7" s="453">
        <f t="shared" ref="G7:G52" si="0">D7-F7</f>
        <v>-159776607</v>
      </c>
      <c r="H7" s="362"/>
      <c r="I7" s="622"/>
      <c r="J7" s="362"/>
      <c r="L7" s="463"/>
      <c r="M7" s="463"/>
      <c r="N7" s="463"/>
    </row>
    <row r="8" spans="1:14" x14ac:dyDescent="0.25">
      <c r="A8" s="454">
        <v>3</v>
      </c>
      <c r="B8" s="452">
        <v>43955</v>
      </c>
      <c r="C8" s="451" t="s">
        <v>142</v>
      </c>
      <c r="D8" s="459">
        <v>179884572</v>
      </c>
      <c r="E8" s="459"/>
      <c r="F8" s="1412">
        <v>262981100</v>
      </c>
      <c r="G8" s="453">
        <f t="shared" si="0"/>
        <v>-83096528</v>
      </c>
      <c r="H8" s="362"/>
      <c r="I8" s="622"/>
      <c r="J8" s="362"/>
      <c r="L8" s="463"/>
      <c r="M8" s="463"/>
      <c r="N8" s="463"/>
    </row>
    <row r="9" spans="1:14" x14ac:dyDescent="0.25">
      <c r="A9" s="454">
        <v>4</v>
      </c>
      <c r="B9" s="452">
        <v>43955</v>
      </c>
      <c r="C9" s="451" t="s">
        <v>87</v>
      </c>
      <c r="D9" s="459">
        <v>203556413</v>
      </c>
      <c r="E9" s="459"/>
      <c r="F9" s="1412">
        <v>150641100</v>
      </c>
      <c r="G9" s="453">
        <f t="shared" si="0"/>
        <v>52915313</v>
      </c>
      <c r="H9" s="362"/>
      <c r="I9" s="622"/>
      <c r="J9" s="362"/>
      <c r="L9" s="463"/>
      <c r="M9" s="463"/>
      <c r="N9" s="463"/>
    </row>
    <row r="10" spans="1:14" x14ac:dyDescent="0.25">
      <c r="A10" s="454">
        <v>5</v>
      </c>
      <c r="B10" s="452">
        <v>43955</v>
      </c>
      <c r="C10" s="451" t="s">
        <v>86</v>
      </c>
      <c r="D10" s="459">
        <v>71785894</v>
      </c>
      <c r="E10" s="459"/>
      <c r="F10" s="1412">
        <v>94129800</v>
      </c>
      <c r="G10" s="453">
        <f t="shared" si="0"/>
        <v>-22343906</v>
      </c>
      <c r="H10" s="362"/>
      <c r="I10" s="622"/>
      <c r="J10" s="362"/>
      <c r="L10" s="463"/>
      <c r="M10" s="463"/>
      <c r="N10" s="463"/>
    </row>
    <row r="11" spans="1:14" x14ac:dyDescent="0.25">
      <c r="A11" s="454">
        <v>6</v>
      </c>
      <c r="B11" s="452">
        <v>43955</v>
      </c>
      <c r="C11" s="451" t="s">
        <v>89</v>
      </c>
      <c r="D11" s="459">
        <v>83059512</v>
      </c>
      <c r="E11" s="459"/>
      <c r="F11" s="1412">
        <v>122990800</v>
      </c>
      <c r="G11" s="453">
        <f t="shared" si="0"/>
        <v>-39931288</v>
      </c>
      <c r="H11" s="362"/>
      <c r="I11" s="622"/>
      <c r="J11" s="362"/>
      <c r="L11" s="463"/>
      <c r="M11" s="463"/>
      <c r="N11" s="463"/>
    </row>
    <row r="12" spans="1:14" x14ac:dyDescent="0.25">
      <c r="A12" s="454">
        <v>7</v>
      </c>
      <c r="B12" s="452">
        <v>43955</v>
      </c>
      <c r="C12" s="451" t="s">
        <v>4751</v>
      </c>
      <c r="D12" s="459">
        <v>216757245</v>
      </c>
      <c r="E12" s="459"/>
      <c r="F12" s="1412">
        <v>216757500</v>
      </c>
      <c r="G12" s="453">
        <f t="shared" si="0"/>
        <v>-255</v>
      </c>
      <c r="H12" s="362"/>
      <c r="I12" s="622"/>
      <c r="J12" s="362"/>
      <c r="L12" s="463"/>
      <c r="M12" s="463"/>
      <c r="N12" s="463"/>
    </row>
    <row r="13" spans="1:14" x14ac:dyDescent="0.25">
      <c r="A13" s="454">
        <v>8</v>
      </c>
      <c r="B13" s="452">
        <v>43955</v>
      </c>
      <c r="C13" s="451" t="s">
        <v>84</v>
      </c>
      <c r="D13" s="459">
        <v>301619323</v>
      </c>
      <c r="E13" s="459"/>
      <c r="F13" s="1412">
        <v>325796700</v>
      </c>
      <c r="G13" s="453">
        <f t="shared" si="0"/>
        <v>-24177377</v>
      </c>
      <c r="H13" s="362"/>
      <c r="I13" s="622"/>
      <c r="J13" s="362"/>
      <c r="L13" s="463"/>
      <c r="M13" s="463"/>
      <c r="N13" s="463"/>
    </row>
    <row r="14" spans="1:14" x14ac:dyDescent="0.25">
      <c r="A14" s="454">
        <v>9</v>
      </c>
      <c r="B14" s="452">
        <v>43955</v>
      </c>
      <c r="C14" s="451" t="s">
        <v>85</v>
      </c>
      <c r="D14" s="459">
        <v>26471335</v>
      </c>
      <c r="E14" s="459"/>
      <c r="F14" s="1412">
        <v>30697500</v>
      </c>
      <c r="G14" s="453">
        <f t="shared" si="0"/>
        <v>-4226165</v>
      </c>
      <c r="H14" s="362"/>
      <c r="I14" s="622"/>
      <c r="J14" s="362"/>
      <c r="L14" s="463"/>
      <c r="M14" s="463"/>
      <c r="N14" s="463"/>
    </row>
    <row r="15" spans="1:14" x14ac:dyDescent="0.25">
      <c r="A15" s="454">
        <v>10</v>
      </c>
      <c r="B15" s="452">
        <v>43955</v>
      </c>
      <c r="C15" s="451" t="s">
        <v>147</v>
      </c>
      <c r="D15" s="459">
        <v>92804797</v>
      </c>
      <c r="E15" s="459"/>
      <c r="F15" s="1412">
        <v>111177200</v>
      </c>
      <c r="G15" s="453">
        <f t="shared" si="0"/>
        <v>-18372403</v>
      </c>
      <c r="H15" s="362"/>
      <c r="I15" s="622"/>
      <c r="J15" s="362"/>
      <c r="L15" s="463"/>
      <c r="M15" s="463"/>
      <c r="N15" s="463"/>
    </row>
    <row r="16" spans="1:14" x14ac:dyDescent="0.25">
      <c r="A16" s="454">
        <v>11</v>
      </c>
      <c r="B16" s="452">
        <v>43955</v>
      </c>
      <c r="C16" s="451" t="s">
        <v>79</v>
      </c>
      <c r="D16" s="459">
        <v>36476234</v>
      </c>
      <c r="E16" s="459"/>
      <c r="F16" s="1412">
        <v>44596600</v>
      </c>
      <c r="G16" s="453">
        <f t="shared" si="0"/>
        <v>-8120366</v>
      </c>
      <c r="H16" s="362"/>
      <c r="I16" s="622"/>
      <c r="J16" s="362"/>
      <c r="L16" s="463"/>
      <c r="M16" s="463"/>
      <c r="N16" s="463"/>
    </row>
    <row r="17" spans="1:14" x14ac:dyDescent="0.25">
      <c r="A17" s="454">
        <v>12</v>
      </c>
      <c r="B17" s="452">
        <v>43955</v>
      </c>
      <c r="C17" s="451" t="s">
        <v>82</v>
      </c>
      <c r="D17" s="459">
        <v>80116087</v>
      </c>
      <c r="E17" s="459"/>
      <c r="F17" s="1412">
        <v>80116100</v>
      </c>
      <c r="G17" s="453">
        <f t="shared" si="0"/>
        <v>-13</v>
      </c>
      <c r="H17" s="362"/>
      <c r="I17" s="622"/>
      <c r="J17" s="362"/>
      <c r="L17" s="463"/>
      <c r="M17" s="463"/>
      <c r="N17" s="463"/>
    </row>
    <row r="18" spans="1:14" x14ac:dyDescent="0.25">
      <c r="A18" s="454">
        <v>13</v>
      </c>
      <c r="B18" s="452">
        <v>43955</v>
      </c>
      <c r="C18" s="451" t="s">
        <v>78</v>
      </c>
      <c r="D18" s="459">
        <v>65163500</v>
      </c>
      <c r="E18" s="459"/>
      <c r="F18" s="1412">
        <v>65163500</v>
      </c>
      <c r="G18" s="453">
        <f t="shared" si="0"/>
        <v>0</v>
      </c>
      <c r="H18" s="362"/>
      <c r="I18" s="622"/>
      <c r="J18" s="362"/>
      <c r="L18" s="463"/>
      <c r="M18" s="463"/>
      <c r="N18" s="463"/>
    </row>
    <row r="19" spans="1:14" x14ac:dyDescent="0.25">
      <c r="A19" s="454">
        <v>14</v>
      </c>
      <c r="B19" s="452">
        <v>43955</v>
      </c>
      <c r="C19" s="451" t="s">
        <v>166</v>
      </c>
      <c r="D19" s="459">
        <v>45690395</v>
      </c>
      <c r="E19" s="459"/>
      <c r="F19" s="1412">
        <v>45690400</v>
      </c>
      <c r="G19" s="453">
        <f t="shared" si="0"/>
        <v>-5</v>
      </c>
      <c r="H19" s="362"/>
      <c r="I19" s="622"/>
      <c r="J19" s="362"/>
      <c r="L19" s="463"/>
      <c r="M19" s="463"/>
      <c r="N19" s="463"/>
    </row>
    <row r="20" spans="1:14" x14ac:dyDescent="0.25">
      <c r="A20" s="454">
        <v>15</v>
      </c>
      <c r="B20" s="452">
        <v>43955</v>
      </c>
      <c r="C20" s="451" t="s">
        <v>3435</v>
      </c>
      <c r="D20" s="460"/>
      <c r="E20" s="460"/>
      <c r="F20" s="1412"/>
      <c r="G20" s="453">
        <f t="shared" si="0"/>
        <v>0</v>
      </c>
      <c r="H20" s="362"/>
      <c r="I20" s="622"/>
      <c r="J20" s="362"/>
      <c r="L20" s="463"/>
      <c r="M20" s="463"/>
      <c r="N20" s="463"/>
    </row>
    <row r="21" spans="1:14" x14ac:dyDescent="0.25">
      <c r="A21" s="455"/>
      <c r="B21" s="456"/>
      <c r="C21" s="457"/>
      <c r="D21" s="461"/>
      <c r="E21" s="461"/>
      <c r="F21" s="1413"/>
      <c r="G21" s="458">
        <f t="shared" si="0"/>
        <v>0</v>
      </c>
      <c r="H21" s="530"/>
      <c r="I21" s="623"/>
      <c r="J21" s="530"/>
      <c r="L21" s="463"/>
      <c r="M21" s="463"/>
      <c r="N21" s="463"/>
    </row>
    <row r="22" spans="1:14" x14ac:dyDescent="0.25">
      <c r="A22" s="454">
        <v>1</v>
      </c>
      <c r="B22" s="452">
        <v>43956</v>
      </c>
      <c r="C22" s="451" t="s">
        <v>80</v>
      </c>
      <c r="D22" s="459">
        <v>295568652</v>
      </c>
      <c r="E22" s="459"/>
      <c r="F22" s="1412">
        <v>328308000</v>
      </c>
      <c r="G22" s="453">
        <f t="shared" si="0"/>
        <v>-32739348</v>
      </c>
      <c r="H22" s="362"/>
      <c r="I22" s="622"/>
      <c r="J22" s="362"/>
      <c r="L22" s="463"/>
      <c r="M22" s="463"/>
      <c r="N22" s="463"/>
    </row>
    <row r="23" spans="1:14" x14ac:dyDescent="0.25">
      <c r="A23" s="454">
        <v>2</v>
      </c>
      <c r="B23" s="452">
        <v>43956</v>
      </c>
      <c r="C23" s="451" t="s">
        <v>140</v>
      </c>
      <c r="D23" s="459">
        <v>218230559</v>
      </c>
      <c r="E23" s="459"/>
      <c r="F23" s="1412">
        <v>257692500</v>
      </c>
      <c r="G23" s="453">
        <f t="shared" si="0"/>
        <v>-39461941</v>
      </c>
      <c r="H23" s="362"/>
      <c r="I23" s="622"/>
      <c r="J23" s="362"/>
      <c r="L23" s="463"/>
      <c r="M23" s="463"/>
      <c r="N23" s="463"/>
    </row>
    <row r="24" spans="1:14" x14ac:dyDescent="0.25">
      <c r="A24" s="454">
        <v>3</v>
      </c>
      <c r="B24" s="452">
        <v>43956</v>
      </c>
      <c r="C24" s="451" t="s">
        <v>142</v>
      </c>
      <c r="D24" s="459">
        <v>90074999</v>
      </c>
      <c r="E24" s="459"/>
      <c r="F24" s="1412">
        <v>96645400</v>
      </c>
      <c r="G24" s="453">
        <f t="shared" si="0"/>
        <v>-6570401</v>
      </c>
      <c r="H24" s="362"/>
      <c r="I24" s="622"/>
      <c r="J24" s="362"/>
      <c r="L24" s="463"/>
      <c r="M24" s="463"/>
      <c r="N24" s="463"/>
    </row>
    <row r="25" spans="1:14" x14ac:dyDescent="0.25">
      <c r="A25" s="454">
        <v>4</v>
      </c>
      <c r="B25" s="452">
        <v>43956</v>
      </c>
      <c r="C25" s="451" t="s">
        <v>87</v>
      </c>
      <c r="D25" s="459">
        <v>235078038</v>
      </c>
      <c r="E25" s="459"/>
      <c r="F25" s="1412">
        <v>384836000</v>
      </c>
      <c r="G25" s="453">
        <f t="shared" si="0"/>
        <v>-149757962</v>
      </c>
      <c r="H25" s="362"/>
      <c r="I25" s="622"/>
      <c r="J25" s="362"/>
      <c r="L25" s="463"/>
      <c r="M25" s="463"/>
      <c r="N25" s="463"/>
    </row>
    <row r="26" spans="1:14" x14ac:dyDescent="0.25">
      <c r="A26" s="454">
        <v>5</v>
      </c>
      <c r="B26" s="452">
        <v>43956</v>
      </c>
      <c r="C26" s="451" t="s">
        <v>86</v>
      </c>
      <c r="D26" s="459">
        <v>78128637</v>
      </c>
      <c r="E26" s="459"/>
      <c r="F26" s="1412">
        <v>86079400</v>
      </c>
      <c r="G26" s="453">
        <f t="shared" si="0"/>
        <v>-7950763</v>
      </c>
      <c r="H26" s="362"/>
      <c r="I26" s="622"/>
      <c r="J26" s="362"/>
      <c r="L26" s="463"/>
      <c r="M26" s="463"/>
      <c r="N26" s="463"/>
    </row>
    <row r="27" spans="1:14" x14ac:dyDescent="0.25">
      <c r="A27" s="454">
        <v>6</v>
      </c>
      <c r="B27" s="452">
        <v>43956</v>
      </c>
      <c r="C27" s="451" t="s">
        <v>89</v>
      </c>
      <c r="D27" s="459">
        <v>130576417</v>
      </c>
      <c r="E27" s="459"/>
      <c r="F27" s="1412">
        <v>137653200</v>
      </c>
      <c r="G27" s="453">
        <f t="shared" si="0"/>
        <v>-7076783</v>
      </c>
      <c r="H27" s="362"/>
      <c r="I27" s="622"/>
      <c r="J27" s="362"/>
      <c r="L27" s="463"/>
      <c r="M27" s="463"/>
      <c r="N27" s="463"/>
    </row>
    <row r="28" spans="1:14" x14ac:dyDescent="0.25">
      <c r="A28" s="454">
        <v>7</v>
      </c>
      <c r="B28" s="452">
        <v>43956</v>
      </c>
      <c r="C28" s="451" t="s">
        <v>4751</v>
      </c>
      <c r="D28" s="459">
        <v>177929758</v>
      </c>
      <c r="E28" s="459"/>
      <c r="F28" s="1412">
        <v>177929900</v>
      </c>
      <c r="G28" s="453">
        <f t="shared" si="0"/>
        <v>-142</v>
      </c>
      <c r="H28" s="362"/>
      <c r="I28" s="622"/>
      <c r="J28" s="362"/>
      <c r="L28" s="463"/>
      <c r="M28" s="463"/>
      <c r="N28" s="463"/>
    </row>
    <row r="29" spans="1:14" x14ac:dyDescent="0.25">
      <c r="A29" s="454">
        <v>8</v>
      </c>
      <c r="B29" s="452">
        <v>43956</v>
      </c>
      <c r="C29" s="451" t="s">
        <v>84</v>
      </c>
      <c r="D29" s="459">
        <v>174607315</v>
      </c>
      <c r="E29" s="459"/>
      <c r="F29" s="1412">
        <v>189727000</v>
      </c>
      <c r="G29" s="453">
        <f t="shared" si="0"/>
        <v>-15119685</v>
      </c>
      <c r="H29" s="362"/>
      <c r="I29" s="622"/>
      <c r="J29" s="362"/>
      <c r="L29" s="463"/>
      <c r="M29" s="463"/>
      <c r="N29" s="463"/>
    </row>
    <row r="30" spans="1:14" x14ac:dyDescent="0.25">
      <c r="A30" s="454">
        <v>9</v>
      </c>
      <c r="B30" s="452">
        <v>43956</v>
      </c>
      <c r="C30" s="451" t="s">
        <v>85</v>
      </c>
      <c r="D30" s="459">
        <v>31534214</v>
      </c>
      <c r="E30" s="459"/>
      <c r="F30" s="1412">
        <v>33010000</v>
      </c>
      <c r="G30" s="453">
        <f t="shared" si="0"/>
        <v>-1475786</v>
      </c>
      <c r="H30" s="362"/>
      <c r="I30" s="622"/>
      <c r="J30" s="362"/>
      <c r="L30" s="463"/>
      <c r="M30" s="463"/>
      <c r="N30" s="463"/>
    </row>
    <row r="31" spans="1:14" x14ac:dyDescent="0.25">
      <c r="A31" s="454">
        <v>10</v>
      </c>
      <c r="B31" s="452">
        <v>43956</v>
      </c>
      <c r="C31" s="451" t="s">
        <v>147</v>
      </c>
      <c r="D31" s="459">
        <v>102196737</v>
      </c>
      <c r="E31" s="459"/>
      <c r="F31" s="1412">
        <v>110765200</v>
      </c>
      <c r="G31" s="453">
        <f t="shared" si="0"/>
        <v>-8568463</v>
      </c>
      <c r="H31" s="362"/>
      <c r="I31" s="622"/>
      <c r="J31" s="362"/>
      <c r="L31" s="463"/>
      <c r="M31" s="463"/>
      <c r="N31" s="463"/>
    </row>
    <row r="32" spans="1:14" x14ac:dyDescent="0.25">
      <c r="A32" s="454">
        <v>11</v>
      </c>
      <c r="B32" s="452">
        <v>43956</v>
      </c>
      <c r="C32" s="451" t="s">
        <v>79</v>
      </c>
      <c r="D32" s="459">
        <v>59378532</v>
      </c>
      <c r="E32" s="459"/>
      <c r="F32" s="1412">
        <v>59395500</v>
      </c>
      <c r="G32" s="453">
        <f t="shared" si="0"/>
        <v>-16968</v>
      </c>
      <c r="H32" s="362"/>
      <c r="I32" s="622"/>
      <c r="J32" s="362"/>
      <c r="L32" s="463"/>
      <c r="M32" s="463"/>
      <c r="N32" s="463"/>
    </row>
    <row r="33" spans="1:14" x14ac:dyDescent="0.25">
      <c r="A33" s="454">
        <v>12</v>
      </c>
      <c r="B33" s="452">
        <v>43956</v>
      </c>
      <c r="C33" s="451" t="s">
        <v>82</v>
      </c>
      <c r="D33" s="459">
        <v>55298962</v>
      </c>
      <c r="E33" s="459"/>
      <c r="F33" s="1412">
        <v>55299100</v>
      </c>
      <c r="G33" s="453">
        <f t="shared" si="0"/>
        <v>-138</v>
      </c>
      <c r="H33" s="362"/>
      <c r="I33" s="622"/>
      <c r="J33" s="362"/>
      <c r="L33" s="463"/>
      <c r="M33" s="463"/>
      <c r="N33" s="463"/>
    </row>
    <row r="34" spans="1:14" x14ac:dyDescent="0.25">
      <c r="A34" s="454">
        <v>13</v>
      </c>
      <c r="B34" s="452">
        <v>43956</v>
      </c>
      <c r="C34" s="451" t="s">
        <v>78</v>
      </c>
      <c r="D34" s="459">
        <v>63189600</v>
      </c>
      <c r="E34" s="459"/>
      <c r="F34" s="1412">
        <v>63189600</v>
      </c>
      <c r="G34" s="453">
        <f t="shared" si="0"/>
        <v>0</v>
      </c>
      <c r="H34" s="362"/>
      <c r="I34" s="622"/>
      <c r="J34" s="362"/>
      <c r="L34" s="463"/>
      <c r="M34" s="463"/>
      <c r="N34" s="463"/>
    </row>
    <row r="35" spans="1:14" x14ac:dyDescent="0.25">
      <c r="A35" s="454">
        <v>14</v>
      </c>
      <c r="B35" s="452">
        <v>43956</v>
      </c>
      <c r="C35" s="451" t="s">
        <v>166</v>
      </c>
      <c r="D35" s="459">
        <v>83172236</v>
      </c>
      <c r="E35" s="459"/>
      <c r="F35" s="1412">
        <v>83172300</v>
      </c>
      <c r="G35" s="453">
        <f t="shared" si="0"/>
        <v>-64</v>
      </c>
      <c r="H35" s="362"/>
      <c r="I35" s="622"/>
      <c r="J35" s="362"/>
      <c r="L35" s="463"/>
      <c r="M35" s="463"/>
      <c r="N35" s="463"/>
    </row>
    <row r="36" spans="1:14" x14ac:dyDescent="0.25">
      <c r="A36" s="454">
        <v>15</v>
      </c>
      <c r="B36" s="452">
        <v>43956</v>
      </c>
      <c r="C36" s="451" t="s">
        <v>3435</v>
      </c>
      <c r="D36" s="459"/>
      <c r="E36" s="459"/>
      <c r="F36" s="1412"/>
      <c r="G36" s="453">
        <f t="shared" si="0"/>
        <v>0</v>
      </c>
      <c r="H36" s="362"/>
      <c r="I36" s="622"/>
      <c r="J36" s="362"/>
      <c r="L36" s="463"/>
      <c r="M36" s="463"/>
      <c r="N36" s="463"/>
    </row>
    <row r="37" spans="1:14" x14ac:dyDescent="0.25">
      <c r="A37" s="455"/>
      <c r="B37" s="457"/>
      <c r="C37" s="457"/>
      <c r="D37" s="462"/>
      <c r="E37" s="462"/>
      <c r="F37" s="1413"/>
      <c r="G37" s="458">
        <f t="shared" si="0"/>
        <v>0</v>
      </c>
      <c r="H37" s="530"/>
      <c r="I37" s="623"/>
      <c r="J37" s="530"/>
      <c r="L37" s="463"/>
      <c r="M37" s="463"/>
      <c r="N37" s="463"/>
    </row>
    <row r="38" spans="1:14" x14ac:dyDescent="0.25">
      <c r="A38" s="454">
        <v>1</v>
      </c>
      <c r="B38" s="452">
        <v>43957</v>
      </c>
      <c r="C38" s="451" t="s">
        <v>80</v>
      </c>
      <c r="D38" s="459">
        <v>309261866</v>
      </c>
      <c r="E38" s="459"/>
      <c r="F38" s="1412">
        <v>344932000</v>
      </c>
      <c r="G38" s="453">
        <f t="shared" si="0"/>
        <v>-35670134</v>
      </c>
      <c r="H38" s="362"/>
      <c r="I38" s="622"/>
      <c r="J38" s="362"/>
      <c r="L38" s="463"/>
      <c r="M38" s="463"/>
      <c r="N38" s="463"/>
    </row>
    <row r="39" spans="1:14" x14ac:dyDescent="0.25">
      <c r="A39" s="454">
        <v>2</v>
      </c>
      <c r="B39" s="452">
        <v>43957</v>
      </c>
      <c r="C39" s="451" t="s">
        <v>140</v>
      </c>
      <c r="D39" s="459">
        <v>260717705</v>
      </c>
      <c r="E39" s="459"/>
      <c r="F39" s="1412">
        <v>317408500</v>
      </c>
      <c r="G39" s="453">
        <f t="shared" si="0"/>
        <v>-56690795</v>
      </c>
      <c r="H39" s="362"/>
      <c r="I39" s="622"/>
      <c r="J39" s="362"/>
      <c r="L39" s="463"/>
      <c r="M39" s="463"/>
      <c r="N39" s="463"/>
    </row>
    <row r="40" spans="1:14" x14ac:dyDescent="0.25">
      <c r="A40" s="454">
        <v>3</v>
      </c>
      <c r="B40" s="452">
        <v>43957</v>
      </c>
      <c r="C40" s="451" t="s">
        <v>142</v>
      </c>
      <c r="D40" s="459">
        <v>230786918</v>
      </c>
      <c r="E40" s="459"/>
      <c r="F40" s="1412">
        <v>235330200</v>
      </c>
      <c r="G40" s="453">
        <f t="shared" si="0"/>
        <v>-4543282</v>
      </c>
      <c r="H40" s="362"/>
      <c r="I40" s="622"/>
      <c r="J40" s="362"/>
      <c r="L40" s="463"/>
      <c r="M40" s="463"/>
      <c r="N40" s="463"/>
    </row>
    <row r="41" spans="1:14" x14ac:dyDescent="0.25">
      <c r="A41" s="454">
        <v>4</v>
      </c>
      <c r="B41" s="452">
        <v>43957</v>
      </c>
      <c r="C41" s="451" t="s">
        <v>87</v>
      </c>
      <c r="D41" s="459">
        <v>196592554</v>
      </c>
      <c r="E41" s="459"/>
      <c r="F41" s="1412">
        <v>166729800</v>
      </c>
      <c r="G41" s="453">
        <f t="shared" si="0"/>
        <v>29862754</v>
      </c>
      <c r="H41" s="362"/>
      <c r="I41" s="622"/>
      <c r="J41" s="362"/>
      <c r="L41" s="463"/>
      <c r="M41" s="463"/>
      <c r="N41" s="463"/>
    </row>
    <row r="42" spans="1:14" x14ac:dyDescent="0.25">
      <c r="A42" s="454">
        <v>5</v>
      </c>
      <c r="B42" s="452">
        <v>43957</v>
      </c>
      <c r="C42" s="451" t="s">
        <v>86</v>
      </c>
      <c r="D42" s="459">
        <v>63559433</v>
      </c>
      <c r="E42" s="459"/>
      <c r="F42" s="1412">
        <v>80507200</v>
      </c>
      <c r="G42" s="453">
        <f t="shared" si="0"/>
        <v>-16947767</v>
      </c>
      <c r="H42" s="362"/>
      <c r="I42" s="622"/>
      <c r="J42" s="362"/>
      <c r="L42" s="463"/>
      <c r="M42" s="463"/>
      <c r="N42" s="463"/>
    </row>
    <row r="43" spans="1:14" x14ac:dyDescent="0.25">
      <c r="A43" s="454">
        <v>6</v>
      </c>
      <c r="B43" s="452">
        <v>43957</v>
      </c>
      <c r="C43" s="451" t="s">
        <v>89</v>
      </c>
      <c r="D43" s="459">
        <v>98173687</v>
      </c>
      <c r="E43" s="459"/>
      <c r="F43" s="1412">
        <v>139259000</v>
      </c>
      <c r="G43" s="453">
        <f t="shared" si="0"/>
        <v>-41085313</v>
      </c>
      <c r="H43" s="362"/>
      <c r="I43" s="622"/>
      <c r="J43" s="362"/>
      <c r="L43" s="463"/>
      <c r="M43" s="463"/>
      <c r="N43" s="463"/>
    </row>
    <row r="44" spans="1:14" x14ac:dyDescent="0.25">
      <c r="A44" s="454">
        <v>7</v>
      </c>
      <c r="B44" s="452">
        <v>43957</v>
      </c>
      <c r="C44" s="451" t="s">
        <v>4751</v>
      </c>
      <c r="D44" s="459">
        <v>232328268</v>
      </c>
      <c r="E44" s="459"/>
      <c r="F44" s="1412">
        <v>233096700</v>
      </c>
      <c r="G44" s="453">
        <f t="shared" si="0"/>
        <v>-768432</v>
      </c>
      <c r="H44" s="362"/>
      <c r="I44" s="622"/>
      <c r="J44" s="362"/>
      <c r="L44" s="463"/>
      <c r="M44" s="463"/>
      <c r="N44" s="463"/>
    </row>
    <row r="45" spans="1:14" x14ac:dyDescent="0.25">
      <c r="A45" s="454">
        <v>8</v>
      </c>
      <c r="B45" s="452">
        <v>43957</v>
      </c>
      <c r="C45" s="451" t="s">
        <v>84</v>
      </c>
      <c r="D45" s="459">
        <v>193324866</v>
      </c>
      <c r="E45" s="459"/>
      <c r="F45" s="1412">
        <v>217044100</v>
      </c>
      <c r="G45" s="453">
        <f t="shared" si="0"/>
        <v>-23719234</v>
      </c>
      <c r="H45" s="362"/>
      <c r="I45" s="622"/>
      <c r="J45" s="362"/>
      <c r="L45" s="463"/>
      <c r="M45" s="463"/>
      <c r="N45" s="463"/>
    </row>
    <row r="46" spans="1:14" x14ac:dyDescent="0.25">
      <c r="A46" s="454">
        <v>9</v>
      </c>
      <c r="B46" s="452">
        <v>43957</v>
      </c>
      <c r="C46" s="451" t="s">
        <v>85</v>
      </c>
      <c r="D46" s="459">
        <v>34343347</v>
      </c>
      <c r="E46" s="459"/>
      <c r="F46" s="1412">
        <v>40442600</v>
      </c>
      <c r="G46" s="453">
        <f t="shared" si="0"/>
        <v>-6099253</v>
      </c>
      <c r="H46" s="362"/>
      <c r="I46" s="622"/>
      <c r="J46" s="362"/>
      <c r="L46" s="463"/>
      <c r="M46" s="463"/>
      <c r="N46" s="463"/>
    </row>
    <row r="47" spans="1:14" x14ac:dyDescent="0.25">
      <c r="A47" s="454">
        <v>10</v>
      </c>
      <c r="B47" s="452">
        <v>43957</v>
      </c>
      <c r="C47" s="451" t="s">
        <v>147</v>
      </c>
      <c r="D47" s="459">
        <v>94512564</v>
      </c>
      <c r="E47" s="459"/>
      <c r="F47" s="1412">
        <v>105927800</v>
      </c>
      <c r="G47" s="453">
        <f t="shared" si="0"/>
        <v>-11415236</v>
      </c>
      <c r="H47" s="362"/>
      <c r="I47" s="622"/>
      <c r="J47" s="362"/>
      <c r="L47" s="463"/>
      <c r="M47" s="463"/>
      <c r="N47" s="463"/>
    </row>
    <row r="48" spans="1:14" x14ac:dyDescent="0.25">
      <c r="A48" s="454">
        <v>11</v>
      </c>
      <c r="B48" s="452">
        <v>43957</v>
      </c>
      <c r="C48" s="451" t="s">
        <v>79</v>
      </c>
      <c r="D48" s="459">
        <v>72963383</v>
      </c>
      <c r="E48" s="459"/>
      <c r="F48" s="1412">
        <v>73917400</v>
      </c>
      <c r="G48" s="453">
        <f t="shared" si="0"/>
        <v>-954017</v>
      </c>
      <c r="H48" s="362"/>
      <c r="I48" s="622"/>
      <c r="J48" s="362"/>
      <c r="L48" s="463"/>
      <c r="M48" s="463"/>
      <c r="N48" s="463"/>
    </row>
    <row r="49" spans="1:14" x14ac:dyDescent="0.25">
      <c r="A49" s="454">
        <v>12</v>
      </c>
      <c r="B49" s="452">
        <v>43957</v>
      </c>
      <c r="C49" s="451" t="s">
        <v>82</v>
      </c>
      <c r="D49" s="459">
        <v>81150471</v>
      </c>
      <c r="E49" s="459"/>
      <c r="F49" s="1412">
        <v>81150600</v>
      </c>
      <c r="G49" s="453">
        <f t="shared" si="0"/>
        <v>-129</v>
      </c>
      <c r="H49" s="362"/>
      <c r="I49" s="622"/>
      <c r="J49" s="362"/>
      <c r="L49" s="463"/>
      <c r="M49" s="463"/>
      <c r="N49" s="463"/>
    </row>
    <row r="50" spans="1:14" x14ac:dyDescent="0.25">
      <c r="A50" s="454">
        <v>13</v>
      </c>
      <c r="B50" s="452">
        <v>43957</v>
      </c>
      <c r="C50" s="451" t="s">
        <v>78</v>
      </c>
      <c r="D50" s="459">
        <v>152421300</v>
      </c>
      <c r="E50" s="459"/>
      <c r="F50" s="1412">
        <v>152421300</v>
      </c>
      <c r="G50" s="453">
        <f t="shared" si="0"/>
        <v>0</v>
      </c>
      <c r="H50" s="362"/>
      <c r="I50" s="622"/>
      <c r="J50" s="362"/>
      <c r="L50" s="463"/>
      <c r="M50" s="463"/>
      <c r="N50" s="463"/>
    </row>
    <row r="51" spans="1:14" x14ac:dyDescent="0.25">
      <c r="A51" s="454">
        <v>14</v>
      </c>
      <c r="B51" s="452">
        <v>43957</v>
      </c>
      <c r="C51" s="451" t="s">
        <v>166</v>
      </c>
      <c r="D51" s="459">
        <v>44020497</v>
      </c>
      <c r="E51" s="459"/>
      <c r="F51" s="1412">
        <v>44020500</v>
      </c>
      <c r="G51" s="453">
        <f t="shared" si="0"/>
        <v>-3</v>
      </c>
      <c r="H51" s="362"/>
      <c r="I51" s="622"/>
      <c r="J51" s="362"/>
      <c r="L51" s="463"/>
      <c r="M51" s="463"/>
      <c r="N51" s="463"/>
    </row>
    <row r="52" spans="1:14" x14ac:dyDescent="0.25">
      <c r="A52" s="454">
        <v>15</v>
      </c>
      <c r="B52" s="452">
        <v>43957</v>
      </c>
      <c r="C52" s="451" t="s">
        <v>3435</v>
      </c>
      <c r="D52" s="459"/>
      <c r="E52" s="459"/>
      <c r="F52" s="1412"/>
      <c r="G52" s="453">
        <f t="shared" si="0"/>
        <v>0</v>
      </c>
      <c r="H52" s="362"/>
      <c r="I52" s="622"/>
      <c r="J52" s="362"/>
      <c r="L52" s="463"/>
      <c r="M52" s="463"/>
      <c r="N52" s="463"/>
    </row>
    <row r="53" spans="1:14" x14ac:dyDescent="0.25">
      <c r="A53" s="457"/>
      <c r="B53" s="456"/>
      <c r="C53" s="457"/>
      <c r="D53" s="462"/>
      <c r="E53" s="462"/>
      <c r="F53" s="1413"/>
      <c r="G53" s="457"/>
      <c r="H53" s="530"/>
      <c r="I53" s="623"/>
      <c r="J53" s="530"/>
    </row>
    <row r="54" spans="1:14" x14ac:dyDescent="0.25">
      <c r="A54" s="362">
        <v>1</v>
      </c>
      <c r="B54" s="371">
        <v>43958</v>
      </c>
      <c r="C54" s="362" t="s">
        <v>80</v>
      </c>
      <c r="D54" s="391">
        <v>164586885</v>
      </c>
      <c r="E54" s="391"/>
      <c r="F54" s="391">
        <v>179070600</v>
      </c>
      <c r="G54" s="529">
        <f>D54-F54</f>
        <v>-14483715</v>
      </c>
      <c r="H54" s="362"/>
      <c r="I54" s="622"/>
      <c r="J54" s="362"/>
    </row>
    <row r="55" spans="1:14" x14ac:dyDescent="0.25">
      <c r="A55" s="362">
        <v>2</v>
      </c>
      <c r="B55" s="371">
        <v>43958</v>
      </c>
      <c r="C55" s="362" t="s">
        <v>83</v>
      </c>
      <c r="D55" s="391">
        <v>409121259</v>
      </c>
      <c r="E55" s="391"/>
      <c r="F55" s="391">
        <v>409121300</v>
      </c>
      <c r="G55" s="529">
        <f t="shared" ref="G55:G69" si="1">D55-F55</f>
        <v>-41</v>
      </c>
      <c r="H55" s="362"/>
      <c r="I55" s="622"/>
      <c r="J55" s="362"/>
    </row>
    <row r="56" spans="1:14" x14ac:dyDescent="0.25">
      <c r="A56" s="362">
        <v>3</v>
      </c>
      <c r="B56" s="371">
        <v>43958</v>
      </c>
      <c r="C56" s="362" t="s">
        <v>88</v>
      </c>
      <c r="D56" s="391">
        <v>415130952</v>
      </c>
      <c r="E56" s="391"/>
      <c r="F56" s="391">
        <v>459315600</v>
      </c>
      <c r="G56" s="529">
        <f t="shared" si="1"/>
        <v>-44184648</v>
      </c>
      <c r="H56" s="362"/>
      <c r="I56" s="622"/>
      <c r="J56" s="362"/>
    </row>
    <row r="57" spans="1:14" x14ac:dyDescent="0.25">
      <c r="A57" s="362">
        <v>4</v>
      </c>
      <c r="B57" s="371">
        <v>43958</v>
      </c>
      <c r="C57" s="362" t="s">
        <v>146</v>
      </c>
      <c r="D57" s="391">
        <v>220785308</v>
      </c>
      <c r="E57" s="391"/>
      <c r="F57" s="391">
        <v>212958600</v>
      </c>
      <c r="G57" s="529">
        <f t="shared" si="1"/>
        <v>7826708</v>
      </c>
      <c r="H57" s="362"/>
      <c r="I57" s="622"/>
      <c r="J57" s="362"/>
    </row>
    <row r="58" spans="1:14" x14ac:dyDescent="0.25">
      <c r="A58" s="362">
        <v>5</v>
      </c>
      <c r="B58" s="371">
        <v>43958</v>
      </c>
      <c r="C58" s="362" t="s">
        <v>86</v>
      </c>
      <c r="D58" s="391">
        <v>107467079</v>
      </c>
      <c r="E58" s="391"/>
      <c r="F58" s="391">
        <v>152239600</v>
      </c>
      <c r="G58" s="529">
        <f t="shared" si="1"/>
        <v>-44772521</v>
      </c>
      <c r="H58" s="362"/>
      <c r="I58" s="622"/>
      <c r="J58" s="362"/>
    </row>
    <row r="59" spans="1:14" x14ac:dyDescent="0.25">
      <c r="A59" s="362">
        <v>6</v>
      </c>
      <c r="B59" s="371">
        <v>43958</v>
      </c>
      <c r="C59" s="362" t="s">
        <v>89</v>
      </c>
      <c r="D59" s="391">
        <v>177061090</v>
      </c>
      <c r="E59" s="391"/>
      <c r="F59" s="391">
        <v>182570200</v>
      </c>
      <c r="G59" s="529">
        <f t="shared" si="1"/>
        <v>-5509110</v>
      </c>
      <c r="H59" s="362"/>
      <c r="I59" s="622"/>
      <c r="J59" s="362"/>
    </row>
    <row r="60" spans="1:14" x14ac:dyDescent="0.25">
      <c r="A60" s="362">
        <v>7</v>
      </c>
      <c r="B60" s="371">
        <v>43958</v>
      </c>
      <c r="C60" s="362" t="s">
        <v>4751</v>
      </c>
      <c r="D60" s="391">
        <v>346942000</v>
      </c>
      <c r="E60" s="391"/>
      <c r="F60" s="391">
        <v>346942000</v>
      </c>
      <c r="G60" s="529">
        <f t="shared" si="1"/>
        <v>0</v>
      </c>
      <c r="H60" s="362"/>
      <c r="I60" s="622"/>
      <c r="J60" s="362"/>
    </row>
    <row r="61" spans="1:14" x14ac:dyDescent="0.25">
      <c r="A61" s="362">
        <v>8</v>
      </c>
      <c r="B61" s="371">
        <v>43958</v>
      </c>
      <c r="C61" s="362" t="s">
        <v>84</v>
      </c>
      <c r="D61" s="391">
        <v>273562970</v>
      </c>
      <c r="E61" s="391"/>
      <c r="F61" s="391">
        <v>286288400</v>
      </c>
      <c r="G61" s="529">
        <f t="shared" si="1"/>
        <v>-12725430</v>
      </c>
      <c r="H61" s="362"/>
      <c r="I61" s="622"/>
      <c r="J61" s="362"/>
    </row>
    <row r="62" spans="1:14" x14ac:dyDescent="0.25">
      <c r="A62" s="362">
        <v>9</v>
      </c>
      <c r="B62" s="371">
        <v>43958</v>
      </c>
      <c r="C62" s="362" t="s">
        <v>85</v>
      </c>
      <c r="D62" s="391">
        <v>27295114</v>
      </c>
      <c r="E62" s="391"/>
      <c r="F62" s="391">
        <v>30982400</v>
      </c>
      <c r="G62" s="529">
        <f t="shared" si="1"/>
        <v>-3687286</v>
      </c>
      <c r="H62" s="362"/>
      <c r="I62" s="622"/>
      <c r="J62" s="362"/>
    </row>
    <row r="63" spans="1:14" x14ac:dyDescent="0.25">
      <c r="A63" s="362">
        <v>10</v>
      </c>
      <c r="B63" s="371">
        <v>43958</v>
      </c>
      <c r="C63" s="362" t="s">
        <v>81</v>
      </c>
      <c r="D63" s="391">
        <v>65784750</v>
      </c>
      <c r="E63" s="391"/>
      <c r="F63" s="391">
        <v>71074400</v>
      </c>
      <c r="G63" s="529">
        <f t="shared" si="1"/>
        <v>-5289650</v>
      </c>
      <c r="H63" s="362"/>
      <c r="I63" s="622"/>
      <c r="J63" s="362"/>
    </row>
    <row r="64" spans="1:14" x14ac:dyDescent="0.25">
      <c r="A64" s="362">
        <v>11</v>
      </c>
      <c r="B64" s="371">
        <v>43958</v>
      </c>
      <c r="C64" s="362" t="s">
        <v>79</v>
      </c>
      <c r="D64" s="391">
        <v>66148564</v>
      </c>
      <c r="E64" s="391"/>
      <c r="F64" s="391">
        <v>66320000</v>
      </c>
      <c r="G64" s="529">
        <f t="shared" si="1"/>
        <v>-171436</v>
      </c>
      <c r="H64" s="362"/>
      <c r="I64" s="622"/>
      <c r="J64" s="362"/>
    </row>
    <row r="65" spans="1:10" x14ac:dyDescent="0.25">
      <c r="A65" s="362">
        <v>12</v>
      </c>
      <c r="B65" s="371">
        <v>43958</v>
      </c>
      <c r="C65" s="362" t="s">
        <v>82</v>
      </c>
      <c r="D65" s="391">
        <v>79839873</v>
      </c>
      <c r="E65" s="391"/>
      <c r="F65" s="391">
        <v>79893000</v>
      </c>
      <c r="G65" s="529">
        <f t="shared" si="1"/>
        <v>-53127</v>
      </c>
      <c r="H65" s="362"/>
      <c r="I65" s="622"/>
      <c r="J65" s="362"/>
    </row>
    <row r="66" spans="1:10" x14ac:dyDescent="0.25">
      <c r="A66" s="362">
        <v>13</v>
      </c>
      <c r="B66" s="371">
        <v>43958</v>
      </c>
      <c r="C66" s="362" t="s">
        <v>78</v>
      </c>
      <c r="D66" s="391">
        <v>135762700</v>
      </c>
      <c r="E66" s="391"/>
      <c r="F66" s="391">
        <v>135762700</v>
      </c>
      <c r="G66" s="529">
        <f t="shared" si="1"/>
        <v>0</v>
      </c>
      <c r="H66" s="362"/>
      <c r="I66" s="622"/>
      <c r="J66" s="362"/>
    </row>
    <row r="67" spans="1:10" x14ac:dyDescent="0.25">
      <c r="A67" s="362">
        <v>14</v>
      </c>
      <c r="B67" s="371">
        <v>43958</v>
      </c>
      <c r="C67" s="362" t="s">
        <v>166</v>
      </c>
      <c r="D67" s="391">
        <v>48438562</v>
      </c>
      <c r="E67" s="391"/>
      <c r="F67" s="391"/>
      <c r="G67" s="529">
        <f t="shared" si="1"/>
        <v>48438562</v>
      </c>
      <c r="H67" s="362"/>
      <c r="I67" s="622"/>
      <c r="J67" s="362"/>
    </row>
    <row r="68" spans="1:10" x14ac:dyDescent="0.25">
      <c r="A68" s="362">
        <v>15</v>
      </c>
      <c r="B68" s="371">
        <v>43958</v>
      </c>
      <c r="C68" s="362" t="s">
        <v>3435</v>
      </c>
      <c r="D68" s="391"/>
      <c r="E68" s="391"/>
      <c r="F68" s="391"/>
      <c r="G68" s="529">
        <f t="shared" si="1"/>
        <v>0</v>
      </c>
      <c r="H68" s="362"/>
      <c r="I68" s="622"/>
      <c r="J68" s="362"/>
    </row>
    <row r="69" spans="1:10" x14ac:dyDescent="0.25">
      <c r="A69" s="530"/>
      <c r="B69" s="531"/>
      <c r="C69" s="530"/>
      <c r="D69" s="532"/>
      <c r="E69" s="532"/>
      <c r="F69" s="532"/>
      <c r="G69" s="533">
        <f t="shared" si="1"/>
        <v>0</v>
      </c>
      <c r="H69" s="530"/>
      <c r="I69" s="623"/>
      <c r="J69" s="530"/>
    </row>
    <row r="70" spans="1:10" x14ac:dyDescent="0.25">
      <c r="A70" s="362">
        <v>1</v>
      </c>
      <c r="B70" s="371">
        <v>43959</v>
      </c>
      <c r="C70" s="362" t="s">
        <v>80</v>
      </c>
      <c r="D70" s="391">
        <v>340701023</v>
      </c>
      <c r="E70" s="391">
        <v>6916100</v>
      </c>
      <c r="F70" s="391">
        <v>348590000</v>
      </c>
      <c r="G70" s="529">
        <f>D70+E70-F70</f>
        <v>-972877</v>
      </c>
      <c r="H70" s="362"/>
      <c r="I70" s="622"/>
      <c r="J70" s="362"/>
    </row>
    <row r="71" spans="1:10" x14ac:dyDescent="0.25">
      <c r="A71" s="362">
        <v>2</v>
      </c>
      <c r="B71" s="371">
        <v>43959</v>
      </c>
      <c r="C71" s="362" t="s">
        <v>83</v>
      </c>
      <c r="D71" s="391">
        <v>373349293</v>
      </c>
      <c r="E71" s="391">
        <v>107502368</v>
      </c>
      <c r="F71" s="391">
        <v>480851700</v>
      </c>
      <c r="G71" s="529">
        <f t="shared" ref="G71:G134" si="2">D71+E71-F71</f>
        <v>-39</v>
      </c>
      <c r="H71" s="362"/>
      <c r="I71" s="622"/>
      <c r="J71" s="362"/>
    </row>
    <row r="72" spans="1:10" x14ac:dyDescent="0.25">
      <c r="A72" s="362">
        <v>3</v>
      </c>
      <c r="B72" s="371">
        <v>43959</v>
      </c>
      <c r="C72" s="362" t="s">
        <v>88</v>
      </c>
      <c r="D72" s="391">
        <v>433959472</v>
      </c>
      <c r="E72" s="391">
        <v>16628971</v>
      </c>
      <c r="F72" s="391">
        <v>492255600</v>
      </c>
      <c r="G72" s="529">
        <f t="shared" si="2"/>
        <v>-41667157</v>
      </c>
      <c r="H72" s="362"/>
      <c r="I72" s="622"/>
      <c r="J72" s="362"/>
    </row>
    <row r="73" spans="1:10" x14ac:dyDescent="0.25">
      <c r="A73" s="362">
        <v>4</v>
      </c>
      <c r="B73" s="371">
        <v>43959</v>
      </c>
      <c r="C73" s="362" t="s">
        <v>146</v>
      </c>
      <c r="D73" s="391">
        <v>86836978</v>
      </c>
      <c r="E73" s="391">
        <v>281348656</v>
      </c>
      <c r="F73" s="391">
        <v>402961600</v>
      </c>
      <c r="G73" s="529">
        <f t="shared" si="2"/>
        <v>-34775966</v>
      </c>
      <c r="H73" s="362"/>
      <c r="I73" s="622"/>
      <c r="J73" s="362"/>
    </row>
    <row r="74" spans="1:10" x14ac:dyDescent="0.25">
      <c r="A74" s="362">
        <v>5</v>
      </c>
      <c r="B74" s="371">
        <v>43959</v>
      </c>
      <c r="C74" s="362" t="s">
        <v>86</v>
      </c>
      <c r="D74" s="391">
        <v>129459803</v>
      </c>
      <c r="E74" s="391">
        <v>11472263</v>
      </c>
      <c r="F74" s="391">
        <v>148995500</v>
      </c>
      <c r="G74" s="529">
        <f t="shared" si="2"/>
        <v>-8063434</v>
      </c>
      <c r="H74" s="362"/>
      <c r="I74" s="622"/>
      <c r="J74" s="362"/>
    </row>
    <row r="75" spans="1:10" x14ac:dyDescent="0.25">
      <c r="A75" s="362">
        <v>6</v>
      </c>
      <c r="B75" s="371">
        <v>43959</v>
      </c>
      <c r="C75" s="362" t="s">
        <v>89</v>
      </c>
      <c r="D75" s="391">
        <v>221932830</v>
      </c>
      <c r="E75" s="391">
        <v>7173000</v>
      </c>
      <c r="F75" s="391">
        <v>227513700</v>
      </c>
      <c r="G75" s="529">
        <f t="shared" si="2"/>
        <v>1592130</v>
      </c>
      <c r="H75" s="362"/>
      <c r="I75" s="622"/>
      <c r="J75" s="362"/>
    </row>
    <row r="76" spans="1:10" x14ac:dyDescent="0.25">
      <c r="A76" s="362">
        <v>7</v>
      </c>
      <c r="B76" s="371">
        <v>43959</v>
      </c>
      <c r="C76" s="362" t="s">
        <v>4751</v>
      </c>
      <c r="D76" s="391">
        <v>277183816</v>
      </c>
      <c r="E76" s="391">
        <v>10732384</v>
      </c>
      <c r="F76" s="391">
        <v>287916200</v>
      </c>
      <c r="G76" s="529">
        <f t="shared" si="2"/>
        <v>0</v>
      </c>
      <c r="H76" s="362"/>
      <c r="I76" s="622"/>
      <c r="J76" s="362"/>
    </row>
    <row r="77" spans="1:10" x14ac:dyDescent="0.25">
      <c r="A77" s="362">
        <v>8</v>
      </c>
      <c r="B77" s="371">
        <v>43959</v>
      </c>
      <c r="C77" s="362" t="s">
        <v>84</v>
      </c>
      <c r="D77" s="391">
        <v>231936938</v>
      </c>
      <c r="E77" s="391">
        <v>26616103</v>
      </c>
      <c r="F77" s="391">
        <v>259473100</v>
      </c>
      <c r="G77" s="529">
        <f t="shared" si="2"/>
        <v>-920059</v>
      </c>
      <c r="H77" s="362"/>
      <c r="I77" s="622"/>
      <c r="J77" s="362"/>
    </row>
    <row r="78" spans="1:10" x14ac:dyDescent="0.25">
      <c r="A78" s="362">
        <v>9</v>
      </c>
      <c r="B78" s="371">
        <v>43959</v>
      </c>
      <c r="C78" s="362" t="s">
        <v>85</v>
      </c>
      <c r="D78" s="391">
        <v>33041095</v>
      </c>
      <c r="E78" s="391">
        <v>2077105</v>
      </c>
      <c r="F78" s="391">
        <v>35118200</v>
      </c>
      <c r="G78" s="529">
        <f t="shared" si="2"/>
        <v>0</v>
      </c>
      <c r="H78" s="362"/>
      <c r="I78" s="622"/>
      <c r="J78" s="362"/>
    </row>
    <row r="79" spans="1:10" x14ac:dyDescent="0.25">
      <c r="A79" s="362">
        <v>10</v>
      </c>
      <c r="B79" s="371">
        <v>43959</v>
      </c>
      <c r="C79" s="362" t="s">
        <v>81</v>
      </c>
      <c r="D79" s="391">
        <v>204573768</v>
      </c>
      <c r="E79" s="391">
        <v>31414695</v>
      </c>
      <c r="F79" s="391">
        <v>235994500</v>
      </c>
      <c r="G79" s="529">
        <f t="shared" si="2"/>
        <v>-6037</v>
      </c>
      <c r="H79" s="362"/>
      <c r="I79" s="622"/>
      <c r="J79" s="362"/>
    </row>
    <row r="80" spans="1:10" x14ac:dyDescent="0.25">
      <c r="A80" s="362">
        <v>11</v>
      </c>
      <c r="B80" s="371">
        <v>43959</v>
      </c>
      <c r="C80" s="362" t="s">
        <v>79</v>
      </c>
      <c r="D80" s="391">
        <v>92690695</v>
      </c>
      <c r="E80" s="391">
        <v>14262534</v>
      </c>
      <c r="F80" s="391">
        <v>106953300</v>
      </c>
      <c r="G80" s="529">
        <f t="shared" si="2"/>
        <v>-71</v>
      </c>
      <c r="H80" s="362"/>
      <c r="I80" s="622"/>
      <c r="J80" s="362"/>
    </row>
    <row r="81" spans="1:10" x14ac:dyDescent="0.25">
      <c r="A81" s="362">
        <v>12</v>
      </c>
      <c r="B81" s="371">
        <v>43959</v>
      </c>
      <c r="C81" s="362" t="s">
        <v>82</v>
      </c>
      <c r="D81" s="391">
        <v>99479881</v>
      </c>
      <c r="E81" s="391">
        <v>2837007</v>
      </c>
      <c r="F81" s="391">
        <v>99480100</v>
      </c>
      <c r="G81" s="529">
        <f t="shared" si="2"/>
        <v>2836788</v>
      </c>
      <c r="H81" s="362"/>
      <c r="I81" s="622"/>
      <c r="J81" s="362"/>
    </row>
    <row r="82" spans="1:10" x14ac:dyDescent="0.25">
      <c r="A82" s="362">
        <v>13</v>
      </c>
      <c r="B82" s="371">
        <v>43959</v>
      </c>
      <c r="C82" s="362" t="s">
        <v>78</v>
      </c>
      <c r="D82" s="391">
        <v>105569700</v>
      </c>
      <c r="E82" s="391">
        <v>3525939</v>
      </c>
      <c r="F82" s="391">
        <v>105569700</v>
      </c>
      <c r="G82" s="529">
        <f t="shared" si="2"/>
        <v>3525939</v>
      </c>
      <c r="H82" s="362"/>
      <c r="I82" s="622"/>
      <c r="J82" s="362"/>
    </row>
    <row r="83" spans="1:10" x14ac:dyDescent="0.25">
      <c r="A83" s="362">
        <v>14</v>
      </c>
      <c r="B83" s="371">
        <v>43959</v>
      </c>
      <c r="C83" s="362" t="s">
        <v>166</v>
      </c>
      <c r="D83" s="391"/>
      <c r="E83" s="391"/>
      <c r="F83" s="391"/>
      <c r="G83" s="529">
        <f t="shared" si="2"/>
        <v>0</v>
      </c>
      <c r="H83" s="362"/>
      <c r="I83" s="622"/>
      <c r="J83" s="362"/>
    </row>
    <row r="84" spans="1:10" x14ac:dyDescent="0.25">
      <c r="A84" s="362">
        <v>15</v>
      </c>
      <c r="B84" s="371">
        <v>43959</v>
      </c>
      <c r="C84" s="362" t="s">
        <v>3435</v>
      </c>
      <c r="D84" s="391"/>
      <c r="E84" s="391"/>
      <c r="F84" s="391"/>
      <c r="G84" s="529">
        <f t="shared" si="2"/>
        <v>0</v>
      </c>
      <c r="H84" s="362"/>
      <c r="I84" s="622"/>
      <c r="J84" s="362"/>
    </row>
    <row r="85" spans="1:10" x14ac:dyDescent="0.25">
      <c r="A85" s="530"/>
      <c r="B85" s="530"/>
      <c r="C85" s="530"/>
      <c r="D85" s="530"/>
      <c r="E85" s="530"/>
      <c r="F85" s="530"/>
      <c r="G85" s="533">
        <f t="shared" si="2"/>
        <v>0</v>
      </c>
      <c r="H85" s="530"/>
      <c r="I85" s="623"/>
      <c r="J85" s="530"/>
    </row>
    <row r="86" spans="1:10" s="565" customFormat="1" x14ac:dyDescent="0.25">
      <c r="A86" s="362">
        <v>1</v>
      </c>
      <c r="B86" s="566">
        <v>43960</v>
      </c>
      <c r="C86" s="362" t="s">
        <v>80</v>
      </c>
      <c r="D86" s="370"/>
      <c r="E86" s="370"/>
      <c r="F86" s="370"/>
      <c r="G86" s="529">
        <f t="shared" si="2"/>
        <v>0</v>
      </c>
      <c r="H86" s="370"/>
      <c r="I86" s="624"/>
      <c r="J86" s="370"/>
    </row>
    <row r="87" spans="1:10" s="565" customFormat="1" x14ac:dyDescent="0.25">
      <c r="A87" s="362">
        <v>2</v>
      </c>
      <c r="B87" s="566">
        <v>43960</v>
      </c>
      <c r="C87" s="362" t="s">
        <v>83</v>
      </c>
      <c r="D87" s="370"/>
      <c r="E87" s="370"/>
      <c r="F87" s="370"/>
      <c r="G87" s="529">
        <f t="shared" si="2"/>
        <v>0</v>
      </c>
      <c r="H87" s="370"/>
      <c r="I87" s="624"/>
      <c r="J87" s="370"/>
    </row>
    <row r="88" spans="1:10" s="565" customFormat="1" x14ac:dyDescent="0.25">
      <c r="A88" s="362">
        <v>3</v>
      </c>
      <c r="B88" s="566">
        <v>43960</v>
      </c>
      <c r="C88" s="362" t="s">
        <v>88</v>
      </c>
      <c r="D88" s="370"/>
      <c r="E88" s="370"/>
      <c r="F88" s="370"/>
      <c r="G88" s="529">
        <f t="shared" si="2"/>
        <v>0</v>
      </c>
      <c r="H88" s="370"/>
      <c r="I88" s="624"/>
      <c r="J88" s="370"/>
    </row>
    <row r="89" spans="1:10" s="565" customFormat="1" x14ac:dyDescent="0.25">
      <c r="A89" s="362">
        <v>4</v>
      </c>
      <c r="B89" s="566">
        <v>43960</v>
      </c>
      <c r="C89" s="362" t="s">
        <v>146</v>
      </c>
      <c r="D89" s="370"/>
      <c r="E89" s="370"/>
      <c r="F89" s="370"/>
      <c r="G89" s="529">
        <f t="shared" si="2"/>
        <v>0</v>
      </c>
      <c r="H89" s="370"/>
      <c r="I89" s="624"/>
      <c r="J89" s="370"/>
    </row>
    <row r="90" spans="1:10" s="565" customFormat="1" x14ac:dyDescent="0.25">
      <c r="A90" s="362">
        <v>5</v>
      </c>
      <c r="B90" s="566">
        <v>43960</v>
      </c>
      <c r="C90" s="362" t="s">
        <v>86</v>
      </c>
      <c r="D90" s="370"/>
      <c r="E90" s="370"/>
      <c r="F90" s="370"/>
      <c r="G90" s="529">
        <f t="shared" si="2"/>
        <v>0</v>
      </c>
      <c r="H90" s="370"/>
      <c r="I90" s="624"/>
      <c r="J90" s="370"/>
    </row>
    <row r="91" spans="1:10" s="565" customFormat="1" x14ac:dyDescent="0.25">
      <c r="A91" s="362">
        <v>6</v>
      </c>
      <c r="B91" s="566">
        <v>43960</v>
      </c>
      <c r="C91" s="362" t="s">
        <v>89</v>
      </c>
      <c r="D91" s="563">
        <v>90275535</v>
      </c>
      <c r="E91" s="563">
        <v>4892614</v>
      </c>
      <c r="F91" s="563">
        <v>95168200</v>
      </c>
      <c r="G91" s="529">
        <f t="shared" si="2"/>
        <v>-51</v>
      </c>
      <c r="H91" s="370"/>
      <c r="I91" s="624"/>
      <c r="J91" s="370"/>
    </row>
    <row r="92" spans="1:10" s="565" customFormat="1" x14ac:dyDescent="0.25">
      <c r="A92" s="362">
        <v>7</v>
      </c>
      <c r="B92" s="566">
        <v>43960</v>
      </c>
      <c r="C92" s="362" t="s">
        <v>4751</v>
      </c>
      <c r="D92" s="370"/>
      <c r="E92" s="370"/>
      <c r="F92" s="370"/>
      <c r="G92" s="529">
        <f t="shared" si="2"/>
        <v>0</v>
      </c>
      <c r="H92" s="370"/>
      <c r="I92" s="624"/>
      <c r="J92" s="370"/>
    </row>
    <row r="93" spans="1:10" s="565" customFormat="1" x14ac:dyDescent="0.25">
      <c r="A93" s="362">
        <v>8</v>
      </c>
      <c r="B93" s="566">
        <v>43960</v>
      </c>
      <c r="C93" s="362" t="s">
        <v>84</v>
      </c>
      <c r="D93" s="370"/>
      <c r="E93" s="370"/>
      <c r="F93" s="370"/>
      <c r="G93" s="529">
        <f t="shared" si="2"/>
        <v>0</v>
      </c>
      <c r="H93" s="370"/>
      <c r="I93" s="624"/>
      <c r="J93" s="370"/>
    </row>
    <row r="94" spans="1:10" s="565" customFormat="1" x14ac:dyDescent="0.25">
      <c r="A94" s="362">
        <v>9</v>
      </c>
      <c r="B94" s="566">
        <v>43960</v>
      </c>
      <c r="C94" s="362" t="s">
        <v>85</v>
      </c>
      <c r="D94" s="370"/>
      <c r="E94" s="370"/>
      <c r="F94" s="370"/>
      <c r="G94" s="529">
        <f t="shared" si="2"/>
        <v>0</v>
      </c>
      <c r="H94" s="370"/>
      <c r="I94" s="624"/>
      <c r="J94" s="370"/>
    </row>
    <row r="95" spans="1:10" s="565" customFormat="1" x14ac:dyDescent="0.25">
      <c r="A95" s="362">
        <v>10</v>
      </c>
      <c r="B95" s="566">
        <v>43960</v>
      </c>
      <c r="C95" s="362" t="s">
        <v>81</v>
      </c>
      <c r="D95" s="370"/>
      <c r="E95" s="370"/>
      <c r="F95" s="370"/>
      <c r="G95" s="529">
        <f t="shared" si="2"/>
        <v>0</v>
      </c>
      <c r="H95" s="370"/>
      <c r="I95" s="624"/>
      <c r="J95" s="370"/>
    </row>
    <row r="96" spans="1:10" s="565" customFormat="1" x14ac:dyDescent="0.25">
      <c r="A96" s="362">
        <v>11</v>
      </c>
      <c r="B96" s="566">
        <v>43960</v>
      </c>
      <c r="C96" s="362" t="s">
        <v>79</v>
      </c>
      <c r="D96" s="370"/>
      <c r="E96" s="370"/>
      <c r="F96" s="370"/>
      <c r="G96" s="529">
        <f t="shared" si="2"/>
        <v>0</v>
      </c>
      <c r="H96" s="370"/>
      <c r="I96" s="624"/>
      <c r="J96" s="370"/>
    </row>
    <row r="97" spans="1:10" s="565" customFormat="1" x14ac:dyDescent="0.25">
      <c r="A97" s="362">
        <v>12</v>
      </c>
      <c r="B97" s="566">
        <v>43960</v>
      </c>
      <c r="C97" s="362" t="s">
        <v>82</v>
      </c>
      <c r="D97" s="370"/>
      <c r="E97" s="370"/>
      <c r="F97" s="370"/>
      <c r="G97" s="529">
        <f t="shared" si="2"/>
        <v>0</v>
      </c>
      <c r="H97" s="370"/>
      <c r="I97" s="624"/>
      <c r="J97" s="370"/>
    </row>
    <row r="98" spans="1:10" s="565" customFormat="1" x14ac:dyDescent="0.25">
      <c r="A98" s="362">
        <v>13</v>
      </c>
      <c r="B98" s="566">
        <v>43960</v>
      </c>
      <c r="C98" s="362" t="s">
        <v>78</v>
      </c>
      <c r="D98" s="370"/>
      <c r="E98" s="370"/>
      <c r="F98" s="370"/>
      <c r="G98" s="529">
        <f t="shared" si="2"/>
        <v>0</v>
      </c>
      <c r="H98" s="370"/>
      <c r="I98" s="624"/>
      <c r="J98" s="370"/>
    </row>
    <row r="99" spans="1:10" s="565" customFormat="1" x14ac:dyDescent="0.25">
      <c r="A99" s="362">
        <v>14</v>
      </c>
      <c r="B99" s="566">
        <v>43960</v>
      </c>
      <c r="C99" s="362" t="s">
        <v>166</v>
      </c>
      <c r="D99" s="370"/>
      <c r="E99" s="370"/>
      <c r="F99" s="370"/>
      <c r="G99" s="529">
        <f t="shared" si="2"/>
        <v>0</v>
      </c>
      <c r="H99" s="370"/>
      <c r="I99" s="624"/>
      <c r="J99" s="370"/>
    </row>
    <row r="100" spans="1:10" s="565" customFormat="1" x14ac:dyDescent="0.25">
      <c r="A100" s="362">
        <v>15</v>
      </c>
      <c r="B100" s="566">
        <v>43960</v>
      </c>
      <c r="C100" s="362" t="s">
        <v>3435</v>
      </c>
      <c r="D100" s="370"/>
      <c r="E100" s="370"/>
      <c r="F100" s="370"/>
      <c r="G100" s="529">
        <f t="shared" si="2"/>
        <v>0</v>
      </c>
      <c r="H100" s="370"/>
      <c r="I100" s="624"/>
      <c r="J100" s="370"/>
    </row>
    <row r="101" spans="1:10" s="565" customFormat="1" x14ac:dyDescent="0.25">
      <c r="A101" s="530"/>
      <c r="B101" s="530"/>
      <c r="C101" s="530"/>
      <c r="D101" s="530"/>
      <c r="E101" s="530"/>
      <c r="F101" s="530"/>
      <c r="G101" s="533"/>
      <c r="H101" s="530"/>
      <c r="I101" s="623"/>
      <c r="J101" s="530"/>
    </row>
    <row r="102" spans="1:10" x14ac:dyDescent="0.25">
      <c r="A102" s="362">
        <v>1</v>
      </c>
      <c r="B102" s="364">
        <v>43962</v>
      </c>
      <c r="C102" s="362" t="s">
        <v>80</v>
      </c>
      <c r="D102" s="560">
        <v>282568054</v>
      </c>
      <c r="E102" s="560">
        <v>28041100</v>
      </c>
      <c r="F102" s="560">
        <v>311865800</v>
      </c>
      <c r="G102" s="529">
        <f t="shared" si="2"/>
        <v>-1256646</v>
      </c>
      <c r="H102" s="563">
        <v>98000082</v>
      </c>
      <c r="I102" s="622"/>
      <c r="J102" s="362"/>
    </row>
    <row r="103" spans="1:10" x14ac:dyDescent="0.25">
      <c r="A103" s="362">
        <v>2</v>
      </c>
      <c r="B103" s="364">
        <v>43962</v>
      </c>
      <c r="C103" s="362" t="s">
        <v>83</v>
      </c>
      <c r="D103" s="564">
        <v>439217355</v>
      </c>
      <c r="E103" s="564">
        <v>2815581</v>
      </c>
      <c r="F103" s="560">
        <v>442033000</v>
      </c>
      <c r="G103" s="529">
        <f t="shared" si="2"/>
        <v>-64</v>
      </c>
      <c r="H103" s="563">
        <v>11349060</v>
      </c>
      <c r="I103" s="622"/>
      <c r="J103" s="362"/>
    </row>
    <row r="104" spans="1:10" x14ac:dyDescent="0.25">
      <c r="A104" s="362">
        <v>3</v>
      </c>
      <c r="B104" s="364">
        <v>43962</v>
      </c>
      <c r="C104" s="362" t="s">
        <v>88</v>
      </c>
      <c r="D104" s="564">
        <v>326199807</v>
      </c>
      <c r="E104" s="564">
        <v>42719939</v>
      </c>
      <c r="F104" s="560">
        <v>368925900</v>
      </c>
      <c r="G104" s="529">
        <f t="shared" si="2"/>
        <v>-6154</v>
      </c>
      <c r="H104" s="563">
        <v>17501751</v>
      </c>
      <c r="I104" s="622"/>
      <c r="J104" s="362"/>
    </row>
    <row r="105" spans="1:10" x14ac:dyDescent="0.25">
      <c r="A105" s="362">
        <v>4</v>
      </c>
      <c r="B105" s="364">
        <v>43962</v>
      </c>
      <c r="C105" s="362" t="s">
        <v>146</v>
      </c>
      <c r="D105" s="564">
        <v>141412653</v>
      </c>
      <c r="E105" s="564">
        <v>37632906</v>
      </c>
      <c r="F105" s="560">
        <v>255197800</v>
      </c>
      <c r="G105" s="529">
        <f t="shared" si="2"/>
        <v>-76152241</v>
      </c>
      <c r="H105" s="563">
        <v>18031720</v>
      </c>
      <c r="I105" s="622"/>
      <c r="J105" s="362"/>
    </row>
    <row r="106" spans="1:10" x14ac:dyDescent="0.25">
      <c r="A106" s="362">
        <v>5</v>
      </c>
      <c r="B106" s="364">
        <v>43962</v>
      </c>
      <c r="C106" s="362" t="s">
        <v>86</v>
      </c>
      <c r="D106" s="564">
        <v>42611318</v>
      </c>
      <c r="E106" s="564">
        <v>255118582</v>
      </c>
      <c r="F106" s="560">
        <v>316219000</v>
      </c>
      <c r="G106" s="529">
        <f t="shared" si="2"/>
        <v>-18489100</v>
      </c>
      <c r="H106" s="563">
        <v>6928323</v>
      </c>
      <c r="I106" s="622"/>
      <c r="J106" s="362"/>
    </row>
    <row r="107" spans="1:10" s="565" customFormat="1" x14ac:dyDescent="0.25">
      <c r="A107" s="370">
        <v>6</v>
      </c>
      <c r="B107" s="566">
        <v>43962</v>
      </c>
      <c r="C107" s="370" t="s">
        <v>89</v>
      </c>
      <c r="D107" s="575">
        <v>97528763</v>
      </c>
      <c r="E107" s="575">
        <v>2864100</v>
      </c>
      <c r="F107" s="563">
        <v>106521300</v>
      </c>
      <c r="G107" s="576">
        <f t="shared" si="2"/>
        <v>-6128437</v>
      </c>
      <c r="H107" s="563">
        <v>5610595</v>
      </c>
      <c r="I107" s="624"/>
      <c r="J107" s="370"/>
    </row>
    <row r="108" spans="1:10" x14ac:dyDescent="0.25">
      <c r="A108" s="362">
        <v>7</v>
      </c>
      <c r="B108" s="364">
        <v>43962</v>
      </c>
      <c r="C108" s="362" t="s">
        <v>4751</v>
      </c>
      <c r="D108" s="564">
        <v>294922553</v>
      </c>
      <c r="E108" s="564">
        <v>13817447</v>
      </c>
      <c r="F108" s="560">
        <v>308739700</v>
      </c>
      <c r="G108" s="529">
        <f t="shared" si="2"/>
        <v>300</v>
      </c>
      <c r="H108" s="563">
        <v>9658849</v>
      </c>
      <c r="I108" s="622"/>
      <c r="J108" s="362"/>
    </row>
    <row r="109" spans="1:10" x14ac:dyDescent="0.25">
      <c r="A109" s="370">
        <v>8</v>
      </c>
      <c r="B109" s="566">
        <v>43962</v>
      </c>
      <c r="C109" s="370" t="s">
        <v>84</v>
      </c>
      <c r="D109" s="575">
        <v>315058857</v>
      </c>
      <c r="E109" s="575">
        <v>6762854</v>
      </c>
      <c r="F109" s="563">
        <v>330252500</v>
      </c>
      <c r="G109" s="576">
        <f t="shared" si="2"/>
        <v>-8430789</v>
      </c>
      <c r="H109" s="563">
        <v>7579693</v>
      </c>
      <c r="I109" s="622"/>
      <c r="J109" s="362"/>
    </row>
    <row r="110" spans="1:10" x14ac:dyDescent="0.25">
      <c r="A110" s="362">
        <v>9</v>
      </c>
      <c r="B110" s="364">
        <v>43962</v>
      </c>
      <c r="C110" s="362" t="s">
        <v>85</v>
      </c>
      <c r="D110" s="564">
        <v>53124887</v>
      </c>
      <c r="E110" s="564">
        <v>1512613</v>
      </c>
      <c r="F110" s="560">
        <v>54637500</v>
      </c>
      <c r="G110" s="529">
        <f t="shared" si="2"/>
        <v>0</v>
      </c>
      <c r="H110" s="563">
        <v>2817218</v>
      </c>
      <c r="I110" s="622"/>
      <c r="J110" s="362"/>
    </row>
    <row r="111" spans="1:10" x14ac:dyDescent="0.25">
      <c r="A111" s="362">
        <v>10</v>
      </c>
      <c r="B111" s="364">
        <v>43962</v>
      </c>
      <c r="C111" s="362" t="s">
        <v>81</v>
      </c>
      <c r="D111" s="564">
        <v>52748383</v>
      </c>
      <c r="E111" s="564">
        <v>38452558</v>
      </c>
      <c r="F111" s="560">
        <v>93858200</v>
      </c>
      <c r="G111" s="529">
        <f t="shared" si="2"/>
        <v>-2657259</v>
      </c>
      <c r="H111" s="563">
        <v>3094146</v>
      </c>
      <c r="I111" s="622"/>
      <c r="J111" s="362"/>
    </row>
    <row r="112" spans="1:10" x14ac:dyDescent="0.25">
      <c r="A112" s="362">
        <v>11</v>
      </c>
      <c r="B112" s="364">
        <v>43962</v>
      </c>
      <c r="C112" s="362" t="s">
        <v>79</v>
      </c>
      <c r="D112" s="564">
        <v>100670318</v>
      </c>
      <c r="E112" s="564">
        <v>5190200</v>
      </c>
      <c r="F112" s="560">
        <v>105897900</v>
      </c>
      <c r="G112" s="529">
        <f t="shared" si="2"/>
        <v>-37382</v>
      </c>
      <c r="H112" s="563">
        <v>2786998</v>
      </c>
      <c r="I112" s="622"/>
      <c r="J112" s="362"/>
    </row>
    <row r="113" spans="1:10" x14ac:dyDescent="0.25">
      <c r="A113" s="362">
        <v>12</v>
      </c>
      <c r="B113" s="364">
        <v>43962</v>
      </c>
      <c r="C113" s="362" t="s">
        <v>82</v>
      </c>
      <c r="D113" s="564">
        <v>38653610</v>
      </c>
      <c r="E113" s="564">
        <v>13684991</v>
      </c>
      <c r="F113" s="560">
        <v>52338600</v>
      </c>
      <c r="G113" s="529">
        <f t="shared" si="2"/>
        <v>1</v>
      </c>
      <c r="H113" s="563">
        <v>3295271</v>
      </c>
      <c r="I113" s="622"/>
      <c r="J113" s="362"/>
    </row>
    <row r="114" spans="1:10" x14ac:dyDescent="0.25">
      <c r="A114" s="370">
        <v>13</v>
      </c>
      <c r="B114" s="566">
        <v>43962</v>
      </c>
      <c r="C114" s="370" t="s">
        <v>78</v>
      </c>
      <c r="D114" s="575">
        <v>212500935</v>
      </c>
      <c r="E114" s="575">
        <v>3579365</v>
      </c>
      <c r="F114" s="563">
        <v>216080300</v>
      </c>
      <c r="G114" s="576">
        <f t="shared" si="2"/>
        <v>0</v>
      </c>
      <c r="H114" s="563">
        <v>6587150</v>
      </c>
      <c r="I114" s="622"/>
      <c r="J114" s="362"/>
    </row>
    <row r="115" spans="1:10" x14ac:dyDescent="0.25">
      <c r="A115" s="362">
        <v>14</v>
      </c>
      <c r="B115" s="364">
        <v>43962</v>
      </c>
      <c r="C115" s="362" t="s">
        <v>166</v>
      </c>
      <c r="D115" s="564">
        <v>65250823</v>
      </c>
      <c r="E115" s="564"/>
      <c r="F115" s="560">
        <v>65250900</v>
      </c>
      <c r="G115" s="529">
        <f t="shared" si="2"/>
        <v>-77</v>
      </c>
      <c r="H115" s="560"/>
      <c r="I115" s="622"/>
      <c r="J115" s="362"/>
    </row>
    <row r="116" spans="1:10" x14ac:dyDescent="0.25">
      <c r="A116" s="362">
        <v>15</v>
      </c>
      <c r="B116" s="364">
        <v>43962</v>
      </c>
      <c r="C116" s="362" t="s">
        <v>3435</v>
      </c>
      <c r="D116" s="560"/>
      <c r="E116" s="560"/>
      <c r="F116" s="560"/>
      <c r="G116" s="529">
        <f t="shared" si="2"/>
        <v>0</v>
      </c>
      <c r="H116" s="560"/>
      <c r="I116" s="622"/>
      <c r="J116" s="362"/>
    </row>
    <row r="117" spans="1:10" x14ac:dyDescent="0.25">
      <c r="A117" s="530"/>
      <c r="B117" s="530"/>
      <c r="C117" s="530"/>
      <c r="D117" s="562"/>
      <c r="E117" s="562"/>
      <c r="F117" s="562"/>
      <c r="G117" s="533">
        <f t="shared" si="2"/>
        <v>0</v>
      </c>
      <c r="H117" s="562"/>
      <c r="I117" s="623"/>
      <c r="J117" s="530"/>
    </row>
    <row r="118" spans="1:10" x14ac:dyDescent="0.25">
      <c r="A118" s="362">
        <v>1</v>
      </c>
      <c r="B118" s="364">
        <v>43963</v>
      </c>
      <c r="C118" s="362" t="s">
        <v>80</v>
      </c>
      <c r="D118" s="560">
        <v>321466246</v>
      </c>
      <c r="E118" s="560">
        <v>16883306</v>
      </c>
      <c r="F118" s="560">
        <v>339815600</v>
      </c>
      <c r="G118" s="560">
        <f t="shared" si="2"/>
        <v>-1466048</v>
      </c>
      <c r="H118" s="560">
        <v>34318083</v>
      </c>
      <c r="I118" s="622"/>
      <c r="J118" s="362"/>
    </row>
    <row r="119" spans="1:10" x14ac:dyDescent="0.25">
      <c r="A119" s="362">
        <v>2</v>
      </c>
      <c r="B119" s="364">
        <v>43963</v>
      </c>
      <c r="C119" s="362" t="s">
        <v>83</v>
      </c>
      <c r="D119" s="560">
        <v>336409862</v>
      </c>
      <c r="E119" s="560">
        <v>27264558</v>
      </c>
      <c r="F119" s="560">
        <v>363674500</v>
      </c>
      <c r="G119" s="560">
        <f t="shared" si="2"/>
        <v>-80</v>
      </c>
      <c r="H119" s="560">
        <v>7974582</v>
      </c>
      <c r="I119" s="625"/>
      <c r="J119" s="362"/>
    </row>
    <row r="120" spans="1:10" x14ac:dyDescent="0.25">
      <c r="A120" s="362">
        <v>3</v>
      </c>
      <c r="B120" s="364">
        <v>43963</v>
      </c>
      <c r="C120" s="362" t="s">
        <v>88</v>
      </c>
      <c r="D120" s="560">
        <v>368859354</v>
      </c>
      <c r="E120" s="560">
        <v>12935715</v>
      </c>
      <c r="F120" s="560">
        <v>381795700</v>
      </c>
      <c r="G120" s="560">
        <f t="shared" si="2"/>
        <v>-631</v>
      </c>
      <c r="H120" s="560">
        <v>17087751</v>
      </c>
      <c r="I120" s="622"/>
      <c r="J120" s="362"/>
    </row>
    <row r="121" spans="1:10" x14ac:dyDescent="0.25">
      <c r="A121" s="362">
        <v>4</v>
      </c>
      <c r="B121" s="364">
        <v>43963</v>
      </c>
      <c r="C121" s="362" t="s">
        <v>146</v>
      </c>
      <c r="D121" s="560">
        <v>218489608</v>
      </c>
      <c r="E121" s="560">
        <v>4571528</v>
      </c>
      <c r="F121" s="560">
        <v>275819200</v>
      </c>
      <c r="G121" s="560">
        <f t="shared" si="2"/>
        <v>-52758064</v>
      </c>
      <c r="H121" s="560">
        <v>17530920</v>
      </c>
      <c r="I121" s="622"/>
      <c r="J121" s="362"/>
    </row>
    <row r="122" spans="1:10" x14ac:dyDescent="0.25">
      <c r="A122" s="362">
        <v>5</v>
      </c>
      <c r="B122" s="364">
        <v>43963</v>
      </c>
      <c r="C122" s="362" t="s">
        <v>86</v>
      </c>
      <c r="D122" s="560">
        <v>42293531</v>
      </c>
      <c r="E122" s="560">
        <v>73979058</v>
      </c>
      <c r="F122" s="560">
        <v>122667000</v>
      </c>
      <c r="G122" s="560">
        <f t="shared" si="2"/>
        <v>-6394411</v>
      </c>
      <c r="H122" s="560">
        <v>6862823</v>
      </c>
      <c r="I122" s="622"/>
      <c r="J122" s="362"/>
    </row>
    <row r="123" spans="1:10" x14ac:dyDescent="0.25">
      <c r="A123" s="362">
        <v>6</v>
      </c>
      <c r="B123" s="364">
        <v>43963</v>
      </c>
      <c r="C123" s="362" t="s">
        <v>89</v>
      </c>
      <c r="D123" s="560">
        <v>118953686</v>
      </c>
      <c r="E123" s="560">
        <v>9649500</v>
      </c>
      <c r="F123" s="560">
        <v>128603200</v>
      </c>
      <c r="G123" s="560">
        <f t="shared" si="2"/>
        <v>-14</v>
      </c>
      <c r="H123" s="560">
        <v>15964163</v>
      </c>
      <c r="I123" s="622"/>
      <c r="J123" s="362"/>
    </row>
    <row r="124" spans="1:10" x14ac:dyDescent="0.25">
      <c r="A124" s="362">
        <v>7</v>
      </c>
      <c r="B124" s="364">
        <v>43963</v>
      </c>
      <c r="C124" s="362" t="s">
        <v>4751</v>
      </c>
      <c r="D124" s="560">
        <v>199713913</v>
      </c>
      <c r="E124" s="560">
        <v>19440987</v>
      </c>
      <c r="F124" s="560">
        <v>219154900</v>
      </c>
      <c r="G124" s="560">
        <f t="shared" si="2"/>
        <v>0</v>
      </c>
      <c r="H124" s="560">
        <v>9634849</v>
      </c>
      <c r="I124" s="622"/>
      <c r="J124" s="362"/>
    </row>
    <row r="125" spans="1:10" x14ac:dyDescent="0.25">
      <c r="A125" s="362">
        <v>8</v>
      </c>
      <c r="B125" s="364">
        <v>43963</v>
      </c>
      <c r="C125" s="362" t="s">
        <v>84</v>
      </c>
      <c r="D125" s="560">
        <v>221954768</v>
      </c>
      <c r="E125" s="560">
        <v>18416164</v>
      </c>
      <c r="F125" s="560">
        <v>242856300</v>
      </c>
      <c r="G125" s="560">
        <f t="shared" si="2"/>
        <v>-2485368</v>
      </c>
      <c r="H125" s="560">
        <v>25215716</v>
      </c>
      <c r="I125" s="622"/>
      <c r="J125" s="362"/>
    </row>
    <row r="126" spans="1:10" x14ac:dyDescent="0.25">
      <c r="A126" s="362">
        <v>9</v>
      </c>
      <c r="B126" s="364">
        <v>43963</v>
      </c>
      <c r="C126" s="362" t="s">
        <v>85</v>
      </c>
      <c r="D126" s="560">
        <v>21122593</v>
      </c>
      <c r="E126" s="560">
        <v>3575107</v>
      </c>
      <c r="F126" s="560">
        <v>24697700</v>
      </c>
      <c r="G126" s="560">
        <f t="shared" si="2"/>
        <v>0</v>
      </c>
      <c r="H126" s="560">
        <v>1977005</v>
      </c>
      <c r="I126" s="622"/>
      <c r="J126" s="362"/>
    </row>
    <row r="127" spans="1:10" x14ac:dyDescent="0.25">
      <c r="A127" s="362">
        <v>10</v>
      </c>
      <c r="B127" s="364">
        <v>43963</v>
      </c>
      <c r="C127" s="362" t="s">
        <v>81</v>
      </c>
      <c r="D127" s="560">
        <v>38818524</v>
      </c>
      <c r="E127" s="560">
        <v>16752592</v>
      </c>
      <c r="F127" s="560">
        <v>56658900</v>
      </c>
      <c r="G127" s="560">
        <f t="shared" si="2"/>
        <v>-1087784</v>
      </c>
      <c r="H127" s="560">
        <v>17978396</v>
      </c>
      <c r="I127" s="622"/>
      <c r="J127" s="362"/>
    </row>
    <row r="128" spans="1:10" x14ac:dyDescent="0.25">
      <c r="A128" s="362">
        <v>11</v>
      </c>
      <c r="B128" s="364">
        <v>43963</v>
      </c>
      <c r="C128" s="362" t="s">
        <v>79</v>
      </c>
      <c r="D128" s="560">
        <v>37989466</v>
      </c>
      <c r="E128" s="560">
        <v>7853350</v>
      </c>
      <c r="F128" s="560">
        <v>45842600</v>
      </c>
      <c r="G128" s="560">
        <f t="shared" si="2"/>
        <v>216</v>
      </c>
      <c r="H128" s="560">
        <v>4635224</v>
      </c>
      <c r="I128" s="622"/>
      <c r="J128" s="362"/>
    </row>
    <row r="129" spans="1:10" x14ac:dyDescent="0.25">
      <c r="A129" s="362">
        <v>12</v>
      </c>
      <c r="B129" s="364">
        <v>43963</v>
      </c>
      <c r="C129" s="362" t="s">
        <v>82</v>
      </c>
      <c r="D129" s="560">
        <v>41046795</v>
      </c>
      <c r="E129" s="560">
        <v>741000</v>
      </c>
      <c r="F129" s="560">
        <v>41787800</v>
      </c>
      <c r="G129" s="560">
        <f t="shared" si="2"/>
        <v>-5</v>
      </c>
      <c r="H129" s="560">
        <v>7998077</v>
      </c>
      <c r="I129" s="622"/>
      <c r="J129" s="362"/>
    </row>
    <row r="130" spans="1:10" x14ac:dyDescent="0.25">
      <c r="A130" s="362">
        <v>13</v>
      </c>
      <c r="B130" s="364">
        <v>43963</v>
      </c>
      <c r="C130" s="362" t="s">
        <v>78</v>
      </c>
      <c r="D130" s="560">
        <v>112408868</v>
      </c>
      <c r="E130" s="560">
        <v>3885632</v>
      </c>
      <c r="F130" s="560">
        <v>116294500</v>
      </c>
      <c r="G130" s="560">
        <f t="shared" si="2"/>
        <v>0</v>
      </c>
      <c r="H130" s="560">
        <v>14906195</v>
      </c>
      <c r="I130" s="622"/>
      <c r="J130" s="362"/>
    </row>
    <row r="131" spans="1:10" x14ac:dyDescent="0.25">
      <c r="A131" s="362">
        <v>14</v>
      </c>
      <c r="B131" s="364">
        <v>43963</v>
      </c>
      <c r="C131" s="362" t="s">
        <v>166</v>
      </c>
      <c r="D131" s="560">
        <v>119836139</v>
      </c>
      <c r="E131" s="560"/>
      <c r="F131" s="560">
        <v>119836200</v>
      </c>
      <c r="G131" s="560">
        <f t="shared" si="2"/>
        <v>-61</v>
      </c>
      <c r="H131" s="560"/>
      <c r="I131" s="622"/>
      <c r="J131" s="362"/>
    </row>
    <row r="132" spans="1:10" x14ac:dyDescent="0.25">
      <c r="A132" s="362">
        <v>15</v>
      </c>
      <c r="B132" s="364">
        <v>43963</v>
      </c>
      <c r="C132" s="362" t="s">
        <v>3435</v>
      </c>
      <c r="D132" s="560"/>
      <c r="E132" s="560"/>
      <c r="F132" s="560"/>
      <c r="G132" s="560">
        <f t="shared" si="2"/>
        <v>0</v>
      </c>
      <c r="H132" s="560"/>
      <c r="I132" s="622"/>
      <c r="J132" s="362"/>
    </row>
    <row r="133" spans="1:10" x14ac:dyDescent="0.25">
      <c r="A133" s="530"/>
      <c r="B133" s="530"/>
      <c r="C133" s="530"/>
      <c r="D133" s="530"/>
      <c r="E133" s="530"/>
      <c r="F133" s="530"/>
      <c r="G133" s="562">
        <f t="shared" si="2"/>
        <v>0</v>
      </c>
      <c r="H133" s="530"/>
      <c r="I133" s="623"/>
      <c r="J133" s="530"/>
    </row>
    <row r="134" spans="1:10" x14ac:dyDescent="0.25">
      <c r="A134" s="362">
        <v>1</v>
      </c>
      <c r="B134" s="364">
        <v>43964</v>
      </c>
      <c r="C134" s="362" t="s">
        <v>80</v>
      </c>
      <c r="D134" s="560">
        <v>224765962</v>
      </c>
      <c r="E134" s="560">
        <v>38241969</v>
      </c>
      <c r="F134" s="560">
        <v>263007700</v>
      </c>
      <c r="G134" s="560">
        <f t="shared" si="2"/>
        <v>231</v>
      </c>
      <c r="H134" s="560">
        <v>34318083</v>
      </c>
      <c r="I134" s="622"/>
      <c r="J134" s="362"/>
    </row>
    <row r="135" spans="1:10" x14ac:dyDescent="0.25">
      <c r="A135" s="362">
        <v>2</v>
      </c>
      <c r="B135" s="364">
        <v>43964</v>
      </c>
      <c r="C135" s="362" t="s">
        <v>83</v>
      </c>
      <c r="D135" s="560">
        <v>186093325</v>
      </c>
      <c r="E135" s="560">
        <v>44737723</v>
      </c>
      <c r="F135" s="560">
        <v>230831100</v>
      </c>
      <c r="G135" s="560">
        <f t="shared" ref="G135:G198" si="3">D135+E135-F135</f>
        <v>-52</v>
      </c>
      <c r="H135" s="560">
        <v>6429982</v>
      </c>
      <c r="I135" s="622"/>
      <c r="J135" s="362"/>
    </row>
    <row r="136" spans="1:10" x14ac:dyDescent="0.25">
      <c r="A136" s="362">
        <v>3</v>
      </c>
      <c r="B136" s="364">
        <v>43964</v>
      </c>
      <c r="C136" s="362" t="s">
        <v>88</v>
      </c>
      <c r="D136" s="560">
        <v>295711547</v>
      </c>
      <c r="E136" s="560">
        <v>11756428</v>
      </c>
      <c r="F136" s="560">
        <v>307455700</v>
      </c>
      <c r="G136" s="560">
        <f t="shared" si="3"/>
        <v>12275</v>
      </c>
      <c r="H136" s="560">
        <v>14835551</v>
      </c>
      <c r="I136" s="622"/>
      <c r="J136" s="362"/>
    </row>
    <row r="137" spans="1:10" x14ac:dyDescent="0.25">
      <c r="A137" s="362">
        <v>4</v>
      </c>
      <c r="B137" s="364">
        <v>43964</v>
      </c>
      <c r="C137" s="362" t="s">
        <v>146</v>
      </c>
      <c r="D137" s="560">
        <v>163763373</v>
      </c>
      <c r="E137" s="560">
        <v>15428666</v>
      </c>
      <c r="F137" s="560">
        <v>179192000</v>
      </c>
      <c r="G137" s="560">
        <f t="shared" si="3"/>
        <v>39</v>
      </c>
      <c r="H137" s="560">
        <v>15464920</v>
      </c>
      <c r="I137" s="622"/>
      <c r="J137" s="362"/>
    </row>
    <row r="138" spans="1:10" x14ac:dyDescent="0.25">
      <c r="A138" s="362">
        <v>5</v>
      </c>
      <c r="B138" s="364">
        <v>43964</v>
      </c>
      <c r="C138" s="362" t="s">
        <v>86</v>
      </c>
      <c r="D138" s="560">
        <v>80325567</v>
      </c>
      <c r="E138" s="560">
        <v>49977980</v>
      </c>
      <c r="F138" s="560">
        <v>130303400</v>
      </c>
      <c r="G138" s="560">
        <f t="shared" si="3"/>
        <v>147</v>
      </c>
      <c r="H138" s="560">
        <v>5202823</v>
      </c>
      <c r="I138" s="622"/>
      <c r="J138" s="362"/>
    </row>
    <row r="139" spans="1:10" x14ac:dyDescent="0.25">
      <c r="A139" s="362">
        <v>6</v>
      </c>
      <c r="B139" s="364">
        <v>43964</v>
      </c>
      <c r="C139" s="362" t="s">
        <v>89</v>
      </c>
      <c r="D139" s="560">
        <v>116868676</v>
      </c>
      <c r="E139" s="560">
        <v>23350682</v>
      </c>
      <c r="F139" s="560">
        <v>140219400</v>
      </c>
      <c r="G139" s="560">
        <f t="shared" si="3"/>
        <v>-42</v>
      </c>
      <c r="H139" s="560">
        <v>13199663</v>
      </c>
      <c r="I139" s="622"/>
      <c r="J139" s="362"/>
    </row>
    <row r="140" spans="1:10" x14ac:dyDescent="0.25">
      <c r="A140" s="362">
        <v>7</v>
      </c>
      <c r="B140" s="364">
        <v>43964</v>
      </c>
      <c r="C140" s="362" t="s">
        <v>4751</v>
      </c>
      <c r="D140" s="560">
        <v>160341682</v>
      </c>
      <c r="E140" s="560">
        <v>31545118</v>
      </c>
      <c r="F140" s="560">
        <v>191886800</v>
      </c>
      <c r="G140" s="560">
        <f t="shared" si="3"/>
        <v>0</v>
      </c>
      <c r="H140" s="560">
        <v>20726833</v>
      </c>
      <c r="I140" s="622"/>
      <c r="J140" s="362"/>
    </row>
    <row r="141" spans="1:10" x14ac:dyDescent="0.25">
      <c r="A141" s="362">
        <v>8</v>
      </c>
      <c r="B141" s="364">
        <v>43964</v>
      </c>
      <c r="C141" s="362" t="s">
        <v>84</v>
      </c>
      <c r="D141" s="560">
        <v>290318692</v>
      </c>
      <c r="E141" s="560">
        <v>16001680</v>
      </c>
      <c r="F141" s="560">
        <v>306320400</v>
      </c>
      <c r="G141" s="560">
        <f t="shared" si="3"/>
        <v>-28</v>
      </c>
      <c r="H141" s="560">
        <v>25215716</v>
      </c>
      <c r="I141" s="622"/>
      <c r="J141" s="362"/>
    </row>
    <row r="142" spans="1:10" x14ac:dyDescent="0.25">
      <c r="A142" s="362">
        <v>9</v>
      </c>
      <c r="B142" s="364">
        <v>43964</v>
      </c>
      <c r="C142" s="362" t="s">
        <v>85</v>
      </c>
      <c r="D142" s="560">
        <v>45588264</v>
      </c>
      <c r="E142" s="560">
        <v>2135036</v>
      </c>
      <c r="F142" s="560">
        <v>47723300</v>
      </c>
      <c r="G142" s="560">
        <f t="shared" si="3"/>
        <v>0</v>
      </c>
      <c r="H142" s="560">
        <v>5025210</v>
      </c>
      <c r="I142" s="622"/>
      <c r="J142" s="362"/>
    </row>
    <row r="143" spans="1:10" x14ac:dyDescent="0.25">
      <c r="A143" s="362">
        <v>10</v>
      </c>
      <c r="B143" s="364">
        <v>43964</v>
      </c>
      <c r="C143" s="362" t="s">
        <v>81</v>
      </c>
      <c r="D143" s="560">
        <v>88783826</v>
      </c>
      <c r="E143" s="560">
        <v>6737669</v>
      </c>
      <c r="F143" s="560">
        <v>96213700</v>
      </c>
      <c r="G143" s="560">
        <f t="shared" si="3"/>
        <v>-692205</v>
      </c>
      <c r="H143" s="560">
        <v>15375294</v>
      </c>
      <c r="I143" s="622"/>
      <c r="J143" s="362"/>
    </row>
    <row r="144" spans="1:10" x14ac:dyDescent="0.25">
      <c r="A144" s="362">
        <v>11</v>
      </c>
      <c r="B144" s="364">
        <v>43964</v>
      </c>
      <c r="C144" s="362" t="s">
        <v>79</v>
      </c>
      <c r="D144" s="560">
        <v>118101858</v>
      </c>
      <c r="E144" s="560">
        <v>2831028</v>
      </c>
      <c r="F144" s="560">
        <v>120932900</v>
      </c>
      <c r="G144" s="560">
        <f t="shared" si="3"/>
        <v>-14</v>
      </c>
      <c r="H144" s="560">
        <v>3741262</v>
      </c>
      <c r="I144" s="622"/>
      <c r="J144" s="362"/>
    </row>
    <row r="145" spans="1:10" x14ac:dyDescent="0.25">
      <c r="A145" s="362">
        <v>12</v>
      </c>
      <c r="B145" s="364">
        <v>43964</v>
      </c>
      <c r="C145" s="362" t="s">
        <v>82</v>
      </c>
      <c r="D145" s="560">
        <v>88923394</v>
      </c>
      <c r="E145" s="560">
        <v>776192</v>
      </c>
      <c r="F145" s="560">
        <v>89699600</v>
      </c>
      <c r="G145" s="560">
        <f t="shared" si="3"/>
        <v>-14</v>
      </c>
      <c r="H145" s="560">
        <v>7998077</v>
      </c>
      <c r="I145" s="622"/>
      <c r="J145" s="362"/>
    </row>
    <row r="146" spans="1:10" x14ac:dyDescent="0.25">
      <c r="A146" s="362">
        <v>13</v>
      </c>
      <c r="B146" s="364">
        <v>43964</v>
      </c>
      <c r="C146" s="362" t="s">
        <v>78</v>
      </c>
      <c r="D146" s="560">
        <v>63670127</v>
      </c>
      <c r="E146" s="560">
        <v>8971173</v>
      </c>
      <c r="F146" s="560">
        <v>72641300</v>
      </c>
      <c r="G146" s="560">
        <f t="shared" si="3"/>
        <v>0</v>
      </c>
      <c r="H146" s="560">
        <v>14574695</v>
      </c>
      <c r="I146" s="622"/>
      <c r="J146" s="362"/>
    </row>
    <row r="147" spans="1:10" x14ac:dyDescent="0.25">
      <c r="A147" s="362">
        <v>14</v>
      </c>
      <c r="B147" s="364">
        <v>43964</v>
      </c>
      <c r="C147" s="362" t="s">
        <v>166</v>
      </c>
      <c r="D147" s="560">
        <v>63187946</v>
      </c>
      <c r="E147" s="560"/>
      <c r="F147" s="560">
        <v>63188000</v>
      </c>
      <c r="G147" s="560">
        <f t="shared" si="3"/>
        <v>-54</v>
      </c>
      <c r="H147" s="560"/>
      <c r="I147" s="622"/>
      <c r="J147" s="362"/>
    </row>
    <row r="148" spans="1:10" x14ac:dyDescent="0.25">
      <c r="A148" s="362">
        <v>15</v>
      </c>
      <c r="B148" s="364">
        <v>43964</v>
      </c>
      <c r="C148" s="362" t="s">
        <v>3435</v>
      </c>
      <c r="D148" s="560"/>
      <c r="E148" s="560"/>
      <c r="F148" s="560"/>
      <c r="G148" s="560">
        <f t="shared" si="3"/>
        <v>0</v>
      </c>
      <c r="H148" s="560"/>
      <c r="I148" s="622"/>
      <c r="J148" s="362"/>
    </row>
    <row r="149" spans="1:10" x14ac:dyDescent="0.25">
      <c r="A149" s="530"/>
      <c r="B149" s="530"/>
      <c r="C149" s="530"/>
      <c r="D149" s="530"/>
      <c r="E149" s="530"/>
      <c r="F149" s="530"/>
      <c r="G149" s="562">
        <f t="shared" si="3"/>
        <v>0</v>
      </c>
      <c r="H149" s="530"/>
      <c r="I149" s="623"/>
      <c r="J149" s="530"/>
    </row>
    <row r="150" spans="1:10" x14ac:dyDescent="0.25">
      <c r="A150" s="362">
        <v>1</v>
      </c>
      <c r="B150" s="566">
        <v>43965</v>
      </c>
      <c r="C150" s="362" t="s">
        <v>80</v>
      </c>
      <c r="D150" s="563">
        <v>345251537</v>
      </c>
      <c r="E150" s="563">
        <v>2379728</v>
      </c>
      <c r="F150" s="563">
        <v>347631400</v>
      </c>
      <c r="G150" s="560">
        <f t="shared" si="3"/>
        <v>-135</v>
      </c>
      <c r="H150" s="563">
        <v>3761177</v>
      </c>
      <c r="I150" s="622"/>
      <c r="J150" s="362"/>
    </row>
    <row r="151" spans="1:10" x14ac:dyDescent="0.25">
      <c r="A151" s="362">
        <v>2</v>
      </c>
      <c r="B151" s="566">
        <v>43965</v>
      </c>
      <c r="C151" s="362" t="s">
        <v>83</v>
      </c>
      <c r="D151" s="560">
        <v>187169667</v>
      </c>
      <c r="E151" s="560">
        <v>10776251</v>
      </c>
      <c r="F151" s="560">
        <v>197946000</v>
      </c>
      <c r="G151" s="560">
        <f t="shared" si="3"/>
        <v>-82</v>
      </c>
      <c r="H151" s="560">
        <v>4690751</v>
      </c>
      <c r="I151" s="622"/>
      <c r="J151" s="362"/>
    </row>
    <row r="152" spans="1:10" x14ac:dyDescent="0.25">
      <c r="A152" s="362">
        <v>3</v>
      </c>
      <c r="B152" s="566">
        <v>43965</v>
      </c>
      <c r="C152" s="362" t="s">
        <v>88</v>
      </c>
      <c r="D152" s="560">
        <v>207372252</v>
      </c>
      <c r="E152" s="560">
        <v>4480406</v>
      </c>
      <c r="F152" s="560">
        <v>211852700</v>
      </c>
      <c r="G152" s="560">
        <f t="shared" si="3"/>
        <v>-42</v>
      </c>
      <c r="H152" s="560">
        <v>5279846</v>
      </c>
      <c r="I152" s="622"/>
      <c r="J152" s="362"/>
    </row>
    <row r="153" spans="1:10" x14ac:dyDescent="0.25">
      <c r="A153" s="362">
        <v>4</v>
      </c>
      <c r="B153" s="566">
        <v>43965</v>
      </c>
      <c r="C153" s="362" t="s">
        <v>146</v>
      </c>
      <c r="D153" s="560">
        <v>82057735</v>
      </c>
      <c r="E153" s="560">
        <v>160106849</v>
      </c>
      <c r="F153" s="560">
        <v>242164500</v>
      </c>
      <c r="G153" s="560">
        <f t="shared" si="3"/>
        <v>84</v>
      </c>
      <c r="H153" s="560">
        <v>6690905</v>
      </c>
      <c r="I153" s="622"/>
      <c r="J153" s="362"/>
    </row>
    <row r="154" spans="1:10" x14ac:dyDescent="0.25">
      <c r="A154" s="362">
        <v>5</v>
      </c>
      <c r="B154" s="566">
        <v>43965</v>
      </c>
      <c r="C154" s="362" t="s">
        <v>86</v>
      </c>
      <c r="D154" s="560">
        <v>116913715</v>
      </c>
      <c r="E154" s="560">
        <v>48607241</v>
      </c>
      <c r="F154" s="560">
        <v>165141600</v>
      </c>
      <c r="G154" s="560">
        <f t="shared" si="3"/>
        <v>379356</v>
      </c>
      <c r="H154" s="560">
        <v>2844058</v>
      </c>
      <c r="I154" s="622"/>
      <c r="J154" s="362"/>
    </row>
    <row r="155" spans="1:10" x14ac:dyDescent="0.25">
      <c r="A155" s="362">
        <v>6</v>
      </c>
      <c r="B155" s="566">
        <v>43965</v>
      </c>
      <c r="C155" s="362" t="s">
        <v>89</v>
      </c>
      <c r="D155" s="560">
        <v>194368387</v>
      </c>
      <c r="E155" s="560">
        <v>9516064</v>
      </c>
      <c r="F155" s="560">
        <v>203885000</v>
      </c>
      <c r="G155" s="560">
        <f t="shared" si="3"/>
        <v>-549</v>
      </c>
      <c r="H155" s="560">
        <v>6820012</v>
      </c>
      <c r="I155" s="622"/>
      <c r="J155" s="362"/>
    </row>
    <row r="156" spans="1:10" x14ac:dyDescent="0.25">
      <c r="A156" s="362">
        <v>7</v>
      </c>
      <c r="B156" s="566">
        <v>43965</v>
      </c>
      <c r="C156" s="362" t="s">
        <v>4751</v>
      </c>
      <c r="D156" s="560">
        <v>166921856</v>
      </c>
      <c r="E156" s="560">
        <v>9636944</v>
      </c>
      <c r="F156" s="560">
        <v>176558800</v>
      </c>
      <c r="G156" s="560">
        <f t="shared" si="3"/>
        <v>0</v>
      </c>
      <c r="H156" s="560">
        <v>12406058</v>
      </c>
      <c r="I156" s="622"/>
      <c r="J156" s="362"/>
    </row>
    <row r="157" spans="1:10" x14ac:dyDescent="0.25">
      <c r="A157" s="362">
        <v>8</v>
      </c>
      <c r="B157" s="566">
        <v>43965</v>
      </c>
      <c r="C157" s="362" t="s">
        <v>84</v>
      </c>
      <c r="D157" s="560">
        <v>189356923</v>
      </c>
      <c r="E157" s="560">
        <v>30149642</v>
      </c>
      <c r="F157" s="560">
        <v>219505700</v>
      </c>
      <c r="G157" s="560">
        <f t="shared" si="3"/>
        <v>865</v>
      </c>
      <c r="H157" s="560">
        <v>7579694</v>
      </c>
      <c r="I157" s="622"/>
      <c r="J157" s="362"/>
    </row>
    <row r="158" spans="1:10" x14ac:dyDescent="0.25">
      <c r="A158" s="362">
        <v>9</v>
      </c>
      <c r="B158" s="566">
        <v>43965</v>
      </c>
      <c r="C158" s="362" t="s">
        <v>85</v>
      </c>
      <c r="D158" s="560">
        <v>32305316</v>
      </c>
      <c r="E158" s="560">
        <v>2545484</v>
      </c>
      <c r="F158" s="560">
        <v>34850800</v>
      </c>
      <c r="G158" s="560">
        <f t="shared" si="3"/>
        <v>0</v>
      </c>
      <c r="H158" s="560">
        <v>2965355</v>
      </c>
      <c r="I158" s="622"/>
      <c r="J158" s="362"/>
    </row>
    <row r="159" spans="1:10" x14ac:dyDescent="0.25">
      <c r="A159" s="362">
        <v>10</v>
      </c>
      <c r="B159" s="566">
        <v>43965</v>
      </c>
      <c r="C159" s="362" t="s">
        <v>81</v>
      </c>
      <c r="D159" s="560">
        <v>215301113</v>
      </c>
      <c r="E159" s="560">
        <v>65617457</v>
      </c>
      <c r="F159" s="560">
        <v>283692700</v>
      </c>
      <c r="G159" s="560">
        <f t="shared" si="3"/>
        <v>-2774130</v>
      </c>
      <c r="H159" s="560">
        <v>3990915</v>
      </c>
      <c r="I159" s="622"/>
      <c r="J159" s="362"/>
    </row>
    <row r="160" spans="1:10" x14ac:dyDescent="0.25">
      <c r="A160" s="362">
        <v>11</v>
      </c>
      <c r="B160" s="566">
        <v>43965</v>
      </c>
      <c r="C160" s="362" t="s">
        <v>79</v>
      </c>
      <c r="D160" s="560">
        <v>72632482</v>
      </c>
      <c r="E160" s="560">
        <v>1862836</v>
      </c>
      <c r="F160" s="560">
        <v>74495300</v>
      </c>
      <c r="G160" s="560">
        <f t="shared" si="3"/>
        <v>18</v>
      </c>
      <c r="H160" s="560">
        <v>1658012</v>
      </c>
      <c r="I160" s="622"/>
      <c r="J160" s="362"/>
    </row>
    <row r="161" spans="1:10" x14ac:dyDescent="0.25">
      <c r="A161" s="362">
        <v>12</v>
      </c>
      <c r="B161" s="566">
        <v>43965</v>
      </c>
      <c r="C161" s="362" t="s">
        <v>82</v>
      </c>
      <c r="D161" s="560">
        <v>122279319</v>
      </c>
      <c r="E161" s="560"/>
      <c r="F161" s="560">
        <v>122279300</v>
      </c>
      <c r="G161" s="560">
        <f t="shared" si="3"/>
        <v>19</v>
      </c>
      <c r="H161" s="560">
        <v>2960177</v>
      </c>
      <c r="I161" s="622"/>
      <c r="J161" s="362"/>
    </row>
    <row r="162" spans="1:10" x14ac:dyDescent="0.25">
      <c r="A162" s="362">
        <v>13</v>
      </c>
      <c r="B162" s="566">
        <v>43965</v>
      </c>
      <c r="C162" s="362" t="s">
        <v>78</v>
      </c>
      <c r="D162" s="560">
        <v>92525014</v>
      </c>
      <c r="E162" s="560">
        <v>2050186</v>
      </c>
      <c r="F162" s="560">
        <v>94575200</v>
      </c>
      <c r="G162" s="560">
        <f t="shared" si="3"/>
        <v>0</v>
      </c>
      <c r="H162" s="560">
        <v>9731812</v>
      </c>
      <c r="I162" s="622"/>
      <c r="J162" s="362"/>
    </row>
    <row r="163" spans="1:10" x14ac:dyDescent="0.25">
      <c r="A163" s="362">
        <v>14</v>
      </c>
      <c r="B163" s="566">
        <v>43965</v>
      </c>
      <c r="C163" s="362" t="s">
        <v>166</v>
      </c>
      <c r="D163" s="560">
        <v>46515160</v>
      </c>
      <c r="E163" s="560"/>
      <c r="F163" s="560">
        <v>46515200</v>
      </c>
      <c r="G163" s="560">
        <f t="shared" si="3"/>
        <v>-40</v>
      </c>
      <c r="H163" s="560"/>
      <c r="I163" s="622"/>
      <c r="J163" s="362"/>
    </row>
    <row r="164" spans="1:10" x14ac:dyDescent="0.25">
      <c r="A164" s="362">
        <v>15</v>
      </c>
      <c r="B164" s="566">
        <v>43965</v>
      </c>
      <c r="C164" s="362" t="s">
        <v>3435</v>
      </c>
      <c r="D164" s="560"/>
      <c r="E164" s="560"/>
      <c r="F164" s="560"/>
      <c r="G164" s="560">
        <f t="shared" si="3"/>
        <v>0</v>
      </c>
      <c r="H164" s="560"/>
      <c r="I164" s="622"/>
      <c r="J164" s="362"/>
    </row>
    <row r="165" spans="1:10" x14ac:dyDescent="0.25">
      <c r="A165" s="530"/>
      <c r="B165" s="530"/>
      <c r="C165" s="530"/>
      <c r="D165" s="562"/>
      <c r="E165" s="562"/>
      <c r="F165" s="562"/>
      <c r="G165" s="562">
        <f t="shared" si="3"/>
        <v>0</v>
      </c>
      <c r="H165" s="562"/>
      <c r="I165" s="623"/>
      <c r="J165" s="530"/>
    </row>
    <row r="166" spans="1:10" x14ac:dyDescent="0.25">
      <c r="A166" s="362">
        <v>1</v>
      </c>
      <c r="B166" s="364">
        <v>43966</v>
      </c>
      <c r="C166" s="362" t="s">
        <v>80</v>
      </c>
      <c r="D166" s="560">
        <v>358910977</v>
      </c>
      <c r="E166" s="560">
        <v>4393963</v>
      </c>
      <c r="F166" s="560">
        <v>363305000</v>
      </c>
      <c r="G166" s="560">
        <f t="shared" si="3"/>
        <v>-60</v>
      </c>
      <c r="H166" s="560">
        <v>916966</v>
      </c>
      <c r="I166" s="622"/>
      <c r="J166" s="362"/>
    </row>
    <row r="167" spans="1:10" x14ac:dyDescent="0.25">
      <c r="A167" s="362">
        <v>2</v>
      </c>
      <c r="B167" s="364">
        <v>43966</v>
      </c>
      <c r="C167" s="362" t="s">
        <v>83</v>
      </c>
      <c r="D167" s="560">
        <v>231404379</v>
      </c>
      <c r="E167" s="560">
        <v>27108465</v>
      </c>
      <c r="F167" s="560">
        <v>258512900</v>
      </c>
      <c r="G167" s="560">
        <f t="shared" si="3"/>
        <v>-56</v>
      </c>
      <c r="H167" s="560">
        <v>3843901</v>
      </c>
      <c r="I167" s="622"/>
      <c r="J167" s="362"/>
    </row>
    <row r="168" spans="1:10" x14ac:dyDescent="0.25">
      <c r="A168" s="362">
        <v>3</v>
      </c>
      <c r="B168" s="364">
        <v>43966</v>
      </c>
      <c r="C168" s="362" t="s">
        <v>88</v>
      </c>
      <c r="D168" s="560">
        <v>141133660</v>
      </c>
      <c r="E168" s="560">
        <v>32605089</v>
      </c>
      <c r="F168" s="560">
        <v>173738800</v>
      </c>
      <c r="G168" s="560">
        <f t="shared" si="3"/>
        <v>-51</v>
      </c>
      <c r="H168" s="560">
        <v>5279846</v>
      </c>
      <c r="I168" s="622"/>
      <c r="J168" s="362"/>
    </row>
    <row r="169" spans="1:10" x14ac:dyDescent="0.25">
      <c r="A169" s="362">
        <v>4</v>
      </c>
      <c r="B169" s="364">
        <v>43966</v>
      </c>
      <c r="C169" s="362" t="s">
        <v>146</v>
      </c>
      <c r="D169" s="560">
        <v>153171306</v>
      </c>
      <c r="E169" s="560">
        <v>91063496</v>
      </c>
      <c r="F169" s="560">
        <v>244235000</v>
      </c>
      <c r="G169" s="560">
        <f t="shared" si="3"/>
        <v>-198</v>
      </c>
      <c r="H169" s="560">
        <v>3410605</v>
      </c>
      <c r="I169" s="622"/>
      <c r="J169" s="362"/>
    </row>
    <row r="170" spans="1:10" x14ac:dyDescent="0.25">
      <c r="A170" s="362">
        <v>5</v>
      </c>
      <c r="B170" s="364">
        <v>43966</v>
      </c>
      <c r="C170" s="362" t="s">
        <v>86</v>
      </c>
      <c r="D170" s="560">
        <v>25018383</v>
      </c>
      <c r="E170" s="560">
        <v>126846411</v>
      </c>
      <c r="F170" s="560">
        <v>151865000</v>
      </c>
      <c r="G170" s="560">
        <f t="shared" si="3"/>
        <v>-206</v>
      </c>
      <c r="H170" s="560">
        <v>2844058</v>
      </c>
      <c r="I170" s="622"/>
      <c r="J170" s="362"/>
    </row>
    <row r="171" spans="1:10" x14ac:dyDescent="0.25">
      <c r="A171" s="362">
        <v>6</v>
      </c>
      <c r="B171" s="364">
        <v>43966</v>
      </c>
      <c r="C171" s="362" t="s">
        <v>89</v>
      </c>
      <c r="D171" s="560">
        <v>155236478</v>
      </c>
      <c r="E171" s="560">
        <v>23477657</v>
      </c>
      <c r="F171" s="560">
        <v>178714200</v>
      </c>
      <c r="G171" s="560">
        <f t="shared" si="3"/>
        <v>-65</v>
      </c>
      <c r="H171" s="560">
        <v>6261812</v>
      </c>
      <c r="I171" s="622"/>
      <c r="J171" s="362"/>
    </row>
    <row r="172" spans="1:10" x14ac:dyDescent="0.25">
      <c r="A172" s="362">
        <v>7</v>
      </c>
      <c r="B172" s="364">
        <v>43966</v>
      </c>
      <c r="C172" s="362" t="s">
        <v>4751</v>
      </c>
      <c r="D172" s="560">
        <v>172384146</v>
      </c>
      <c r="E172" s="560">
        <v>48714654</v>
      </c>
      <c r="F172" s="560">
        <v>221098800</v>
      </c>
      <c r="G172" s="560">
        <f t="shared" si="3"/>
        <v>0</v>
      </c>
      <c r="H172" s="560">
        <v>11872058</v>
      </c>
      <c r="I172" s="622"/>
      <c r="J172" s="362"/>
    </row>
    <row r="173" spans="1:10" x14ac:dyDescent="0.25">
      <c r="A173" s="362">
        <v>8</v>
      </c>
      <c r="B173" s="364">
        <v>43966</v>
      </c>
      <c r="C173" s="362" t="s">
        <v>84</v>
      </c>
      <c r="D173" s="560">
        <v>160622383</v>
      </c>
      <c r="E173" s="560">
        <v>14469921</v>
      </c>
      <c r="F173" s="560">
        <v>219505700</v>
      </c>
      <c r="G173" s="560">
        <f t="shared" si="3"/>
        <v>-44413396</v>
      </c>
      <c r="H173" s="560">
        <v>7579694</v>
      </c>
      <c r="I173" s="622"/>
      <c r="J173" s="362"/>
    </row>
    <row r="174" spans="1:10" x14ac:dyDescent="0.25">
      <c r="A174" s="362">
        <v>9</v>
      </c>
      <c r="B174" s="364">
        <v>43966</v>
      </c>
      <c r="C174" s="362" t="s">
        <v>85</v>
      </c>
      <c r="D174" s="560">
        <v>17755523</v>
      </c>
      <c r="E174" s="560">
        <v>3409477</v>
      </c>
      <c r="F174" s="560">
        <v>21165000</v>
      </c>
      <c r="G174" s="560">
        <f t="shared" si="3"/>
        <v>0</v>
      </c>
      <c r="H174" s="560">
        <v>2965355</v>
      </c>
      <c r="I174" s="622"/>
      <c r="J174" s="362"/>
    </row>
    <row r="175" spans="1:10" x14ac:dyDescent="0.25">
      <c r="A175" s="362">
        <v>10</v>
      </c>
      <c r="B175" s="364">
        <v>43966</v>
      </c>
      <c r="C175" s="362" t="s">
        <v>81</v>
      </c>
      <c r="D175" s="560">
        <v>68723108</v>
      </c>
      <c r="E175" s="560">
        <v>13629970</v>
      </c>
      <c r="F175" s="560">
        <v>78950800</v>
      </c>
      <c r="G175" s="560">
        <f t="shared" si="3"/>
        <v>3402278</v>
      </c>
      <c r="H175" s="560">
        <v>3756415</v>
      </c>
      <c r="I175" s="622"/>
      <c r="J175" s="362"/>
    </row>
    <row r="176" spans="1:10" x14ac:dyDescent="0.25">
      <c r="A176" s="362">
        <v>11</v>
      </c>
      <c r="B176" s="364">
        <v>43966</v>
      </c>
      <c r="C176" s="362" t="s">
        <v>79</v>
      </c>
      <c r="D176" s="560">
        <v>57151945</v>
      </c>
      <c r="E176" s="560">
        <v>1127409</v>
      </c>
      <c r="F176" s="560">
        <v>58279400</v>
      </c>
      <c r="G176" s="560">
        <f t="shared" si="3"/>
        <v>-46</v>
      </c>
      <c r="H176" s="560">
        <v>1518012</v>
      </c>
      <c r="I176" s="622"/>
      <c r="J176" s="362"/>
    </row>
    <row r="177" spans="1:10" x14ac:dyDescent="0.25">
      <c r="A177" s="362">
        <v>12</v>
      </c>
      <c r="B177" s="364">
        <v>43966</v>
      </c>
      <c r="C177" s="362" t="s">
        <v>82</v>
      </c>
      <c r="D177" s="560">
        <v>57541270</v>
      </c>
      <c r="E177" s="560">
        <v>2057400</v>
      </c>
      <c r="F177" s="560">
        <v>59598700</v>
      </c>
      <c r="G177" s="560">
        <f t="shared" si="3"/>
        <v>-30</v>
      </c>
      <c r="H177" s="560">
        <v>2960177</v>
      </c>
      <c r="I177" s="622"/>
      <c r="J177" s="362"/>
    </row>
    <row r="178" spans="1:10" x14ac:dyDescent="0.25">
      <c r="A178" s="362">
        <v>13</v>
      </c>
      <c r="B178" s="364">
        <v>43966</v>
      </c>
      <c r="C178" s="362" t="s">
        <v>78</v>
      </c>
      <c r="D178" s="560">
        <v>137851190</v>
      </c>
      <c r="E178" s="560">
        <v>2532210</v>
      </c>
      <c r="F178" s="560">
        <v>140383400</v>
      </c>
      <c r="G178" s="560">
        <f t="shared" si="3"/>
        <v>0</v>
      </c>
      <c r="H178" s="560">
        <v>9062017</v>
      </c>
      <c r="I178" s="622"/>
      <c r="J178" s="362"/>
    </row>
    <row r="179" spans="1:10" x14ac:dyDescent="0.25">
      <c r="A179" s="362">
        <v>14</v>
      </c>
      <c r="B179" s="364">
        <v>43966</v>
      </c>
      <c r="C179" s="362" t="s">
        <v>166</v>
      </c>
      <c r="D179" s="560">
        <v>32482803</v>
      </c>
      <c r="E179" s="560"/>
      <c r="F179" s="560">
        <v>32483000</v>
      </c>
      <c r="G179" s="560">
        <f t="shared" si="3"/>
        <v>-197</v>
      </c>
      <c r="H179" s="560"/>
      <c r="I179" s="622"/>
      <c r="J179" s="362"/>
    </row>
    <row r="180" spans="1:10" x14ac:dyDescent="0.25">
      <c r="A180" s="362">
        <v>15</v>
      </c>
      <c r="B180" s="364">
        <v>43966</v>
      </c>
      <c r="C180" s="362" t="s">
        <v>3435</v>
      </c>
      <c r="D180" s="560"/>
      <c r="E180" s="560"/>
      <c r="F180" s="560"/>
      <c r="G180" s="560">
        <f t="shared" si="3"/>
        <v>0</v>
      </c>
      <c r="H180" s="560"/>
      <c r="I180" s="622"/>
      <c r="J180" s="362"/>
    </row>
    <row r="181" spans="1:10" x14ac:dyDescent="0.25">
      <c r="A181" s="530"/>
      <c r="B181" s="530"/>
      <c r="C181" s="530"/>
      <c r="D181" s="530"/>
      <c r="E181" s="530"/>
      <c r="F181" s="530"/>
      <c r="G181" s="562">
        <f t="shared" si="3"/>
        <v>0</v>
      </c>
      <c r="H181" s="530"/>
      <c r="I181" s="623"/>
      <c r="J181" s="530"/>
    </row>
    <row r="182" spans="1:10" x14ac:dyDescent="0.25">
      <c r="A182" s="362">
        <v>1</v>
      </c>
      <c r="B182" s="364">
        <v>43967</v>
      </c>
      <c r="C182" s="362" t="s">
        <v>80</v>
      </c>
      <c r="D182" s="560">
        <v>124391979</v>
      </c>
      <c r="E182" s="560">
        <v>27648252</v>
      </c>
      <c r="F182" s="560">
        <v>152040400</v>
      </c>
      <c r="G182" s="560">
        <f t="shared" si="3"/>
        <v>-169</v>
      </c>
      <c r="H182" s="560">
        <v>916966</v>
      </c>
      <c r="I182" s="622"/>
      <c r="J182" s="362"/>
    </row>
    <row r="183" spans="1:10" x14ac:dyDescent="0.25">
      <c r="A183" s="362">
        <v>2</v>
      </c>
      <c r="B183" s="364">
        <v>43967</v>
      </c>
      <c r="C183" s="362" t="s">
        <v>83</v>
      </c>
      <c r="D183" s="560">
        <v>167992065</v>
      </c>
      <c r="E183" s="560">
        <v>48375302</v>
      </c>
      <c r="F183" s="560">
        <v>216367400</v>
      </c>
      <c r="G183" s="560">
        <f t="shared" si="3"/>
        <v>-33</v>
      </c>
      <c r="H183" s="560">
        <v>3286151</v>
      </c>
      <c r="I183" s="622"/>
      <c r="J183" s="362"/>
    </row>
    <row r="184" spans="1:10" x14ac:dyDescent="0.25">
      <c r="A184" s="362">
        <v>3</v>
      </c>
      <c r="B184" s="364">
        <v>43967</v>
      </c>
      <c r="C184" s="362" t="s">
        <v>88</v>
      </c>
      <c r="D184" s="560">
        <v>144817481</v>
      </c>
      <c r="E184" s="560">
        <v>23162940</v>
      </c>
      <c r="F184" s="560">
        <v>167980500</v>
      </c>
      <c r="G184" s="560">
        <f t="shared" si="3"/>
        <v>-79</v>
      </c>
      <c r="H184" s="560">
        <v>5279846</v>
      </c>
      <c r="I184" s="622"/>
      <c r="J184" s="362"/>
    </row>
    <row r="185" spans="1:10" x14ac:dyDescent="0.25">
      <c r="A185" s="362">
        <v>4</v>
      </c>
      <c r="B185" s="364">
        <v>43967</v>
      </c>
      <c r="C185" s="362" t="s">
        <v>146</v>
      </c>
      <c r="D185" s="560">
        <v>21648547</v>
      </c>
      <c r="E185" s="560">
        <v>129022612</v>
      </c>
      <c r="F185" s="560">
        <v>150671400</v>
      </c>
      <c r="G185" s="560">
        <f t="shared" si="3"/>
        <v>-241</v>
      </c>
      <c r="H185" s="560">
        <v>410605</v>
      </c>
      <c r="I185" s="622"/>
      <c r="J185" s="362"/>
    </row>
    <row r="186" spans="1:10" x14ac:dyDescent="0.25">
      <c r="A186" s="362">
        <v>5</v>
      </c>
      <c r="B186" s="364">
        <v>43967</v>
      </c>
      <c r="C186" s="362" t="s">
        <v>86</v>
      </c>
      <c r="D186" s="560">
        <v>46294702</v>
      </c>
      <c r="E186" s="560">
        <v>132687500</v>
      </c>
      <c r="F186" s="560">
        <v>185180600</v>
      </c>
      <c r="G186" s="560">
        <f t="shared" si="3"/>
        <v>-6198398</v>
      </c>
      <c r="H186" s="560">
        <v>604558</v>
      </c>
      <c r="I186" s="622"/>
      <c r="J186" s="362"/>
    </row>
    <row r="187" spans="1:10" x14ac:dyDescent="0.25">
      <c r="A187" s="362">
        <v>6</v>
      </c>
      <c r="B187" s="364">
        <v>43967</v>
      </c>
      <c r="C187" s="362" t="s">
        <v>89</v>
      </c>
      <c r="D187" s="560">
        <v>72125593</v>
      </c>
      <c r="E187" s="560">
        <v>15972900</v>
      </c>
      <c r="F187" s="560">
        <v>88098500</v>
      </c>
      <c r="G187" s="560">
        <f t="shared" si="3"/>
        <v>-7</v>
      </c>
      <c r="H187" s="560">
        <v>6261812</v>
      </c>
      <c r="I187" s="622"/>
      <c r="J187" s="362"/>
    </row>
    <row r="188" spans="1:10" x14ac:dyDescent="0.25">
      <c r="A188" s="362">
        <v>7</v>
      </c>
      <c r="B188" s="364">
        <v>43967</v>
      </c>
      <c r="C188" s="362" t="s">
        <v>4751</v>
      </c>
      <c r="D188" s="560">
        <v>92930871</v>
      </c>
      <c r="E188" s="560">
        <v>17460429</v>
      </c>
      <c r="F188" s="560">
        <v>110391300</v>
      </c>
      <c r="G188" s="560">
        <f t="shared" si="3"/>
        <v>0</v>
      </c>
      <c r="H188" s="560">
        <v>11425658</v>
      </c>
      <c r="I188" s="622"/>
      <c r="J188" s="362"/>
    </row>
    <row r="189" spans="1:10" x14ac:dyDescent="0.25">
      <c r="A189" s="362">
        <v>8</v>
      </c>
      <c r="B189" s="364">
        <v>43967</v>
      </c>
      <c r="C189" s="362" t="s">
        <v>84</v>
      </c>
      <c r="D189" s="560">
        <v>108729091</v>
      </c>
      <c r="E189" s="560">
        <v>20758083</v>
      </c>
      <c r="F189" s="560">
        <v>129827500</v>
      </c>
      <c r="G189" s="560">
        <f t="shared" si="3"/>
        <v>-340326</v>
      </c>
      <c r="H189" s="560">
        <v>7579694</v>
      </c>
      <c r="I189" s="622"/>
      <c r="J189" s="362"/>
    </row>
    <row r="190" spans="1:10" x14ac:dyDescent="0.25">
      <c r="A190" s="362">
        <v>9</v>
      </c>
      <c r="B190" s="364">
        <v>43967</v>
      </c>
      <c r="C190" s="362" t="s">
        <v>85</v>
      </c>
      <c r="D190" s="560">
        <v>18760798</v>
      </c>
      <c r="E190" s="560">
        <v>4469202</v>
      </c>
      <c r="F190" s="560">
        <v>23230000</v>
      </c>
      <c r="G190" s="560">
        <f t="shared" si="3"/>
        <v>0</v>
      </c>
      <c r="H190" s="560">
        <v>2965355</v>
      </c>
      <c r="I190" s="622"/>
      <c r="J190" s="362"/>
    </row>
    <row r="191" spans="1:10" x14ac:dyDescent="0.25">
      <c r="A191" s="362">
        <v>10</v>
      </c>
      <c r="B191" s="364">
        <v>43967</v>
      </c>
      <c r="C191" s="362" t="s">
        <v>81</v>
      </c>
      <c r="D191" s="560">
        <v>88036045</v>
      </c>
      <c r="E191" s="560">
        <v>9299737</v>
      </c>
      <c r="F191" s="560">
        <v>97335800</v>
      </c>
      <c r="G191" s="560">
        <f t="shared" si="3"/>
        <v>-18</v>
      </c>
      <c r="H191" s="560">
        <v>3680915</v>
      </c>
      <c r="I191" s="622"/>
      <c r="J191" s="362"/>
    </row>
    <row r="192" spans="1:10" x14ac:dyDescent="0.25">
      <c r="A192" s="362">
        <v>11</v>
      </c>
      <c r="B192" s="364">
        <v>43967</v>
      </c>
      <c r="C192" s="362" t="s">
        <v>79</v>
      </c>
      <c r="D192" s="560">
        <v>31831421</v>
      </c>
      <c r="E192" s="560">
        <v>2251530</v>
      </c>
      <c r="F192" s="560">
        <v>34083000</v>
      </c>
      <c r="G192" s="560">
        <f t="shared" si="3"/>
        <v>-49</v>
      </c>
      <c r="H192" s="560">
        <v>1454012</v>
      </c>
      <c r="I192" s="622"/>
      <c r="J192" s="362"/>
    </row>
    <row r="193" spans="1:10" x14ac:dyDescent="0.25">
      <c r="A193" s="362">
        <v>12</v>
      </c>
      <c r="B193" s="364">
        <v>43967</v>
      </c>
      <c r="C193" s="362" t="s">
        <v>82</v>
      </c>
      <c r="D193" s="560">
        <v>203484930</v>
      </c>
      <c r="E193" s="560">
        <v>9068216</v>
      </c>
      <c r="F193" s="560">
        <v>212552900</v>
      </c>
      <c r="G193" s="560">
        <f t="shared" si="3"/>
        <v>246</v>
      </c>
      <c r="H193" s="560">
        <v>2960177</v>
      </c>
      <c r="I193" s="622"/>
      <c r="J193" s="362"/>
    </row>
    <row r="194" spans="1:10" x14ac:dyDescent="0.25">
      <c r="A194" s="362">
        <v>13</v>
      </c>
      <c r="B194" s="364">
        <v>43967</v>
      </c>
      <c r="C194" s="362" t="s">
        <v>78</v>
      </c>
      <c r="D194" s="560">
        <v>124308614</v>
      </c>
      <c r="E194" s="560">
        <v>9889484</v>
      </c>
      <c r="F194" s="560">
        <v>134198100</v>
      </c>
      <c r="G194" s="560">
        <f t="shared" si="3"/>
        <v>-2</v>
      </c>
      <c r="H194" s="560">
        <v>6855570</v>
      </c>
      <c r="I194" s="622"/>
      <c r="J194" s="362"/>
    </row>
    <row r="195" spans="1:10" x14ac:dyDescent="0.25">
      <c r="A195" s="362">
        <v>14</v>
      </c>
      <c r="B195" s="364">
        <v>43967</v>
      </c>
      <c r="C195" s="362" t="s">
        <v>166</v>
      </c>
      <c r="D195" s="560"/>
      <c r="E195" s="560"/>
      <c r="F195" s="560"/>
      <c r="G195" s="560">
        <f t="shared" si="3"/>
        <v>0</v>
      </c>
      <c r="H195" s="560"/>
      <c r="I195" s="622"/>
      <c r="J195" s="362"/>
    </row>
    <row r="196" spans="1:10" x14ac:dyDescent="0.25">
      <c r="A196" s="362">
        <v>15</v>
      </c>
      <c r="B196" s="364">
        <v>43967</v>
      </c>
      <c r="C196" s="362" t="s">
        <v>3435</v>
      </c>
      <c r="D196" s="560"/>
      <c r="E196" s="560"/>
      <c r="F196" s="560"/>
      <c r="G196" s="560">
        <f t="shared" si="3"/>
        <v>0</v>
      </c>
      <c r="H196" s="362"/>
      <c r="I196" s="622"/>
      <c r="J196" s="362"/>
    </row>
    <row r="197" spans="1:10" x14ac:dyDescent="0.25">
      <c r="A197" s="530"/>
      <c r="B197" s="530"/>
      <c r="C197" s="530"/>
      <c r="D197" s="530"/>
      <c r="E197" s="530"/>
      <c r="F197" s="530"/>
      <c r="G197" s="562"/>
      <c r="H197" s="530"/>
      <c r="I197" s="623"/>
      <c r="J197" s="530"/>
    </row>
    <row r="198" spans="1:10" x14ac:dyDescent="0.25">
      <c r="A198" s="362">
        <v>1</v>
      </c>
      <c r="B198" s="364">
        <v>43969</v>
      </c>
      <c r="C198" s="362" t="s">
        <v>80</v>
      </c>
      <c r="D198" s="560">
        <v>298095582</v>
      </c>
      <c r="E198" s="560">
        <v>12208100</v>
      </c>
      <c r="F198" s="560">
        <v>310303600</v>
      </c>
      <c r="G198" s="560">
        <f t="shared" si="3"/>
        <v>82</v>
      </c>
      <c r="H198" s="560">
        <v>916966</v>
      </c>
      <c r="I198" s="622"/>
      <c r="J198" s="362"/>
    </row>
    <row r="199" spans="1:10" x14ac:dyDescent="0.25">
      <c r="A199" s="362">
        <v>2</v>
      </c>
      <c r="B199" s="364">
        <v>43969</v>
      </c>
      <c r="C199" s="362" t="s">
        <v>83</v>
      </c>
      <c r="D199" s="560">
        <v>339762133</v>
      </c>
      <c r="E199" s="560">
        <v>25907211</v>
      </c>
      <c r="F199" s="560">
        <v>365669400</v>
      </c>
      <c r="G199" s="560">
        <f t="shared" ref="G199:G262" si="4">D199+E199-F199</f>
        <v>-56</v>
      </c>
      <c r="H199" s="560">
        <v>7984434</v>
      </c>
      <c r="I199" s="622"/>
      <c r="J199" s="362"/>
    </row>
    <row r="200" spans="1:10" x14ac:dyDescent="0.25">
      <c r="A200" s="362">
        <v>3</v>
      </c>
      <c r="B200" s="364">
        <v>43969</v>
      </c>
      <c r="C200" s="362" t="s">
        <v>88</v>
      </c>
      <c r="D200" s="560">
        <v>263730703</v>
      </c>
      <c r="E200" s="560">
        <v>22682237</v>
      </c>
      <c r="F200" s="560">
        <v>286413000</v>
      </c>
      <c r="G200" s="560">
        <f t="shared" si="4"/>
        <v>-60</v>
      </c>
      <c r="H200" s="560">
        <v>16112201</v>
      </c>
      <c r="I200" s="622"/>
      <c r="J200" s="362"/>
    </row>
    <row r="201" spans="1:10" x14ac:dyDescent="0.25">
      <c r="A201" s="362">
        <v>4</v>
      </c>
      <c r="B201" s="364">
        <v>43969</v>
      </c>
      <c r="C201" s="362" t="s">
        <v>146</v>
      </c>
      <c r="D201" s="560">
        <v>73844878</v>
      </c>
      <c r="E201" s="560">
        <v>239175882</v>
      </c>
      <c r="F201" s="560">
        <v>313021000</v>
      </c>
      <c r="G201" s="560">
        <f t="shared" si="4"/>
        <v>-240</v>
      </c>
      <c r="H201" s="560">
        <v>17822970</v>
      </c>
      <c r="I201" s="622"/>
      <c r="J201" s="362"/>
    </row>
    <row r="202" spans="1:10" x14ac:dyDescent="0.25">
      <c r="A202" s="362">
        <v>5</v>
      </c>
      <c r="B202" s="364">
        <v>43969</v>
      </c>
      <c r="C202" s="362" t="s">
        <v>86</v>
      </c>
      <c r="D202" s="560">
        <v>53444888</v>
      </c>
      <c r="E202" s="560">
        <v>26711062</v>
      </c>
      <c r="F202" s="560">
        <v>80155500</v>
      </c>
      <c r="G202" s="560">
        <f t="shared" si="4"/>
        <v>450</v>
      </c>
      <c r="H202" s="560">
        <v>9511211</v>
      </c>
      <c r="I202" s="622"/>
      <c r="J202" s="362"/>
    </row>
    <row r="203" spans="1:10" x14ac:dyDescent="0.25">
      <c r="A203" s="362">
        <v>6</v>
      </c>
      <c r="B203" s="364">
        <v>43969</v>
      </c>
      <c r="C203" s="362" t="s">
        <v>89</v>
      </c>
      <c r="D203" s="560">
        <v>127437505</v>
      </c>
      <c r="E203" s="560">
        <v>10137095</v>
      </c>
      <c r="F203" s="560">
        <v>137574600</v>
      </c>
      <c r="G203" s="560">
        <f t="shared" si="4"/>
        <v>0</v>
      </c>
      <c r="H203" s="560">
        <v>5727112</v>
      </c>
      <c r="I203" s="622"/>
      <c r="J203" s="362"/>
    </row>
    <row r="204" spans="1:10" x14ac:dyDescent="0.25">
      <c r="A204" s="362">
        <v>7</v>
      </c>
      <c r="B204" s="364">
        <v>43969</v>
      </c>
      <c r="C204" s="362" t="s">
        <v>4751</v>
      </c>
      <c r="D204" s="560">
        <v>241213491</v>
      </c>
      <c r="E204" s="560">
        <v>21463309</v>
      </c>
      <c r="F204" s="560">
        <v>262676800</v>
      </c>
      <c r="G204" s="560">
        <f t="shared" si="4"/>
        <v>0</v>
      </c>
      <c r="H204" s="560">
        <v>8222914</v>
      </c>
      <c r="I204" s="622"/>
      <c r="J204" s="362"/>
    </row>
    <row r="205" spans="1:10" x14ac:dyDescent="0.25">
      <c r="A205" s="362">
        <v>8</v>
      </c>
      <c r="B205" s="364">
        <v>43969</v>
      </c>
      <c r="C205" s="362" t="s">
        <v>84</v>
      </c>
      <c r="D205" s="560">
        <v>198316891</v>
      </c>
      <c r="E205" s="560">
        <v>35185608</v>
      </c>
      <c r="F205" s="560">
        <v>233502900</v>
      </c>
      <c r="G205" s="560">
        <f t="shared" si="4"/>
        <v>-401</v>
      </c>
      <c r="H205" s="560">
        <v>7579694</v>
      </c>
      <c r="I205" s="622"/>
      <c r="J205" s="362"/>
    </row>
    <row r="206" spans="1:10" x14ac:dyDescent="0.25">
      <c r="A206" s="362">
        <v>9</v>
      </c>
      <c r="B206" s="364">
        <v>43969</v>
      </c>
      <c r="C206" s="362" t="s">
        <v>85</v>
      </c>
      <c r="D206" s="560">
        <v>30822170</v>
      </c>
      <c r="E206" s="560">
        <v>1503830</v>
      </c>
      <c r="F206" s="560">
        <v>32326000</v>
      </c>
      <c r="G206" s="560">
        <f t="shared" si="4"/>
        <v>0</v>
      </c>
      <c r="H206" s="560">
        <v>2965355</v>
      </c>
      <c r="I206" s="622"/>
      <c r="J206" s="362"/>
    </row>
    <row r="207" spans="1:10" x14ac:dyDescent="0.25">
      <c r="A207" s="362">
        <v>10</v>
      </c>
      <c r="B207" s="364">
        <v>43969</v>
      </c>
      <c r="C207" s="362" t="s">
        <v>81</v>
      </c>
      <c r="D207" s="560">
        <v>70740766</v>
      </c>
      <c r="E207" s="560">
        <v>29155015</v>
      </c>
      <c r="F207" s="560">
        <v>99895800</v>
      </c>
      <c r="G207" s="560">
        <f t="shared" si="4"/>
        <v>-19</v>
      </c>
      <c r="H207" s="560">
        <v>1476965</v>
      </c>
      <c r="I207" s="622"/>
      <c r="J207" s="362"/>
    </row>
    <row r="208" spans="1:10" x14ac:dyDescent="0.25">
      <c r="A208" s="362">
        <v>11</v>
      </c>
      <c r="B208" s="364">
        <v>43969</v>
      </c>
      <c r="C208" s="362" t="s">
        <v>79</v>
      </c>
      <c r="D208" s="560">
        <v>37447482</v>
      </c>
      <c r="E208" s="560">
        <v>34170002</v>
      </c>
      <c r="F208" s="560">
        <v>71617500</v>
      </c>
      <c r="G208" s="560">
        <f t="shared" si="4"/>
        <v>-16</v>
      </c>
      <c r="H208" s="560">
        <v>996132</v>
      </c>
      <c r="I208" s="622"/>
      <c r="J208" s="362"/>
    </row>
    <row r="209" spans="1:10" x14ac:dyDescent="0.25">
      <c r="A209" s="362">
        <v>12</v>
      </c>
      <c r="B209" s="364">
        <v>43969</v>
      </c>
      <c r="C209" s="362" t="s">
        <v>82</v>
      </c>
      <c r="D209" s="560">
        <v>137102821</v>
      </c>
      <c r="E209" s="560"/>
      <c r="F209" s="560">
        <v>137102900</v>
      </c>
      <c r="G209" s="560">
        <f t="shared" si="4"/>
        <v>-79</v>
      </c>
      <c r="H209" s="560">
        <v>10410377</v>
      </c>
      <c r="I209" s="622"/>
      <c r="J209" s="362"/>
    </row>
    <row r="210" spans="1:10" x14ac:dyDescent="0.25">
      <c r="A210" s="362">
        <v>13</v>
      </c>
      <c r="B210" s="364">
        <v>43969</v>
      </c>
      <c r="C210" s="362" t="s">
        <v>78</v>
      </c>
      <c r="D210" s="560">
        <v>119343972</v>
      </c>
      <c r="E210" s="560">
        <v>8416528</v>
      </c>
      <c r="F210" s="560">
        <v>127760500</v>
      </c>
      <c r="G210" s="560">
        <f t="shared" si="4"/>
        <v>0</v>
      </c>
      <c r="H210" s="560">
        <v>6413470</v>
      </c>
      <c r="I210" s="622"/>
      <c r="J210" s="362"/>
    </row>
    <row r="211" spans="1:10" x14ac:dyDescent="0.25">
      <c r="A211" s="362">
        <v>14</v>
      </c>
      <c r="B211" s="364">
        <v>43969</v>
      </c>
      <c r="C211" s="362" t="s">
        <v>166</v>
      </c>
      <c r="D211" s="560">
        <v>43244889</v>
      </c>
      <c r="E211" s="560"/>
      <c r="F211" s="560">
        <v>43244900</v>
      </c>
      <c r="G211" s="560">
        <f t="shared" si="4"/>
        <v>-11</v>
      </c>
      <c r="H211" s="560"/>
      <c r="I211" s="622"/>
      <c r="J211" s="362"/>
    </row>
    <row r="212" spans="1:10" x14ac:dyDescent="0.25">
      <c r="A212" s="362">
        <v>15</v>
      </c>
      <c r="B212" s="364">
        <v>43969</v>
      </c>
      <c r="C212" s="362" t="s">
        <v>3435</v>
      </c>
      <c r="D212" s="560"/>
      <c r="E212" s="560"/>
      <c r="F212" s="560"/>
      <c r="G212" s="560">
        <f t="shared" si="4"/>
        <v>0</v>
      </c>
      <c r="H212" s="560"/>
      <c r="I212" s="622"/>
      <c r="J212" s="362"/>
    </row>
    <row r="213" spans="1:10" x14ac:dyDescent="0.25">
      <c r="A213" s="530"/>
      <c r="B213" s="530"/>
      <c r="C213" s="530"/>
      <c r="D213" s="562"/>
      <c r="E213" s="562"/>
      <c r="F213" s="562"/>
      <c r="G213" s="562"/>
      <c r="H213" s="562"/>
      <c r="I213" s="623"/>
      <c r="J213" s="530"/>
    </row>
    <row r="214" spans="1:10" x14ac:dyDescent="0.25">
      <c r="A214" s="362">
        <v>1</v>
      </c>
      <c r="B214" s="364">
        <v>43970</v>
      </c>
      <c r="C214" s="362" t="s">
        <v>80</v>
      </c>
      <c r="D214" s="560">
        <v>210857390</v>
      </c>
      <c r="E214" s="560">
        <v>2928915</v>
      </c>
      <c r="F214" s="560">
        <v>213786300</v>
      </c>
      <c r="G214" s="560">
        <f t="shared" si="4"/>
        <v>5</v>
      </c>
      <c r="H214" s="560">
        <v>27148820</v>
      </c>
      <c r="I214" s="622"/>
      <c r="J214" s="362"/>
    </row>
    <row r="215" spans="1:10" x14ac:dyDescent="0.25">
      <c r="A215" s="362">
        <v>2</v>
      </c>
      <c r="B215" s="364">
        <v>43970</v>
      </c>
      <c r="C215" s="362" t="s">
        <v>83</v>
      </c>
      <c r="D215" s="560">
        <v>253564160</v>
      </c>
      <c r="E215" s="560">
        <v>599000</v>
      </c>
      <c r="F215" s="560">
        <v>254163200</v>
      </c>
      <c r="G215" s="560">
        <f t="shared" si="4"/>
        <v>-40</v>
      </c>
      <c r="H215" s="560">
        <v>6612984</v>
      </c>
      <c r="I215" s="622"/>
      <c r="J215" s="362"/>
    </row>
    <row r="216" spans="1:10" x14ac:dyDescent="0.25">
      <c r="A216" s="362">
        <v>3</v>
      </c>
      <c r="B216" s="364">
        <v>43970</v>
      </c>
      <c r="C216" s="362" t="s">
        <v>88</v>
      </c>
      <c r="D216" s="560">
        <v>197922758</v>
      </c>
      <c r="E216" s="560">
        <v>15295233</v>
      </c>
      <c r="F216" s="560">
        <v>216330100</v>
      </c>
      <c r="G216" s="560">
        <f t="shared" si="4"/>
        <v>-3112109</v>
      </c>
      <c r="H216" s="560">
        <v>14106851</v>
      </c>
      <c r="I216" s="622"/>
      <c r="J216" s="362"/>
    </row>
    <row r="217" spans="1:10" x14ac:dyDescent="0.25">
      <c r="A217" s="362">
        <v>4</v>
      </c>
      <c r="B217" s="364">
        <v>43970</v>
      </c>
      <c r="C217" s="362" t="s">
        <v>146</v>
      </c>
      <c r="D217" s="560">
        <v>93809636</v>
      </c>
      <c r="E217" s="560">
        <v>102165610</v>
      </c>
      <c r="F217" s="560">
        <v>195973700</v>
      </c>
      <c r="G217" s="560">
        <f t="shared" si="4"/>
        <v>1546</v>
      </c>
      <c r="H217" s="560">
        <v>7822970</v>
      </c>
      <c r="I217" s="622"/>
      <c r="J217" s="362"/>
    </row>
    <row r="218" spans="1:10" x14ac:dyDescent="0.25">
      <c r="A218" s="362">
        <v>5</v>
      </c>
      <c r="B218" s="364">
        <v>43970</v>
      </c>
      <c r="C218" s="362" t="s">
        <v>86</v>
      </c>
      <c r="D218" s="560">
        <v>97267638</v>
      </c>
      <c r="E218" s="560">
        <v>51038772</v>
      </c>
      <c r="F218" s="560">
        <v>148306500</v>
      </c>
      <c r="G218" s="560">
        <f t="shared" si="4"/>
        <v>-90</v>
      </c>
      <c r="H218" s="560">
        <v>7274250</v>
      </c>
      <c r="I218" s="622" t="s">
        <v>18</v>
      </c>
      <c r="J218" s="362"/>
    </row>
    <row r="219" spans="1:10" x14ac:dyDescent="0.25">
      <c r="A219" s="362">
        <v>6</v>
      </c>
      <c r="B219" s="364">
        <v>43970</v>
      </c>
      <c r="C219" s="362" t="s">
        <v>89</v>
      </c>
      <c r="D219" s="560">
        <v>158758880</v>
      </c>
      <c r="E219" s="560">
        <v>3923920</v>
      </c>
      <c r="F219" s="560">
        <v>162682800</v>
      </c>
      <c r="G219" s="560">
        <f t="shared" si="4"/>
        <v>0</v>
      </c>
      <c r="H219" s="560">
        <v>15774662</v>
      </c>
      <c r="I219" s="622"/>
      <c r="J219" s="362"/>
    </row>
    <row r="220" spans="1:10" x14ac:dyDescent="0.25">
      <c r="A220" s="362">
        <v>7</v>
      </c>
      <c r="B220" s="364">
        <v>43970</v>
      </c>
      <c r="C220" s="362" t="s">
        <v>4751</v>
      </c>
      <c r="D220" s="560">
        <v>159266598</v>
      </c>
      <c r="E220" s="560">
        <v>10903402</v>
      </c>
      <c r="F220" s="560">
        <v>170170000</v>
      </c>
      <c r="G220" s="560">
        <f t="shared" si="4"/>
        <v>0</v>
      </c>
      <c r="H220" s="560">
        <v>7933564</v>
      </c>
      <c r="I220" s="622"/>
      <c r="J220" s="362"/>
    </row>
    <row r="221" spans="1:10" x14ac:dyDescent="0.25">
      <c r="A221" s="362">
        <v>8</v>
      </c>
      <c r="B221" s="364">
        <v>43970</v>
      </c>
      <c r="C221" s="362" t="s">
        <v>84</v>
      </c>
      <c r="D221" s="560">
        <v>212929999</v>
      </c>
      <c r="E221" s="560">
        <v>20325669</v>
      </c>
      <c r="F221" s="560">
        <v>233256800</v>
      </c>
      <c r="G221" s="560">
        <f t="shared" si="4"/>
        <v>-1132</v>
      </c>
      <c r="H221" s="560">
        <v>22642716</v>
      </c>
      <c r="I221" s="622"/>
      <c r="J221" s="362"/>
    </row>
    <row r="222" spans="1:10" x14ac:dyDescent="0.25">
      <c r="A222" s="362">
        <v>9</v>
      </c>
      <c r="B222" s="364">
        <v>43970</v>
      </c>
      <c r="C222" s="362" t="s">
        <v>85</v>
      </c>
      <c r="D222" s="560">
        <v>29770077</v>
      </c>
      <c r="E222" s="560">
        <v>1404123</v>
      </c>
      <c r="F222" s="560">
        <v>31174200</v>
      </c>
      <c r="G222" s="560">
        <f t="shared" si="4"/>
        <v>0</v>
      </c>
      <c r="H222" s="560">
        <v>4812923</v>
      </c>
      <c r="I222" s="622"/>
      <c r="J222" s="362"/>
    </row>
    <row r="223" spans="1:10" x14ac:dyDescent="0.25">
      <c r="A223" s="362">
        <v>10</v>
      </c>
      <c r="B223" s="364">
        <v>43970</v>
      </c>
      <c r="C223" s="362" t="s">
        <v>81</v>
      </c>
      <c r="D223" s="560">
        <v>97697391</v>
      </c>
      <c r="E223" s="560">
        <v>7616600</v>
      </c>
      <c r="F223" s="560">
        <v>105314000</v>
      </c>
      <c r="G223" s="560">
        <f t="shared" si="4"/>
        <v>-9</v>
      </c>
      <c r="H223" s="560">
        <v>15820596</v>
      </c>
      <c r="I223" s="622"/>
      <c r="J223" s="362"/>
    </row>
    <row r="224" spans="1:10" x14ac:dyDescent="0.25">
      <c r="A224" s="362">
        <v>11</v>
      </c>
      <c r="B224" s="364">
        <v>43970</v>
      </c>
      <c r="C224" s="362" t="s">
        <v>79</v>
      </c>
      <c r="D224" s="560">
        <v>61446995</v>
      </c>
      <c r="E224" s="560">
        <v>3213259</v>
      </c>
      <c r="F224" s="560">
        <v>64660300</v>
      </c>
      <c r="G224" s="560">
        <f t="shared" si="4"/>
        <v>-46</v>
      </c>
      <c r="H224" s="560">
        <v>5687491</v>
      </c>
      <c r="I224" s="622"/>
      <c r="J224" s="362"/>
    </row>
    <row r="225" spans="1:10" x14ac:dyDescent="0.25">
      <c r="A225" s="362">
        <v>12</v>
      </c>
      <c r="B225" s="364">
        <v>43970</v>
      </c>
      <c r="C225" s="362" t="s">
        <v>82</v>
      </c>
      <c r="D225" s="560">
        <v>56017779</v>
      </c>
      <c r="E225" s="560">
        <v>2108470</v>
      </c>
      <c r="F225" s="560">
        <v>58126300</v>
      </c>
      <c r="G225" s="560">
        <f t="shared" si="4"/>
        <v>-51</v>
      </c>
      <c r="H225" s="560">
        <v>9063277</v>
      </c>
      <c r="I225" s="622"/>
      <c r="J225" s="362"/>
    </row>
    <row r="226" spans="1:10" x14ac:dyDescent="0.25">
      <c r="A226" s="362">
        <v>13</v>
      </c>
      <c r="B226" s="364">
        <v>43970</v>
      </c>
      <c r="C226" s="362" t="s">
        <v>78</v>
      </c>
      <c r="D226" s="560">
        <v>108548698</v>
      </c>
      <c r="E226" s="560">
        <v>3012202</v>
      </c>
      <c r="F226" s="560">
        <v>111560900</v>
      </c>
      <c r="G226" s="560">
        <f t="shared" si="4"/>
        <v>0</v>
      </c>
      <c r="H226" s="560">
        <v>15991788</v>
      </c>
      <c r="I226" s="622"/>
      <c r="J226" s="362"/>
    </row>
    <row r="227" spans="1:10" x14ac:dyDescent="0.25">
      <c r="A227" s="362">
        <v>14</v>
      </c>
      <c r="B227" s="364">
        <v>43970</v>
      </c>
      <c r="C227" s="362" t="s">
        <v>166</v>
      </c>
      <c r="D227" s="560">
        <v>63726206</v>
      </c>
      <c r="E227" s="560"/>
      <c r="F227" s="560">
        <v>63726200</v>
      </c>
      <c r="G227" s="560">
        <f t="shared" si="4"/>
        <v>6</v>
      </c>
      <c r="H227" s="560"/>
      <c r="I227" s="622"/>
      <c r="J227" s="362"/>
    </row>
    <row r="228" spans="1:10" x14ac:dyDescent="0.25">
      <c r="A228" s="362">
        <v>15</v>
      </c>
      <c r="B228" s="364">
        <v>43970</v>
      </c>
      <c r="C228" s="362" t="s">
        <v>3435</v>
      </c>
      <c r="D228" s="560"/>
      <c r="E228" s="560"/>
      <c r="F228" s="560"/>
      <c r="G228" s="560">
        <f t="shared" si="4"/>
        <v>0</v>
      </c>
      <c r="H228" s="560"/>
      <c r="I228" s="622"/>
      <c r="J228" s="362"/>
    </row>
    <row r="229" spans="1:10" x14ac:dyDescent="0.25">
      <c r="A229" s="530"/>
      <c r="B229" s="530"/>
      <c r="C229" s="530"/>
      <c r="D229" s="562"/>
      <c r="E229" s="562"/>
      <c r="F229" s="562"/>
      <c r="G229" s="562">
        <f t="shared" si="4"/>
        <v>0</v>
      </c>
      <c r="H229" s="562"/>
      <c r="I229" s="623"/>
      <c r="J229" s="530"/>
    </row>
    <row r="230" spans="1:10" x14ac:dyDescent="0.25">
      <c r="A230" s="362">
        <v>1</v>
      </c>
      <c r="B230" s="364">
        <v>43971</v>
      </c>
      <c r="C230" s="362" t="s">
        <v>80</v>
      </c>
      <c r="D230" s="560">
        <v>286432048</v>
      </c>
      <c r="E230" s="560">
        <v>263444</v>
      </c>
      <c r="F230" s="560">
        <v>286695500</v>
      </c>
      <c r="G230" s="560">
        <f t="shared" si="4"/>
        <v>-8</v>
      </c>
      <c r="H230" s="560">
        <v>27148820</v>
      </c>
      <c r="I230" s="622"/>
      <c r="J230" s="362"/>
    </row>
    <row r="231" spans="1:10" x14ac:dyDescent="0.25">
      <c r="A231" s="362">
        <v>2</v>
      </c>
      <c r="B231" s="364">
        <v>43971</v>
      </c>
      <c r="C231" s="362" t="s">
        <v>83</v>
      </c>
      <c r="D231" s="560">
        <v>243373373</v>
      </c>
      <c r="E231" s="560">
        <v>49273028</v>
      </c>
      <c r="F231" s="560">
        <v>292646500</v>
      </c>
      <c r="G231" s="560">
        <f t="shared" si="4"/>
        <v>-99</v>
      </c>
      <c r="H231" s="560">
        <v>1287920</v>
      </c>
      <c r="I231" s="622"/>
      <c r="J231" s="362"/>
    </row>
    <row r="232" spans="1:10" x14ac:dyDescent="0.25">
      <c r="A232" s="362">
        <v>3</v>
      </c>
      <c r="B232" s="364">
        <v>43971</v>
      </c>
      <c r="C232" s="362" t="s">
        <v>88</v>
      </c>
      <c r="D232" s="560">
        <v>218562562</v>
      </c>
      <c r="E232" s="560">
        <v>93177761</v>
      </c>
      <c r="F232" s="560">
        <v>311740400</v>
      </c>
      <c r="G232" s="560">
        <f t="shared" si="4"/>
        <v>-77</v>
      </c>
      <c r="H232" s="560">
        <v>14106851</v>
      </c>
      <c r="I232" s="622"/>
      <c r="J232" s="362"/>
    </row>
    <row r="233" spans="1:10" x14ac:dyDescent="0.25">
      <c r="A233" s="362">
        <v>4</v>
      </c>
      <c r="B233" s="364">
        <v>43971</v>
      </c>
      <c r="C233" s="362" t="s">
        <v>146</v>
      </c>
      <c r="D233" s="560">
        <v>75419346</v>
      </c>
      <c r="E233" s="560">
        <v>356962238</v>
      </c>
      <c r="F233" s="560">
        <v>432381700</v>
      </c>
      <c r="G233" s="560">
        <f t="shared" si="4"/>
        <v>-116</v>
      </c>
      <c r="H233" s="560">
        <v>13433670</v>
      </c>
      <c r="I233" s="622"/>
      <c r="J233" s="362"/>
    </row>
    <row r="234" spans="1:10" x14ac:dyDescent="0.25">
      <c r="A234" s="362">
        <v>5</v>
      </c>
      <c r="B234" s="364">
        <v>43971</v>
      </c>
      <c r="C234" s="362" t="s">
        <v>86</v>
      </c>
      <c r="D234" s="560">
        <v>80220465</v>
      </c>
      <c r="E234" s="560">
        <v>37578325</v>
      </c>
      <c r="F234" s="560">
        <v>117799300</v>
      </c>
      <c r="G234" s="560">
        <f t="shared" si="4"/>
        <v>-510</v>
      </c>
      <c r="H234" s="560">
        <v>6574298</v>
      </c>
      <c r="I234" s="622"/>
      <c r="J234" s="362"/>
    </row>
    <row r="235" spans="1:10" x14ac:dyDescent="0.25">
      <c r="A235" s="362">
        <v>6</v>
      </c>
      <c r="B235" s="364">
        <v>43971</v>
      </c>
      <c r="C235" s="362" t="s">
        <v>89</v>
      </c>
      <c r="D235" s="560">
        <v>118797296</v>
      </c>
      <c r="E235" s="560">
        <v>3632061</v>
      </c>
      <c r="F235" s="560">
        <v>122429400</v>
      </c>
      <c r="G235" s="560">
        <f t="shared" si="4"/>
        <v>-43</v>
      </c>
      <c r="H235" s="560">
        <v>13113162</v>
      </c>
      <c r="I235" s="622"/>
      <c r="J235" s="362"/>
    </row>
    <row r="236" spans="1:10" x14ac:dyDescent="0.25">
      <c r="A236" s="362">
        <v>7</v>
      </c>
      <c r="B236" s="364">
        <v>43971</v>
      </c>
      <c r="C236" s="362" t="s">
        <v>4751</v>
      </c>
      <c r="D236" s="560">
        <v>156872551</v>
      </c>
      <c r="E236" s="560">
        <v>10779249</v>
      </c>
      <c r="F236" s="560">
        <v>167651800</v>
      </c>
      <c r="G236" s="560">
        <f t="shared" si="4"/>
        <v>0</v>
      </c>
      <c r="H236" s="560">
        <v>24421314</v>
      </c>
      <c r="I236" s="622"/>
      <c r="J236" s="362"/>
    </row>
    <row r="237" spans="1:10" x14ac:dyDescent="0.25">
      <c r="A237" s="362">
        <v>8</v>
      </c>
      <c r="B237" s="364">
        <v>43971</v>
      </c>
      <c r="C237" s="362" t="s">
        <v>84</v>
      </c>
      <c r="D237" s="560">
        <v>343051976</v>
      </c>
      <c r="E237" s="560">
        <v>23026974</v>
      </c>
      <c r="F237" s="560">
        <v>366079100</v>
      </c>
      <c r="G237" s="560">
        <f t="shared" si="4"/>
        <v>-150</v>
      </c>
      <c r="H237" s="560">
        <v>15727134</v>
      </c>
      <c r="I237" s="622"/>
      <c r="J237" s="362"/>
    </row>
    <row r="238" spans="1:10" x14ac:dyDescent="0.25">
      <c r="A238" s="362">
        <v>9</v>
      </c>
      <c r="B238" s="364">
        <v>43971</v>
      </c>
      <c r="C238" s="362" t="s">
        <v>85</v>
      </c>
      <c r="D238" s="560">
        <v>38017639</v>
      </c>
      <c r="E238" s="560">
        <v>1498061</v>
      </c>
      <c r="F238" s="560">
        <v>39515700</v>
      </c>
      <c r="G238" s="560">
        <f t="shared" si="4"/>
        <v>0</v>
      </c>
      <c r="H238" s="560">
        <v>4812923</v>
      </c>
      <c r="I238" s="622"/>
      <c r="J238" s="362"/>
    </row>
    <row r="239" spans="1:10" x14ac:dyDescent="0.25">
      <c r="A239" s="362">
        <v>10</v>
      </c>
      <c r="B239" s="364">
        <v>43971</v>
      </c>
      <c r="C239" s="362" t="s">
        <v>81</v>
      </c>
      <c r="D239" s="560">
        <v>79945220</v>
      </c>
      <c r="E239" s="560">
        <v>10724638</v>
      </c>
      <c r="F239" s="560">
        <v>90669900</v>
      </c>
      <c r="G239" s="560">
        <f t="shared" si="4"/>
        <v>-42</v>
      </c>
      <c r="H239" s="560">
        <v>10152561</v>
      </c>
      <c r="I239" s="622"/>
      <c r="J239" s="362"/>
    </row>
    <row r="240" spans="1:10" x14ac:dyDescent="0.25">
      <c r="A240" s="362">
        <v>11</v>
      </c>
      <c r="B240" s="364">
        <v>43971</v>
      </c>
      <c r="C240" s="362" t="s">
        <v>79</v>
      </c>
      <c r="D240" s="560">
        <v>56375443</v>
      </c>
      <c r="E240" s="560">
        <v>32743300</v>
      </c>
      <c r="F240" s="560">
        <v>89118800</v>
      </c>
      <c r="G240" s="560">
        <f t="shared" si="4"/>
        <v>-57</v>
      </c>
      <c r="H240" s="560">
        <v>5112491</v>
      </c>
      <c r="I240" s="622"/>
      <c r="J240" s="362"/>
    </row>
    <row r="241" spans="1:10" x14ac:dyDescent="0.25">
      <c r="A241" s="362">
        <v>12</v>
      </c>
      <c r="B241" s="364">
        <v>43971</v>
      </c>
      <c r="C241" s="362" t="s">
        <v>82</v>
      </c>
      <c r="D241" s="560">
        <v>59938399</v>
      </c>
      <c r="E241" s="560">
        <v>339646</v>
      </c>
      <c r="F241" s="560">
        <v>60278100</v>
      </c>
      <c r="G241" s="560">
        <f t="shared" si="4"/>
        <v>-55</v>
      </c>
      <c r="H241" s="560">
        <v>7547277</v>
      </c>
      <c r="I241" s="622"/>
      <c r="J241" s="362"/>
    </row>
    <row r="242" spans="1:10" x14ac:dyDescent="0.25">
      <c r="A242" s="362">
        <v>13</v>
      </c>
      <c r="B242" s="364">
        <v>43971</v>
      </c>
      <c r="C242" s="362" t="s">
        <v>78</v>
      </c>
      <c r="D242" s="560">
        <v>92376638</v>
      </c>
      <c r="E242" s="560">
        <v>9622662</v>
      </c>
      <c r="F242" s="560">
        <v>101999300</v>
      </c>
      <c r="G242" s="560">
        <f t="shared" si="4"/>
        <v>0</v>
      </c>
      <c r="H242" s="560">
        <v>14558004</v>
      </c>
      <c r="I242" s="622"/>
      <c r="J242" s="362"/>
    </row>
    <row r="243" spans="1:10" x14ac:dyDescent="0.25">
      <c r="A243" s="362">
        <v>14</v>
      </c>
      <c r="B243" s="364">
        <v>43971</v>
      </c>
      <c r="C243" s="362" t="s">
        <v>166</v>
      </c>
      <c r="D243" s="560">
        <v>51183146</v>
      </c>
      <c r="E243" s="560"/>
      <c r="F243" s="560">
        <v>51183200</v>
      </c>
      <c r="G243" s="560">
        <f t="shared" si="4"/>
        <v>-54</v>
      </c>
      <c r="H243" s="560"/>
      <c r="I243" s="622"/>
      <c r="J243" s="362"/>
    </row>
    <row r="244" spans="1:10" x14ac:dyDescent="0.25">
      <c r="A244" s="362">
        <v>15</v>
      </c>
      <c r="B244" s="364">
        <v>43971</v>
      </c>
      <c r="C244" s="362" t="s">
        <v>3435</v>
      </c>
      <c r="D244" s="560"/>
      <c r="E244" s="560"/>
      <c r="F244" s="560"/>
      <c r="G244" s="560">
        <f t="shared" si="4"/>
        <v>0</v>
      </c>
      <c r="H244" s="560"/>
      <c r="I244" s="622"/>
      <c r="J244" s="362"/>
    </row>
    <row r="245" spans="1:10" x14ac:dyDescent="0.25">
      <c r="A245" s="530"/>
      <c r="B245" s="585"/>
      <c r="C245" s="530"/>
      <c r="D245" s="530"/>
      <c r="E245" s="530"/>
      <c r="F245" s="530"/>
      <c r="G245" s="562"/>
      <c r="H245" s="530"/>
      <c r="I245" s="623"/>
      <c r="J245" s="530"/>
    </row>
    <row r="246" spans="1:10" x14ac:dyDescent="0.25">
      <c r="A246" s="362">
        <v>1</v>
      </c>
      <c r="B246" s="364">
        <v>43972</v>
      </c>
      <c r="C246" s="362" t="s">
        <v>80</v>
      </c>
      <c r="D246" s="560">
        <v>219233284</v>
      </c>
      <c r="E246" s="560">
        <v>14737536</v>
      </c>
      <c r="F246" s="560">
        <v>233970900</v>
      </c>
      <c r="G246" s="560">
        <f t="shared" si="4"/>
        <v>-80</v>
      </c>
      <c r="H246" s="560">
        <v>1252434</v>
      </c>
      <c r="I246" s="622"/>
      <c r="J246" s="362"/>
    </row>
    <row r="247" spans="1:10" x14ac:dyDescent="0.25">
      <c r="A247" s="362">
        <v>2</v>
      </c>
      <c r="B247" s="364">
        <v>43972</v>
      </c>
      <c r="C247" s="362" t="s">
        <v>83</v>
      </c>
      <c r="D247" s="560">
        <v>385980068</v>
      </c>
      <c r="E247" s="560">
        <v>48376300</v>
      </c>
      <c r="F247" s="560">
        <v>434356400</v>
      </c>
      <c r="G247" s="560">
        <f t="shared" si="4"/>
        <v>-32</v>
      </c>
      <c r="H247" s="560">
        <v>757320</v>
      </c>
      <c r="I247" s="622"/>
      <c r="J247" s="362"/>
    </row>
    <row r="248" spans="1:10" x14ac:dyDescent="0.25">
      <c r="A248" s="362">
        <v>3</v>
      </c>
      <c r="B248" s="364">
        <v>43972</v>
      </c>
      <c r="C248" s="362" t="s">
        <v>88</v>
      </c>
      <c r="D248" s="560">
        <v>214597147</v>
      </c>
      <c r="E248" s="560">
        <v>10894007</v>
      </c>
      <c r="F248" s="560">
        <v>225491200</v>
      </c>
      <c r="G248" s="560">
        <f t="shared" si="4"/>
        <v>-46</v>
      </c>
      <c r="H248" s="560">
        <v>2180465</v>
      </c>
      <c r="I248" s="622"/>
      <c r="J248" s="362"/>
    </row>
    <row r="249" spans="1:10" x14ac:dyDescent="0.25">
      <c r="A249" s="362">
        <v>4</v>
      </c>
      <c r="B249" s="364">
        <v>43972</v>
      </c>
      <c r="C249" s="362" t="s">
        <v>146</v>
      </c>
      <c r="D249" s="560">
        <v>82544700</v>
      </c>
      <c r="E249" s="560">
        <v>87046495</v>
      </c>
      <c r="F249" s="560">
        <v>169591300</v>
      </c>
      <c r="G249" s="560">
        <f t="shared" si="4"/>
        <v>-105</v>
      </c>
      <c r="H249" s="560">
        <v>2304325</v>
      </c>
      <c r="I249" s="622"/>
      <c r="J249" s="362"/>
    </row>
    <row r="250" spans="1:10" x14ac:dyDescent="0.25">
      <c r="A250" s="362">
        <v>5</v>
      </c>
      <c r="B250" s="364">
        <v>43972</v>
      </c>
      <c r="C250" s="362" t="s">
        <v>86</v>
      </c>
      <c r="D250" s="560">
        <v>59307257</v>
      </c>
      <c r="E250" s="560">
        <v>159484410</v>
      </c>
      <c r="F250" s="560">
        <v>218791700</v>
      </c>
      <c r="G250" s="560">
        <f t="shared" si="4"/>
        <v>-33</v>
      </c>
      <c r="H250" s="560">
        <v>1460723</v>
      </c>
      <c r="I250" s="622"/>
      <c r="J250" s="362"/>
    </row>
    <row r="251" spans="1:10" x14ac:dyDescent="0.25">
      <c r="A251" s="362">
        <v>6</v>
      </c>
      <c r="B251" s="364">
        <v>43972</v>
      </c>
      <c r="C251" s="362" t="s">
        <v>89</v>
      </c>
      <c r="D251" s="560">
        <v>133434018</v>
      </c>
      <c r="E251" s="560">
        <v>5938782</v>
      </c>
      <c r="F251" s="560">
        <v>139372800</v>
      </c>
      <c r="G251" s="560">
        <f t="shared" si="4"/>
        <v>0</v>
      </c>
      <c r="H251" s="560">
        <v>7989683</v>
      </c>
      <c r="I251" s="622"/>
      <c r="J251" s="362"/>
    </row>
    <row r="252" spans="1:10" x14ac:dyDescent="0.25">
      <c r="A252" s="362">
        <v>7</v>
      </c>
      <c r="B252" s="364">
        <v>43972</v>
      </c>
      <c r="C252" s="362" t="s">
        <v>4751</v>
      </c>
      <c r="D252" s="560">
        <v>212887201</v>
      </c>
      <c r="E252" s="560">
        <v>21763799</v>
      </c>
      <c r="F252" s="560">
        <v>234651000</v>
      </c>
      <c r="G252" s="560">
        <f t="shared" si="4"/>
        <v>0</v>
      </c>
      <c r="H252" s="560">
        <v>15152676</v>
      </c>
      <c r="I252" s="622"/>
      <c r="J252" s="362"/>
    </row>
    <row r="253" spans="1:10" x14ac:dyDescent="0.25">
      <c r="A253" s="362">
        <v>8</v>
      </c>
      <c r="B253" s="364">
        <v>43972</v>
      </c>
      <c r="C253" s="362" t="s">
        <v>84</v>
      </c>
      <c r="D253" s="560">
        <v>239103748</v>
      </c>
      <c r="E253" s="560">
        <v>53986176</v>
      </c>
      <c r="F253" s="560">
        <v>293089900</v>
      </c>
      <c r="G253" s="560">
        <f t="shared" si="4"/>
        <v>24</v>
      </c>
      <c r="H253" s="560">
        <v>3788084</v>
      </c>
      <c r="I253" s="622"/>
      <c r="J253" s="362"/>
    </row>
    <row r="254" spans="1:10" x14ac:dyDescent="0.25">
      <c r="A254" s="362">
        <v>9</v>
      </c>
      <c r="B254" s="364">
        <v>43972</v>
      </c>
      <c r="C254" s="362" t="s">
        <v>85</v>
      </c>
      <c r="D254" s="560">
        <v>29711986</v>
      </c>
      <c r="E254" s="560">
        <v>590014</v>
      </c>
      <c r="F254" s="560">
        <v>30302000</v>
      </c>
      <c r="G254" s="560">
        <f t="shared" si="4"/>
        <v>0</v>
      </c>
      <c r="H254" s="560">
        <v>2874731</v>
      </c>
      <c r="I254" s="622"/>
      <c r="J254" s="362"/>
    </row>
    <row r="255" spans="1:10" x14ac:dyDescent="0.25">
      <c r="A255" s="362">
        <v>10</v>
      </c>
      <c r="B255" s="364">
        <v>43972</v>
      </c>
      <c r="C255" s="362" t="s">
        <v>81</v>
      </c>
      <c r="D255" s="560">
        <v>50067645</v>
      </c>
      <c r="E255" s="560">
        <v>22785318</v>
      </c>
      <c r="F255" s="560">
        <v>72853000</v>
      </c>
      <c r="G255" s="560">
        <f t="shared" si="4"/>
        <v>-37</v>
      </c>
      <c r="H255" s="560">
        <v>6430761</v>
      </c>
      <c r="I255" s="622"/>
      <c r="J255" s="362"/>
    </row>
    <row r="256" spans="1:10" x14ac:dyDescent="0.25">
      <c r="A256" s="362">
        <v>11</v>
      </c>
      <c r="B256" s="364">
        <v>43972</v>
      </c>
      <c r="C256" s="362" t="s">
        <v>79</v>
      </c>
      <c r="D256" s="560">
        <v>105757032</v>
      </c>
      <c r="E256" s="560">
        <v>9147926</v>
      </c>
      <c r="F256" s="560">
        <v>114905000</v>
      </c>
      <c r="G256" s="560">
        <f t="shared" si="4"/>
        <v>-42</v>
      </c>
      <c r="H256" s="560">
        <v>3683541</v>
      </c>
      <c r="I256" s="622"/>
      <c r="J256" s="362"/>
    </row>
    <row r="257" spans="1:10" x14ac:dyDescent="0.25">
      <c r="A257" s="362">
        <v>12</v>
      </c>
      <c r="B257" s="364">
        <v>43972</v>
      </c>
      <c r="C257" s="362" t="s">
        <v>82</v>
      </c>
      <c r="D257" s="560">
        <v>226533733</v>
      </c>
      <c r="E257" s="560">
        <v>11510656</v>
      </c>
      <c r="F257" s="560">
        <v>238044500</v>
      </c>
      <c r="G257" s="560">
        <f t="shared" si="4"/>
        <v>-111</v>
      </c>
      <c r="H257" s="560">
        <v>2652077</v>
      </c>
      <c r="I257" s="622"/>
      <c r="J257" s="362"/>
    </row>
    <row r="258" spans="1:10" x14ac:dyDescent="0.25">
      <c r="A258" s="362">
        <v>13</v>
      </c>
      <c r="B258" s="364">
        <v>43972</v>
      </c>
      <c r="C258" s="362" t="s">
        <v>78</v>
      </c>
      <c r="D258" s="560">
        <v>53086689</v>
      </c>
      <c r="E258" s="560">
        <v>7725911</v>
      </c>
      <c r="F258" s="560">
        <v>60812600</v>
      </c>
      <c r="G258" s="560">
        <f t="shared" si="4"/>
        <v>0</v>
      </c>
      <c r="H258" s="560">
        <v>11204969</v>
      </c>
      <c r="I258" s="622"/>
      <c r="J258" s="362"/>
    </row>
    <row r="259" spans="1:10" x14ac:dyDescent="0.25">
      <c r="A259" s="362">
        <v>14</v>
      </c>
      <c r="B259" s="364">
        <v>43972</v>
      </c>
      <c r="C259" s="362" t="s">
        <v>166</v>
      </c>
      <c r="D259" s="560">
        <v>55490539</v>
      </c>
      <c r="E259" s="560"/>
      <c r="F259" s="560">
        <v>55490500</v>
      </c>
      <c r="G259" s="560">
        <f t="shared" si="4"/>
        <v>39</v>
      </c>
      <c r="H259" s="560"/>
      <c r="I259" s="622"/>
      <c r="J259" s="362"/>
    </row>
    <row r="260" spans="1:10" x14ac:dyDescent="0.25">
      <c r="A260" s="362">
        <v>15</v>
      </c>
      <c r="B260" s="364">
        <v>43972</v>
      </c>
      <c r="C260" s="362" t="s">
        <v>3435</v>
      </c>
      <c r="D260" s="560"/>
      <c r="E260" s="560"/>
      <c r="F260" s="560"/>
      <c r="G260" s="560">
        <f t="shared" si="4"/>
        <v>0</v>
      </c>
      <c r="H260" s="560"/>
      <c r="I260" s="622"/>
      <c r="J260" s="362"/>
    </row>
    <row r="261" spans="1:10" x14ac:dyDescent="0.25">
      <c r="A261" s="530"/>
      <c r="B261" s="589"/>
      <c r="C261" s="530"/>
      <c r="D261" s="530"/>
      <c r="E261" s="530"/>
      <c r="F261" s="530"/>
      <c r="G261" s="562">
        <f t="shared" si="4"/>
        <v>0</v>
      </c>
      <c r="H261" s="530"/>
      <c r="I261" s="623"/>
      <c r="J261" s="530"/>
    </row>
    <row r="262" spans="1:10" x14ac:dyDescent="0.25">
      <c r="A262" s="370">
        <v>1</v>
      </c>
      <c r="B262" s="566">
        <v>43973</v>
      </c>
      <c r="C262" s="370" t="s">
        <v>80</v>
      </c>
      <c r="D262" s="563">
        <v>62046138</v>
      </c>
      <c r="E262" s="563"/>
      <c r="F262" s="563">
        <v>62046200</v>
      </c>
      <c r="G262" s="563">
        <f t="shared" si="4"/>
        <v>-62</v>
      </c>
      <c r="H262" s="563">
        <v>1252434</v>
      </c>
      <c r="I262" s="622"/>
      <c r="J262" s="362"/>
    </row>
    <row r="263" spans="1:10" x14ac:dyDescent="0.25">
      <c r="A263" s="370">
        <v>2</v>
      </c>
      <c r="B263" s="566">
        <v>43973</v>
      </c>
      <c r="C263" s="370" t="s">
        <v>83</v>
      </c>
      <c r="D263" s="563"/>
      <c r="E263" s="563"/>
      <c r="F263" s="563"/>
      <c r="G263" s="563">
        <f t="shared" ref="G263:G325" si="5">D263+E263-F263</f>
        <v>0</v>
      </c>
      <c r="H263" s="563">
        <v>757320</v>
      </c>
      <c r="I263" s="622"/>
      <c r="J263" s="362"/>
    </row>
    <row r="264" spans="1:10" x14ac:dyDescent="0.25">
      <c r="A264" s="370">
        <v>3</v>
      </c>
      <c r="B264" s="566">
        <v>43973</v>
      </c>
      <c r="C264" s="370" t="s">
        <v>88</v>
      </c>
      <c r="D264" s="563">
        <v>90878610</v>
      </c>
      <c r="E264" s="563">
        <v>10559627</v>
      </c>
      <c r="F264" s="563">
        <v>101438300</v>
      </c>
      <c r="G264" s="563">
        <f t="shared" si="5"/>
        <v>-63</v>
      </c>
      <c r="H264" s="563">
        <v>1730127</v>
      </c>
      <c r="I264" s="622"/>
      <c r="J264" s="362"/>
    </row>
    <row r="265" spans="1:10" x14ac:dyDescent="0.25">
      <c r="A265" s="362">
        <v>4</v>
      </c>
      <c r="B265" s="364">
        <v>43973</v>
      </c>
      <c r="C265" s="362" t="s">
        <v>146</v>
      </c>
      <c r="D265" s="560">
        <v>215085480</v>
      </c>
      <c r="E265" s="560">
        <v>101282578</v>
      </c>
      <c r="F265" s="560">
        <v>316367900</v>
      </c>
      <c r="G265" s="560">
        <f t="shared" si="5"/>
        <v>158</v>
      </c>
      <c r="H265" s="560">
        <v>548825</v>
      </c>
      <c r="I265" s="622"/>
      <c r="J265" s="362"/>
    </row>
    <row r="266" spans="1:10" x14ac:dyDescent="0.25">
      <c r="A266" s="370">
        <v>5</v>
      </c>
      <c r="B266" s="566">
        <v>43973</v>
      </c>
      <c r="C266" s="370" t="s">
        <v>86</v>
      </c>
      <c r="D266" s="563">
        <v>76394446</v>
      </c>
      <c r="E266" s="563">
        <v>9921502</v>
      </c>
      <c r="F266" s="563">
        <v>86316100</v>
      </c>
      <c r="G266" s="563">
        <f t="shared" si="5"/>
        <v>-152</v>
      </c>
      <c r="H266" s="563">
        <v>1460723</v>
      </c>
      <c r="I266" s="622"/>
      <c r="J266" s="362"/>
    </row>
    <row r="267" spans="1:10" x14ac:dyDescent="0.25">
      <c r="A267" s="362">
        <v>6</v>
      </c>
      <c r="B267" s="364">
        <v>43973</v>
      </c>
      <c r="C267" s="362" t="s">
        <v>89</v>
      </c>
      <c r="D267" s="560">
        <v>138391570</v>
      </c>
      <c r="E267" s="560">
        <v>6131030</v>
      </c>
      <c r="F267" s="560">
        <v>144522600</v>
      </c>
      <c r="G267" s="560">
        <f t="shared" si="5"/>
        <v>0</v>
      </c>
      <c r="H267" s="560">
        <v>7989683</v>
      </c>
      <c r="I267" s="622"/>
      <c r="J267" s="362"/>
    </row>
    <row r="268" spans="1:10" x14ac:dyDescent="0.25">
      <c r="A268" s="362">
        <v>7</v>
      </c>
      <c r="B268" s="364">
        <v>43973</v>
      </c>
      <c r="C268" s="362" t="s">
        <v>4751</v>
      </c>
      <c r="D268" s="560">
        <v>150141715</v>
      </c>
      <c r="E268" s="560">
        <v>14213585</v>
      </c>
      <c r="F268" s="560">
        <v>164355300</v>
      </c>
      <c r="G268" s="560">
        <f t="shared" si="5"/>
        <v>0</v>
      </c>
      <c r="H268" s="560">
        <v>15152676</v>
      </c>
      <c r="I268" s="622"/>
      <c r="J268" s="362"/>
    </row>
    <row r="269" spans="1:10" x14ac:dyDescent="0.25">
      <c r="A269" s="362">
        <v>8</v>
      </c>
      <c r="B269" s="364">
        <v>43973</v>
      </c>
      <c r="C269" s="362" t="s">
        <v>84</v>
      </c>
      <c r="D269" s="560">
        <v>164814274</v>
      </c>
      <c r="E269" s="560">
        <v>28675828</v>
      </c>
      <c r="F269" s="560">
        <v>193490200</v>
      </c>
      <c r="G269" s="560">
        <f t="shared" si="5"/>
        <v>-98</v>
      </c>
      <c r="H269" s="560">
        <v>3788084</v>
      </c>
      <c r="I269" s="622"/>
      <c r="J269" s="362"/>
    </row>
    <row r="270" spans="1:10" x14ac:dyDescent="0.25">
      <c r="A270" s="362">
        <v>9</v>
      </c>
      <c r="B270" s="364">
        <v>43973</v>
      </c>
      <c r="C270" s="362" t="s">
        <v>85</v>
      </c>
      <c r="D270" s="560">
        <v>33101015</v>
      </c>
      <c r="E270" s="560">
        <v>1694485</v>
      </c>
      <c r="F270" s="560">
        <v>34795500</v>
      </c>
      <c r="G270" s="560">
        <f t="shared" si="5"/>
        <v>0</v>
      </c>
      <c r="H270" s="560">
        <v>2874731</v>
      </c>
      <c r="I270" s="622"/>
      <c r="J270" s="362"/>
    </row>
    <row r="271" spans="1:10" x14ac:dyDescent="0.25">
      <c r="A271" s="362">
        <v>10</v>
      </c>
      <c r="B271" s="364">
        <v>43973</v>
      </c>
      <c r="C271" s="362" t="s">
        <v>81</v>
      </c>
      <c r="D271" s="560">
        <v>167249122</v>
      </c>
      <c r="E271" s="560">
        <v>7505416</v>
      </c>
      <c r="F271" s="560">
        <v>172754600</v>
      </c>
      <c r="G271" s="560">
        <f t="shared" si="5"/>
        <v>1999938</v>
      </c>
      <c r="H271" s="560">
        <v>6430761</v>
      </c>
      <c r="I271" s="622"/>
      <c r="J271" s="362"/>
    </row>
    <row r="272" spans="1:10" x14ac:dyDescent="0.25">
      <c r="A272" s="362">
        <v>11</v>
      </c>
      <c r="B272" s="364">
        <v>43973</v>
      </c>
      <c r="C272" s="362" t="s">
        <v>79</v>
      </c>
      <c r="D272" s="560">
        <v>86149766</v>
      </c>
      <c r="E272" s="560">
        <v>6605034</v>
      </c>
      <c r="F272" s="560">
        <v>92754800</v>
      </c>
      <c r="G272" s="560">
        <f t="shared" si="5"/>
        <v>0</v>
      </c>
      <c r="H272" s="560">
        <v>3186541</v>
      </c>
      <c r="I272" s="622"/>
      <c r="J272" s="362"/>
    </row>
    <row r="273" spans="1:10" x14ac:dyDescent="0.25">
      <c r="A273" s="370">
        <v>12</v>
      </c>
      <c r="B273" s="566">
        <v>43973</v>
      </c>
      <c r="C273" s="370" t="s">
        <v>82</v>
      </c>
      <c r="D273" s="563">
        <v>27810143</v>
      </c>
      <c r="E273" s="563">
        <v>1869651</v>
      </c>
      <c r="F273" s="563">
        <v>29679800</v>
      </c>
      <c r="G273" s="563">
        <f t="shared" si="5"/>
        <v>-6</v>
      </c>
      <c r="H273" s="563">
        <v>2652077</v>
      </c>
      <c r="I273" s="622"/>
      <c r="J273" s="362"/>
    </row>
    <row r="274" spans="1:10" x14ac:dyDescent="0.25">
      <c r="A274" s="362">
        <v>13</v>
      </c>
      <c r="B274" s="364">
        <v>43973</v>
      </c>
      <c r="C274" s="362" t="s">
        <v>78</v>
      </c>
      <c r="D274" s="560">
        <v>90788070</v>
      </c>
      <c r="E274" s="560">
        <v>1103130</v>
      </c>
      <c r="F274" s="560">
        <v>91891200</v>
      </c>
      <c r="G274" s="560">
        <f t="shared" si="5"/>
        <v>0</v>
      </c>
      <c r="H274" s="560">
        <v>9222094</v>
      </c>
      <c r="I274" s="622"/>
      <c r="J274" s="362"/>
    </row>
    <row r="275" spans="1:10" x14ac:dyDescent="0.25">
      <c r="A275" s="362">
        <v>14</v>
      </c>
      <c r="B275" s="364">
        <v>43973</v>
      </c>
      <c r="C275" s="362" t="s">
        <v>166</v>
      </c>
      <c r="D275" s="560"/>
      <c r="E275" s="560"/>
      <c r="F275" s="560"/>
      <c r="G275" s="560">
        <f t="shared" si="5"/>
        <v>0</v>
      </c>
      <c r="H275" s="560"/>
      <c r="I275" s="622"/>
      <c r="J275" s="362"/>
    </row>
    <row r="276" spans="1:10" x14ac:dyDescent="0.25">
      <c r="A276" s="362">
        <v>15</v>
      </c>
      <c r="B276" s="364">
        <v>43973</v>
      </c>
      <c r="C276" s="362" t="s">
        <v>3435</v>
      </c>
      <c r="D276" s="560"/>
      <c r="E276" s="560"/>
      <c r="F276" s="560"/>
      <c r="G276" s="560">
        <f t="shared" si="5"/>
        <v>0</v>
      </c>
      <c r="H276" s="560"/>
      <c r="I276" s="622"/>
      <c r="J276" s="362"/>
    </row>
    <row r="277" spans="1:10" x14ac:dyDescent="0.25">
      <c r="A277" s="530"/>
      <c r="B277" s="589"/>
      <c r="C277" s="530"/>
      <c r="D277" s="562"/>
      <c r="E277" s="562"/>
      <c r="F277" s="562"/>
      <c r="G277" s="562">
        <f t="shared" si="5"/>
        <v>0</v>
      </c>
      <c r="H277" s="562"/>
      <c r="I277" s="623"/>
      <c r="J277" s="530"/>
    </row>
    <row r="278" spans="1:10" x14ac:dyDescent="0.25">
      <c r="A278" s="362">
        <v>1</v>
      </c>
      <c r="B278" s="364">
        <v>43978</v>
      </c>
      <c r="C278" s="362" t="s">
        <v>80</v>
      </c>
      <c r="D278" s="560">
        <v>183553530</v>
      </c>
      <c r="E278" s="560"/>
      <c r="F278" s="560">
        <v>183553500</v>
      </c>
      <c r="G278" s="560">
        <f t="shared" si="5"/>
        <v>30</v>
      </c>
      <c r="H278" s="560">
        <v>38000000</v>
      </c>
      <c r="I278" s="622"/>
      <c r="J278" s="362"/>
    </row>
    <row r="279" spans="1:10" x14ac:dyDescent="0.25">
      <c r="A279" s="362">
        <v>2</v>
      </c>
      <c r="B279" s="364">
        <v>43978</v>
      </c>
      <c r="C279" s="362" t="s">
        <v>83</v>
      </c>
      <c r="D279" s="560">
        <v>269860055</v>
      </c>
      <c r="E279" s="560">
        <v>2901250</v>
      </c>
      <c r="F279" s="560">
        <v>272761400</v>
      </c>
      <c r="G279" s="560">
        <f t="shared" si="5"/>
        <v>-95</v>
      </c>
      <c r="H279" s="560">
        <v>17086898</v>
      </c>
      <c r="I279" s="622"/>
      <c r="J279" s="362"/>
    </row>
    <row r="280" spans="1:10" x14ac:dyDescent="0.25">
      <c r="A280" s="362">
        <v>3</v>
      </c>
      <c r="B280" s="364">
        <v>43978</v>
      </c>
      <c r="C280" s="362" t="s">
        <v>88</v>
      </c>
      <c r="D280" s="560">
        <v>179623682</v>
      </c>
      <c r="E280" s="560">
        <v>25843115</v>
      </c>
      <c r="F280" s="560">
        <v>205466900</v>
      </c>
      <c r="G280" s="560">
        <f t="shared" si="5"/>
        <v>-103</v>
      </c>
      <c r="H280" s="560">
        <v>2180465</v>
      </c>
      <c r="I280" s="622"/>
      <c r="J280" s="362"/>
    </row>
    <row r="281" spans="1:10" x14ac:dyDescent="0.25">
      <c r="A281" s="362">
        <v>4</v>
      </c>
      <c r="B281" s="364">
        <v>43978</v>
      </c>
      <c r="C281" s="362" t="s">
        <v>146</v>
      </c>
      <c r="D281" s="560">
        <v>60870714</v>
      </c>
      <c r="E281" s="560">
        <v>4337404</v>
      </c>
      <c r="F281" s="560">
        <v>65208200</v>
      </c>
      <c r="G281" s="560">
        <f t="shared" si="5"/>
        <v>-82</v>
      </c>
      <c r="H281" s="560">
        <v>18626720</v>
      </c>
      <c r="I281" s="622"/>
      <c r="J281" s="362"/>
    </row>
    <row r="282" spans="1:10" x14ac:dyDescent="0.25">
      <c r="A282" s="362">
        <v>5</v>
      </c>
      <c r="B282" s="364">
        <v>43978</v>
      </c>
      <c r="C282" s="362" t="s">
        <v>86</v>
      </c>
      <c r="D282" s="560">
        <v>61422145</v>
      </c>
      <c r="E282" s="560">
        <v>14582554</v>
      </c>
      <c r="F282" s="560">
        <v>76004700</v>
      </c>
      <c r="G282" s="560">
        <f t="shared" si="5"/>
        <v>-1</v>
      </c>
      <c r="H282" s="560">
        <v>8193721</v>
      </c>
      <c r="I282" s="622"/>
      <c r="J282" s="362"/>
    </row>
    <row r="283" spans="1:10" x14ac:dyDescent="0.25">
      <c r="A283" s="362">
        <v>6</v>
      </c>
      <c r="B283" s="364">
        <v>43978</v>
      </c>
      <c r="C283" s="362" t="s">
        <v>89</v>
      </c>
      <c r="D283" s="560">
        <v>99424350</v>
      </c>
      <c r="E283" s="560">
        <v>5031350</v>
      </c>
      <c r="F283" s="560">
        <v>104455700</v>
      </c>
      <c r="G283" s="560">
        <f t="shared" si="5"/>
        <v>0</v>
      </c>
      <c r="H283" s="560">
        <v>18252032</v>
      </c>
      <c r="I283" s="622"/>
      <c r="J283" s="362"/>
    </row>
    <row r="284" spans="1:10" x14ac:dyDescent="0.25">
      <c r="A284" s="362">
        <v>7</v>
      </c>
      <c r="B284" s="364">
        <v>43978</v>
      </c>
      <c r="C284" s="362" t="s">
        <v>4751</v>
      </c>
      <c r="D284" s="560">
        <v>68427955</v>
      </c>
      <c r="E284" s="560">
        <v>7141945</v>
      </c>
      <c r="F284" s="560">
        <v>75569900</v>
      </c>
      <c r="G284" s="560">
        <f t="shared" si="5"/>
        <v>0</v>
      </c>
      <c r="H284" s="560">
        <v>19369608</v>
      </c>
      <c r="I284" s="622"/>
      <c r="J284" s="362"/>
    </row>
    <row r="285" spans="1:10" x14ac:dyDescent="0.25">
      <c r="A285" s="362">
        <v>8</v>
      </c>
      <c r="B285" s="364">
        <v>43978</v>
      </c>
      <c r="C285" s="362" t="s">
        <v>84</v>
      </c>
      <c r="D285" s="560">
        <v>228839491</v>
      </c>
      <c r="E285" s="560">
        <v>4441450</v>
      </c>
      <c r="F285" s="560">
        <v>233280900</v>
      </c>
      <c r="G285" s="560">
        <f t="shared" si="5"/>
        <v>41</v>
      </c>
      <c r="H285" s="560">
        <v>3788084</v>
      </c>
      <c r="I285" s="622"/>
      <c r="J285" s="362"/>
    </row>
    <row r="286" spans="1:10" x14ac:dyDescent="0.25">
      <c r="A286" s="362">
        <v>9</v>
      </c>
      <c r="B286" s="364">
        <v>43978</v>
      </c>
      <c r="C286" s="362" t="s">
        <v>85</v>
      </c>
      <c r="D286" s="560">
        <v>67353762</v>
      </c>
      <c r="E286" s="560">
        <v>2661738</v>
      </c>
      <c r="F286" s="560">
        <v>70015500</v>
      </c>
      <c r="G286" s="560">
        <f t="shared" si="5"/>
        <v>0</v>
      </c>
      <c r="H286" s="560">
        <v>2874731</v>
      </c>
      <c r="I286" s="622"/>
      <c r="J286" s="362"/>
    </row>
    <row r="287" spans="1:10" x14ac:dyDescent="0.25">
      <c r="A287" s="362">
        <v>10</v>
      </c>
      <c r="B287" s="364">
        <v>43978</v>
      </c>
      <c r="C287" s="362" t="s">
        <v>81</v>
      </c>
      <c r="D287" s="560">
        <v>50279766</v>
      </c>
      <c r="E287" s="560">
        <v>7596765</v>
      </c>
      <c r="F287" s="560">
        <v>57876600</v>
      </c>
      <c r="G287" s="560">
        <f t="shared" si="5"/>
        <v>-69</v>
      </c>
      <c r="H287" s="560">
        <v>19253896</v>
      </c>
      <c r="I287" s="622"/>
      <c r="J287" s="362"/>
    </row>
    <row r="288" spans="1:10" x14ac:dyDescent="0.25">
      <c r="A288" s="362">
        <v>11</v>
      </c>
      <c r="B288" s="364">
        <v>43978</v>
      </c>
      <c r="C288" s="362" t="s">
        <v>79</v>
      </c>
      <c r="D288" s="560">
        <v>68738045</v>
      </c>
      <c r="E288" s="560">
        <v>1982786</v>
      </c>
      <c r="F288" s="560">
        <v>70720900</v>
      </c>
      <c r="G288" s="560">
        <f t="shared" si="5"/>
        <v>-69</v>
      </c>
      <c r="H288" s="560">
        <v>5425171</v>
      </c>
      <c r="I288" s="622"/>
      <c r="J288" s="362"/>
    </row>
    <row r="289" spans="1:10" x14ac:dyDescent="0.25">
      <c r="A289" s="362">
        <v>12</v>
      </c>
      <c r="B289" s="364">
        <v>43978</v>
      </c>
      <c r="C289" s="362" t="s">
        <v>82</v>
      </c>
      <c r="D289" s="560">
        <v>53831594</v>
      </c>
      <c r="E289" s="560">
        <v>3990295</v>
      </c>
      <c r="F289" s="560">
        <v>57821900</v>
      </c>
      <c r="G289" s="560">
        <f t="shared" si="5"/>
        <v>-11</v>
      </c>
      <c r="H289" s="560">
        <v>2652077</v>
      </c>
      <c r="I289" s="622"/>
      <c r="J289" s="362"/>
    </row>
    <row r="290" spans="1:10" x14ac:dyDescent="0.25">
      <c r="A290" s="362">
        <v>13</v>
      </c>
      <c r="B290" s="364">
        <v>43978</v>
      </c>
      <c r="C290" s="362" t="s">
        <v>78</v>
      </c>
      <c r="D290" s="560">
        <v>120673015</v>
      </c>
      <c r="E290" s="560">
        <v>2614585</v>
      </c>
      <c r="F290" s="560">
        <v>123287600</v>
      </c>
      <c r="G290" s="560">
        <f t="shared" si="5"/>
        <v>0</v>
      </c>
      <c r="H290" s="560">
        <v>17872723</v>
      </c>
      <c r="I290" s="622"/>
      <c r="J290" s="362"/>
    </row>
    <row r="291" spans="1:10" x14ac:dyDescent="0.25">
      <c r="A291" s="362">
        <v>14</v>
      </c>
      <c r="B291" s="364">
        <v>43978</v>
      </c>
      <c r="C291" s="362" t="s">
        <v>166</v>
      </c>
      <c r="D291" s="560">
        <v>48332847</v>
      </c>
      <c r="E291" s="560"/>
      <c r="F291" s="560">
        <v>48332900</v>
      </c>
      <c r="G291" s="560">
        <f t="shared" si="5"/>
        <v>-53</v>
      </c>
      <c r="H291" s="560"/>
      <c r="I291" s="622"/>
      <c r="J291" s="362"/>
    </row>
    <row r="292" spans="1:10" x14ac:dyDescent="0.25">
      <c r="A292" s="362">
        <v>15</v>
      </c>
      <c r="B292" s="364">
        <v>43978</v>
      </c>
      <c r="C292" s="362" t="s">
        <v>3435</v>
      </c>
      <c r="D292" s="560"/>
      <c r="E292" s="560"/>
      <c r="F292" s="560"/>
      <c r="G292" s="560">
        <f t="shared" si="5"/>
        <v>0</v>
      </c>
      <c r="H292" s="560"/>
      <c r="I292" s="622"/>
      <c r="J292" s="362"/>
    </row>
    <row r="293" spans="1:10" x14ac:dyDescent="0.25">
      <c r="A293" s="530"/>
      <c r="B293" s="589"/>
      <c r="C293" s="530"/>
      <c r="D293" s="562"/>
      <c r="E293" s="562"/>
      <c r="F293" s="562"/>
      <c r="G293" s="562">
        <f t="shared" si="5"/>
        <v>0</v>
      </c>
      <c r="H293" s="562"/>
      <c r="I293" s="623"/>
      <c r="J293" s="530"/>
    </row>
    <row r="294" spans="1:10" x14ac:dyDescent="0.25">
      <c r="A294" s="362">
        <v>1</v>
      </c>
      <c r="B294" s="364">
        <v>43979</v>
      </c>
      <c r="C294" s="362" t="s">
        <v>80</v>
      </c>
      <c r="D294" s="560">
        <v>204292799</v>
      </c>
      <c r="E294" s="560">
        <v>403100</v>
      </c>
      <c r="F294" s="560">
        <v>204695900</v>
      </c>
      <c r="G294" s="560">
        <f t="shared" si="5"/>
        <v>-1</v>
      </c>
      <c r="H294" s="560">
        <v>20328351</v>
      </c>
      <c r="I294" s="622"/>
      <c r="J294" s="362"/>
    </row>
    <row r="295" spans="1:10" x14ac:dyDescent="0.25">
      <c r="A295" s="362">
        <v>2</v>
      </c>
      <c r="B295" s="364">
        <v>43979</v>
      </c>
      <c r="C295" s="362" t="s">
        <v>83</v>
      </c>
      <c r="D295" s="560">
        <v>501838932</v>
      </c>
      <c r="E295" s="560">
        <v>1877125</v>
      </c>
      <c r="F295" s="560">
        <v>503716100</v>
      </c>
      <c r="G295" s="560">
        <f t="shared" si="5"/>
        <v>-43</v>
      </c>
      <c r="H295" s="560">
        <v>16212868</v>
      </c>
      <c r="I295" s="622"/>
      <c r="J295" s="362"/>
    </row>
    <row r="296" spans="1:10" x14ac:dyDescent="0.25">
      <c r="A296" s="362">
        <v>3</v>
      </c>
      <c r="B296" s="364">
        <v>43979</v>
      </c>
      <c r="C296" s="362" t="s">
        <v>88</v>
      </c>
      <c r="D296" s="560">
        <v>406161001</v>
      </c>
      <c r="E296" s="560">
        <v>14720299</v>
      </c>
      <c r="F296" s="560">
        <v>420881300</v>
      </c>
      <c r="G296" s="560">
        <f t="shared" si="5"/>
        <v>0</v>
      </c>
      <c r="H296" s="560">
        <v>2180465</v>
      </c>
      <c r="I296" s="622"/>
      <c r="J296" s="362"/>
    </row>
    <row r="297" spans="1:10" x14ac:dyDescent="0.25">
      <c r="A297" s="362">
        <v>4</v>
      </c>
      <c r="B297" s="364">
        <v>43979</v>
      </c>
      <c r="C297" s="362" t="s">
        <v>146</v>
      </c>
      <c r="D297" s="560">
        <v>121431422</v>
      </c>
      <c r="E297" s="560">
        <v>116039677</v>
      </c>
      <c r="F297" s="560">
        <v>237471100</v>
      </c>
      <c r="G297" s="560">
        <f t="shared" si="5"/>
        <v>-1</v>
      </c>
      <c r="H297" s="560">
        <v>14949220</v>
      </c>
      <c r="I297" s="622"/>
      <c r="J297" s="362"/>
    </row>
    <row r="298" spans="1:10" x14ac:dyDescent="0.25">
      <c r="A298" s="362">
        <v>5</v>
      </c>
      <c r="B298" s="364">
        <v>43979</v>
      </c>
      <c r="C298" s="362" t="s">
        <v>86</v>
      </c>
      <c r="D298" s="560">
        <v>144050425</v>
      </c>
      <c r="E298" s="560">
        <v>185045097</v>
      </c>
      <c r="F298" s="560">
        <v>329095800</v>
      </c>
      <c r="G298" s="560">
        <f t="shared" si="5"/>
        <v>-278</v>
      </c>
      <c r="H298" s="560">
        <v>4669978</v>
      </c>
      <c r="I298" s="622"/>
      <c r="J298" s="362"/>
    </row>
    <row r="299" spans="1:10" x14ac:dyDescent="0.25">
      <c r="A299" s="362">
        <v>6</v>
      </c>
      <c r="B299" s="364">
        <v>43979</v>
      </c>
      <c r="C299" s="362" t="s">
        <v>89</v>
      </c>
      <c r="D299" s="560">
        <v>158027005</v>
      </c>
      <c r="E299" s="560">
        <v>1263995</v>
      </c>
      <c r="F299" s="560">
        <v>159291000</v>
      </c>
      <c r="G299" s="560">
        <f t="shared" si="5"/>
        <v>0</v>
      </c>
      <c r="H299" s="560">
        <v>15104912</v>
      </c>
      <c r="I299" s="622"/>
      <c r="J299" s="362"/>
    </row>
    <row r="300" spans="1:10" x14ac:dyDescent="0.25">
      <c r="A300" s="362">
        <v>7</v>
      </c>
      <c r="B300" s="364">
        <v>43979</v>
      </c>
      <c r="C300" s="362" t="s">
        <v>4751</v>
      </c>
      <c r="D300" s="560">
        <v>157843274</v>
      </c>
      <c r="E300" s="560">
        <v>6872426</v>
      </c>
      <c r="F300" s="560">
        <v>164715700</v>
      </c>
      <c r="G300" s="560">
        <f t="shared" si="5"/>
        <v>0</v>
      </c>
      <c r="H300" s="560">
        <v>17078037</v>
      </c>
      <c r="I300" s="622"/>
      <c r="J300" s="362"/>
    </row>
    <row r="301" spans="1:10" x14ac:dyDescent="0.25">
      <c r="A301" s="362">
        <v>8</v>
      </c>
      <c r="B301" s="364">
        <v>43979</v>
      </c>
      <c r="C301" s="362" t="s">
        <v>84</v>
      </c>
      <c r="D301" s="560">
        <v>221860992</v>
      </c>
      <c r="E301" s="560">
        <v>11089176</v>
      </c>
      <c r="F301" s="560">
        <v>232948900</v>
      </c>
      <c r="G301" s="560">
        <f t="shared" si="5"/>
        <v>1268</v>
      </c>
      <c r="H301" s="560">
        <v>21272818</v>
      </c>
      <c r="I301" s="622"/>
      <c r="J301" s="362"/>
    </row>
    <row r="302" spans="1:10" x14ac:dyDescent="0.25">
      <c r="A302" s="362">
        <v>9</v>
      </c>
      <c r="B302" s="364">
        <v>43979</v>
      </c>
      <c r="C302" s="362" t="s">
        <v>85</v>
      </c>
      <c r="D302" s="560">
        <v>36021218</v>
      </c>
      <c r="E302" s="560">
        <v>1403382</v>
      </c>
      <c r="F302" s="560">
        <v>37424600</v>
      </c>
      <c r="G302" s="560">
        <f t="shared" si="5"/>
        <v>0</v>
      </c>
      <c r="H302" s="560">
        <v>2874731</v>
      </c>
      <c r="I302" s="622"/>
      <c r="J302" s="362"/>
    </row>
    <row r="303" spans="1:10" x14ac:dyDescent="0.25">
      <c r="A303" s="362">
        <v>10</v>
      </c>
      <c r="B303" s="364">
        <v>43979</v>
      </c>
      <c r="C303" s="362" t="s">
        <v>81</v>
      </c>
      <c r="D303" s="560">
        <v>139841926</v>
      </c>
      <c r="E303" s="560">
        <v>31286833</v>
      </c>
      <c r="F303" s="560">
        <v>171128800</v>
      </c>
      <c r="G303" s="560">
        <f t="shared" si="5"/>
        <v>-41</v>
      </c>
      <c r="H303" s="560">
        <v>14043746</v>
      </c>
      <c r="I303" s="622"/>
      <c r="J303" s="362"/>
    </row>
    <row r="304" spans="1:10" x14ac:dyDescent="0.25">
      <c r="A304" s="362">
        <v>11</v>
      </c>
      <c r="B304" s="364">
        <v>43979</v>
      </c>
      <c r="C304" s="362" t="s">
        <v>79</v>
      </c>
      <c r="D304" s="560">
        <v>114333807</v>
      </c>
      <c r="E304" s="560">
        <v>1844836</v>
      </c>
      <c r="F304" s="560">
        <v>116178700</v>
      </c>
      <c r="G304" s="560">
        <f t="shared" si="5"/>
        <v>-57</v>
      </c>
      <c r="H304" s="560">
        <v>3621221</v>
      </c>
      <c r="I304" s="622"/>
      <c r="J304" s="362"/>
    </row>
    <row r="305" spans="1:10" x14ac:dyDescent="0.25">
      <c r="A305" s="362">
        <v>12</v>
      </c>
      <c r="B305" s="364">
        <v>43979</v>
      </c>
      <c r="C305" s="362" t="s">
        <v>82</v>
      </c>
      <c r="D305" s="560">
        <v>83108800</v>
      </c>
      <c r="E305" s="560"/>
      <c r="F305" s="560">
        <v>83108900</v>
      </c>
      <c r="G305" s="560">
        <f t="shared" si="5"/>
        <v>-100</v>
      </c>
      <c r="H305" s="560">
        <v>9075977</v>
      </c>
      <c r="I305" s="622"/>
      <c r="J305" s="362"/>
    </row>
    <row r="306" spans="1:10" x14ac:dyDescent="0.25">
      <c r="A306" s="362">
        <v>13</v>
      </c>
      <c r="B306" s="364">
        <v>43979</v>
      </c>
      <c r="C306" s="362" t="s">
        <v>78</v>
      </c>
      <c r="D306" s="560">
        <v>185556400</v>
      </c>
      <c r="E306" s="560">
        <v>1277000</v>
      </c>
      <c r="F306" s="560">
        <v>186833400</v>
      </c>
      <c r="G306" s="560">
        <f t="shared" si="5"/>
        <v>0</v>
      </c>
      <c r="H306" s="560">
        <v>13362433</v>
      </c>
      <c r="I306" s="622"/>
      <c r="J306" s="362"/>
    </row>
    <row r="307" spans="1:10" x14ac:dyDescent="0.25">
      <c r="A307" s="362">
        <v>14</v>
      </c>
      <c r="B307" s="364">
        <v>43979</v>
      </c>
      <c r="C307" s="362" t="s">
        <v>166</v>
      </c>
      <c r="D307" s="560">
        <v>87248322</v>
      </c>
      <c r="E307" s="560"/>
      <c r="F307" s="560">
        <v>87248400</v>
      </c>
      <c r="G307" s="560">
        <f t="shared" si="5"/>
        <v>-78</v>
      </c>
      <c r="H307" s="560"/>
      <c r="I307" s="622"/>
      <c r="J307" s="362"/>
    </row>
    <row r="308" spans="1:10" x14ac:dyDescent="0.25">
      <c r="A308" s="362">
        <v>15</v>
      </c>
      <c r="B308" s="364">
        <v>43979</v>
      </c>
      <c r="C308" s="362" t="s">
        <v>3435</v>
      </c>
      <c r="D308" s="560"/>
      <c r="E308" s="560"/>
      <c r="F308" s="560"/>
      <c r="G308" s="560">
        <f t="shared" si="5"/>
        <v>0</v>
      </c>
      <c r="H308" s="560"/>
      <c r="I308" s="622"/>
      <c r="J308" s="362"/>
    </row>
    <row r="309" spans="1:10" x14ac:dyDescent="0.25">
      <c r="A309" s="530"/>
      <c r="B309" s="589"/>
      <c r="C309" s="530"/>
      <c r="D309" s="562"/>
      <c r="E309" s="562"/>
      <c r="F309" s="562"/>
      <c r="G309" s="562">
        <f t="shared" si="5"/>
        <v>0</v>
      </c>
      <c r="H309" s="562"/>
      <c r="I309" s="623"/>
      <c r="J309" s="530"/>
    </row>
    <row r="310" spans="1:10" x14ac:dyDescent="0.25">
      <c r="A310" s="362">
        <v>1</v>
      </c>
      <c r="B310" s="364">
        <v>43980</v>
      </c>
      <c r="C310" s="362" t="s">
        <v>80</v>
      </c>
      <c r="D310" s="560">
        <v>186056591</v>
      </c>
      <c r="E310" s="560">
        <v>42173029</v>
      </c>
      <c r="F310" s="560">
        <v>228229600</v>
      </c>
      <c r="G310" s="560">
        <f t="shared" si="5"/>
        <v>20</v>
      </c>
      <c r="H310" s="560">
        <v>20328951</v>
      </c>
      <c r="I310" s="622"/>
      <c r="J310" s="362"/>
    </row>
    <row r="311" spans="1:10" x14ac:dyDescent="0.25">
      <c r="A311" s="362">
        <v>2</v>
      </c>
      <c r="B311" s="364">
        <v>43980</v>
      </c>
      <c r="C311" s="362" t="s">
        <v>83</v>
      </c>
      <c r="D311" s="560">
        <v>336641269</v>
      </c>
      <c r="E311" s="560">
        <v>568250</v>
      </c>
      <c r="F311" s="560">
        <v>337209600</v>
      </c>
      <c r="G311" s="560">
        <f t="shared" si="5"/>
        <v>-81</v>
      </c>
      <c r="H311" s="560">
        <v>14844368</v>
      </c>
      <c r="I311" s="622"/>
      <c r="J311" s="362"/>
    </row>
    <row r="312" spans="1:10" x14ac:dyDescent="0.25">
      <c r="A312" s="362">
        <v>3</v>
      </c>
      <c r="B312" s="364">
        <v>43980</v>
      </c>
      <c r="C312" s="362" t="s">
        <v>88</v>
      </c>
      <c r="D312" s="560">
        <v>352787259</v>
      </c>
      <c r="E312" s="560">
        <v>141917770</v>
      </c>
      <c r="F312" s="560">
        <v>494705100</v>
      </c>
      <c r="G312" s="560">
        <f t="shared" si="5"/>
        <v>-71</v>
      </c>
      <c r="H312" s="560">
        <v>4152674</v>
      </c>
      <c r="I312" s="622"/>
      <c r="J312" s="362"/>
    </row>
    <row r="313" spans="1:10" x14ac:dyDescent="0.25">
      <c r="A313" s="362">
        <v>4</v>
      </c>
      <c r="B313" s="364">
        <v>43980</v>
      </c>
      <c r="C313" s="362" t="s">
        <v>146</v>
      </c>
      <c r="D313" s="560">
        <v>180477895</v>
      </c>
      <c r="E313" s="560">
        <v>166118294</v>
      </c>
      <c r="F313" s="560">
        <v>346596300</v>
      </c>
      <c r="G313" s="560">
        <f t="shared" si="5"/>
        <v>-111</v>
      </c>
      <c r="H313" s="560">
        <v>10698578</v>
      </c>
      <c r="I313" s="622"/>
      <c r="J313" s="362"/>
    </row>
    <row r="314" spans="1:10" x14ac:dyDescent="0.25">
      <c r="A314" s="362">
        <v>5</v>
      </c>
      <c r="B314" s="364">
        <v>43980</v>
      </c>
      <c r="C314" s="362" t="s">
        <v>86</v>
      </c>
      <c r="D314" s="560">
        <v>38628178</v>
      </c>
      <c r="E314" s="560">
        <v>44375610</v>
      </c>
      <c r="F314" s="560">
        <v>83003700</v>
      </c>
      <c r="G314" s="560">
        <f t="shared" si="5"/>
        <v>88</v>
      </c>
      <c r="H314" s="560">
        <v>4474978</v>
      </c>
      <c r="I314" s="622"/>
      <c r="J314" s="362"/>
    </row>
    <row r="315" spans="1:10" x14ac:dyDescent="0.25">
      <c r="A315" s="362">
        <v>6</v>
      </c>
      <c r="B315" s="364">
        <v>43980</v>
      </c>
      <c r="C315" s="362" t="s">
        <v>89</v>
      </c>
      <c r="D315" s="560">
        <v>209502771</v>
      </c>
      <c r="E315" s="560">
        <v>3205629</v>
      </c>
      <c r="F315" s="560">
        <v>212708400</v>
      </c>
      <c r="G315" s="560">
        <f t="shared" si="5"/>
        <v>0</v>
      </c>
      <c r="H315" s="560">
        <v>12283022</v>
      </c>
      <c r="I315" s="622"/>
      <c r="J315" s="362"/>
    </row>
    <row r="316" spans="1:10" x14ac:dyDescent="0.25">
      <c r="A316" s="362">
        <v>7</v>
      </c>
      <c r="B316" s="364">
        <v>43980</v>
      </c>
      <c r="C316" s="362" t="s">
        <v>4751</v>
      </c>
      <c r="D316" s="560">
        <v>126141102</v>
      </c>
      <c r="E316" s="560">
        <v>9586098</v>
      </c>
      <c r="F316" s="560">
        <v>135727200</v>
      </c>
      <c r="G316" s="560">
        <f t="shared" si="5"/>
        <v>0</v>
      </c>
      <c r="H316" s="560">
        <v>14570937</v>
      </c>
      <c r="I316" s="622"/>
      <c r="J316" s="362"/>
    </row>
    <row r="317" spans="1:10" x14ac:dyDescent="0.25">
      <c r="A317" s="362">
        <v>8</v>
      </c>
      <c r="B317" s="364">
        <v>43980</v>
      </c>
      <c r="C317" s="362" t="s">
        <v>84</v>
      </c>
      <c r="D317" s="560">
        <v>276487929</v>
      </c>
      <c r="E317" s="560">
        <v>8272807</v>
      </c>
      <c r="F317" s="560">
        <v>284760800</v>
      </c>
      <c r="G317" s="560">
        <f t="shared" si="5"/>
        <v>-64</v>
      </c>
      <c r="H317" s="560">
        <v>21272818</v>
      </c>
      <c r="I317" s="622"/>
      <c r="J317" s="362"/>
    </row>
    <row r="318" spans="1:10" x14ac:dyDescent="0.25">
      <c r="A318" s="362">
        <v>9</v>
      </c>
      <c r="B318" s="364">
        <v>43980</v>
      </c>
      <c r="C318" s="362" t="s">
        <v>85</v>
      </c>
      <c r="D318" s="560">
        <v>25504650</v>
      </c>
      <c r="E318" s="560">
        <v>2443250</v>
      </c>
      <c r="F318" s="560">
        <v>27947900</v>
      </c>
      <c r="G318" s="560">
        <f t="shared" si="5"/>
        <v>0</v>
      </c>
      <c r="H318" s="560">
        <v>3995116</v>
      </c>
      <c r="I318" s="622"/>
      <c r="J318" s="362"/>
    </row>
    <row r="319" spans="1:10" x14ac:dyDescent="0.25">
      <c r="A319" s="362">
        <v>10</v>
      </c>
      <c r="B319" s="364">
        <v>43980</v>
      </c>
      <c r="C319" s="362" t="s">
        <v>81</v>
      </c>
      <c r="D319" s="560">
        <v>107662581</v>
      </c>
      <c r="E319" s="560">
        <v>12005550</v>
      </c>
      <c r="F319" s="560">
        <v>119668200</v>
      </c>
      <c r="G319" s="560">
        <f t="shared" si="5"/>
        <v>-69</v>
      </c>
      <c r="H319" s="560">
        <v>10086849</v>
      </c>
      <c r="I319" s="622"/>
      <c r="J319" s="362"/>
    </row>
    <row r="320" spans="1:10" x14ac:dyDescent="0.25">
      <c r="A320" s="362">
        <v>11</v>
      </c>
      <c r="B320" s="364">
        <v>43980</v>
      </c>
      <c r="C320" s="362" t="s">
        <v>79</v>
      </c>
      <c r="D320" s="560">
        <v>92879574</v>
      </c>
      <c r="E320" s="560">
        <v>350117</v>
      </c>
      <c r="F320" s="560">
        <v>93230700</v>
      </c>
      <c r="G320" s="560">
        <f t="shared" si="5"/>
        <v>-1009</v>
      </c>
      <c r="H320" s="560">
        <v>3130221</v>
      </c>
      <c r="I320" s="622"/>
      <c r="J320" s="362"/>
    </row>
    <row r="321" spans="1:10" x14ac:dyDescent="0.25">
      <c r="A321" s="362">
        <v>12</v>
      </c>
      <c r="B321" s="364">
        <v>43980</v>
      </c>
      <c r="C321" s="362" t="s">
        <v>82</v>
      </c>
      <c r="D321" s="560">
        <v>64384677</v>
      </c>
      <c r="E321" s="560">
        <v>2906208</v>
      </c>
      <c r="F321" s="560">
        <v>67290900</v>
      </c>
      <c r="G321" s="560">
        <f t="shared" si="5"/>
        <v>-15</v>
      </c>
      <c r="H321" s="560">
        <v>8866477</v>
      </c>
      <c r="I321" s="622"/>
      <c r="J321" s="362"/>
    </row>
    <row r="322" spans="1:10" x14ac:dyDescent="0.25">
      <c r="A322" s="362">
        <v>13</v>
      </c>
      <c r="B322" s="364">
        <v>43980</v>
      </c>
      <c r="C322" s="362" t="s">
        <v>78</v>
      </c>
      <c r="D322" s="560">
        <v>219737374</v>
      </c>
      <c r="E322" s="560">
        <v>1396726</v>
      </c>
      <c r="F322" s="560">
        <v>221134100</v>
      </c>
      <c r="G322" s="560">
        <f t="shared" si="5"/>
        <v>0</v>
      </c>
      <c r="H322" s="560">
        <v>12906533</v>
      </c>
      <c r="I322" s="622"/>
      <c r="J322" s="362"/>
    </row>
    <row r="323" spans="1:10" x14ac:dyDescent="0.25">
      <c r="A323" s="362">
        <v>14</v>
      </c>
      <c r="B323" s="364">
        <v>43980</v>
      </c>
      <c r="C323" s="362" t="s">
        <v>166</v>
      </c>
      <c r="D323" s="560">
        <v>48076129</v>
      </c>
      <c r="E323" s="560"/>
      <c r="F323" s="560">
        <v>48076200</v>
      </c>
      <c r="G323" s="560">
        <f t="shared" si="5"/>
        <v>-71</v>
      </c>
      <c r="H323" s="560"/>
      <c r="I323" s="622"/>
      <c r="J323" s="362"/>
    </row>
    <row r="324" spans="1:10" x14ac:dyDescent="0.25">
      <c r="A324" s="362">
        <v>15</v>
      </c>
      <c r="B324" s="364">
        <v>43980</v>
      </c>
      <c r="C324" s="362" t="s">
        <v>3435</v>
      </c>
      <c r="D324" s="560"/>
      <c r="E324" s="560"/>
      <c r="F324" s="560"/>
      <c r="G324" s="560">
        <f t="shared" si="5"/>
        <v>0</v>
      </c>
      <c r="H324" s="560"/>
      <c r="I324" s="622"/>
      <c r="J324" s="362"/>
    </row>
    <row r="325" spans="1:10" x14ac:dyDescent="0.25">
      <c r="A325" s="530"/>
      <c r="B325" s="589"/>
      <c r="C325" s="530"/>
      <c r="D325" s="562"/>
      <c r="E325" s="562"/>
      <c r="F325" s="562"/>
      <c r="G325" s="562">
        <f t="shared" si="5"/>
        <v>0</v>
      </c>
      <c r="H325" s="562"/>
      <c r="I325" s="623"/>
      <c r="J325" s="530"/>
    </row>
    <row r="326" spans="1:10" x14ac:dyDescent="0.25">
      <c r="A326" s="362">
        <v>1</v>
      </c>
      <c r="B326" s="364">
        <v>43981</v>
      </c>
      <c r="C326" s="362" t="s">
        <v>80</v>
      </c>
      <c r="D326" s="560">
        <v>300342649</v>
      </c>
      <c r="E326" s="560">
        <v>1895651</v>
      </c>
      <c r="F326" s="560">
        <v>301673300</v>
      </c>
      <c r="G326" s="560">
        <f>D326+E326-F326</f>
        <v>565000</v>
      </c>
      <c r="H326" s="560">
        <v>20328351</v>
      </c>
      <c r="I326" s="622"/>
      <c r="J326" s="362"/>
    </row>
    <row r="327" spans="1:10" x14ac:dyDescent="0.25">
      <c r="A327" s="362">
        <v>2</v>
      </c>
      <c r="B327" s="364">
        <v>43981</v>
      </c>
      <c r="C327" s="362" t="s">
        <v>83</v>
      </c>
      <c r="D327" s="560">
        <v>348913083</v>
      </c>
      <c r="E327" s="560">
        <v>28870356</v>
      </c>
      <c r="F327" s="560">
        <v>377783500</v>
      </c>
      <c r="G327" s="560">
        <f t="shared" ref="G327:G390" si="6">D327+E327-F327</f>
        <v>-61</v>
      </c>
      <c r="H327" s="560">
        <v>8800559</v>
      </c>
      <c r="I327" s="622"/>
      <c r="J327" s="362"/>
    </row>
    <row r="328" spans="1:10" x14ac:dyDescent="0.25">
      <c r="A328" s="362">
        <v>3</v>
      </c>
      <c r="B328" s="364">
        <v>43981</v>
      </c>
      <c r="C328" s="362" t="s">
        <v>88</v>
      </c>
      <c r="D328" s="560">
        <v>317305871</v>
      </c>
      <c r="E328" s="560">
        <v>21534943</v>
      </c>
      <c r="F328" s="560">
        <v>338840900</v>
      </c>
      <c r="G328" s="560">
        <f t="shared" si="6"/>
        <v>-86</v>
      </c>
      <c r="H328" s="560">
        <v>4152625</v>
      </c>
      <c r="I328" s="622"/>
      <c r="J328" s="362"/>
    </row>
    <row r="329" spans="1:10" x14ac:dyDescent="0.25">
      <c r="A329" s="362">
        <v>4</v>
      </c>
      <c r="B329" s="364">
        <v>43981</v>
      </c>
      <c r="C329" s="362" t="s">
        <v>146</v>
      </c>
      <c r="D329" s="560">
        <v>86297062</v>
      </c>
      <c r="E329" s="560">
        <v>162491925</v>
      </c>
      <c r="F329" s="560">
        <v>248789100</v>
      </c>
      <c r="G329" s="560">
        <f t="shared" si="6"/>
        <v>-113</v>
      </c>
      <c r="H329" s="560">
        <v>9178904</v>
      </c>
      <c r="I329" s="622"/>
      <c r="J329" s="362"/>
    </row>
    <row r="330" spans="1:10" x14ac:dyDescent="0.25">
      <c r="A330" s="362">
        <v>5</v>
      </c>
      <c r="B330" s="364">
        <v>43981</v>
      </c>
      <c r="C330" s="362" t="s">
        <v>86</v>
      </c>
      <c r="D330" s="560">
        <v>92288690</v>
      </c>
      <c r="E330" s="560">
        <v>148633570</v>
      </c>
      <c r="F330" s="560">
        <v>240922300</v>
      </c>
      <c r="G330" s="560">
        <f t="shared" si="6"/>
        <v>-40</v>
      </c>
      <c r="H330" s="560">
        <v>3947340</v>
      </c>
      <c r="I330" s="622"/>
      <c r="J330" s="362"/>
    </row>
    <row r="331" spans="1:10" x14ac:dyDescent="0.25">
      <c r="A331" s="362">
        <v>6</v>
      </c>
      <c r="B331" s="364">
        <v>43981</v>
      </c>
      <c r="C331" s="362" t="s">
        <v>89</v>
      </c>
      <c r="D331" s="560">
        <v>120822960</v>
      </c>
      <c r="E331" s="560">
        <v>26778040</v>
      </c>
      <c r="F331" s="560">
        <v>148054800</v>
      </c>
      <c r="G331" s="560">
        <f t="shared" si="6"/>
        <v>-453800</v>
      </c>
      <c r="H331" s="560">
        <v>11276051</v>
      </c>
      <c r="I331" s="622"/>
      <c r="J331" s="362"/>
    </row>
    <row r="332" spans="1:10" x14ac:dyDescent="0.25">
      <c r="A332" s="362">
        <v>7</v>
      </c>
      <c r="B332" s="364">
        <v>43981</v>
      </c>
      <c r="C332" s="362" t="s">
        <v>4751</v>
      </c>
      <c r="D332" s="560">
        <v>166924007</v>
      </c>
      <c r="E332" s="560">
        <v>20020693</v>
      </c>
      <c r="F332" s="560">
        <v>186944700</v>
      </c>
      <c r="G332" s="560">
        <f t="shared" si="6"/>
        <v>0</v>
      </c>
      <c r="H332" s="560">
        <v>12828437</v>
      </c>
      <c r="I332" s="622"/>
      <c r="J332" s="362"/>
    </row>
    <row r="333" spans="1:10" x14ac:dyDescent="0.25">
      <c r="A333" s="362">
        <v>8</v>
      </c>
      <c r="B333" s="364">
        <v>43981</v>
      </c>
      <c r="C333" s="362" t="s">
        <v>84</v>
      </c>
      <c r="D333" s="560">
        <v>122867338</v>
      </c>
      <c r="E333" s="560">
        <v>36226932</v>
      </c>
      <c r="F333" s="560">
        <v>159094100</v>
      </c>
      <c r="G333" s="560">
        <f t="shared" si="6"/>
        <v>170</v>
      </c>
      <c r="H333" s="560">
        <v>21273426</v>
      </c>
      <c r="I333" s="622"/>
      <c r="J333" s="362"/>
    </row>
    <row r="334" spans="1:10" x14ac:dyDescent="0.25">
      <c r="A334" s="362">
        <v>9</v>
      </c>
      <c r="B334" s="364">
        <v>43981</v>
      </c>
      <c r="C334" s="362" t="s">
        <v>85</v>
      </c>
      <c r="D334" s="560">
        <v>21893623</v>
      </c>
      <c r="E334" s="560">
        <v>4132577</v>
      </c>
      <c r="F334" s="560">
        <v>26026200</v>
      </c>
      <c r="G334" s="560">
        <f t="shared" si="6"/>
        <v>0</v>
      </c>
      <c r="H334" s="560">
        <v>3677616</v>
      </c>
      <c r="I334" s="622"/>
      <c r="J334" s="362"/>
    </row>
    <row r="335" spans="1:10" x14ac:dyDescent="0.25">
      <c r="A335" s="362">
        <v>10</v>
      </c>
      <c r="B335" s="364">
        <v>43981</v>
      </c>
      <c r="C335" s="362" t="s">
        <v>81</v>
      </c>
      <c r="D335" s="560">
        <v>115108642</v>
      </c>
      <c r="E335" s="560">
        <v>19705749</v>
      </c>
      <c r="F335" s="560">
        <v>134822400</v>
      </c>
      <c r="G335" s="560">
        <f t="shared" si="6"/>
        <v>-8009</v>
      </c>
      <c r="H335" s="560">
        <v>9063557</v>
      </c>
      <c r="I335" s="622"/>
      <c r="J335" s="362"/>
    </row>
    <row r="336" spans="1:10" x14ac:dyDescent="0.25">
      <c r="A336" s="362">
        <v>11</v>
      </c>
      <c r="B336" s="364">
        <v>43981</v>
      </c>
      <c r="C336" s="362" t="s">
        <v>79</v>
      </c>
      <c r="D336" s="560">
        <v>37111212</v>
      </c>
      <c r="E336" s="560">
        <v>432088</v>
      </c>
      <c r="F336" s="560">
        <v>37543300</v>
      </c>
      <c r="G336" s="560">
        <f t="shared" si="6"/>
        <v>0</v>
      </c>
      <c r="H336" s="560">
        <v>2435384</v>
      </c>
      <c r="I336" s="622"/>
      <c r="J336" s="362"/>
    </row>
    <row r="337" spans="1:10" x14ac:dyDescent="0.25">
      <c r="A337" s="362">
        <v>12</v>
      </c>
      <c r="B337" s="364">
        <v>43981</v>
      </c>
      <c r="C337" s="362" t="s">
        <v>82</v>
      </c>
      <c r="D337" s="560">
        <v>82868743</v>
      </c>
      <c r="E337" s="560">
        <v>4396200</v>
      </c>
      <c r="F337" s="560">
        <v>87265000</v>
      </c>
      <c r="G337" s="560">
        <f t="shared" si="6"/>
        <v>-57</v>
      </c>
      <c r="H337" s="560">
        <v>8117977</v>
      </c>
      <c r="I337" s="622"/>
      <c r="J337" s="362"/>
    </row>
    <row r="338" spans="1:10" x14ac:dyDescent="0.25">
      <c r="A338" s="362">
        <v>13</v>
      </c>
      <c r="B338" s="364">
        <v>43981</v>
      </c>
      <c r="C338" s="362" t="s">
        <v>78</v>
      </c>
      <c r="D338" s="560">
        <v>205334477</v>
      </c>
      <c r="E338" s="560">
        <v>11337923</v>
      </c>
      <c r="F338" s="560">
        <v>216672400</v>
      </c>
      <c r="G338" s="560">
        <f t="shared" si="6"/>
        <v>0</v>
      </c>
      <c r="H338" s="560">
        <v>10059374</v>
      </c>
      <c r="I338" s="622"/>
      <c r="J338" s="362"/>
    </row>
    <row r="339" spans="1:10" x14ac:dyDescent="0.25">
      <c r="A339" s="362">
        <v>14</v>
      </c>
      <c r="B339" s="364">
        <v>43981</v>
      </c>
      <c r="C339" s="362" t="s">
        <v>166</v>
      </c>
      <c r="D339" s="560"/>
      <c r="E339" s="560"/>
      <c r="F339" s="560"/>
      <c r="G339" s="560">
        <f t="shared" si="6"/>
        <v>0</v>
      </c>
      <c r="H339" s="560"/>
      <c r="I339" s="622"/>
      <c r="J339" s="362"/>
    </row>
    <row r="340" spans="1:10" x14ac:dyDescent="0.25">
      <c r="A340" s="362">
        <v>15</v>
      </c>
      <c r="B340" s="364">
        <v>43981</v>
      </c>
      <c r="C340" s="362" t="s">
        <v>3435</v>
      </c>
      <c r="D340" s="560"/>
      <c r="E340" s="560"/>
      <c r="F340" s="560"/>
      <c r="G340" s="560">
        <f t="shared" si="6"/>
        <v>0</v>
      </c>
      <c r="H340" s="560"/>
      <c r="I340" s="622"/>
      <c r="J340" s="362"/>
    </row>
    <row r="341" spans="1:10" x14ac:dyDescent="0.25">
      <c r="A341" s="530"/>
      <c r="B341" s="589"/>
      <c r="C341" s="530"/>
      <c r="D341" s="562"/>
      <c r="E341" s="562"/>
      <c r="F341" s="562"/>
      <c r="G341" s="562">
        <f t="shared" si="6"/>
        <v>0</v>
      </c>
      <c r="H341" s="562"/>
      <c r="I341" s="623"/>
      <c r="J341" s="530"/>
    </row>
    <row r="342" spans="1:10" ht="17.25" customHeight="1" x14ac:dyDescent="0.25">
      <c r="A342" s="1613" t="s">
        <v>5353</v>
      </c>
      <c r="B342" s="1616"/>
      <c r="C342" s="1616"/>
      <c r="D342" s="1616"/>
      <c r="E342" s="1616"/>
      <c r="F342" s="1616"/>
      <c r="G342" s="1616"/>
      <c r="H342" s="1616"/>
      <c r="I342" s="1616"/>
      <c r="J342" s="628"/>
    </row>
    <row r="343" spans="1:10" x14ac:dyDescent="0.25">
      <c r="A343" s="362">
        <v>1</v>
      </c>
      <c r="B343" s="364">
        <v>43983</v>
      </c>
      <c r="C343" s="362" t="s">
        <v>80</v>
      </c>
      <c r="D343" s="560">
        <v>177261362</v>
      </c>
      <c r="E343" s="560"/>
      <c r="F343" s="560">
        <v>177826400</v>
      </c>
      <c r="G343" s="560">
        <f t="shared" si="6"/>
        <v>-565038</v>
      </c>
      <c r="H343" s="560">
        <v>17309407</v>
      </c>
      <c r="I343" s="622"/>
      <c r="J343" s="362"/>
    </row>
    <row r="344" spans="1:10" x14ac:dyDescent="0.25">
      <c r="A344" s="362">
        <v>2</v>
      </c>
      <c r="B344" s="364">
        <v>43983</v>
      </c>
      <c r="C344" s="362" t="s">
        <v>83</v>
      </c>
      <c r="D344" s="560">
        <v>330416019</v>
      </c>
      <c r="E344" s="560">
        <v>413397</v>
      </c>
      <c r="F344" s="560">
        <v>330829500</v>
      </c>
      <c r="G344" s="560">
        <f t="shared" si="6"/>
        <v>-84</v>
      </c>
      <c r="H344" s="560">
        <v>7702809</v>
      </c>
      <c r="I344" s="622"/>
      <c r="J344" s="362"/>
    </row>
    <row r="345" spans="1:10" x14ac:dyDescent="0.25">
      <c r="A345" s="362">
        <v>3</v>
      </c>
      <c r="B345" s="364">
        <v>43983</v>
      </c>
      <c r="C345" s="362" t="s">
        <v>88</v>
      </c>
      <c r="D345" s="560">
        <v>223753400</v>
      </c>
      <c r="E345" s="560">
        <v>1272505</v>
      </c>
      <c r="F345" s="560">
        <v>225026000</v>
      </c>
      <c r="G345" s="560">
        <f t="shared" si="6"/>
        <v>-95</v>
      </c>
      <c r="H345" s="560">
        <v>4152625</v>
      </c>
      <c r="I345" s="622"/>
      <c r="J345" s="362"/>
    </row>
    <row r="346" spans="1:10" x14ac:dyDescent="0.25">
      <c r="A346" s="362">
        <v>4</v>
      </c>
      <c r="B346" s="364">
        <v>43983</v>
      </c>
      <c r="C346" s="362" t="s">
        <v>146</v>
      </c>
      <c r="D346" s="560">
        <v>132833187</v>
      </c>
      <c r="E346" s="560">
        <v>23580637</v>
      </c>
      <c r="F346" s="560">
        <v>156414100</v>
      </c>
      <c r="G346" s="560">
        <f t="shared" si="6"/>
        <v>-276</v>
      </c>
      <c r="H346" s="560">
        <v>9178904</v>
      </c>
      <c r="I346" s="622"/>
      <c r="J346" s="362"/>
    </row>
    <row r="347" spans="1:10" x14ac:dyDescent="0.25">
      <c r="A347" s="362">
        <v>5</v>
      </c>
      <c r="B347" s="364">
        <v>43983</v>
      </c>
      <c r="C347" s="362" t="s">
        <v>86</v>
      </c>
      <c r="D347" s="560">
        <v>75473096</v>
      </c>
      <c r="E347" s="560">
        <v>12464500</v>
      </c>
      <c r="F347" s="560">
        <v>87937600</v>
      </c>
      <c r="G347" s="560">
        <f t="shared" si="6"/>
        <v>-4</v>
      </c>
      <c r="H347" s="560">
        <v>3947346</v>
      </c>
      <c r="I347" s="622"/>
      <c r="J347" s="362"/>
    </row>
    <row r="348" spans="1:10" x14ac:dyDescent="0.25">
      <c r="A348" s="362">
        <v>6</v>
      </c>
      <c r="B348" s="364">
        <v>43983</v>
      </c>
      <c r="C348" s="362" t="s">
        <v>89</v>
      </c>
      <c r="D348" s="560">
        <v>198055300</v>
      </c>
      <c r="E348" s="560">
        <v>2478000</v>
      </c>
      <c r="F348" s="560">
        <v>200534300</v>
      </c>
      <c r="G348" s="560">
        <f t="shared" si="6"/>
        <v>-1000</v>
      </c>
      <c r="H348" s="560">
        <v>8484462</v>
      </c>
      <c r="I348" s="622"/>
      <c r="J348" s="362"/>
    </row>
    <row r="349" spans="1:10" x14ac:dyDescent="0.25">
      <c r="A349" s="362">
        <v>7</v>
      </c>
      <c r="B349" s="364">
        <v>43983</v>
      </c>
      <c r="C349" s="362" t="s">
        <v>4751</v>
      </c>
      <c r="D349" s="560">
        <v>177754143</v>
      </c>
      <c r="E349" s="560">
        <v>4138857</v>
      </c>
      <c r="F349" s="560">
        <v>181893000</v>
      </c>
      <c r="G349" s="560">
        <f t="shared" si="6"/>
        <v>0</v>
      </c>
      <c r="H349" s="560">
        <v>11168457</v>
      </c>
      <c r="I349" s="622"/>
      <c r="J349" s="362"/>
    </row>
    <row r="350" spans="1:10" x14ac:dyDescent="0.25">
      <c r="A350" s="362">
        <v>8</v>
      </c>
      <c r="B350" s="364">
        <v>43983</v>
      </c>
      <c r="C350" s="362" t="s">
        <v>84</v>
      </c>
      <c r="D350" s="560">
        <v>271938319</v>
      </c>
      <c r="E350" s="560">
        <v>2946032</v>
      </c>
      <c r="F350" s="560">
        <v>274924300</v>
      </c>
      <c r="G350" s="560">
        <f t="shared" si="6"/>
        <v>-39949</v>
      </c>
      <c r="H350" s="560">
        <v>21273426</v>
      </c>
      <c r="I350" s="622"/>
      <c r="J350" s="362"/>
    </row>
    <row r="351" spans="1:10" x14ac:dyDescent="0.25">
      <c r="A351" s="362">
        <v>9</v>
      </c>
      <c r="B351" s="364">
        <v>43983</v>
      </c>
      <c r="C351" s="362" t="s">
        <v>85</v>
      </c>
      <c r="D351" s="560">
        <v>28484039</v>
      </c>
      <c r="E351" s="560">
        <v>1339561</v>
      </c>
      <c r="F351" s="560">
        <v>29823600</v>
      </c>
      <c r="G351" s="560">
        <f t="shared" si="6"/>
        <v>0</v>
      </c>
      <c r="H351" s="560">
        <v>3677616</v>
      </c>
      <c r="I351" s="622"/>
      <c r="J351" s="362"/>
    </row>
    <row r="352" spans="1:10" x14ac:dyDescent="0.25">
      <c r="A352" s="362">
        <v>10</v>
      </c>
      <c r="B352" s="364">
        <v>43983</v>
      </c>
      <c r="C352" s="362" t="s">
        <v>81</v>
      </c>
      <c r="D352" s="560">
        <v>73310153</v>
      </c>
      <c r="E352" s="560">
        <v>6847860</v>
      </c>
      <c r="F352" s="560">
        <v>80158100</v>
      </c>
      <c r="G352" s="560">
        <f t="shared" si="6"/>
        <v>-87</v>
      </c>
      <c r="H352" s="560">
        <v>6805557</v>
      </c>
      <c r="I352" s="622"/>
      <c r="J352" s="362"/>
    </row>
    <row r="353" spans="1:10" x14ac:dyDescent="0.25">
      <c r="A353" s="362">
        <v>11</v>
      </c>
      <c r="B353" s="364">
        <v>43983</v>
      </c>
      <c r="C353" s="362" t="s">
        <v>79</v>
      </c>
      <c r="D353" s="560">
        <v>39357320</v>
      </c>
      <c r="E353" s="560"/>
      <c r="F353" s="560">
        <v>39357400</v>
      </c>
      <c r="G353" s="560">
        <f t="shared" si="6"/>
        <v>-80</v>
      </c>
      <c r="H353" s="560">
        <v>1911384</v>
      </c>
      <c r="I353" s="622"/>
      <c r="J353" s="362"/>
    </row>
    <row r="354" spans="1:10" x14ac:dyDescent="0.25">
      <c r="A354" s="362">
        <v>12</v>
      </c>
      <c r="B354" s="364">
        <v>43983</v>
      </c>
      <c r="C354" s="362" t="s">
        <v>82</v>
      </c>
      <c r="D354" s="560">
        <v>33863893</v>
      </c>
      <c r="E354" s="560">
        <v>2232972</v>
      </c>
      <c r="F354" s="560">
        <v>36096900</v>
      </c>
      <c r="G354" s="560">
        <f t="shared" si="6"/>
        <v>-35</v>
      </c>
      <c r="H354" s="560">
        <v>8117977</v>
      </c>
      <c r="I354" s="622"/>
      <c r="J354" s="362"/>
    </row>
    <row r="355" spans="1:10" x14ac:dyDescent="0.25">
      <c r="A355" s="362">
        <v>13</v>
      </c>
      <c r="B355" s="364">
        <v>43983</v>
      </c>
      <c r="C355" s="362" t="s">
        <v>78</v>
      </c>
      <c r="D355" s="560">
        <v>89191616</v>
      </c>
      <c r="E355" s="560">
        <v>277384</v>
      </c>
      <c r="F355" s="560">
        <v>89469000</v>
      </c>
      <c r="G355" s="560">
        <f t="shared" si="6"/>
        <v>0</v>
      </c>
      <c r="H355" s="560">
        <v>9934374</v>
      </c>
      <c r="I355" s="622"/>
      <c r="J355" s="362"/>
    </row>
    <row r="356" spans="1:10" x14ac:dyDescent="0.25">
      <c r="A356" s="362">
        <v>14</v>
      </c>
      <c r="B356" s="364">
        <v>43983</v>
      </c>
      <c r="C356" s="362" t="s">
        <v>166</v>
      </c>
      <c r="D356" s="560">
        <v>39547545</v>
      </c>
      <c r="E356" s="560"/>
      <c r="F356" s="560">
        <v>39547600</v>
      </c>
      <c r="G356" s="560">
        <f t="shared" si="6"/>
        <v>-55</v>
      </c>
      <c r="H356" s="560"/>
      <c r="I356" s="622"/>
      <c r="J356" s="362"/>
    </row>
    <row r="357" spans="1:10" x14ac:dyDescent="0.25">
      <c r="A357" s="362">
        <v>15</v>
      </c>
      <c r="B357" s="364">
        <v>43983</v>
      </c>
      <c r="C357" s="362" t="s">
        <v>3435</v>
      </c>
      <c r="D357" s="560"/>
      <c r="E357" s="560"/>
      <c r="F357" s="560"/>
      <c r="G357" s="560">
        <f t="shared" si="6"/>
        <v>0</v>
      </c>
      <c r="H357" s="560"/>
      <c r="I357" s="622"/>
      <c r="J357" s="362"/>
    </row>
    <row r="358" spans="1:10" x14ac:dyDescent="0.25">
      <c r="A358" s="530"/>
      <c r="B358" s="589"/>
      <c r="C358" s="530"/>
      <c r="D358" s="562"/>
      <c r="E358" s="562"/>
      <c r="F358" s="562"/>
      <c r="G358" s="562">
        <f t="shared" si="6"/>
        <v>0</v>
      </c>
      <c r="H358" s="562"/>
      <c r="I358" s="623"/>
      <c r="J358" s="530"/>
    </row>
    <row r="359" spans="1:10" x14ac:dyDescent="0.25">
      <c r="A359" s="362">
        <v>1</v>
      </c>
      <c r="B359" s="364">
        <v>43984</v>
      </c>
      <c r="C359" s="362" t="s">
        <v>80</v>
      </c>
      <c r="D359" s="560">
        <v>258712453</v>
      </c>
      <c r="E359" s="560">
        <v>987504</v>
      </c>
      <c r="F359" s="560">
        <v>259700200</v>
      </c>
      <c r="G359" s="560">
        <f t="shared" si="6"/>
        <v>-243</v>
      </c>
      <c r="H359" s="560">
        <v>17309407</v>
      </c>
      <c r="I359" s="622"/>
      <c r="J359" s="362"/>
    </row>
    <row r="360" spans="1:10" x14ac:dyDescent="0.25">
      <c r="A360" s="362">
        <v>2</v>
      </c>
      <c r="B360" s="364">
        <v>43984</v>
      </c>
      <c r="C360" s="362" t="s">
        <v>83</v>
      </c>
      <c r="D360" s="560">
        <v>268357199</v>
      </c>
      <c r="E360" s="560">
        <v>1125935</v>
      </c>
      <c r="F360" s="560">
        <v>269483200</v>
      </c>
      <c r="G360" s="560">
        <f t="shared" si="6"/>
        <v>-66</v>
      </c>
      <c r="H360" s="560">
        <v>8726476</v>
      </c>
      <c r="I360" s="622"/>
      <c r="J360" s="362"/>
    </row>
    <row r="361" spans="1:10" x14ac:dyDescent="0.25">
      <c r="A361" s="362">
        <v>3</v>
      </c>
      <c r="B361" s="364">
        <v>43984</v>
      </c>
      <c r="C361" s="362" t="s">
        <v>88</v>
      </c>
      <c r="D361" s="560">
        <v>240006595</v>
      </c>
      <c r="E361" s="560">
        <v>13765914</v>
      </c>
      <c r="F361" s="560">
        <v>253772600</v>
      </c>
      <c r="G361" s="560">
        <f t="shared" si="6"/>
        <v>-91</v>
      </c>
      <c r="H361" s="560">
        <v>16767751</v>
      </c>
      <c r="I361" s="622"/>
      <c r="J361" s="362"/>
    </row>
    <row r="362" spans="1:10" x14ac:dyDescent="0.25">
      <c r="A362" s="362">
        <v>4</v>
      </c>
      <c r="B362" s="364">
        <v>43984</v>
      </c>
      <c r="C362" s="362" t="s">
        <v>146</v>
      </c>
      <c r="D362" s="560">
        <v>297557422</v>
      </c>
      <c r="E362" s="560">
        <v>220812698</v>
      </c>
      <c r="F362" s="560">
        <v>518370400</v>
      </c>
      <c r="G362" s="560">
        <f t="shared" si="6"/>
        <v>-280</v>
      </c>
      <c r="H362" s="560">
        <v>178904</v>
      </c>
      <c r="I362" s="622"/>
      <c r="J362" s="362"/>
    </row>
    <row r="363" spans="1:10" x14ac:dyDescent="0.25">
      <c r="A363" s="362">
        <v>5</v>
      </c>
      <c r="B363" s="364">
        <v>43984</v>
      </c>
      <c r="C363" s="362" t="s">
        <v>86</v>
      </c>
      <c r="D363" s="560">
        <v>110845701</v>
      </c>
      <c r="E363" s="560">
        <v>87328500</v>
      </c>
      <c r="F363" s="560">
        <v>198174200</v>
      </c>
      <c r="G363" s="560">
        <f t="shared" si="6"/>
        <v>1</v>
      </c>
      <c r="H363" s="560">
        <v>6170054</v>
      </c>
      <c r="I363" s="622"/>
      <c r="J363" s="362"/>
    </row>
    <row r="364" spans="1:10" x14ac:dyDescent="0.25">
      <c r="A364" s="362">
        <v>6</v>
      </c>
      <c r="B364" s="364">
        <v>43984</v>
      </c>
      <c r="C364" s="362" t="s">
        <v>89</v>
      </c>
      <c r="D364" s="560">
        <v>191318296</v>
      </c>
      <c r="E364" s="560">
        <v>4477104</v>
      </c>
      <c r="F364" s="560">
        <v>195795400</v>
      </c>
      <c r="G364" s="560">
        <f t="shared" si="6"/>
        <v>0</v>
      </c>
      <c r="H364" s="560">
        <v>11729922</v>
      </c>
      <c r="I364" s="622"/>
      <c r="J364" s="362"/>
    </row>
    <row r="365" spans="1:10" x14ac:dyDescent="0.25">
      <c r="A365" s="362">
        <v>7</v>
      </c>
      <c r="B365" s="364">
        <v>43984</v>
      </c>
      <c r="C365" s="362" t="s">
        <v>4751</v>
      </c>
      <c r="D365" s="560">
        <v>282511311</v>
      </c>
      <c r="E365" s="560">
        <v>18097389</v>
      </c>
      <c r="F365" s="560">
        <v>300608700</v>
      </c>
      <c r="G365" s="560">
        <f t="shared" si="6"/>
        <v>0</v>
      </c>
      <c r="H365" s="560">
        <v>25717308</v>
      </c>
      <c r="I365" s="622"/>
      <c r="J365" s="362"/>
    </row>
    <row r="366" spans="1:10" x14ac:dyDescent="0.25">
      <c r="A366" s="362">
        <v>8</v>
      </c>
      <c r="B366" s="364">
        <v>43984</v>
      </c>
      <c r="C366" s="362" t="s">
        <v>84</v>
      </c>
      <c r="D366" s="560">
        <v>265324410</v>
      </c>
      <c r="E366" s="560">
        <v>9549372</v>
      </c>
      <c r="F366" s="560">
        <v>274873800</v>
      </c>
      <c r="G366" s="560">
        <f t="shared" si="6"/>
        <v>-18</v>
      </c>
      <c r="H366" s="560">
        <v>25520824</v>
      </c>
      <c r="I366" s="622"/>
      <c r="J366" s="362"/>
    </row>
    <row r="367" spans="1:10" x14ac:dyDescent="0.25">
      <c r="A367" s="362">
        <v>9</v>
      </c>
      <c r="B367" s="364">
        <v>43984</v>
      </c>
      <c r="C367" s="362" t="s">
        <v>85</v>
      </c>
      <c r="D367" s="560">
        <v>57837838</v>
      </c>
      <c r="E367" s="560">
        <v>777062</v>
      </c>
      <c r="F367" s="560">
        <v>58614900</v>
      </c>
      <c r="G367" s="560">
        <f t="shared" si="6"/>
        <v>0</v>
      </c>
      <c r="H367" s="560">
        <v>3677616</v>
      </c>
      <c r="I367" s="622"/>
      <c r="J367" s="362"/>
    </row>
    <row r="368" spans="1:10" x14ac:dyDescent="0.25">
      <c r="A368" s="362">
        <v>10</v>
      </c>
      <c r="B368" s="364">
        <v>43984</v>
      </c>
      <c r="C368" s="362" t="s">
        <v>81</v>
      </c>
      <c r="D368" s="560">
        <v>125629953</v>
      </c>
      <c r="E368" s="560">
        <v>46767552</v>
      </c>
      <c r="F368" s="560">
        <v>172397600</v>
      </c>
      <c r="G368" s="560">
        <f t="shared" si="6"/>
        <v>-95</v>
      </c>
      <c r="H368" s="560">
        <v>13480394</v>
      </c>
      <c r="I368" s="622"/>
      <c r="J368" s="362"/>
    </row>
    <row r="369" spans="1:10" x14ac:dyDescent="0.25">
      <c r="A369" s="362">
        <v>11</v>
      </c>
      <c r="B369" s="364">
        <v>43984</v>
      </c>
      <c r="C369" s="362" t="s">
        <v>79</v>
      </c>
      <c r="D369" s="560">
        <v>104192297</v>
      </c>
      <c r="E369" s="560">
        <v>63200</v>
      </c>
      <c r="F369" s="560">
        <v>104255500</v>
      </c>
      <c r="G369" s="560">
        <f t="shared" si="6"/>
        <v>-3</v>
      </c>
      <c r="H369" s="560">
        <v>4455534</v>
      </c>
      <c r="I369" s="622"/>
      <c r="J369" s="362"/>
    </row>
    <row r="370" spans="1:10" x14ac:dyDescent="0.25">
      <c r="A370" s="362">
        <v>12</v>
      </c>
      <c r="B370" s="364">
        <v>43984</v>
      </c>
      <c r="C370" s="362" t="s">
        <v>82</v>
      </c>
      <c r="D370" s="560">
        <v>47309945</v>
      </c>
      <c r="E370" s="560">
        <v>1020140</v>
      </c>
      <c r="F370" s="560">
        <v>48330100</v>
      </c>
      <c r="G370" s="560">
        <f t="shared" si="6"/>
        <v>-15</v>
      </c>
      <c r="H370" s="560">
        <v>8831466</v>
      </c>
      <c r="I370" s="622"/>
      <c r="J370" s="362"/>
    </row>
    <row r="371" spans="1:10" x14ac:dyDescent="0.25">
      <c r="A371" s="362">
        <v>13</v>
      </c>
      <c r="B371" s="364">
        <v>43984</v>
      </c>
      <c r="C371" s="362" t="s">
        <v>78</v>
      </c>
      <c r="D371" s="560">
        <v>103809618</v>
      </c>
      <c r="E371" s="560">
        <v>2877182</v>
      </c>
      <c r="F371" s="560">
        <v>106686800</v>
      </c>
      <c r="G371" s="560">
        <f t="shared" si="6"/>
        <v>0</v>
      </c>
      <c r="H371" s="560">
        <v>12446834</v>
      </c>
      <c r="I371" s="622"/>
      <c r="J371" s="362"/>
    </row>
    <row r="372" spans="1:10" x14ac:dyDescent="0.25">
      <c r="A372" s="362">
        <v>14</v>
      </c>
      <c r="B372" s="364">
        <v>43984</v>
      </c>
      <c r="C372" s="362" t="s">
        <v>166</v>
      </c>
      <c r="D372" s="560">
        <v>45394433</v>
      </c>
      <c r="E372" s="560"/>
      <c r="F372" s="560">
        <v>45394500</v>
      </c>
      <c r="G372" s="560">
        <f t="shared" si="6"/>
        <v>-67</v>
      </c>
      <c r="H372" s="560"/>
      <c r="I372" s="622"/>
      <c r="J372" s="362"/>
    </row>
    <row r="373" spans="1:10" x14ac:dyDescent="0.25">
      <c r="A373" s="362">
        <v>15</v>
      </c>
      <c r="B373" s="364">
        <v>43984</v>
      </c>
      <c r="C373" s="362" t="s">
        <v>3435</v>
      </c>
      <c r="D373" s="560"/>
      <c r="E373" s="560"/>
      <c r="F373" s="560"/>
      <c r="G373" s="560">
        <f t="shared" si="6"/>
        <v>0</v>
      </c>
      <c r="H373" s="560"/>
      <c r="I373" s="622"/>
      <c r="J373" s="362"/>
    </row>
    <row r="374" spans="1:10" x14ac:dyDescent="0.25">
      <c r="A374" s="530"/>
      <c r="B374" s="589"/>
      <c r="C374" s="530"/>
      <c r="D374" s="562"/>
      <c r="E374" s="562"/>
      <c r="F374" s="562"/>
      <c r="G374" s="562">
        <f t="shared" si="6"/>
        <v>0</v>
      </c>
      <c r="H374" s="562"/>
      <c r="I374" s="623"/>
      <c r="J374" s="530"/>
    </row>
    <row r="375" spans="1:10" x14ac:dyDescent="0.25">
      <c r="A375" s="362">
        <v>1</v>
      </c>
      <c r="B375" s="364">
        <v>43985</v>
      </c>
      <c r="C375" s="362" t="s">
        <v>80</v>
      </c>
      <c r="D375" s="560">
        <v>551482698</v>
      </c>
      <c r="E375" s="560">
        <v>10483881</v>
      </c>
      <c r="F375" s="560">
        <v>561966500</v>
      </c>
      <c r="G375" s="560">
        <f t="shared" si="6"/>
        <v>79</v>
      </c>
      <c r="H375" s="560">
        <v>34981139</v>
      </c>
      <c r="I375" s="622"/>
      <c r="J375" s="362"/>
    </row>
    <row r="376" spans="1:10" x14ac:dyDescent="0.25">
      <c r="A376" s="362">
        <v>2</v>
      </c>
      <c r="B376" s="364">
        <v>43985</v>
      </c>
      <c r="C376" s="362" t="s">
        <v>83</v>
      </c>
      <c r="D376" s="560">
        <v>278590139</v>
      </c>
      <c r="E376" s="560">
        <v>12076404</v>
      </c>
      <c r="F376" s="560">
        <v>290666600</v>
      </c>
      <c r="G376" s="560">
        <f t="shared" si="6"/>
        <v>-57</v>
      </c>
      <c r="H376" s="560">
        <v>5571028</v>
      </c>
      <c r="I376" s="622"/>
      <c r="J376" s="362"/>
    </row>
    <row r="377" spans="1:10" x14ac:dyDescent="0.25">
      <c r="A377" s="362">
        <v>3</v>
      </c>
      <c r="B377" s="364">
        <v>43985</v>
      </c>
      <c r="C377" s="362" t="s">
        <v>88</v>
      </c>
      <c r="D377" s="560">
        <v>237719803</v>
      </c>
      <c r="E377" s="560">
        <v>4120750</v>
      </c>
      <c r="F377" s="560">
        <v>241840600</v>
      </c>
      <c r="G377" s="560">
        <f t="shared" si="6"/>
        <v>-47</v>
      </c>
      <c r="H377" s="560">
        <v>16415451</v>
      </c>
      <c r="I377" s="622"/>
      <c r="J377" s="362"/>
    </row>
    <row r="378" spans="1:10" x14ac:dyDescent="0.25">
      <c r="A378" s="362">
        <v>4</v>
      </c>
      <c r="B378" s="364">
        <v>43985</v>
      </c>
      <c r="C378" s="362" t="s">
        <v>146</v>
      </c>
      <c r="D378" s="560">
        <v>152867690</v>
      </c>
      <c r="E378" s="560">
        <v>109023624</v>
      </c>
      <c r="F378" s="560">
        <v>261891500</v>
      </c>
      <c r="G378" s="560">
        <f t="shared" si="6"/>
        <v>-186</v>
      </c>
      <c r="H378" s="560">
        <v>6158796</v>
      </c>
      <c r="I378" s="622"/>
      <c r="J378" s="362"/>
    </row>
    <row r="379" spans="1:10" x14ac:dyDescent="0.25">
      <c r="A379" s="362">
        <v>5</v>
      </c>
      <c r="B379" s="364">
        <v>43985</v>
      </c>
      <c r="C379" s="362" t="s">
        <v>86</v>
      </c>
      <c r="D379" s="560">
        <v>143054304</v>
      </c>
      <c r="E379" s="560">
        <v>40898900</v>
      </c>
      <c r="F379" s="560">
        <v>183953300</v>
      </c>
      <c r="G379" s="560">
        <f t="shared" si="6"/>
        <v>-96</v>
      </c>
      <c r="H379" s="560">
        <v>3948154</v>
      </c>
      <c r="I379" s="622"/>
      <c r="J379" s="362"/>
    </row>
    <row r="380" spans="1:10" x14ac:dyDescent="0.25">
      <c r="A380" s="362">
        <v>6</v>
      </c>
      <c r="B380" s="364">
        <v>43985</v>
      </c>
      <c r="C380" s="362" t="s">
        <v>89</v>
      </c>
      <c r="D380" s="560">
        <v>152818195</v>
      </c>
      <c r="E380" s="560">
        <v>3167005</v>
      </c>
      <c r="F380" s="560">
        <v>155985200</v>
      </c>
      <c r="G380" s="560">
        <f t="shared" si="6"/>
        <v>0</v>
      </c>
      <c r="H380" s="560">
        <v>11057922</v>
      </c>
      <c r="I380" s="622"/>
      <c r="J380" s="362"/>
    </row>
    <row r="381" spans="1:10" x14ac:dyDescent="0.25">
      <c r="A381" s="362">
        <v>7</v>
      </c>
      <c r="B381" s="364">
        <v>43985</v>
      </c>
      <c r="C381" s="362" t="s">
        <v>4751</v>
      </c>
      <c r="D381" s="560">
        <v>193709249</v>
      </c>
      <c r="E381" s="560">
        <v>6127351</v>
      </c>
      <c r="F381" s="560">
        <v>199836600</v>
      </c>
      <c r="G381" s="560">
        <f t="shared" si="6"/>
        <v>0</v>
      </c>
      <c r="H381" s="560">
        <v>24897608</v>
      </c>
      <c r="I381" s="622"/>
      <c r="J381" s="362"/>
    </row>
    <row r="382" spans="1:10" x14ac:dyDescent="0.25">
      <c r="A382" s="362">
        <v>8</v>
      </c>
      <c r="B382" s="364">
        <v>43985</v>
      </c>
      <c r="C382" s="362" t="s">
        <v>84</v>
      </c>
      <c r="D382" s="560">
        <v>232431044</v>
      </c>
      <c r="E382" s="560">
        <v>17502556</v>
      </c>
      <c r="F382" s="560">
        <v>249933900</v>
      </c>
      <c r="G382" s="560">
        <f t="shared" si="6"/>
        <v>-300</v>
      </c>
      <c r="H382" s="560">
        <v>25520824</v>
      </c>
      <c r="I382" s="622"/>
      <c r="J382" s="362"/>
    </row>
    <row r="383" spans="1:10" x14ac:dyDescent="0.25">
      <c r="A383" s="362">
        <v>9</v>
      </c>
      <c r="B383" s="364">
        <v>43985</v>
      </c>
      <c r="C383" s="362" t="s">
        <v>85</v>
      </c>
      <c r="D383" s="560">
        <v>39165021</v>
      </c>
      <c r="E383" s="560">
        <v>2352479</v>
      </c>
      <c r="F383" s="560">
        <v>41517500</v>
      </c>
      <c r="G383" s="560">
        <f t="shared" si="6"/>
        <v>0</v>
      </c>
      <c r="H383" s="560">
        <v>3677616</v>
      </c>
      <c r="I383" s="622"/>
      <c r="J383" s="362"/>
    </row>
    <row r="384" spans="1:10" x14ac:dyDescent="0.25">
      <c r="A384" s="362">
        <v>10</v>
      </c>
      <c r="B384" s="364">
        <v>43985</v>
      </c>
      <c r="C384" s="362" t="s">
        <v>81</v>
      </c>
      <c r="D384" s="560">
        <v>98087397</v>
      </c>
      <c r="E384" s="560">
        <v>6730153</v>
      </c>
      <c r="F384" s="560">
        <v>104817600</v>
      </c>
      <c r="G384" s="560">
        <f t="shared" si="6"/>
        <v>-50</v>
      </c>
      <c r="H384" s="560">
        <v>12805394</v>
      </c>
      <c r="I384" s="622"/>
      <c r="J384" s="362"/>
    </row>
    <row r="385" spans="1:10" x14ac:dyDescent="0.25">
      <c r="A385" s="362">
        <v>11</v>
      </c>
      <c r="B385" s="364">
        <v>43985</v>
      </c>
      <c r="C385" s="362" t="s">
        <v>79</v>
      </c>
      <c r="D385" s="560">
        <v>119740905</v>
      </c>
      <c r="E385" s="560">
        <v>457695</v>
      </c>
      <c r="F385" s="560">
        <v>120198600</v>
      </c>
      <c r="G385" s="560">
        <f t="shared" si="6"/>
        <v>0</v>
      </c>
      <c r="H385" s="560">
        <v>4216034</v>
      </c>
      <c r="I385" s="622"/>
      <c r="J385" s="362"/>
    </row>
    <row r="386" spans="1:10" x14ac:dyDescent="0.25">
      <c r="A386" s="362">
        <v>12</v>
      </c>
      <c r="B386" s="364">
        <v>43985</v>
      </c>
      <c r="C386" s="362" t="s">
        <v>82</v>
      </c>
      <c r="D386" s="560">
        <v>136991500</v>
      </c>
      <c r="E386" s="560">
        <v>273855</v>
      </c>
      <c r="F386" s="560">
        <v>137265400</v>
      </c>
      <c r="G386" s="560">
        <f t="shared" si="6"/>
        <v>-45</v>
      </c>
      <c r="H386" s="560">
        <v>8831466</v>
      </c>
      <c r="I386" s="622"/>
      <c r="J386" s="362"/>
    </row>
    <row r="387" spans="1:10" x14ac:dyDescent="0.25">
      <c r="A387" s="362">
        <v>13</v>
      </c>
      <c r="B387" s="364">
        <v>43985</v>
      </c>
      <c r="C387" s="362" t="s">
        <v>78</v>
      </c>
      <c r="D387" s="560">
        <v>98206705</v>
      </c>
      <c r="E387" s="560">
        <v>5005395</v>
      </c>
      <c r="F387" s="560">
        <v>103212100</v>
      </c>
      <c r="G387" s="560">
        <f t="shared" si="6"/>
        <v>0</v>
      </c>
      <c r="H387" s="560">
        <v>10059374</v>
      </c>
      <c r="I387" s="622"/>
      <c r="J387" s="362"/>
    </row>
    <row r="388" spans="1:10" x14ac:dyDescent="0.25">
      <c r="A388" s="362">
        <v>14</v>
      </c>
      <c r="B388" s="364">
        <v>43985</v>
      </c>
      <c r="C388" s="362" t="s">
        <v>166</v>
      </c>
      <c r="D388" s="560">
        <v>81532606</v>
      </c>
      <c r="E388" s="560"/>
      <c r="F388" s="560">
        <v>81532600</v>
      </c>
      <c r="G388" s="560">
        <f t="shared" si="6"/>
        <v>6</v>
      </c>
      <c r="H388" s="560"/>
      <c r="I388" s="622"/>
      <c r="J388" s="362"/>
    </row>
    <row r="389" spans="1:10" x14ac:dyDescent="0.25">
      <c r="A389" s="362">
        <v>15</v>
      </c>
      <c r="B389" s="364">
        <v>43985</v>
      </c>
      <c r="C389" s="362" t="s">
        <v>3435</v>
      </c>
      <c r="D389" s="560"/>
      <c r="E389" s="560"/>
      <c r="F389" s="560"/>
      <c r="G389" s="560">
        <f t="shared" si="6"/>
        <v>0</v>
      </c>
      <c r="H389" s="560"/>
      <c r="I389" s="622"/>
      <c r="J389" s="362"/>
    </row>
    <row r="390" spans="1:10" x14ac:dyDescent="0.25">
      <c r="A390" s="530"/>
      <c r="B390" s="589"/>
      <c r="C390" s="530"/>
      <c r="D390" s="530"/>
      <c r="E390" s="530"/>
      <c r="F390" s="530"/>
      <c r="G390" s="562">
        <f t="shared" si="6"/>
        <v>0</v>
      </c>
      <c r="H390" s="530"/>
      <c r="I390" s="623"/>
      <c r="J390" s="530"/>
    </row>
    <row r="391" spans="1:10" x14ac:dyDescent="0.25">
      <c r="A391" s="362">
        <v>1</v>
      </c>
      <c r="B391" s="364">
        <v>43986</v>
      </c>
      <c r="C391" s="362" t="s">
        <v>80</v>
      </c>
      <c r="D391" s="560">
        <v>208205725</v>
      </c>
      <c r="E391" s="560">
        <v>24196274</v>
      </c>
      <c r="F391" s="560">
        <v>232402000</v>
      </c>
      <c r="G391" s="560">
        <f t="shared" ref="G391:G454" si="7">D391+E391-F391</f>
        <v>-1</v>
      </c>
      <c r="H391" s="560">
        <v>8230107</v>
      </c>
      <c r="I391" s="626">
        <v>8230108</v>
      </c>
      <c r="J391" s="629">
        <f>H391-I391</f>
        <v>-1</v>
      </c>
    </row>
    <row r="392" spans="1:10" x14ac:dyDescent="0.25">
      <c r="A392" s="362">
        <v>2</v>
      </c>
      <c r="B392" s="364">
        <v>43986</v>
      </c>
      <c r="C392" s="362" t="s">
        <v>83</v>
      </c>
      <c r="D392" s="560">
        <v>367642967</v>
      </c>
      <c r="E392" s="560">
        <v>3042529</v>
      </c>
      <c r="F392" s="560">
        <v>370685500</v>
      </c>
      <c r="G392" s="560">
        <f t="shared" si="7"/>
        <v>-4</v>
      </c>
      <c r="H392" s="560">
        <v>4734028</v>
      </c>
      <c r="I392" s="626">
        <v>4734028</v>
      </c>
      <c r="J392" s="629">
        <f t="shared" ref="J392:J421" si="8">H392-I392</f>
        <v>0</v>
      </c>
    </row>
    <row r="393" spans="1:10" x14ac:dyDescent="0.25">
      <c r="A393" s="362">
        <v>3</v>
      </c>
      <c r="B393" s="364">
        <v>43986</v>
      </c>
      <c r="C393" s="362" t="s">
        <v>88</v>
      </c>
      <c r="D393" s="560">
        <v>257509528</v>
      </c>
      <c r="E393" s="560">
        <v>76028143</v>
      </c>
      <c r="F393" s="560">
        <v>333537700</v>
      </c>
      <c r="G393" s="560">
        <f t="shared" si="7"/>
        <v>-29</v>
      </c>
      <c r="H393" s="560">
        <v>5334537</v>
      </c>
      <c r="I393" s="626">
        <v>5334537</v>
      </c>
      <c r="J393" s="629">
        <f t="shared" si="8"/>
        <v>0</v>
      </c>
    </row>
    <row r="394" spans="1:10" x14ac:dyDescent="0.25">
      <c r="A394" s="362">
        <v>4</v>
      </c>
      <c r="B394" s="364">
        <v>43986</v>
      </c>
      <c r="C394" s="362" t="s">
        <v>146</v>
      </c>
      <c r="D394" s="560">
        <v>54869755</v>
      </c>
      <c r="E394" s="560">
        <v>114373259</v>
      </c>
      <c r="F394" s="560">
        <v>169243000</v>
      </c>
      <c r="G394" s="560">
        <f t="shared" si="7"/>
        <v>14</v>
      </c>
      <c r="H394" s="560">
        <v>1789082</v>
      </c>
      <c r="I394" s="626"/>
      <c r="J394" s="629">
        <f t="shared" si="8"/>
        <v>1789082</v>
      </c>
    </row>
    <row r="395" spans="1:10" x14ac:dyDescent="0.25">
      <c r="A395" s="362">
        <v>5</v>
      </c>
      <c r="B395" s="364">
        <v>43986</v>
      </c>
      <c r="C395" s="362" t="s">
        <v>86</v>
      </c>
      <c r="D395" s="560">
        <v>67956550</v>
      </c>
      <c r="E395" s="560">
        <v>195203751</v>
      </c>
      <c r="F395" s="560">
        <v>263160300</v>
      </c>
      <c r="G395" s="560">
        <f t="shared" si="7"/>
        <v>1</v>
      </c>
      <c r="H395" s="560">
        <v>931477</v>
      </c>
      <c r="I395" s="626"/>
      <c r="J395" s="629">
        <f t="shared" si="8"/>
        <v>931477</v>
      </c>
    </row>
    <row r="396" spans="1:10" x14ac:dyDescent="0.25">
      <c r="A396" s="362">
        <v>6</v>
      </c>
      <c r="B396" s="364">
        <v>43986</v>
      </c>
      <c r="C396" s="362" t="s">
        <v>89</v>
      </c>
      <c r="D396" s="560">
        <v>207851567</v>
      </c>
      <c r="E396" s="560">
        <v>6165933</v>
      </c>
      <c r="F396" s="560">
        <v>214017500</v>
      </c>
      <c r="G396" s="560">
        <f t="shared" si="7"/>
        <v>0</v>
      </c>
      <c r="H396" s="560">
        <v>7313478</v>
      </c>
      <c r="I396" s="626">
        <v>7313478</v>
      </c>
      <c r="J396" s="629">
        <f t="shared" si="8"/>
        <v>0</v>
      </c>
    </row>
    <row r="397" spans="1:10" x14ac:dyDescent="0.25">
      <c r="A397" s="362">
        <v>7</v>
      </c>
      <c r="B397" s="364">
        <v>43986</v>
      </c>
      <c r="C397" s="362" t="s">
        <v>4751</v>
      </c>
      <c r="D397" s="560">
        <v>277796038</v>
      </c>
      <c r="E397" s="560">
        <v>17826362</v>
      </c>
      <c r="F397" s="560">
        <v>295622400</v>
      </c>
      <c r="G397" s="560">
        <f t="shared" si="7"/>
        <v>0</v>
      </c>
      <c r="H397" s="560">
        <v>11237239</v>
      </c>
      <c r="I397" s="626"/>
      <c r="J397" s="629">
        <f t="shared" si="8"/>
        <v>11237239</v>
      </c>
    </row>
    <row r="398" spans="1:10" x14ac:dyDescent="0.25">
      <c r="A398" s="362">
        <v>8</v>
      </c>
      <c r="B398" s="364">
        <v>43986</v>
      </c>
      <c r="C398" s="362" t="s">
        <v>84</v>
      </c>
      <c r="D398" s="560">
        <v>412980795</v>
      </c>
      <c r="E398" s="560">
        <v>15916403</v>
      </c>
      <c r="F398" s="560">
        <v>428897200</v>
      </c>
      <c r="G398" s="560">
        <f t="shared" si="7"/>
        <v>-2</v>
      </c>
      <c r="H398" s="560">
        <v>7763297</v>
      </c>
      <c r="I398" s="626">
        <v>7763297</v>
      </c>
      <c r="J398" s="629">
        <f t="shared" si="8"/>
        <v>0</v>
      </c>
    </row>
    <row r="399" spans="1:10" x14ac:dyDescent="0.25">
      <c r="A399" s="362">
        <v>9</v>
      </c>
      <c r="B399" s="364">
        <v>43986</v>
      </c>
      <c r="C399" s="362" t="s">
        <v>85</v>
      </c>
      <c r="D399" s="560">
        <v>51299692</v>
      </c>
      <c r="E399" s="560">
        <v>2246108</v>
      </c>
      <c r="F399" s="560">
        <v>53545800</v>
      </c>
      <c r="G399" s="560">
        <f t="shared" si="7"/>
        <v>0</v>
      </c>
      <c r="H399" s="560">
        <v>2652457</v>
      </c>
      <c r="I399" s="626">
        <v>2652458</v>
      </c>
      <c r="J399" s="629">
        <f t="shared" si="8"/>
        <v>-1</v>
      </c>
    </row>
    <row r="400" spans="1:10" x14ac:dyDescent="0.25">
      <c r="A400" s="362">
        <v>10</v>
      </c>
      <c r="B400" s="364">
        <v>43986</v>
      </c>
      <c r="C400" s="362" t="s">
        <v>81</v>
      </c>
      <c r="D400" s="560">
        <v>145070043</v>
      </c>
      <c r="E400" s="560">
        <v>11239957</v>
      </c>
      <c r="F400" s="560">
        <v>156310000</v>
      </c>
      <c r="G400" s="560">
        <f t="shared" si="7"/>
        <v>0</v>
      </c>
      <c r="H400" s="560">
        <v>3025044</v>
      </c>
      <c r="I400" s="626">
        <v>3025044</v>
      </c>
      <c r="J400" s="629">
        <f t="shared" si="8"/>
        <v>0</v>
      </c>
    </row>
    <row r="401" spans="1:10" x14ac:dyDescent="0.25">
      <c r="A401" s="362">
        <v>11</v>
      </c>
      <c r="B401" s="364">
        <v>43986</v>
      </c>
      <c r="C401" s="362" t="s">
        <v>79</v>
      </c>
      <c r="D401" s="560">
        <v>69031236</v>
      </c>
      <c r="E401" s="560">
        <v>1631064</v>
      </c>
      <c r="F401" s="560">
        <v>70662300</v>
      </c>
      <c r="G401" s="560">
        <f t="shared" si="7"/>
        <v>0</v>
      </c>
      <c r="H401" s="560">
        <v>2518484</v>
      </c>
      <c r="I401" s="626">
        <v>2518484</v>
      </c>
      <c r="J401" s="629">
        <f t="shared" si="8"/>
        <v>0</v>
      </c>
    </row>
    <row r="402" spans="1:10" x14ac:dyDescent="0.25">
      <c r="A402" s="362">
        <v>12</v>
      </c>
      <c r="B402" s="364">
        <v>43986</v>
      </c>
      <c r="C402" s="362" t="s">
        <v>82</v>
      </c>
      <c r="D402" s="560">
        <v>325139860</v>
      </c>
      <c r="E402" s="560"/>
      <c r="F402" s="560">
        <v>325140000</v>
      </c>
      <c r="G402" s="560">
        <f t="shared" si="7"/>
        <v>-140</v>
      </c>
      <c r="H402" s="560">
        <v>3495662</v>
      </c>
      <c r="I402" s="626">
        <v>3495662</v>
      </c>
      <c r="J402" s="629">
        <f t="shared" si="8"/>
        <v>0</v>
      </c>
    </row>
    <row r="403" spans="1:10" x14ac:dyDescent="0.25">
      <c r="A403" s="362">
        <v>13</v>
      </c>
      <c r="B403" s="364">
        <v>43986</v>
      </c>
      <c r="C403" s="362" t="s">
        <v>78</v>
      </c>
      <c r="D403" s="560">
        <v>153697440</v>
      </c>
      <c r="E403" s="560"/>
      <c r="F403" s="560">
        <v>156481000</v>
      </c>
      <c r="G403" s="560">
        <f t="shared" si="7"/>
        <v>-2783560</v>
      </c>
      <c r="H403" s="560">
        <v>8707857</v>
      </c>
      <c r="I403" s="626">
        <v>8707857</v>
      </c>
      <c r="J403" s="629">
        <f t="shared" si="8"/>
        <v>0</v>
      </c>
    </row>
    <row r="404" spans="1:10" x14ac:dyDescent="0.25">
      <c r="A404" s="362">
        <v>14</v>
      </c>
      <c r="B404" s="364">
        <v>43986</v>
      </c>
      <c r="C404" s="362" t="s">
        <v>166</v>
      </c>
      <c r="D404" s="560">
        <v>125291188</v>
      </c>
      <c r="E404" s="560"/>
      <c r="F404" s="560">
        <v>125291200</v>
      </c>
      <c r="G404" s="560">
        <f t="shared" si="7"/>
        <v>-12</v>
      </c>
      <c r="H404" s="560"/>
      <c r="I404" s="626"/>
      <c r="J404" s="629">
        <f t="shared" si="8"/>
        <v>0</v>
      </c>
    </row>
    <row r="405" spans="1:10" x14ac:dyDescent="0.25">
      <c r="A405" s="362">
        <v>15</v>
      </c>
      <c r="B405" s="364">
        <v>43986</v>
      </c>
      <c r="C405" s="362" t="s">
        <v>3435</v>
      </c>
      <c r="D405" s="560"/>
      <c r="E405" s="560"/>
      <c r="F405" s="560">
        <v>114345600</v>
      </c>
      <c r="G405" s="560">
        <f t="shared" si="7"/>
        <v>-114345600</v>
      </c>
      <c r="H405" s="560"/>
      <c r="I405" s="626"/>
      <c r="J405" s="629">
        <f t="shared" si="8"/>
        <v>0</v>
      </c>
    </row>
    <row r="406" spans="1:10" x14ac:dyDescent="0.25">
      <c r="A406" s="530"/>
      <c r="B406" s="530"/>
      <c r="C406" s="530"/>
      <c r="D406" s="562"/>
      <c r="E406" s="562"/>
      <c r="F406" s="562"/>
      <c r="G406" s="562">
        <f t="shared" si="7"/>
        <v>0</v>
      </c>
      <c r="H406" s="562"/>
      <c r="I406" s="627"/>
      <c r="J406" s="630">
        <f t="shared" si="8"/>
        <v>0</v>
      </c>
    </row>
    <row r="407" spans="1:10" x14ac:dyDescent="0.25">
      <c r="A407" s="362">
        <v>1</v>
      </c>
      <c r="B407" s="364">
        <v>43987</v>
      </c>
      <c r="C407" s="362" t="s">
        <v>80</v>
      </c>
      <c r="D407" s="560">
        <v>182880764</v>
      </c>
      <c r="E407" s="560">
        <v>34048184</v>
      </c>
      <c r="F407" s="560">
        <v>216929900</v>
      </c>
      <c r="G407" s="560">
        <f t="shared" si="7"/>
        <v>-952</v>
      </c>
      <c r="H407" s="560"/>
      <c r="I407" s="626"/>
      <c r="J407" s="629">
        <f t="shared" si="8"/>
        <v>0</v>
      </c>
    </row>
    <row r="408" spans="1:10" x14ac:dyDescent="0.25">
      <c r="A408" s="362">
        <v>2</v>
      </c>
      <c r="B408" s="364">
        <v>43987</v>
      </c>
      <c r="C408" s="362" t="s">
        <v>83</v>
      </c>
      <c r="D408" s="560">
        <v>229089745</v>
      </c>
      <c r="E408" s="560">
        <v>3779541</v>
      </c>
      <c r="F408" s="560">
        <v>232869300</v>
      </c>
      <c r="G408" s="560">
        <f t="shared" si="7"/>
        <v>-14</v>
      </c>
      <c r="H408" s="560">
        <v>1398152</v>
      </c>
      <c r="I408" s="626"/>
      <c r="J408" s="629">
        <f t="shared" si="8"/>
        <v>1398152</v>
      </c>
    </row>
    <row r="409" spans="1:10" x14ac:dyDescent="0.25">
      <c r="A409" s="362">
        <v>3</v>
      </c>
      <c r="B409" s="364">
        <v>43987</v>
      </c>
      <c r="C409" s="362" t="s">
        <v>88</v>
      </c>
      <c r="D409" s="560">
        <v>251680438</v>
      </c>
      <c r="E409" s="560">
        <v>65656988</v>
      </c>
      <c r="F409" s="560">
        <v>317337500</v>
      </c>
      <c r="G409" s="560">
        <f t="shared" si="7"/>
        <v>-74</v>
      </c>
      <c r="H409" s="560">
        <v>5334537</v>
      </c>
      <c r="I409" s="626"/>
      <c r="J409" s="629">
        <f t="shared" si="8"/>
        <v>5334537</v>
      </c>
    </row>
    <row r="410" spans="1:10" x14ac:dyDescent="0.25">
      <c r="A410" s="362">
        <v>4</v>
      </c>
      <c r="B410" s="364">
        <v>43987</v>
      </c>
      <c r="C410" s="362" t="s">
        <v>146</v>
      </c>
      <c r="D410" s="560">
        <v>62629245</v>
      </c>
      <c r="E410" s="560">
        <v>47770844</v>
      </c>
      <c r="F410" s="560">
        <v>110400100</v>
      </c>
      <c r="G410" s="560">
        <f t="shared" si="7"/>
        <v>-11</v>
      </c>
      <c r="H410" s="560">
        <v>889148</v>
      </c>
      <c r="I410" s="626">
        <v>889148</v>
      </c>
      <c r="J410" s="629">
        <f t="shared" si="8"/>
        <v>0</v>
      </c>
    </row>
    <row r="411" spans="1:10" x14ac:dyDescent="0.25">
      <c r="A411" s="362">
        <v>5</v>
      </c>
      <c r="B411" s="364">
        <v>43987</v>
      </c>
      <c r="C411" s="362" t="s">
        <v>86</v>
      </c>
      <c r="D411" s="560">
        <v>98532140</v>
      </c>
      <c r="E411" s="560">
        <v>20447932</v>
      </c>
      <c r="F411" s="560">
        <v>118980300</v>
      </c>
      <c r="G411" s="560">
        <f t="shared" si="7"/>
        <v>-228</v>
      </c>
      <c r="H411" s="560">
        <v>931477</v>
      </c>
      <c r="I411" s="626">
        <v>931422</v>
      </c>
      <c r="J411" s="629">
        <f t="shared" si="8"/>
        <v>55</v>
      </c>
    </row>
    <row r="412" spans="1:10" x14ac:dyDescent="0.25">
      <c r="A412" s="362">
        <v>6</v>
      </c>
      <c r="B412" s="364">
        <v>43987</v>
      </c>
      <c r="C412" s="362" t="s">
        <v>89</v>
      </c>
      <c r="D412" s="560">
        <v>204869205</v>
      </c>
      <c r="E412" s="560">
        <v>3766095</v>
      </c>
      <c r="F412" s="560">
        <v>208635300</v>
      </c>
      <c r="G412" s="560">
        <f t="shared" si="7"/>
        <v>0</v>
      </c>
      <c r="H412" s="560">
        <v>6827478</v>
      </c>
      <c r="I412" s="626"/>
      <c r="J412" s="629">
        <f t="shared" si="8"/>
        <v>6827478</v>
      </c>
    </row>
    <row r="413" spans="1:10" x14ac:dyDescent="0.25">
      <c r="A413" s="362">
        <v>7</v>
      </c>
      <c r="B413" s="364">
        <v>43987</v>
      </c>
      <c r="C413" s="362" t="s">
        <v>4751</v>
      </c>
      <c r="D413" s="560">
        <v>119400498</v>
      </c>
      <c r="E413" s="560">
        <v>12848502</v>
      </c>
      <c r="F413" s="560">
        <v>132249000</v>
      </c>
      <c r="G413" s="560">
        <f t="shared" si="7"/>
        <v>0</v>
      </c>
      <c r="H413" s="560">
        <v>11043239</v>
      </c>
      <c r="I413" s="626">
        <v>11237239</v>
      </c>
      <c r="J413" s="629">
        <f t="shared" si="8"/>
        <v>-194000</v>
      </c>
    </row>
    <row r="414" spans="1:10" x14ac:dyDescent="0.25">
      <c r="A414" s="362">
        <v>8</v>
      </c>
      <c r="B414" s="364">
        <v>43987</v>
      </c>
      <c r="C414" s="362" t="s">
        <v>84</v>
      </c>
      <c r="D414" s="560">
        <v>229042570</v>
      </c>
      <c r="E414" s="560">
        <v>7627490</v>
      </c>
      <c r="F414" s="560">
        <v>236670100</v>
      </c>
      <c r="G414" s="560">
        <f t="shared" si="7"/>
        <v>-40</v>
      </c>
      <c r="H414" s="560">
        <v>7763297</v>
      </c>
      <c r="I414" s="626"/>
      <c r="J414" s="629">
        <f t="shared" si="8"/>
        <v>7763297</v>
      </c>
    </row>
    <row r="415" spans="1:10" x14ac:dyDescent="0.25">
      <c r="A415" s="362">
        <v>9</v>
      </c>
      <c r="B415" s="364">
        <v>43987</v>
      </c>
      <c r="C415" s="362" t="s">
        <v>85</v>
      </c>
      <c r="D415" s="560">
        <v>20726670</v>
      </c>
      <c r="E415" s="560">
        <v>2257630</v>
      </c>
      <c r="F415" s="560">
        <v>22984300</v>
      </c>
      <c r="G415" s="560">
        <f t="shared" si="7"/>
        <v>0</v>
      </c>
      <c r="H415" s="560">
        <v>2652457</v>
      </c>
      <c r="I415" s="626"/>
      <c r="J415" s="629">
        <f t="shared" si="8"/>
        <v>2652457</v>
      </c>
    </row>
    <row r="416" spans="1:10" x14ac:dyDescent="0.25">
      <c r="A416" s="362">
        <v>10</v>
      </c>
      <c r="B416" s="364">
        <v>43987</v>
      </c>
      <c r="C416" s="362" t="s">
        <v>81</v>
      </c>
      <c r="D416" s="560">
        <v>98801696</v>
      </c>
      <c r="E416" s="560">
        <v>6326500</v>
      </c>
      <c r="F416" s="560">
        <v>105128200</v>
      </c>
      <c r="G416" s="560">
        <f t="shared" si="7"/>
        <v>-4</v>
      </c>
      <c r="H416" s="560">
        <v>1905044</v>
      </c>
      <c r="I416" s="626"/>
      <c r="J416" s="629">
        <f t="shared" si="8"/>
        <v>1905044</v>
      </c>
    </row>
    <row r="417" spans="1:10" x14ac:dyDescent="0.25">
      <c r="A417" s="362">
        <v>11</v>
      </c>
      <c r="B417" s="364">
        <v>43987</v>
      </c>
      <c r="C417" s="362" t="s">
        <v>79</v>
      </c>
      <c r="D417" s="560">
        <v>41793900</v>
      </c>
      <c r="E417" s="560">
        <v>562030</v>
      </c>
      <c r="F417" s="560">
        <v>42498000</v>
      </c>
      <c r="G417" s="560">
        <f t="shared" si="7"/>
        <v>-142070</v>
      </c>
      <c r="H417" s="560">
        <v>2349484</v>
      </c>
      <c r="I417" s="626"/>
      <c r="J417" s="629">
        <f t="shared" si="8"/>
        <v>2349484</v>
      </c>
    </row>
    <row r="418" spans="1:10" x14ac:dyDescent="0.25">
      <c r="A418" s="362">
        <v>12</v>
      </c>
      <c r="B418" s="364">
        <v>43987</v>
      </c>
      <c r="C418" s="362" t="s">
        <v>82</v>
      </c>
      <c r="D418" s="560">
        <v>65508938</v>
      </c>
      <c r="E418" s="560">
        <v>7994780</v>
      </c>
      <c r="F418" s="560">
        <v>73503800</v>
      </c>
      <c r="G418" s="560">
        <f t="shared" si="7"/>
        <v>-82</v>
      </c>
      <c r="H418" s="560">
        <v>3495662</v>
      </c>
      <c r="I418" s="626"/>
      <c r="J418" s="629">
        <f t="shared" si="8"/>
        <v>3495662</v>
      </c>
    </row>
    <row r="419" spans="1:10" x14ac:dyDescent="0.25">
      <c r="A419" s="362">
        <v>13</v>
      </c>
      <c r="B419" s="364">
        <v>43987</v>
      </c>
      <c r="C419" s="362" t="s">
        <v>78</v>
      </c>
      <c r="D419" s="560">
        <v>49853527</v>
      </c>
      <c r="E419" s="560">
        <v>3143473</v>
      </c>
      <c r="F419" s="560">
        <v>52997000</v>
      </c>
      <c r="G419" s="560">
        <f t="shared" si="7"/>
        <v>0</v>
      </c>
      <c r="H419" s="560">
        <v>7476925</v>
      </c>
      <c r="I419" s="626"/>
      <c r="J419" s="629">
        <f t="shared" si="8"/>
        <v>7476925</v>
      </c>
    </row>
    <row r="420" spans="1:10" x14ac:dyDescent="0.25">
      <c r="A420" s="362">
        <v>14</v>
      </c>
      <c r="B420" s="364">
        <v>43987</v>
      </c>
      <c r="C420" s="362" t="s">
        <v>166</v>
      </c>
      <c r="D420" s="560">
        <v>51700607</v>
      </c>
      <c r="E420" s="560"/>
      <c r="F420" s="560">
        <v>51700600</v>
      </c>
      <c r="G420" s="560">
        <f t="shared" si="7"/>
        <v>7</v>
      </c>
      <c r="H420" s="560"/>
      <c r="I420" s="626"/>
      <c r="J420" s="629">
        <f t="shared" si="8"/>
        <v>0</v>
      </c>
    </row>
    <row r="421" spans="1:10" x14ac:dyDescent="0.25">
      <c r="A421" s="362">
        <v>15</v>
      </c>
      <c r="B421" s="364">
        <v>43987</v>
      </c>
      <c r="C421" s="362" t="s">
        <v>3435</v>
      </c>
      <c r="D421" s="560"/>
      <c r="E421" s="560"/>
      <c r="F421" s="560"/>
      <c r="G421" s="560">
        <v>202493200</v>
      </c>
      <c r="H421" s="560"/>
      <c r="I421" s="626"/>
      <c r="J421" s="629">
        <f t="shared" si="8"/>
        <v>0</v>
      </c>
    </row>
    <row r="422" spans="1:10" x14ac:dyDescent="0.25">
      <c r="A422" s="530"/>
      <c r="B422" s="589"/>
      <c r="C422" s="530"/>
      <c r="D422" s="562"/>
      <c r="E422" s="562"/>
      <c r="F422" s="562"/>
      <c r="G422" s="562">
        <f t="shared" si="7"/>
        <v>0</v>
      </c>
      <c r="H422" s="562"/>
      <c r="I422" s="530"/>
      <c r="J422" s="530"/>
    </row>
    <row r="423" spans="1:10" x14ac:dyDescent="0.25">
      <c r="A423" s="362">
        <v>1</v>
      </c>
      <c r="B423" s="364">
        <v>43988</v>
      </c>
      <c r="C423" s="362" t="s">
        <v>80</v>
      </c>
      <c r="D423" s="560">
        <v>157879170</v>
      </c>
      <c r="E423" s="560">
        <v>12548836</v>
      </c>
      <c r="F423" s="560">
        <v>170428100</v>
      </c>
      <c r="G423" s="560">
        <f t="shared" si="7"/>
        <v>-94</v>
      </c>
      <c r="H423" s="560">
        <v>18230107</v>
      </c>
      <c r="I423" s="362"/>
      <c r="J423" s="362"/>
    </row>
    <row r="424" spans="1:10" x14ac:dyDescent="0.25">
      <c r="A424" s="362">
        <v>2</v>
      </c>
      <c r="B424" s="364">
        <v>43988</v>
      </c>
      <c r="C424" s="362" t="s">
        <v>83</v>
      </c>
      <c r="D424" s="560">
        <v>192387747</v>
      </c>
      <c r="E424" s="560">
        <v>39886714</v>
      </c>
      <c r="F424" s="560">
        <v>232274400</v>
      </c>
      <c r="G424" s="560">
        <f t="shared" si="7"/>
        <v>61</v>
      </c>
      <c r="H424" s="560">
        <v>542027</v>
      </c>
      <c r="I424" s="362"/>
      <c r="J424" s="362"/>
    </row>
    <row r="425" spans="1:10" x14ac:dyDescent="0.25">
      <c r="A425" s="362">
        <v>3</v>
      </c>
      <c r="B425" s="364">
        <v>43988</v>
      </c>
      <c r="C425" s="362" t="s">
        <v>88</v>
      </c>
      <c r="D425" s="560">
        <v>276807022</v>
      </c>
      <c r="E425" s="560">
        <v>28844285</v>
      </c>
      <c r="F425" s="560">
        <v>305654900</v>
      </c>
      <c r="G425" s="560">
        <f t="shared" si="7"/>
        <v>-3593</v>
      </c>
      <c r="H425" s="560">
        <v>5334537</v>
      </c>
      <c r="I425" s="362"/>
      <c r="J425" s="362"/>
    </row>
    <row r="426" spans="1:10" x14ac:dyDescent="0.25">
      <c r="A426" s="362">
        <v>4</v>
      </c>
      <c r="B426" s="364">
        <v>43988</v>
      </c>
      <c r="C426" s="362" t="s">
        <v>146</v>
      </c>
      <c r="D426" s="560">
        <v>23466359</v>
      </c>
      <c r="E426" s="560">
        <v>88997181</v>
      </c>
      <c r="F426" s="560">
        <v>112463900</v>
      </c>
      <c r="G426" s="560">
        <f t="shared" si="7"/>
        <v>-360</v>
      </c>
      <c r="H426" s="560">
        <v>476648</v>
      </c>
      <c r="I426" s="362"/>
      <c r="J426" s="362"/>
    </row>
    <row r="427" spans="1:10" x14ac:dyDescent="0.25">
      <c r="A427" s="362">
        <v>5</v>
      </c>
      <c r="B427" s="364">
        <v>43988</v>
      </c>
      <c r="C427" s="362" t="s">
        <v>86</v>
      </c>
      <c r="D427" s="560">
        <v>43784032</v>
      </c>
      <c r="E427" s="560">
        <v>33343315</v>
      </c>
      <c r="F427" s="560">
        <v>77127000</v>
      </c>
      <c r="G427" s="560">
        <f t="shared" si="7"/>
        <v>347</v>
      </c>
      <c r="H427" s="560">
        <v>931477</v>
      </c>
      <c r="I427" s="362"/>
      <c r="J427" s="362"/>
    </row>
    <row r="428" spans="1:10" x14ac:dyDescent="0.25">
      <c r="A428" s="362">
        <v>6</v>
      </c>
      <c r="B428" s="364">
        <v>43988</v>
      </c>
      <c r="C428" s="362" t="s">
        <v>89</v>
      </c>
      <c r="D428" s="560">
        <v>35219600</v>
      </c>
      <c r="E428" s="560">
        <v>3797800</v>
      </c>
      <c r="F428" s="560">
        <v>39017400</v>
      </c>
      <c r="G428" s="560">
        <f t="shared" si="7"/>
        <v>0</v>
      </c>
      <c r="H428" s="560">
        <v>6308378</v>
      </c>
      <c r="I428" s="362"/>
      <c r="J428" s="362"/>
    </row>
    <row r="429" spans="1:10" x14ac:dyDescent="0.25">
      <c r="A429" s="362">
        <v>7</v>
      </c>
      <c r="B429" s="364">
        <v>43988</v>
      </c>
      <c r="C429" s="362" t="s">
        <v>4751</v>
      </c>
      <c r="D429" s="560">
        <v>177328420</v>
      </c>
      <c r="E429" s="560">
        <v>9608980</v>
      </c>
      <c r="F429" s="560">
        <v>186937400</v>
      </c>
      <c r="G429" s="560">
        <f t="shared" si="7"/>
        <v>0</v>
      </c>
      <c r="H429" s="560">
        <v>10176959</v>
      </c>
      <c r="I429" s="362"/>
      <c r="J429" s="362"/>
    </row>
    <row r="430" spans="1:10" x14ac:dyDescent="0.25">
      <c r="A430" s="362">
        <v>8</v>
      </c>
      <c r="B430" s="364">
        <v>43988</v>
      </c>
      <c r="C430" s="362" t="s">
        <v>84</v>
      </c>
      <c r="D430" s="560">
        <v>153482682</v>
      </c>
      <c r="E430" s="560">
        <v>8904750</v>
      </c>
      <c r="F430" s="560">
        <v>162386800</v>
      </c>
      <c r="G430" s="560">
        <f t="shared" si="7"/>
        <v>632</v>
      </c>
      <c r="H430" s="560">
        <v>7763297</v>
      </c>
      <c r="I430" s="362"/>
      <c r="J430" s="362"/>
    </row>
    <row r="431" spans="1:10" x14ac:dyDescent="0.25">
      <c r="A431" s="362">
        <v>9</v>
      </c>
      <c r="B431" s="364">
        <v>43988</v>
      </c>
      <c r="C431" s="362" t="s">
        <v>85</v>
      </c>
      <c r="D431" s="560">
        <v>13239464</v>
      </c>
      <c r="E431" s="560">
        <v>2185336</v>
      </c>
      <c r="F431" s="560">
        <v>15424800</v>
      </c>
      <c r="G431" s="560">
        <f t="shared" si="7"/>
        <v>0</v>
      </c>
      <c r="H431" s="560">
        <v>2652467</v>
      </c>
      <c r="I431" s="362"/>
      <c r="J431" s="362"/>
    </row>
    <row r="432" spans="1:10" x14ac:dyDescent="0.25">
      <c r="A432" s="362">
        <v>10</v>
      </c>
      <c r="B432" s="364">
        <v>43988</v>
      </c>
      <c r="C432" s="362" t="s">
        <v>81</v>
      </c>
      <c r="D432" s="560">
        <v>73941820</v>
      </c>
      <c r="E432" s="560">
        <v>11573400</v>
      </c>
      <c r="F432" s="560">
        <v>85515300</v>
      </c>
      <c r="G432" s="560">
        <f t="shared" si="7"/>
        <v>-80</v>
      </c>
      <c r="H432" s="560">
        <v>1766044</v>
      </c>
      <c r="I432" s="362"/>
      <c r="J432" s="362"/>
    </row>
    <row r="433" spans="1:10" x14ac:dyDescent="0.25">
      <c r="A433" s="362">
        <v>11</v>
      </c>
      <c r="B433" s="364">
        <v>43988</v>
      </c>
      <c r="C433" s="362" t="s">
        <v>79</v>
      </c>
      <c r="D433" s="560">
        <v>14653423</v>
      </c>
      <c r="E433" s="560">
        <v>770118</v>
      </c>
      <c r="F433" s="560">
        <v>15423600</v>
      </c>
      <c r="G433" s="560">
        <f t="shared" si="7"/>
        <v>-59</v>
      </c>
      <c r="H433" s="560">
        <v>1975484</v>
      </c>
      <c r="I433" s="362"/>
      <c r="J433" s="362"/>
    </row>
    <row r="434" spans="1:10" x14ac:dyDescent="0.25">
      <c r="A434" s="362">
        <v>12</v>
      </c>
      <c r="B434" s="364">
        <v>43988</v>
      </c>
      <c r="C434" s="362" t="s">
        <v>82</v>
      </c>
      <c r="D434" s="560">
        <v>43591277</v>
      </c>
      <c r="E434" s="560">
        <v>10005302</v>
      </c>
      <c r="F434" s="560">
        <v>53596600</v>
      </c>
      <c r="G434" s="560">
        <f t="shared" si="7"/>
        <v>-21</v>
      </c>
      <c r="H434" s="560">
        <v>2413262</v>
      </c>
      <c r="I434" s="362"/>
      <c r="J434" s="362"/>
    </row>
    <row r="435" spans="1:10" x14ac:dyDescent="0.25">
      <c r="A435" s="362">
        <v>13</v>
      </c>
      <c r="B435" s="364">
        <v>43988</v>
      </c>
      <c r="C435" s="362" t="s">
        <v>78</v>
      </c>
      <c r="D435" s="560">
        <v>77263424</v>
      </c>
      <c r="E435" s="560">
        <v>2501576</v>
      </c>
      <c r="F435" s="560">
        <v>79765000</v>
      </c>
      <c r="G435" s="560">
        <f t="shared" si="7"/>
        <v>0</v>
      </c>
      <c r="H435" s="560">
        <v>6095075</v>
      </c>
      <c r="I435" s="362"/>
      <c r="J435" s="362"/>
    </row>
    <row r="436" spans="1:10" x14ac:dyDescent="0.25">
      <c r="A436" s="362">
        <v>14</v>
      </c>
      <c r="B436" s="364">
        <v>43988</v>
      </c>
      <c r="C436" s="362" t="s">
        <v>166</v>
      </c>
      <c r="D436" s="560"/>
      <c r="E436" s="560"/>
      <c r="F436" s="560"/>
      <c r="G436" s="560">
        <f t="shared" si="7"/>
        <v>0</v>
      </c>
      <c r="H436" s="560"/>
      <c r="I436" s="362"/>
      <c r="J436" s="362"/>
    </row>
    <row r="437" spans="1:10" x14ac:dyDescent="0.25">
      <c r="A437" s="362">
        <v>15</v>
      </c>
      <c r="B437" s="364">
        <v>43988</v>
      </c>
      <c r="C437" s="362" t="s">
        <v>3435</v>
      </c>
      <c r="D437" s="560"/>
      <c r="E437" s="560"/>
      <c r="F437" s="560"/>
      <c r="G437" s="560">
        <f t="shared" si="7"/>
        <v>0</v>
      </c>
      <c r="H437" s="560"/>
      <c r="I437" s="362"/>
      <c r="J437" s="362"/>
    </row>
    <row r="438" spans="1:10" x14ac:dyDescent="0.25">
      <c r="A438" s="530"/>
      <c r="B438" s="589"/>
      <c r="C438" s="530"/>
      <c r="D438" s="562"/>
      <c r="E438" s="562"/>
      <c r="F438" s="562"/>
      <c r="G438" s="562">
        <f t="shared" si="7"/>
        <v>0</v>
      </c>
      <c r="H438" s="562"/>
      <c r="I438" s="530"/>
      <c r="J438" s="530"/>
    </row>
    <row r="439" spans="1:10" x14ac:dyDescent="0.25">
      <c r="A439" s="362">
        <v>1</v>
      </c>
      <c r="B439" s="364">
        <v>43990</v>
      </c>
      <c r="C439" s="362" t="s">
        <v>80</v>
      </c>
      <c r="D439" s="560">
        <v>200490952</v>
      </c>
      <c r="E439" s="560">
        <v>1223693</v>
      </c>
      <c r="F439" s="560">
        <v>201714700</v>
      </c>
      <c r="G439" s="560">
        <f t="shared" si="7"/>
        <v>-55</v>
      </c>
      <c r="H439" s="560">
        <v>8230107</v>
      </c>
      <c r="I439" s="560"/>
      <c r="J439" s="560"/>
    </row>
    <row r="440" spans="1:10" x14ac:dyDescent="0.25">
      <c r="A440" s="362">
        <v>2</v>
      </c>
      <c r="B440" s="364">
        <v>43990</v>
      </c>
      <c r="C440" s="362" t="s">
        <v>83</v>
      </c>
      <c r="D440" s="560">
        <v>172895668</v>
      </c>
      <c r="E440" s="560">
        <v>4600525</v>
      </c>
      <c r="F440" s="560">
        <v>177496200</v>
      </c>
      <c r="G440" s="560">
        <f t="shared" si="7"/>
        <v>-7</v>
      </c>
      <c r="H440" s="560">
        <v>9121869</v>
      </c>
      <c r="I440" s="560"/>
      <c r="J440" s="560"/>
    </row>
    <row r="441" spans="1:10" x14ac:dyDescent="0.25">
      <c r="A441" s="362">
        <v>3</v>
      </c>
      <c r="B441" s="364">
        <v>43990</v>
      </c>
      <c r="C441" s="362" t="s">
        <v>88</v>
      </c>
      <c r="D441" s="560">
        <v>162185040</v>
      </c>
      <c r="E441" s="560">
        <v>37941537</v>
      </c>
      <c r="F441" s="560">
        <v>200126600</v>
      </c>
      <c r="G441" s="560">
        <f t="shared" si="7"/>
        <v>-23</v>
      </c>
      <c r="H441" s="560">
        <v>16497551</v>
      </c>
      <c r="I441" s="560"/>
      <c r="J441" s="560"/>
    </row>
    <row r="442" spans="1:10" x14ac:dyDescent="0.25">
      <c r="A442" s="362">
        <v>4</v>
      </c>
      <c r="B442" s="364">
        <v>43990</v>
      </c>
      <c r="C442" s="362" t="s">
        <v>146</v>
      </c>
      <c r="D442" s="560">
        <v>97389276</v>
      </c>
      <c r="E442" s="560">
        <v>75354881</v>
      </c>
      <c r="F442" s="560">
        <v>172744200</v>
      </c>
      <c r="G442" s="560">
        <f t="shared" si="7"/>
        <v>-43</v>
      </c>
      <c r="H442" s="560">
        <v>18211470</v>
      </c>
      <c r="I442" s="560"/>
      <c r="J442" s="560"/>
    </row>
    <row r="443" spans="1:10" x14ac:dyDescent="0.25">
      <c r="A443" s="362">
        <v>5</v>
      </c>
      <c r="B443" s="364">
        <v>43990</v>
      </c>
      <c r="C443" s="362" t="s">
        <v>86</v>
      </c>
      <c r="D443" s="560">
        <v>30255561</v>
      </c>
      <c r="E443" s="560">
        <v>25816260</v>
      </c>
      <c r="F443" s="560">
        <v>53825200</v>
      </c>
      <c r="G443" s="560">
        <f t="shared" si="7"/>
        <v>2246621</v>
      </c>
      <c r="H443" s="560">
        <v>6469332</v>
      </c>
      <c r="I443" s="560"/>
      <c r="J443" s="560"/>
    </row>
    <row r="444" spans="1:10" x14ac:dyDescent="0.25">
      <c r="A444" s="362">
        <v>6</v>
      </c>
      <c r="B444" s="364">
        <v>43990</v>
      </c>
      <c r="C444" s="362" t="s">
        <v>89</v>
      </c>
      <c r="D444" s="560">
        <v>169501640</v>
      </c>
      <c r="E444" s="560">
        <v>12551660</v>
      </c>
      <c r="F444" s="560">
        <v>182053300</v>
      </c>
      <c r="G444" s="560">
        <f t="shared" si="7"/>
        <v>0</v>
      </c>
      <c r="H444" s="560">
        <v>3981378</v>
      </c>
      <c r="I444" s="560"/>
      <c r="J444" s="560"/>
    </row>
    <row r="445" spans="1:10" x14ac:dyDescent="0.25">
      <c r="A445" s="362">
        <v>7</v>
      </c>
      <c r="B445" s="364">
        <v>43990</v>
      </c>
      <c r="C445" s="362" t="s">
        <v>4751</v>
      </c>
      <c r="D445" s="560">
        <v>230330758</v>
      </c>
      <c r="E445" s="560">
        <v>18936542</v>
      </c>
      <c r="F445" s="560">
        <v>249267300</v>
      </c>
      <c r="G445" s="560">
        <f t="shared" si="7"/>
        <v>0</v>
      </c>
      <c r="H445" s="560">
        <v>10062959</v>
      </c>
      <c r="I445" s="560"/>
      <c r="J445" s="560"/>
    </row>
    <row r="446" spans="1:10" x14ac:dyDescent="0.25">
      <c r="A446" s="362">
        <v>8</v>
      </c>
      <c r="B446" s="364">
        <v>43990</v>
      </c>
      <c r="C446" s="362" t="s">
        <v>84</v>
      </c>
      <c r="D446" s="560">
        <v>297044742</v>
      </c>
      <c r="E446" s="560">
        <v>7031427</v>
      </c>
      <c r="F446" s="560">
        <v>304076200</v>
      </c>
      <c r="G446" s="560">
        <f t="shared" si="7"/>
        <v>-31</v>
      </c>
      <c r="H446" s="560">
        <v>7763297</v>
      </c>
      <c r="I446" s="560"/>
      <c r="J446" s="560"/>
    </row>
    <row r="447" spans="1:10" x14ac:dyDescent="0.25">
      <c r="A447" s="362">
        <v>9</v>
      </c>
      <c r="B447" s="364">
        <v>43990</v>
      </c>
      <c r="C447" s="362" t="s">
        <v>85</v>
      </c>
      <c r="D447" s="560">
        <v>43900706</v>
      </c>
      <c r="E447" s="560">
        <v>7561694</v>
      </c>
      <c r="F447" s="560">
        <v>51462400</v>
      </c>
      <c r="G447" s="560">
        <f t="shared" si="7"/>
        <v>0</v>
      </c>
      <c r="H447" s="560">
        <v>2652467</v>
      </c>
      <c r="I447" s="560"/>
      <c r="J447" s="560"/>
    </row>
    <row r="448" spans="1:10" x14ac:dyDescent="0.25">
      <c r="A448" s="362">
        <v>10</v>
      </c>
      <c r="B448" s="364">
        <v>43990</v>
      </c>
      <c r="C448" s="362" t="s">
        <v>81</v>
      </c>
      <c r="D448" s="560">
        <v>23872956</v>
      </c>
      <c r="E448" s="560">
        <v>18638501</v>
      </c>
      <c r="F448" s="560">
        <v>42511500</v>
      </c>
      <c r="G448" s="560">
        <f t="shared" si="7"/>
        <v>-43</v>
      </c>
      <c r="H448" s="560">
        <v>904644</v>
      </c>
      <c r="I448" s="560"/>
      <c r="J448" s="560"/>
    </row>
    <row r="449" spans="1:10" x14ac:dyDescent="0.25">
      <c r="A449" s="362">
        <v>11</v>
      </c>
      <c r="B449" s="364">
        <v>43990</v>
      </c>
      <c r="C449" s="362" t="s">
        <v>79</v>
      </c>
      <c r="D449" s="560">
        <v>43891964</v>
      </c>
      <c r="E449" s="560">
        <v>35095736</v>
      </c>
      <c r="F449" s="560">
        <v>78987800</v>
      </c>
      <c r="G449" s="560">
        <f t="shared" si="7"/>
        <v>-100</v>
      </c>
      <c r="H449" s="560">
        <v>1897984</v>
      </c>
      <c r="I449" s="560"/>
      <c r="J449" s="560"/>
    </row>
    <row r="450" spans="1:10" x14ac:dyDescent="0.25">
      <c r="A450" s="362">
        <v>12</v>
      </c>
      <c r="B450" s="364">
        <v>43990</v>
      </c>
      <c r="C450" s="362" t="s">
        <v>82</v>
      </c>
      <c r="D450" s="560">
        <v>77162207</v>
      </c>
      <c r="E450" s="560">
        <v>950143</v>
      </c>
      <c r="F450" s="560">
        <v>78112500</v>
      </c>
      <c r="G450" s="560">
        <f t="shared" si="7"/>
        <v>-150</v>
      </c>
      <c r="H450" s="560">
        <v>943162</v>
      </c>
      <c r="I450" s="560"/>
      <c r="J450" s="560"/>
    </row>
    <row r="451" spans="1:10" x14ac:dyDescent="0.25">
      <c r="A451" s="362">
        <v>13</v>
      </c>
      <c r="B451" s="364">
        <v>43990</v>
      </c>
      <c r="C451" s="362" t="s">
        <v>78</v>
      </c>
      <c r="D451" s="560">
        <v>71707364</v>
      </c>
      <c r="E451" s="560">
        <v>4922736</v>
      </c>
      <c r="F451" s="560">
        <v>76630100</v>
      </c>
      <c r="G451" s="560">
        <f t="shared" si="7"/>
        <v>0</v>
      </c>
      <c r="H451" s="560">
        <v>5560310</v>
      </c>
      <c r="I451" s="560"/>
      <c r="J451" s="560"/>
    </row>
    <row r="452" spans="1:10" x14ac:dyDescent="0.25">
      <c r="A452" s="362">
        <v>14</v>
      </c>
      <c r="B452" s="364">
        <v>43990</v>
      </c>
      <c r="C452" s="362" t="s">
        <v>166</v>
      </c>
      <c r="D452" s="560">
        <v>66277616</v>
      </c>
      <c r="E452" s="560"/>
      <c r="F452" s="560">
        <v>66277700</v>
      </c>
      <c r="G452" s="560">
        <f t="shared" si="7"/>
        <v>-84</v>
      </c>
      <c r="H452" s="560"/>
      <c r="I452" s="560"/>
      <c r="J452" s="560"/>
    </row>
    <row r="453" spans="1:10" x14ac:dyDescent="0.25">
      <c r="A453" s="362">
        <v>15</v>
      </c>
      <c r="B453" s="364">
        <v>43990</v>
      </c>
      <c r="C453" s="362" t="s">
        <v>3435</v>
      </c>
      <c r="D453" s="560"/>
      <c r="E453" s="560"/>
      <c r="F453" s="560">
        <v>65409400</v>
      </c>
      <c r="G453" s="560">
        <f t="shared" si="7"/>
        <v>-65409400</v>
      </c>
      <c r="H453" s="560"/>
      <c r="I453" s="560"/>
      <c r="J453" s="560"/>
    </row>
    <row r="454" spans="1:10" x14ac:dyDescent="0.25">
      <c r="A454" s="530"/>
      <c r="B454" s="530"/>
      <c r="C454" s="530"/>
      <c r="D454" s="562"/>
      <c r="E454" s="562"/>
      <c r="F454" s="562"/>
      <c r="G454" s="562">
        <f t="shared" si="7"/>
        <v>0</v>
      </c>
      <c r="H454" s="562"/>
      <c r="I454" s="562"/>
      <c r="J454" s="562"/>
    </row>
    <row r="455" spans="1:10" x14ac:dyDescent="0.25">
      <c r="A455" s="362">
        <v>1</v>
      </c>
      <c r="B455" s="364">
        <v>43991</v>
      </c>
      <c r="C455" s="362" t="s">
        <v>80</v>
      </c>
      <c r="D455" s="560">
        <v>426984530</v>
      </c>
      <c r="E455" s="560">
        <v>27113607</v>
      </c>
      <c r="F455" s="560">
        <v>454098200</v>
      </c>
      <c r="G455" s="560">
        <f t="shared" ref="G455:G518" si="9">D455+E455-F455</f>
        <v>-63</v>
      </c>
      <c r="H455" s="560">
        <v>38000082</v>
      </c>
      <c r="I455" s="560"/>
      <c r="J455" s="560"/>
    </row>
    <row r="456" spans="1:10" x14ac:dyDescent="0.25">
      <c r="A456" s="362">
        <v>2</v>
      </c>
      <c r="B456" s="364">
        <v>43991</v>
      </c>
      <c r="C456" s="362" t="s">
        <v>83</v>
      </c>
      <c r="D456" s="560">
        <v>248623484</v>
      </c>
      <c r="E456" s="560">
        <v>8340278</v>
      </c>
      <c r="F456" s="560">
        <v>256963800</v>
      </c>
      <c r="G456" s="560">
        <f t="shared" si="9"/>
        <v>-38</v>
      </c>
      <c r="H456" s="560">
        <v>7492310</v>
      </c>
      <c r="I456" s="560"/>
      <c r="J456" s="560"/>
    </row>
    <row r="457" spans="1:10" x14ac:dyDescent="0.25">
      <c r="A457" s="362">
        <v>3</v>
      </c>
      <c r="B457" s="364">
        <v>43991</v>
      </c>
      <c r="C457" s="362" t="s">
        <v>88</v>
      </c>
      <c r="D457" s="560">
        <v>112132401</v>
      </c>
      <c r="E457" s="560">
        <v>23173412</v>
      </c>
      <c r="F457" s="560">
        <v>135305900</v>
      </c>
      <c r="G457" s="560">
        <f t="shared" si="9"/>
        <v>-87</v>
      </c>
      <c r="H457" s="560">
        <v>13875666</v>
      </c>
      <c r="I457" s="560"/>
      <c r="J457" s="560"/>
    </row>
    <row r="458" spans="1:10" x14ac:dyDescent="0.25">
      <c r="A458" s="362">
        <v>4</v>
      </c>
      <c r="B458" s="364">
        <v>43991</v>
      </c>
      <c r="C458" s="362" t="s">
        <v>146</v>
      </c>
      <c r="D458" s="560">
        <v>124229359</v>
      </c>
      <c r="E458" s="560">
        <v>80434846</v>
      </c>
      <c r="F458" s="560">
        <v>204664500</v>
      </c>
      <c r="G458" s="560">
        <f t="shared" si="9"/>
        <v>-295</v>
      </c>
      <c r="H458" s="560">
        <v>17626940</v>
      </c>
      <c r="I458" s="560"/>
      <c r="J458" s="560"/>
    </row>
    <row r="459" spans="1:10" x14ac:dyDescent="0.25">
      <c r="A459" s="362">
        <v>5</v>
      </c>
      <c r="B459" s="364">
        <v>43991</v>
      </c>
      <c r="C459" s="362" t="s">
        <v>86</v>
      </c>
      <c r="D459" s="560">
        <v>46667848</v>
      </c>
      <c r="E459" s="560">
        <v>116501396</v>
      </c>
      <c r="F459" s="560">
        <v>163169000</v>
      </c>
      <c r="G459" s="560">
        <f t="shared" si="9"/>
        <v>244</v>
      </c>
      <c r="H459" s="560">
        <v>5325532</v>
      </c>
      <c r="I459" s="560"/>
      <c r="J459" s="560"/>
    </row>
    <row r="460" spans="1:10" x14ac:dyDescent="0.25">
      <c r="A460" s="362">
        <v>6</v>
      </c>
      <c r="B460" s="364">
        <v>43991</v>
      </c>
      <c r="C460" s="362" t="s">
        <v>89</v>
      </c>
      <c r="D460" s="560">
        <v>166334283</v>
      </c>
      <c r="E460" s="560">
        <v>3037717</v>
      </c>
      <c r="F460" s="560">
        <v>169372000</v>
      </c>
      <c r="G460" s="560">
        <f t="shared" si="9"/>
        <v>0</v>
      </c>
      <c r="H460" s="560">
        <v>14141713</v>
      </c>
      <c r="I460" s="560"/>
      <c r="J460" s="560"/>
    </row>
    <row r="461" spans="1:10" x14ac:dyDescent="0.25">
      <c r="A461" s="362">
        <v>7</v>
      </c>
      <c r="B461" s="364">
        <v>43991</v>
      </c>
      <c r="C461" s="362" t="s">
        <v>4751</v>
      </c>
      <c r="D461" s="560">
        <v>190690190</v>
      </c>
      <c r="E461" s="560">
        <v>18243310</v>
      </c>
      <c r="F461" s="560">
        <v>208933500</v>
      </c>
      <c r="G461" s="560">
        <f t="shared" si="9"/>
        <v>0</v>
      </c>
      <c r="H461" s="560">
        <v>8417239</v>
      </c>
      <c r="I461" s="560"/>
      <c r="J461" s="560"/>
    </row>
    <row r="462" spans="1:10" x14ac:dyDescent="0.25">
      <c r="A462" s="362">
        <v>8</v>
      </c>
      <c r="B462" s="364">
        <v>43991</v>
      </c>
      <c r="C462" s="362" t="s">
        <v>84</v>
      </c>
      <c r="D462" s="560">
        <v>152888171</v>
      </c>
      <c r="E462" s="560">
        <v>14207430</v>
      </c>
      <c r="F462" s="560">
        <v>167095600</v>
      </c>
      <c r="G462" s="560">
        <f t="shared" si="9"/>
        <v>1</v>
      </c>
      <c r="H462" s="560">
        <v>24989526</v>
      </c>
      <c r="I462" s="560"/>
      <c r="J462" s="560"/>
    </row>
    <row r="463" spans="1:10" x14ac:dyDescent="0.25">
      <c r="A463" s="362">
        <v>9</v>
      </c>
      <c r="B463" s="364">
        <v>43991</v>
      </c>
      <c r="C463" s="362" t="s">
        <v>85</v>
      </c>
      <c r="D463" s="560">
        <v>32681894</v>
      </c>
      <c r="E463" s="560">
        <v>3675106</v>
      </c>
      <c r="F463" s="560">
        <v>36357000</v>
      </c>
      <c r="G463" s="560">
        <f t="shared" si="9"/>
        <v>0</v>
      </c>
      <c r="H463" s="560">
        <v>2652467</v>
      </c>
      <c r="I463" s="560"/>
      <c r="J463" s="560"/>
    </row>
    <row r="464" spans="1:10" x14ac:dyDescent="0.25">
      <c r="A464" s="362">
        <v>10</v>
      </c>
      <c r="B464" s="364">
        <v>43991</v>
      </c>
      <c r="C464" s="362" t="s">
        <v>81</v>
      </c>
      <c r="D464" s="560">
        <v>18261295</v>
      </c>
      <c r="E464" s="560">
        <v>20143102</v>
      </c>
      <c r="F464" s="560">
        <v>38404400</v>
      </c>
      <c r="G464" s="560">
        <f t="shared" si="9"/>
        <v>-3</v>
      </c>
      <c r="H464" s="560">
        <v>17898294</v>
      </c>
      <c r="I464" s="560"/>
      <c r="J464" s="560"/>
    </row>
    <row r="465" spans="1:11" x14ac:dyDescent="0.25">
      <c r="A465" s="362">
        <v>11</v>
      </c>
      <c r="B465" s="364">
        <v>43991</v>
      </c>
      <c r="C465" s="362" t="s">
        <v>79</v>
      </c>
      <c r="D465" s="560">
        <v>14361156</v>
      </c>
      <c r="E465" s="560">
        <v>1447954</v>
      </c>
      <c r="F465" s="560">
        <v>15809200</v>
      </c>
      <c r="G465" s="560">
        <f t="shared" si="9"/>
        <v>-90</v>
      </c>
      <c r="H465" s="560">
        <v>4596588</v>
      </c>
      <c r="I465" s="560"/>
      <c r="J465" s="560"/>
    </row>
    <row r="466" spans="1:11" x14ac:dyDescent="0.25">
      <c r="A466" s="362">
        <v>12</v>
      </c>
      <c r="B466" s="364">
        <v>43991</v>
      </c>
      <c r="C466" s="362" t="s">
        <v>82</v>
      </c>
      <c r="D466" s="560">
        <v>83745190</v>
      </c>
      <c r="E466" s="560">
        <v>1436725</v>
      </c>
      <c r="F466" s="560">
        <v>85182000</v>
      </c>
      <c r="G466" s="560">
        <f t="shared" si="9"/>
        <v>-85</v>
      </c>
      <c r="H466" s="560">
        <v>9449966</v>
      </c>
      <c r="I466" s="560"/>
      <c r="J466" s="560"/>
    </row>
    <row r="467" spans="1:11" x14ac:dyDescent="0.25">
      <c r="A467" s="362">
        <v>13</v>
      </c>
      <c r="B467" s="364">
        <v>43991</v>
      </c>
      <c r="C467" s="362" t="s">
        <v>78</v>
      </c>
      <c r="D467" s="560">
        <v>68437636</v>
      </c>
      <c r="E467" s="560">
        <v>7871964</v>
      </c>
      <c r="F467" s="560">
        <v>76309600</v>
      </c>
      <c r="G467" s="560">
        <f t="shared" si="9"/>
        <v>0</v>
      </c>
      <c r="H467" s="560">
        <v>4386382</v>
      </c>
      <c r="I467" s="560"/>
      <c r="J467" s="560"/>
    </row>
    <row r="468" spans="1:11" x14ac:dyDescent="0.25">
      <c r="A468" s="362">
        <v>14</v>
      </c>
      <c r="B468" s="364">
        <v>43991</v>
      </c>
      <c r="C468" s="362" t="s">
        <v>166</v>
      </c>
      <c r="D468" s="560">
        <v>72143810</v>
      </c>
      <c r="E468" s="560"/>
      <c r="F468" s="560">
        <v>72144000</v>
      </c>
      <c r="G468" s="560">
        <f t="shared" si="9"/>
        <v>-190</v>
      </c>
      <c r="H468" s="560"/>
      <c r="I468" s="560"/>
      <c r="J468" s="560"/>
    </row>
    <row r="469" spans="1:11" x14ac:dyDescent="0.25">
      <c r="A469" s="362">
        <v>15</v>
      </c>
      <c r="B469" s="364">
        <v>43991</v>
      </c>
      <c r="C469" s="362" t="s">
        <v>3435</v>
      </c>
      <c r="D469" s="560"/>
      <c r="E469" s="560"/>
      <c r="F469" s="560">
        <v>42693300</v>
      </c>
      <c r="G469" s="560">
        <f t="shared" si="9"/>
        <v>-42693300</v>
      </c>
      <c r="H469" s="560"/>
      <c r="I469" s="560"/>
      <c r="J469" s="560"/>
    </row>
    <row r="470" spans="1:11" x14ac:dyDescent="0.25">
      <c r="A470" s="530"/>
      <c r="B470" s="589"/>
      <c r="C470" s="530"/>
      <c r="D470" s="562"/>
      <c r="E470" s="562"/>
      <c r="F470" s="562"/>
      <c r="G470" s="562">
        <f t="shared" si="9"/>
        <v>0</v>
      </c>
      <c r="H470" s="562"/>
      <c r="I470" s="562"/>
      <c r="J470" s="562"/>
    </row>
    <row r="471" spans="1:11" x14ac:dyDescent="0.25">
      <c r="A471" s="362">
        <v>1</v>
      </c>
      <c r="B471" s="364">
        <v>43992</v>
      </c>
      <c r="C471" s="362" t="s">
        <v>80</v>
      </c>
      <c r="D471" s="560">
        <v>218134648</v>
      </c>
      <c r="E471" s="560">
        <v>40968002</v>
      </c>
      <c r="F471" s="560">
        <v>259102600</v>
      </c>
      <c r="G471" s="560">
        <f t="shared" si="9"/>
        <v>50</v>
      </c>
      <c r="H471" s="560">
        <v>26707382</v>
      </c>
      <c r="I471" s="560"/>
      <c r="J471" s="560"/>
    </row>
    <row r="472" spans="1:11" x14ac:dyDescent="0.25">
      <c r="A472" s="362">
        <v>2</v>
      </c>
      <c r="B472" s="364">
        <v>43992</v>
      </c>
      <c r="C472" s="362" t="s">
        <v>83</v>
      </c>
      <c r="D472" s="560">
        <v>199922195</v>
      </c>
      <c r="E472" s="560">
        <v>68938600</v>
      </c>
      <c r="F472" s="560">
        <v>268860800</v>
      </c>
      <c r="G472" s="560">
        <f t="shared" si="9"/>
        <v>-5</v>
      </c>
      <c r="H472" s="560">
        <v>5830235</v>
      </c>
      <c r="I472" s="560"/>
      <c r="J472" s="560"/>
    </row>
    <row r="473" spans="1:11" x14ac:dyDescent="0.25">
      <c r="A473" s="362">
        <v>3</v>
      </c>
      <c r="B473" s="364">
        <v>43992</v>
      </c>
      <c r="C473" s="362" t="s">
        <v>88</v>
      </c>
      <c r="D473" s="560">
        <v>125296780</v>
      </c>
      <c r="E473" s="560">
        <v>8844997</v>
      </c>
      <c r="F473" s="560">
        <v>134141800</v>
      </c>
      <c r="G473" s="560">
        <f t="shared" si="9"/>
        <v>-23</v>
      </c>
      <c r="H473" s="560">
        <v>13875666</v>
      </c>
      <c r="I473" s="560"/>
      <c r="J473" s="560"/>
    </row>
    <row r="474" spans="1:11" x14ac:dyDescent="0.25">
      <c r="A474" s="362">
        <v>4</v>
      </c>
      <c r="B474" s="364">
        <v>43992</v>
      </c>
      <c r="C474" s="362" t="s">
        <v>146</v>
      </c>
      <c r="D474" s="560">
        <v>60878188</v>
      </c>
      <c r="E474" s="560">
        <v>86262152</v>
      </c>
      <c r="F474" s="560">
        <v>147144500</v>
      </c>
      <c r="G474" s="560">
        <f t="shared" si="9"/>
        <v>-4160</v>
      </c>
      <c r="H474" s="560">
        <v>17205940</v>
      </c>
      <c r="I474" s="560"/>
      <c r="J474" s="560"/>
    </row>
    <row r="475" spans="1:11" x14ac:dyDescent="0.25">
      <c r="A475" s="362">
        <v>5</v>
      </c>
      <c r="B475" s="364">
        <v>43992</v>
      </c>
      <c r="C475" s="362" t="s">
        <v>86</v>
      </c>
      <c r="D475" s="560">
        <v>44885368</v>
      </c>
      <c r="E475" s="560">
        <v>38350344</v>
      </c>
      <c r="F475" s="560">
        <v>83235700</v>
      </c>
      <c r="G475" s="560">
        <f t="shared" si="9"/>
        <v>12</v>
      </c>
      <c r="H475" s="560">
        <v>4196732</v>
      </c>
      <c r="I475" s="560"/>
      <c r="J475" s="560"/>
    </row>
    <row r="476" spans="1:11" x14ac:dyDescent="0.25">
      <c r="A476" s="362">
        <v>6</v>
      </c>
      <c r="B476" s="364">
        <v>43992</v>
      </c>
      <c r="C476" s="362" t="s">
        <v>89</v>
      </c>
      <c r="D476" s="560">
        <v>151072293</v>
      </c>
      <c r="E476" s="560">
        <v>4795007</v>
      </c>
      <c r="F476" s="560">
        <v>155867300</v>
      </c>
      <c r="G476" s="560">
        <f t="shared" si="9"/>
        <v>0</v>
      </c>
      <c r="H476" s="560">
        <v>11932717</v>
      </c>
      <c r="I476" s="560"/>
      <c r="J476" s="560"/>
    </row>
    <row r="477" spans="1:11" x14ac:dyDescent="0.25">
      <c r="A477" s="362">
        <v>7</v>
      </c>
      <c r="B477" s="364">
        <v>43992</v>
      </c>
      <c r="C477" s="362" t="s">
        <v>4751</v>
      </c>
      <c r="D477" s="560">
        <v>146962547</v>
      </c>
      <c r="E477" s="560">
        <v>7127253</v>
      </c>
      <c r="F477" s="560">
        <v>154089900</v>
      </c>
      <c r="G477" s="560">
        <f t="shared" si="9"/>
        <v>-100</v>
      </c>
      <c r="H477" s="560">
        <v>20818182</v>
      </c>
      <c r="I477" s="560"/>
      <c r="J477" s="560"/>
      <c r="K477" s="661"/>
    </row>
    <row r="478" spans="1:11" x14ac:dyDescent="0.25">
      <c r="A478" s="362">
        <v>8</v>
      </c>
      <c r="B478" s="364">
        <v>43992</v>
      </c>
      <c r="C478" s="362" t="s">
        <v>84</v>
      </c>
      <c r="D478" s="560">
        <v>164592377</v>
      </c>
      <c r="E478" s="560">
        <v>6447410</v>
      </c>
      <c r="F478" s="560">
        <v>171039800</v>
      </c>
      <c r="G478" s="560">
        <f t="shared" si="9"/>
        <v>-13</v>
      </c>
      <c r="H478" s="560">
        <v>24989526</v>
      </c>
      <c r="I478" s="560"/>
      <c r="J478" s="560"/>
    </row>
    <row r="479" spans="1:11" x14ac:dyDescent="0.25">
      <c r="A479" s="362">
        <v>9</v>
      </c>
      <c r="B479" s="364">
        <v>43992</v>
      </c>
      <c r="C479" s="362" t="s">
        <v>85</v>
      </c>
      <c r="D479" s="560">
        <v>35089142</v>
      </c>
      <c r="E479" s="560">
        <v>5768758</v>
      </c>
      <c r="F479" s="560">
        <v>40857900</v>
      </c>
      <c r="G479" s="560">
        <f t="shared" si="9"/>
        <v>0</v>
      </c>
      <c r="H479" s="560">
        <v>2652457</v>
      </c>
      <c r="I479" s="560"/>
      <c r="J479" s="560"/>
    </row>
    <row r="480" spans="1:11" x14ac:dyDescent="0.25">
      <c r="A480" s="362">
        <v>10</v>
      </c>
      <c r="B480" s="364">
        <v>43992</v>
      </c>
      <c r="C480" s="362" t="s">
        <v>81</v>
      </c>
      <c r="D480" s="560">
        <v>79704338</v>
      </c>
      <c r="E480" s="560">
        <v>28632260</v>
      </c>
      <c r="F480" s="560">
        <v>108336600</v>
      </c>
      <c r="G480" s="560">
        <f t="shared" si="9"/>
        <v>-2</v>
      </c>
      <c r="H480" s="560">
        <v>16324294</v>
      </c>
      <c r="I480" s="560"/>
      <c r="J480" s="560"/>
    </row>
    <row r="481" spans="1:10" x14ac:dyDescent="0.25">
      <c r="A481" s="362">
        <v>11</v>
      </c>
      <c r="B481" s="364">
        <v>43992</v>
      </c>
      <c r="C481" s="362" t="s">
        <v>79</v>
      </c>
      <c r="D481" s="560">
        <v>59636049</v>
      </c>
      <c r="E481" s="560">
        <v>278558</v>
      </c>
      <c r="F481" s="560">
        <v>59914700</v>
      </c>
      <c r="G481" s="560">
        <f t="shared" si="9"/>
        <v>-93</v>
      </c>
      <c r="H481" s="560">
        <v>4364088</v>
      </c>
      <c r="I481" s="560"/>
      <c r="J481" s="560"/>
    </row>
    <row r="482" spans="1:10" x14ac:dyDescent="0.25">
      <c r="A482" s="362">
        <v>12</v>
      </c>
      <c r="B482" s="364">
        <v>43992</v>
      </c>
      <c r="C482" s="362" t="s">
        <v>82</v>
      </c>
      <c r="D482" s="560">
        <v>184253519</v>
      </c>
      <c r="E482" s="560"/>
      <c r="F482" s="560">
        <v>184253600</v>
      </c>
      <c r="G482" s="560">
        <f t="shared" si="9"/>
        <v>-81</v>
      </c>
      <c r="H482" s="560">
        <v>8806966</v>
      </c>
      <c r="I482" s="560"/>
      <c r="J482" s="560"/>
    </row>
    <row r="483" spans="1:10" x14ac:dyDescent="0.25">
      <c r="A483" s="362">
        <v>13</v>
      </c>
      <c r="B483" s="364">
        <v>43992</v>
      </c>
      <c r="C483" s="362" t="s">
        <v>78</v>
      </c>
      <c r="D483" s="560">
        <v>73788778</v>
      </c>
      <c r="E483" s="560">
        <v>1026622</v>
      </c>
      <c r="F483" s="560">
        <v>74815400</v>
      </c>
      <c r="G483" s="560">
        <f t="shared" si="9"/>
        <v>0</v>
      </c>
      <c r="H483" s="560">
        <v>13644410</v>
      </c>
      <c r="I483" s="560"/>
      <c r="J483" s="560"/>
    </row>
    <row r="484" spans="1:10" x14ac:dyDescent="0.25">
      <c r="A484" s="362">
        <v>14</v>
      </c>
      <c r="B484" s="364">
        <v>43992</v>
      </c>
      <c r="C484" s="362" t="s">
        <v>166</v>
      </c>
      <c r="D484" s="560">
        <v>49206154</v>
      </c>
      <c r="E484" s="560"/>
      <c r="F484" s="560">
        <v>49206200</v>
      </c>
      <c r="G484" s="560">
        <f t="shared" si="9"/>
        <v>-46</v>
      </c>
      <c r="H484" s="560"/>
      <c r="I484" s="560"/>
      <c r="J484" s="560"/>
    </row>
    <row r="485" spans="1:10" x14ac:dyDescent="0.25">
      <c r="A485" s="362">
        <v>15</v>
      </c>
      <c r="B485" s="364">
        <v>43992</v>
      </c>
      <c r="C485" s="362" t="s">
        <v>3435</v>
      </c>
      <c r="D485" s="560"/>
      <c r="E485" s="560"/>
      <c r="F485" s="560">
        <v>92652600</v>
      </c>
      <c r="G485" s="560">
        <f t="shared" si="9"/>
        <v>-92652600</v>
      </c>
      <c r="H485" s="560"/>
      <c r="I485" s="560"/>
      <c r="J485" s="560"/>
    </row>
    <row r="486" spans="1:10" x14ac:dyDescent="0.25">
      <c r="A486" s="530"/>
      <c r="B486" s="589"/>
      <c r="C486" s="530"/>
      <c r="D486" s="562"/>
      <c r="E486" s="562"/>
      <c r="F486" s="562"/>
      <c r="G486" s="560">
        <f t="shared" si="9"/>
        <v>0</v>
      </c>
      <c r="H486" s="562"/>
      <c r="I486" s="562"/>
      <c r="J486" s="562"/>
    </row>
    <row r="487" spans="1:10" x14ac:dyDescent="0.25">
      <c r="A487" s="362">
        <v>1</v>
      </c>
      <c r="B487" s="364">
        <v>43993</v>
      </c>
      <c r="C487" s="362" t="s">
        <v>80</v>
      </c>
      <c r="D487" s="560">
        <v>250180252</v>
      </c>
      <c r="E487" s="560"/>
      <c r="F487" s="560">
        <v>250179600</v>
      </c>
      <c r="G487" s="560">
        <f t="shared" si="9"/>
        <v>652</v>
      </c>
      <c r="H487" s="560">
        <v>2000308</v>
      </c>
      <c r="I487" s="560"/>
      <c r="J487" s="560">
        <f>H487-I487</f>
        <v>2000308</v>
      </c>
    </row>
    <row r="488" spans="1:10" x14ac:dyDescent="0.25">
      <c r="A488" s="362">
        <v>2</v>
      </c>
      <c r="B488" s="364">
        <v>43993</v>
      </c>
      <c r="C488" s="362" t="s">
        <v>83</v>
      </c>
      <c r="D488" s="560">
        <v>200654720</v>
      </c>
      <c r="E488" s="560">
        <v>7066502</v>
      </c>
      <c r="F488" s="560">
        <v>207721300</v>
      </c>
      <c r="G488" s="560">
        <f t="shared" si="9"/>
        <v>-78</v>
      </c>
      <c r="H488" s="560">
        <v>3224356</v>
      </c>
      <c r="I488" s="560">
        <v>5830235</v>
      </c>
      <c r="J488" s="560">
        <f t="shared" ref="J488:J551" si="10">H488-I488</f>
        <v>-2605879</v>
      </c>
    </row>
    <row r="489" spans="1:10" x14ac:dyDescent="0.25">
      <c r="A489" s="362">
        <v>3</v>
      </c>
      <c r="B489" s="364">
        <v>43993</v>
      </c>
      <c r="C489" s="362" t="s">
        <v>88</v>
      </c>
      <c r="D489" s="560">
        <v>172182265</v>
      </c>
      <c r="E489" s="560">
        <v>7239219</v>
      </c>
      <c r="F489" s="560">
        <v>179421500</v>
      </c>
      <c r="G489" s="560">
        <f t="shared" si="9"/>
        <v>-16</v>
      </c>
      <c r="H489" s="560">
        <v>3430586</v>
      </c>
      <c r="I489" s="560">
        <v>3430586</v>
      </c>
      <c r="J489" s="560">
        <f t="shared" si="10"/>
        <v>0</v>
      </c>
    </row>
    <row r="490" spans="1:10" x14ac:dyDescent="0.25">
      <c r="A490" s="362">
        <v>4</v>
      </c>
      <c r="B490" s="364">
        <v>43993</v>
      </c>
      <c r="C490" s="362" t="s">
        <v>146</v>
      </c>
      <c r="D490" s="560">
        <v>68571523</v>
      </c>
      <c r="E490" s="560">
        <v>53649934</v>
      </c>
      <c r="F490" s="560">
        <v>122221600</v>
      </c>
      <c r="G490" s="560">
        <f t="shared" si="9"/>
        <v>-143</v>
      </c>
      <c r="H490" s="560">
        <v>7712779</v>
      </c>
      <c r="I490" s="560"/>
      <c r="J490" s="560">
        <f t="shared" si="10"/>
        <v>7712779</v>
      </c>
    </row>
    <row r="491" spans="1:10" x14ac:dyDescent="0.25">
      <c r="A491" s="362">
        <v>5</v>
      </c>
      <c r="B491" s="364">
        <v>43993</v>
      </c>
      <c r="C491" s="362" t="s">
        <v>86</v>
      </c>
      <c r="D491" s="560">
        <v>92228032</v>
      </c>
      <c r="E491" s="560">
        <v>58439456</v>
      </c>
      <c r="F491" s="560">
        <v>150667700</v>
      </c>
      <c r="G491" s="560">
        <f t="shared" si="9"/>
        <v>-212</v>
      </c>
      <c r="H491" s="560">
        <v>869122</v>
      </c>
      <c r="I491" s="560"/>
      <c r="J491" s="560">
        <f t="shared" si="10"/>
        <v>869122</v>
      </c>
    </row>
    <row r="492" spans="1:10" x14ac:dyDescent="0.25">
      <c r="A492" s="362">
        <v>6</v>
      </c>
      <c r="B492" s="364">
        <v>43993</v>
      </c>
      <c r="C492" s="362" t="s">
        <v>89</v>
      </c>
      <c r="D492" s="560">
        <v>199736640</v>
      </c>
      <c r="E492" s="560">
        <v>2599260</v>
      </c>
      <c r="F492" s="560">
        <v>202335900</v>
      </c>
      <c r="G492" s="560">
        <f t="shared" si="9"/>
        <v>0</v>
      </c>
      <c r="H492" s="560">
        <v>7957271</v>
      </c>
      <c r="I492" s="560">
        <v>7957271</v>
      </c>
      <c r="J492" s="560">
        <f t="shared" si="10"/>
        <v>0</v>
      </c>
    </row>
    <row r="493" spans="1:10" x14ac:dyDescent="0.25">
      <c r="A493" s="362">
        <v>7</v>
      </c>
      <c r="B493" s="364">
        <v>43993</v>
      </c>
      <c r="C493" s="362" t="s">
        <v>4751</v>
      </c>
      <c r="D493" s="560">
        <v>208271746</v>
      </c>
      <c r="E493" s="560">
        <v>18859054</v>
      </c>
      <c r="F493" s="560">
        <v>227130800</v>
      </c>
      <c r="G493" s="560">
        <f t="shared" si="9"/>
        <v>0</v>
      </c>
      <c r="H493" s="560">
        <v>12666731</v>
      </c>
      <c r="I493" s="560"/>
      <c r="J493" s="560">
        <f t="shared" si="10"/>
        <v>12666731</v>
      </c>
    </row>
    <row r="494" spans="1:10" x14ac:dyDescent="0.25">
      <c r="A494" s="362">
        <v>8</v>
      </c>
      <c r="B494" s="364">
        <v>43993</v>
      </c>
      <c r="C494" s="362" t="s">
        <v>84</v>
      </c>
      <c r="D494" s="560">
        <v>105881787</v>
      </c>
      <c r="E494" s="560">
        <v>48936749</v>
      </c>
      <c r="F494" s="560">
        <v>154818600</v>
      </c>
      <c r="G494" s="560">
        <f t="shared" si="9"/>
        <v>-64</v>
      </c>
      <c r="H494" s="560">
        <v>6444146</v>
      </c>
      <c r="I494" s="560">
        <v>6444146</v>
      </c>
      <c r="J494" s="560">
        <f t="shared" si="10"/>
        <v>0</v>
      </c>
    </row>
    <row r="495" spans="1:10" x14ac:dyDescent="0.25">
      <c r="A495" s="362">
        <v>9</v>
      </c>
      <c r="B495" s="364">
        <v>43993</v>
      </c>
      <c r="C495" s="362" t="s">
        <v>85</v>
      </c>
      <c r="D495" s="560">
        <v>22392159</v>
      </c>
      <c r="E495" s="560">
        <v>5189541</v>
      </c>
      <c r="F495" s="560">
        <v>27581700</v>
      </c>
      <c r="G495" s="560">
        <f t="shared" si="9"/>
        <v>0</v>
      </c>
      <c r="H495" s="560">
        <v>2417148</v>
      </c>
      <c r="I495" s="560">
        <v>2417148</v>
      </c>
      <c r="J495" s="560">
        <f t="shared" si="10"/>
        <v>0</v>
      </c>
    </row>
    <row r="496" spans="1:10" x14ac:dyDescent="0.25">
      <c r="A496" s="362">
        <v>10</v>
      </c>
      <c r="B496" s="364">
        <v>43993</v>
      </c>
      <c r="C496" s="362" t="s">
        <v>81</v>
      </c>
      <c r="D496" s="560">
        <v>72761571</v>
      </c>
      <c r="E496" s="560">
        <v>18641758</v>
      </c>
      <c r="F496" s="560">
        <v>91403400</v>
      </c>
      <c r="G496" s="560">
        <f t="shared" si="9"/>
        <v>-71</v>
      </c>
      <c r="H496" s="560">
        <v>5635106</v>
      </c>
      <c r="I496" s="560"/>
      <c r="J496" s="560">
        <f t="shared" si="10"/>
        <v>5635106</v>
      </c>
    </row>
    <row r="497" spans="1:10" x14ac:dyDescent="0.25">
      <c r="A497" s="362">
        <v>11</v>
      </c>
      <c r="B497" s="364">
        <v>43993</v>
      </c>
      <c r="C497" s="362" t="s">
        <v>79</v>
      </c>
      <c r="D497" s="560">
        <v>47766165</v>
      </c>
      <c r="E497" s="560">
        <v>8870874</v>
      </c>
      <c r="F497" s="560">
        <v>56557100</v>
      </c>
      <c r="G497" s="560">
        <f t="shared" si="9"/>
        <v>79939</v>
      </c>
      <c r="H497" s="560">
        <v>2154586</v>
      </c>
      <c r="I497" s="560">
        <v>2154586</v>
      </c>
      <c r="J497" s="560">
        <f t="shared" si="10"/>
        <v>0</v>
      </c>
    </row>
    <row r="498" spans="1:10" x14ac:dyDescent="0.25">
      <c r="A498" s="362">
        <v>12</v>
      </c>
      <c r="B498" s="364">
        <v>43993</v>
      </c>
      <c r="C498" s="362" t="s">
        <v>82</v>
      </c>
      <c r="D498" s="560">
        <v>296725555</v>
      </c>
      <c r="E498" s="560"/>
      <c r="F498" s="560">
        <v>296725600</v>
      </c>
      <c r="G498" s="560">
        <f t="shared" si="9"/>
        <v>-45</v>
      </c>
      <c r="H498" s="560">
        <v>2267866</v>
      </c>
      <c r="I498" s="560">
        <v>2267866</v>
      </c>
      <c r="J498" s="560">
        <f t="shared" si="10"/>
        <v>0</v>
      </c>
    </row>
    <row r="499" spans="1:10" x14ac:dyDescent="0.25">
      <c r="A499" s="362">
        <v>13</v>
      </c>
      <c r="B499" s="364">
        <v>43993</v>
      </c>
      <c r="C499" s="362" t="s">
        <v>78</v>
      </c>
      <c r="D499" s="560">
        <v>73173820</v>
      </c>
      <c r="E499" s="560">
        <v>5270880</v>
      </c>
      <c r="F499" s="560">
        <v>78444700</v>
      </c>
      <c r="G499" s="560">
        <f t="shared" si="9"/>
        <v>0</v>
      </c>
      <c r="H499" s="560">
        <v>9622702</v>
      </c>
      <c r="I499" s="560">
        <v>9622702</v>
      </c>
      <c r="J499" s="560">
        <f t="shared" si="10"/>
        <v>0</v>
      </c>
    </row>
    <row r="500" spans="1:10" x14ac:dyDescent="0.25">
      <c r="A500" s="362">
        <v>14</v>
      </c>
      <c r="B500" s="364">
        <v>43993</v>
      </c>
      <c r="C500" s="362" t="s">
        <v>166</v>
      </c>
      <c r="D500" s="560">
        <v>64230460</v>
      </c>
      <c r="E500" s="560"/>
      <c r="F500" s="560">
        <v>64230500</v>
      </c>
      <c r="G500" s="560">
        <f t="shared" si="9"/>
        <v>-40</v>
      </c>
      <c r="H500" s="560"/>
      <c r="I500" s="560"/>
      <c r="J500" s="560">
        <f t="shared" si="10"/>
        <v>0</v>
      </c>
    </row>
    <row r="501" spans="1:10" x14ac:dyDescent="0.25">
      <c r="A501" s="362">
        <v>15</v>
      </c>
      <c r="B501" s="364">
        <v>43993</v>
      </c>
      <c r="C501" s="362" t="s">
        <v>3435</v>
      </c>
      <c r="D501" s="560"/>
      <c r="E501" s="560"/>
      <c r="F501" s="560">
        <v>34727700</v>
      </c>
      <c r="G501" s="560">
        <f t="shared" si="9"/>
        <v>-34727700</v>
      </c>
      <c r="H501" s="560"/>
      <c r="I501" s="560"/>
      <c r="J501" s="560">
        <f t="shared" si="10"/>
        <v>0</v>
      </c>
    </row>
    <row r="502" spans="1:10" x14ac:dyDescent="0.25">
      <c r="A502" s="666"/>
      <c r="B502" s="667"/>
      <c r="C502" s="666"/>
      <c r="D502" s="668"/>
      <c r="E502" s="668"/>
      <c r="F502" s="668"/>
      <c r="G502" s="668">
        <f t="shared" si="9"/>
        <v>0</v>
      </c>
      <c r="H502" s="668"/>
      <c r="I502" s="668"/>
      <c r="J502" s="560">
        <f t="shared" si="10"/>
        <v>0</v>
      </c>
    </row>
    <row r="503" spans="1:10" x14ac:dyDescent="0.25">
      <c r="A503" s="362">
        <v>1</v>
      </c>
      <c r="B503" s="364">
        <v>43994</v>
      </c>
      <c r="C503" s="362" t="s">
        <v>80</v>
      </c>
      <c r="D503" s="560">
        <v>164415456</v>
      </c>
      <c r="E503" s="560">
        <v>10827893</v>
      </c>
      <c r="F503" s="560">
        <v>175243200</v>
      </c>
      <c r="G503" s="560">
        <f t="shared" si="9"/>
        <v>149</v>
      </c>
      <c r="H503" s="560">
        <v>2000308</v>
      </c>
      <c r="I503" s="560">
        <v>2000308</v>
      </c>
      <c r="J503" s="560">
        <f t="shared" si="10"/>
        <v>0</v>
      </c>
    </row>
    <row r="504" spans="1:10" x14ac:dyDescent="0.25">
      <c r="A504" s="362">
        <v>2</v>
      </c>
      <c r="B504" s="364">
        <v>43994</v>
      </c>
      <c r="C504" s="362" t="s">
        <v>83</v>
      </c>
      <c r="D504" s="560">
        <v>194483268</v>
      </c>
      <c r="E504" s="560">
        <v>5285704</v>
      </c>
      <c r="F504" s="560">
        <v>199769000</v>
      </c>
      <c r="G504" s="560">
        <f t="shared" si="9"/>
        <v>-28</v>
      </c>
      <c r="H504" s="560">
        <v>1642356</v>
      </c>
      <c r="I504" s="560"/>
      <c r="J504" s="560">
        <f t="shared" si="10"/>
        <v>1642356</v>
      </c>
    </row>
    <row r="505" spans="1:10" x14ac:dyDescent="0.25">
      <c r="A505" s="362">
        <v>3</v>
      </c>
      <c r="B505" s="364">
        <v>43994</v>
      </c>
      <c r="C505" s="362" t="s">
        <v>88</v>
      </c>
      <c r="D505" s="560">
        <v>106116467</v>
      </c>
      <c r="E505" s="560">
        <v>107008232</v>
      </c>
      <c r="F505" s="560">
        <v>213124800</v>
      </c>
      <c r="G505" s="560">
        <f t="shared" si="9"/>
        <v>-101</v>
      </c>
      <c r="H505" s="560">
        <v>3430586</v>
      </c>
      <c r="I505" s="560"/>
      <c r="J505" s="560">
        <f t="shared" si="10"/>
        <v>3430586</v>
      </c>
    </row>
    <row r="506" spans="1:10" x14ac:dyDescent="0.25">
      <c r="A506" s="362">
        <v>4</v>
      </c>
      <c r="B506" s="364">
        <v>43994</v>
      </c>
      <c r="C506" s="362" t="s">
        <v>146</v>
      </c>
      <c r="D506" s="560">
        <v>118554255</v>
      </c>
      <c r="E506" s="560">
        <v>133479414</v>
      </c>
      <c r="F506" s="560">
        <v>252043600</v>
      </c>
      <c r="G506" s="560">
        <f t="shared" si="9"/>
        <v>-9931</v>
      </c>
      <c r="H506" s="560">
        <v>3413885</v>
      </c>
      <c r="I506" s="560">
        <v>3413885</v>
      </c>
      <c r="J506" s="560">
        <f t="shared" si="10"/>
        <v>0</v>
      </c>
    </row>
    <row r="507" spans="1:10" x14ac:dyDescent="0.25">
      <c r="A507" s="362">
        <v>5</v>
      </c>
      <c r="B507" s="364">
        <v>43994</v>
      </c>
      <c r="C507" s="362" t="s">
        <v>86</v>
      </c>
      <c r="D507" s="560">
        <v>26487781</v>
      </c>
      <c r="E507" s="560">
        <v>179410800</v>
      </c>
      <c r="F507" s="560">
        <v>205898500</v>
      </c>
      <c r="G507" s="560">
        <f t="shared" si="9"/>
        <v>81</v>
      </c>
      <c r="H507" s="560">
        <v>869132</v>
      </c>
      <c r="I507" s="560">
        <v>859122</v>
      </c>
      <c r="J507" s="560">
        <f t="shared" si="10"/>
        <v>10010</v>
      </c>
    </row>
    <row r="508" spans="1:10" x14ac:dyDescent="0.25">
      <c r="A508" s="362">
        <v>6</v>
      </c>
      <c r="B508" s="364">
        <v>43994</v>
      </c>
      <c r="C508" s="362" t="s">
        <v>89</v>
      </c>
      <c r="D508" s="560">
        <v>142243618</v>
      </c>
      <c r="E508" s="560">
        <v>5808382</v>
      </c>
      <c r="F508" s="560">
        <v>148052000</v>
      </c>
      <c r="G508" s="560">
        <f t="shared" si="9"/>
        <v>0</v>
      </c>
      <c r="H508" s="560">
        <v>7921771</v>
      </c>
      <c r="I508" s="560"/>
      <c r="J508" s="560">
        <f t="shared" si="10"/>
        <v>7921771</v>
      </c>
    </row>
    <row r="509" spans="1:10" x14ac:dyDescent="0.25">
      <c r="A509" s="362">
        <v>7</v>
      </c>
      <c r="B509" s="364">
        <v>43994</v>
      </c>
      <c r="C509" s="362" t="s">
        <v>4751</v>
      </c>
      <c r="D509" s="560">
        <v>189471283</v>
      </c>
      <c r="E509" s="560">
        <v>7569217</v>
      </c>
      <c r="F509" s="560">
        <v>197040500</v>
      </c>
      <c r="G509" s="560">
        <f t="shared" si="9"/>
        <v>0</v>
      </c>
      <c r="H509" s="560">
        <v>12542731</v>
      </c>
      <c r="I509" s="560">
        <v>12666731</v>
      </c>
      <c r="J509" s="560">
        <f t="shared" si="10"/>
        <v>-124000</v>
      </c>
    </row>
    <row r="510" spans="1:10" x14ac:dyDescent="0.25">
      <c r="A510" s="362">
        <v>8</v>
      </c>
      <c r="B510" s="364">
        <v>43994</v>
      </c>
      <c r="C510" s="362" t="s">
        <v>84</v>
      </c>
      <c r="D510" s="560">
        <v>122167106</v>
      </c>
      <c r="E510" s="560">
        <v>8206380</v>
      </c>
      <c r="F510" s="560">
        <v>130362500</v>
      </c>
      <c r="G510" s="560">
        <f t="shared" si="9"/>
        <v>10986</v>
      </c>
      <c r="H510" s="560">
        <v>6444146</v>
      </c>
      <c r="I510" s="560"/>
      <c r="J510" s="560">
        <f t="shared" si="10"/>
        <v>6444146</v>
      </c>
    </row>
    <row r="511" spans="1:10" x14ac:dyDescent="0.25">
      <c r="A511" s="362">
        <v>9</v>
      </c>
      <c r="B511" s="364">
        <v>43994</v>
      </c>
      <c r="C511" s="362" t="s">
        <v>85</v>
      </c>
      <c r="D511" s="560">
        <v>14863347</v>
      </c>
      <c r="E511" s="560">
        <v>2453053</v>
      </c>
      <c r="F511" s="560">
        <v>17316400</v>
      </c>
      <c r="G511" s="560">
        <f t="shared" si="9"/>
        <v>0</v>
      </c>
      <c r="H511" s="560">
        <v>2417148</v>
      </c>
      <c r="I511" s="560"/>
      <c r="J511" s="560">
        <f t="shared" si="10"/>
        <v>2417148</v>
      </c>
    </row>
    <row r="512" spans="1:10" x14ac:dyDescent="0.25">
      <c r="A512" s="362">
        <v>10</v>
      </c>
      <c r="B512" s="364">
        <v>43994</v>
      </c>
      <c r="C512" s="362" t="s">
        <v>81</v>
      </c>
      <c r="D512" s="560">
        <v>79526038</v>
      </c>
      <c r="E512" s="560">
        <v>14040439</v>
      </c>
      <c r="F512" s="560">
        <v>93660700</v>
      </c>
      <c r="G512" s="560">
        <f t="shared" si="9"/>
        <v>-94223</v>
      </c>
      <c r="H512" s="560">
        <v>5470106</v>
      </c>
      <c r="I512" s="560">
        <v>5470106</v>
      </c>
      <c r="J512" s="560">
        <f t="shared" si="10"/>
        <v>0</v>
      </c>
    </row>
    <row r="513" spans="1:10" x14ac:dyDescent="0.25">
      <c r="A513" s="362">
        <v>11</v>
      </c>
      <c r="B513" s="364">
        <v>43994</v>
      </c>
      <c r="C513" s="362" t="s">
        <v>79</v>
      </c>
      <c r="D513" s="560">
        <v>59253827</v>
      </c>
      <c r="E513" s="560">
        <v>10363</v>
      </c>
      <c r="F513" s="560">
        <v>59264200</v>
      </c>
      <c r="G513" s="560">
        <f t="shared" si="9"/>
        <v>-10</v>
      </c>
      <c r="H513" s="560">
        <v>2059586</v>
      </c>
      <c r="I513" s="560"/>
      <c r="J513" s="560">
        <f t="shared" si="10"/>
        <v>2059586</v>
      </c>
    </row>
    <row r="514" spans="1:10" x14ac:dyDescent="0.25">
      <c r="A514" s="362">
        <v>12</v>
      </c>
      <c r="B514" s="364">
        <v>43994</v>
      </c>
      <c r="C514" s="362" t="s">
        <v>82</v>
      </c>
      <c r="D514" s="560">
        <v>50710138</v>
      </c>
      <c r="E514" s="560">
        <v>10541989</v>
      </c>
      <c r="F514" s="560">
        <v>61252200</v>
      </c>
      <c r="G514" s="560">
        <f t="shared" si="9"/>
        <v>-73</v>
      </c>
      <c r="H514" s="560">
        <v>1352866</v>
      </c>
      <c r="I514" s="560"/>
      <c r="J514" s="560">
        <f t="shared" si="10"/>
        <v>1352866</v>
      </c>
    </row>
    <row r="515" spans="1:10" x14ac:dyDescent="0.25">
      <c r="A515" s="362">
        <v>13</v>
      </c>
      <c r="B515" s="364">
        <v>43994</v>
      </c>
      <c r="C515" s="362" t="s">
        <v>78</v>
      </c>
      <c r="D515" s="560">
        <v>116277069</v>
      </c>
      <c r="E515" s="560">
        <v>4552733</v>
      </c>
      <c r="F515" s="560">
        <v>120829800</v>
      </c>
      <c r="G515" s="560">
        <f t="shared" si="9"/>
        <v>2</v>
      </c>
      <c r="H515" s="560">
        <v>9537702</v>
      </c>
      <c r="I515" s="560"/>
      <c r="J515" s="560">
        <f t="shared" si="10"/>
        <v>9537702</v>
      </c>
    </row>
    <row r="516" spans="1:10" x14ac:dyDescent="0.25">
      <c r="A516" s="362">
        <v>14</v>
      </c>
      <c r="B516" s="364">
        <v>43994</v>
      </c>
      <c r="C516" s="362" t="s">
        <v>166</v>
      </c>
      <c r="D516" s="560">
        <v>34742307</v>
      </c>
      <c r="E516" s="560"/>
      <c r="F516" s="560">
        <v>34742300</v>
      </c>
      <c r="G516" s="560">
        <f t="shared" si="9"/>
        <v>7</v>
      </c>
      <c r="H516" s="560"/>
      <c r="I516" s="560"/>
      <c r="J516" s="560">
        <f t="shared" si="10"/>
        <v>0</v>
      </c>
    </row>
    <row r="517" spans="1:10" x14ac:dyDescent="0.25">
      <c r="A517" s="362">
        <v>15</v>
      </c>
      <c r="B517" s="364">
        <v>43994</v>
      </c>
      <c r="C517" s="362" t="s">
        <v>3435</v>
      </c>
      <c r="D517" s="560"/>
      <c r="E517" s="560"/>
      <c r="F517" s="560">
        <v>85871400</v>
      </c>
      <c r="G517" s="560">
        <f t="shared" si="9"/>
        <v>-85871400</v>
      </c>
      <c r="H517" s="560"/>
      <c r="I517" s="560"/>
      <c r="J517" s="560">
        <f t="shared" si="10"/>
        <v>0</v>
      </c>
    </row>
    <row r="518" spans="1:10" x14ac:dyDescent="0.25">
      <c r="A518" s="530"/>
      <c r="B518" s="589"/>
      <c r="C518" s="530"/>
      <c r="D518" s="562"/>
      <c r="E518" s="562"/>
      <c r="F518" s="562"/>
      <c r="G518" s="562">
        <f t="shared" si="9"/>
        <v>0</v>
      </c>
      <c r="H518" s="562"/>
      <c r="I518" s="562"/>
      <c r="J518" s="562">
        <f t="shared" si="10"/>
        <v>0</v>
      </c>
    </row>
    <row r="519" spans="1:10" x14ac:dyDescent="0.25">
      <c r="A519" s="362">
        <v>1</v>
      </c>
      <c r="B519" s="364">
        <v>43995</v>
      </c>
      <c r="C519" s="362" t="s">
        <v>80</v>
      </c>
      <c r="D519" s="560">
        <v>168336744</v>
      </c>
      <c r="E519" s="560">
        <v>13296327</v>
      </c>
      <c r="F519" s="560">
        <v>181633000</v>
      </c>
      <c r="G519" s="560">
        <f t="shared" ref="G519:G582" si="11">D519+E519-F519</f>
        <v>71</v>
      </c>
      <c r="H519" s="560">
        <v>2000308</v>
      </c>
      <c r="I519" s="560"/>
      <c r="J519" s="560">
        <f t="shared" si="10"/>
        <v>2000308</v>
      </c>
    </row>
    <row r="520" spans="1:10" x14ac:dyDescent="0.25">
      <c r="A520" s="362">
        <v>2</v>
      </c>
      <c r="B520" s="364">
        <v>43995</v>
      </c>
      <c r="C520" s="362" t="s">
        <v>83</v>
      </c>
      <c r="D520" s="560">
        <v>296456658</v>
      </c>
      <c r="E520" s="560">
        <v>19787729</v>
      </c>
      <c r="F520" s="560">
        <v>316244400</v>
      </c>
      <c r="G520" s="560">
        <f t="shared" si="11"/>
        <v>-13</v>
      </c>
      <c r="H520" s="560">
        <v>1444856</v>
      </c>
      <c r="I520" s="560"/>
      <c r="J520" s="560">
        <f t="shared" si="10"/>
        <v>1444856</v>
      </c>
    </row>
    <row r="521" spans="1:10" x14ac:dyDescent="0.25">
      <c r="A521" s="362">
        <v>3</v>
      </c>
      <c r="B521" s="364">
        <v>43995</v>
      </c>
      <c r="C521" s="362" t="s">
        <v>88</v>
      </c>
      <c r="D521" s="560">
        <v>109916604</v>
      </c>
      <c r="E521" s="560">
        <v>27993471</v>
      </c>
      <c r="F521" s="560">
        <v>137910100</v>
      </c>
      <c r="G521" s="560">
        <f t="shared" si="11"/>
        <v>-25</v>
      </c>
      <c r="H521" s="560">
        <v>3430586</v>
      </c>
      <c r="I521" s="560"/>
      <c r="J521" s="560">
        <f t="shared" si="10"/>
        <v>3430586</v>
      </c>
    </row>
    <row r="522" spans="1:10" x14ac:dyDescent="0.25">
      <c r="A522" s="362">
        <v>4</v>
      </c>
      <c r="B522" s="364">
        <v>43995</v>
      </c>
      <c r="C522" s="362" t="s">
        <v>146</v>
      </c>
      <c r="D522" s="560">
        <v>98483177</v>
      </c>
      <c r="E522" s="560">
        <v>63634295</v>
      </c>
      <c r="F522" s="560">
        <v>162117000</v>
      </c>
      <c r="G522" s="560">
        <f t="shared" si="11"/>
        <v>472</v>
      </c>
      <c r="H522" s="560">
        <v>3413885</v>
      </c>
      <c r="I522" s="560"/>
      <c r="J522" s="560">
        <f t="shared" si="10"/>
        <v>3413885</v>
      </c>
    </row>
    <row r="523" spans="1:10" x14ac:dyDescent="0.25">
      <c r="A523" s="362">
        <v>5</v>
      </c>
      <c r="B523" s="364">
        <v>43995</v>
      </c>
      <c r="C523" s="362" t="s">
        <v>86</v>
      </c>
      <c r="D523" s="560">
        <v>40773307</v>
      </c>
      <c r="E523" s="560">
        <v>33634117</v>
      </c>
      <c r="F523" s="560">
        <v>74407700</v>
      </c>
      <c r="G523" s="560">
        <f t="shared" si="11"/>
        <v>-276</v>
      </c>
      <c r="H523" s="560">
        <v>869122</v>
      </c>
      <c r="I523" s="560"/>
      <c r="J523" s="560">
        <f t="shared" si="10"/>
        <v>869122</v>
      </c>
    </row>
    <row r="524" spans="1:10" x14ac:dyDescent="0.25">
      <c r="A524" s="362">
        <v>6</v>
      </c>
      <c r="B524" s="364">
        <v>43995</v>
      </c>
      <c r="C524" s="362" t="s">
        <v>89</v>
      </c>
      <c r="D524" s="560">
        <v>101255886</v>
      </c>
      <c r="E524" s="560">
        <v>3899814</v>
      </c>
      <c r="F524" s="560">
        <v>105155700</v>
      </c>
      <c r="G524" s="560">
        <f t="shared" si="11"/>
        <v>0</v>
      </c>
      <c r="H524" s="560">
        <v>7783771</v>
      </c>
      <c r="I524" s="560"/>
      <c r="J524" s="560">
        <f t="shared" si="10"/>
        <v>7783771</v>
      </c>
    </row>
    <row r="525" spans="1:10" x14ac:dyDescent="0.25">
      <c r="A525" s="362">
        <v>7</v>
      </c>
      <c r="B525" s="364">
        <v>43995</v>
      </c>
      <c r="C525" s="362" t="s">
        <v>4751</v>
      </c>
      <c r="D525" s="560">
        <v>180054679</v>
      </c>
      <c r="E525" s="560">
        <v>14825521</v>
      </c>
      <c r="F525" s="560">
        <v>194880200</v>
      </c>
      <c r="G525" s="560">
        <f t="shared" si="11"/>
        <v>0</v>
      </c>
      <c r="H525" s="560">
        <v>12114131</v>
      </c>
      <c r="I525" s="560"/>
      <c r="J525" s="560">
        <f t="shared" si="10"/>
        <v>12114131</v>
      </c>
    </row>
    <row r="526" spans="1:10" x14ac:dyDescent="0.25">
      <c r="A526" s="362">
        <v>8</v>
      </c>
      <c r="B526" s="364">
        <v>43995</v>
      </c>
      <c r="C526" s="362" t="s">
        <v>84</v>
      </c>
      <c r="D526" s="560">
        <v>217971851</v>
      </c>
      <c r="E526" s="560">
        <v>22580937</v>
      </c>
      <c r="F526" s="560">
        <v>240552900</v>
      </c>
      <c r="G526" s="560">
        <f t="shared" si="11"/>
        <v>-112</v>
      </c>
      <c r="H526" s="560">
        <v>6444146</v>
      </c>
      <c r="I526" s="560"/>
      <c r="J526" s="560">
        <f t="shared" si="10"/>
        <v>6444146</v>
      </c>
    </row>
    <row r="527" spans="1:10" x14ac:dyDescent="0.25">
      <c r="A527" s="362">
        <v>9</v>
      </c>
      <c r="B527" s="364">
        <v>43995</v>
      </c>
      <c r="C527" s="362" t="s">
        <v>85</v>
      </c>
      <c r="D527" s="560">
        <v>21301138</v>
      </c>
      <c r="E527" s="560">
        <v>5472962</v>
      </c>
      <c r="F527" s="560">
        <v>26774100</v>
      </c>
      <c r="G527" s="560">
        <f t="shared" si="11"/>
        <v>0</v>
      </c>
      <c r="H527" s="560">
        <v>2417148</v>
      </c>
      <c r="I527" s="560"/>
      <c r="J527" s="560">
        <f t="shared" si="10"/>
        <v>2417148</v>
      </c>
    </row>
    <row r="528" spans="1:10" x14ac:dyDescent="0.25">
      <c r="A528" s="362">
        <v>10</v>
      </c>
      <c r="B528" s="364">
        <v>43995</v>
      </c>
      <c r="C528" s="362" t="s">
        <v>81</v>
      </c>
      <c r="D528" s="560">
        <v>134334500</v>
      </c>
      <c r="E528" s="560">
        <v>12326034</v>
      </c>
      <c r="F528" s="560">
        <v>146660600</v>
      </c>
      <c r="G528" s="560">
        <f t="shared" si="11"/>
        <v>-66</v>
      </c>
      <c r="H528" s="560">
        <v>5470106</v>
      </c>
      <c r="I528" s="560"/>
      <c r="J528" s="560">
        <f t="shared" si="10"/>
        <v>5470106</v>
      </c>
    </row>
    <row r="529" spans="1:10" x14ac:dyDescent="0.25">
      <c r="A529" s="362">
        <v>11</v>
      </c>
      <c r="B529" s="364">
        <v>43995</v>
      </c>
      <c r="C529" s="362" t="s">
        <v>79</v>
      </c>
      <c r="D529" s="560">
        <v>19800701</v>
      </c>
      <c r="E529" s="560"/>
      <c r="F529" s="560">
        <v>19800800</v>
      </c>
      <c r="G529" s="560">
        <f t="shared" si="11"/>
        <v>-99</v>
      </c>
      <c r="H529" s="560">
        <v>2059586</v>
      </c>
      <c r="I529" s="560"/>
      <c r="J529" s="560">
        <f t="shared" si="10"/>
        <v>2059586</v>
      </c>
    </row>
    <row r="530" spans="1:10" x14ac:dyDescent="0.25">
      <c r="A530" s="362">
        <v>12</v>
      </c>
      <c r="B530" s="364">
        <v>43995</v>
      </c>
      <c r="C530" s="362" t="s">
        <v>82</v>
      </c>
      <c r="D530" s="560">
        <v>120674251</v>
      </c>
      <c r="E530" s="560">
        <v>3674660</v>
      </c>
      <c r="F530" s="560">
        <v>124349000</v>
      </c>
      <c r="G530" s="560">
        <f t="shared" si="11"/>
        <v>-89</v>
      </c>
      <c r="H530" s="560">
        <v>1352866</v>
      </c>
      <c r="I530" s="560"/>
      <c r="J530" s="560">
        <f t="shared" si="10"/>
        <v>1352866</v>
      </c>
    </row>
    <row r="531" spans="1:10" x14ac:dyDescent="0.25">
      <c r="A531" s="362">
        <v>13</v>
      </c>
      <c r="B531" s="364">
        <v>43995</v>
      </c>
      <c r="C531" s="362" t="s">
        <v>78</v>
      </c>
      <c r="D531" s="560">
        <v>96856213</v>
      </c>
      <c r="E531" s="560">
        <v>3475687</v>
      </c>
      <c r="F531" s="560">
        <v>100331900</v>
      </c>
      <c r="G531" s="560">
        <f t="shared" si="11"/>
        <v>0</v>
      </c>
      <c r="H531" s="560">
        <v>8080765</v>
      </c>
      <c r="I531" s="560"/>
      <c r="J531" s="560">
        <f t="shared" si="10"/>
        <v>8080765</v>
      </c>
    </row>
    <row r="532" spans="1:10" x14ac:dyDescent="0.25">
      <c r="A532" s="362">
        <v>14</v>
      </c>
      <c r="B532" s="364">
        <v>43995</v>
      </c>
      <c r="C532" s="362" t="s">
        <v>166</v>
      </c>
      <c r="D532" s="560"/>
      <c r="E532" s="560"/>
      <c r="F532" s="560"/>
      <c r="G532" s="560">
        <f t="shared" si="11"/>
        <v>0</v>
      </c>
      <c r="H532" s="560"/>
      <c r="I532" s="560"/>
      <c r="J532" s="560">
        <f t="shared" si="10"/>
        <v>0</v>
      </c>
    </row>
    <row r="533" spans="1:10" x14ac:dyDescent="0.25">
      <c r="A533" s="362">
        <v>15</v>
      </c>
      <c r="B533" s="364">
        <v>43995</v>
      </c>
      <c r="C533" s="362" t="s">
        <v>3435</v>
      </c>
      <c r="D533" s="560"/>
      <c r="E533" s="560"/>
      <c r="F533" s="560"/>
      <c r="G533" s="560">
        <f t="shared" si="11"/>
        <v>0</v>
      </c>
      <c r="H533" s="560"/>
      <c r="I533" s="560"/>
      <c r="J533" s="560">
        <f t="shared" si="10"/>
        <v>0</v>
      </c>
    </row>
    <row r="534" spans="1:10" x14ac:dyDescent="0.25">
      <c r="A534" s="530"/>
      <c r="B534" s="589"/>
      <c r="C534" s="530"/>
      <c r="D534" s="562"/>
      <c r="E534" s="562"/>
      <c r="F534" s="562"/>
      <c r="G534" s="562">
        <f t="shared" si="11"/>
        <v>0</v>
      </c>
      <c r="H534" s="562"/>
      <c r="I534" s="562"/>
      <c r="J534" s="562">
        <f t="shared" si="10"/>
        <v>0</v>
      </c>
    </row>
    <row r="535" spans="1:10" x14ac:dyDescent="0.25">
      <c r="A535" s="362">
        <v>1</v>
      </c>
      <c r="B535" s="364">
        <v>43997</v>
      </c>
      <c r="C535" s="362" t="s">
        <v>80</v>
      </c>
      <c r="D535" s="560">
        <v>335288812</v>
      </c>
      <c r="E535" s="560">
        <v>3423721</v>
      </c>
      <c r="F535" s="560">
        <v>338712600</v>
      </c>
      <c r="G535" s="560">
        <f t="shared" si="11"/>
        <v>-67</v>
      </c>
      <c r="H535" s="560">
        <v>2000308</v>
      </c>
      <c r="I535" s="560"/>
      <c r="J535" s="560">
        <f t="shared" si="10"/>
        <v>2000308</v>
      </c>
    </row>
    <row r="536" spans="1:10" x14ac:dyDescent="0.25">
      <c r="A536" s="362">
        <v>2</v>
      </c>
      <c r="B536" s="364">
        <v>43997</v>
      </c>
      <c r="C536" s="362" t="s">
        <v>83</v>
      </c>
      <c r="D536" s="560">
        <v>248522597</v>
      </c>
      <c r="E536" s="560">
        <v>6438824</v>
      </c>
      <c r="F536" s="560">
        <v>254961500</v>
      </c>
      <c r="G536" s="560">
        <f t="shared" si="11"/>
        <v>-79</v>
      </c>
      <c r="H536" s="560">
        <v>9287431</v>
      </c>
      <c r="I536" s="560"/>
      <c r="J536" s="560">
        <f t="shared" si="10"/>
        <v>9287431</v>
      </c>
    </row>
    <row r="537" spans="1:10" x14ac:dyDescent="0.25">
      <c r="A537" s="362">
        <v>3</v>
      </c>
      <c r="B537" s="364">
        <v>43997</v>
      </c>
      <c r="C537" s="362" t="s">
        <v>88</v>
      </c>
      <c r="D537" s="560">
        <v>288170018</v>
      </c>
      <c r="E537" s="560">
        <v>20270068</v>
      </c>
      <c r="F537" s="560">
        <v>308440100</v>
      </c>
      <c r="G537" s="560">
        <f t="shared" si="11"/>
        <v>-14</v>
      </c>
      <c r="H537" s="560">
        <v>17801751</v>
      </c>
      <c r="I537" s="560"/>
      <c r="J537" s="560">
        <f t="shared" si="10"/>
        <v>17801751</v>
      </c>
    </row>
    <row r="538" spans="1:10" x14ac:dyDescent="0.25">
      <c r="A538" s="362">
        <v>4</v>
      </c>
      <c r="B538" s="364">
        <v>43997</v>
      </c>
      <c r="C538" s="362" t="s">
        <v>146</v>
      </c>
      <c r="D538" s="560">
        <v>51790285</v>
      </c>
      <c r="E538" s="560">
        <v>108753928</v>
      </c>
      <c r="F538" s="560">
        <v>160544100</v>
      </c>
      <c r="G538" s="560">
        <f t="shared" si="11"/>
        <v>113</v>
      </c>
      <c r="H538" s="560">
        <v>2566385</v>
      </c>
      <c r="I538" s="560"/>
      <c r="J538" s="560">
        <f t="shared" si="10"/>
        <v>2566385</v>
      </c>
    </row>
    <row r="539" spans="1:10" x14ac:dyDescent="0.25">
      <c r="A539" s="362">
        <v>5</v>
      </c>
      <c r="B539" s="364">
        <v>43997</v>
      </c>
      <c r="C539" s="362" t="s">
        <v>86</v>
      </c>
      <c r="D539" s="560">
        <v>41966457</v>
      </c>
      <c r="E539" s="560">
        <v>111088814</v>
      </c>
      <c r="F539" s="560">
        <v>153055400</v>
      </c>
      <c r="G539" s="560">
        <f t="shared" si="11"/>
        <v>-129</v>
      </c>
      <c r="H539" s="560">
        <v>9500721</v>
      </c>
      <c r="I539" s="560"/>
      <c r="J539" s="560">
        <f t="shared" si="10"/>
        <v>9500721</v>
      </c>
    </row>
    <row r="540" spans="1:10" x14ac:dyDescent="0.25">
      <c r="A540" s="362">
        <v>6</v>
      </c>
      <c r="B540" s="364">
        <v>43997</v>
      </c>
      <c r="C540" s="362" t="s">
        <v>89</v>
      </c>
      <c r="D540" s="560">
        <v>80161661</v>
      </c>
      <c r="E540" s="560">
        <v>2989339</v>
      </c>
      <c r="F540" s="560">
        <v>83151000</v>
      </c>
      <c r="G540" s="560">
        <f t="shared" si="11"/>
        <v>0</v>
      </c>
      <c r="H540" s="560">
        <v>4802935</v>
      </c>
      <c r="I540" s="560"/>
      <c r="J540" s="560">
        <f t="shared" si="10"/>
        <v>4802935</v>
      </c>
    </row>
    <row r="541" spans="1:10" x14ac:dyDescent="0.25">
      <c r="A541" s="362">
        <v>7</v>
      </c>
      <c r="B541" s="364">
        <v>43997</v>
      </c>
      <c r="C541" s="362" t="s">
        <v>4751</v>
      </c>
      <c r="D541" s="560">
        <v>196805179</v>
      </c>
      <c r="E541" s="560">
        <v>10335021</v>
      </c>
      <c r="F541" s="560">
        <v>207140200</v>
      </c>
      <c r="G541" s="560">
        <f t="shared" si="11"/>
        <v>0</v>
      </c>
      <c r="H541" s="560">
        <v>12013681</v>
      </c>
      <c r="I541" s="560"/>
      <c r="J541" s="560">
        <f t="shared" si="10"/>
        <v>12013681</v>
      </c>
    </row>
    <row r="542" spans="1:10" x14ac:dyDescent="0.25">
      <c r="A542" s="362">
        <v>8</v>
      </c>
      <c r="B542" s="364">
        <v>43997</v>
      </c>
      <c r="C542" s="362" t="s">
        <v>84</v>
      </c>
      <c r="D542" s="560">
        <v>245223220</v>
      </c>
      <c r="E542" s="560">
        <v>6566546</v>
      </c>
      <c r="F542" s="560">
        <v>251789900</v>
      </c>
      <c r="G542" s="560">
        <f t="shared" si="11"/>
        <v>-134</v>
      </c>
      <c r="H542" s="560">
        <v>6444146</v>
      </c>
      <c r="I542" s="560"/>
      <c r="J542" s="560">
        <f t="shared" si="10"/>
        <v>6444146</v>
      </c>
    </row>
    <row r="543" spans="1:10" x14ac:dyDescent="0.25">
      <c r="A543" s="362">
        <v>9</v>
      </c>
      <c r="B543" s="364">
        <v>43997</v>
      </c>
      <c r="C543" s="362" t="s">
        <v>85</v>
      </c>
      <c r="D543" s="560">
        <v>20594722</v>
      </c>
      <c r="E543" s="560">
        <v>2373278</v>
      </c>
      <c r="F543" s="560">
        <v>22968000</v>
      </c>
      <c r="G543" s="560">
        <f t="shared" si="11"/>
        <v>0</v>
      </c>
      <c r="H543" s="560">
        <v>2417148</v>
      </c>
      <c r="I543" s="560"/>
      <c r="J543" s="560">
        <f t="shared" si="10"/>
        <v>2417148</v>
      </c>
    </row>
    <row r="544" spans="1:10" x14ac:dyDescent="0.25">
      <c r="A544" s="362">
        <v>10</v>
      </c>
      <c r="B544" s="364">
        <v>43997</v>
      </c>
      <c r="C544" s="362" t="s">
        <v>81</v>
      </c>
      <c r="D544" s="560">
        <v>78644165</v>
      </c>
      <c r="E544" s="560">
        <v>7739818</v>
      </c>
      <c r="F544" s="560">
        <v>86384000</v>
      </c>
      <c r="G544" s="560">
        <f t="shared" si="11"/>
        <v>-17</v>
      </c>
      <c r="H544" s="560">
        <v>4876606</v>
      </c>
      <c r="I544" s="560"/>
      <c r="J544" s="560">
        <f t="shared" si="10"/>
        <v>4876606</v>
      </c>
    </row>
    <row r="545" spans="1:10" x14ac:dyDescent="0.25">
      <c r="A545" s="362">
        <v>11</v>
      </c>
      <c r="B545" s="364">
        <v>43997</v>
      </c>
      <c r="C545" s="362" t="s">
        <v>79</v>
      </c>
      <c r="D545" s="560">
        <v>26722353</v>
      </c>
      <c r="E545" s="560">
        <v>2805500</v>
      </c>
      <c r="F545" s="560">
        <v>29527800</v>
      </c>
      <c r="G545" s="560">
        <f t="shared" si="11"/>
        <v>53</v>
      </c>
      <c r="H545" s="560">
        <v>1694586</v>
      </c>
      <c r="I545" s="560"/>
      <c r="J545" s="560">
        <f t="shared" si="10"/>
        <v>1694586</v>
      </c>
    </row>
    <row r="546" spans="1:10" x14ac:dyDescent="0.25">
      <c r="A546" s="362">
        <v>12</v>
      </c>
      <c r="B546" s="364">
        <v>43997</v>
      </c>
      <c r="C546" s="362" t="s">
        <v>82</v>
      </c>
      <c r="D546" s="560">
        <v>31344783</v>
      </c>
      <c r="E546" s="560">
        <v>54500</v>
      </c>
      <c r="F546" s="560">
        <v>31399300</v>
      </c>
      <c r="G546" s="560">
        <f t="shared" si="11"/>
        <v>-17</v>
      </c>
      <c r="H546" s="560">
        <v>10205866</v>
      </c>
      <c r="I546" s="560"/>
      <c r="J546" s="560">
        <f t="shared" si="10"/>
        <v>10205866</v>
      </c>
    </row>
    <row r="547" spans="1:10" x14ac:dyDescent="0.25">
      <c r="A547" s="362">
        <v>13</v>
      </c>
      <c r="B547" s="364">
        <v>43997</v>
      </c>
      <c r="C547" s="362" t="s">
        <v>78</v>
      </c>
      <c r="D547" s="560">
        <v>41797131</v>
      </c>
      <c r="E547" s="560">
        <v>3497569</v>
      </c>
      <c r="F547" s="560">
        <v>45294700</v>
      </c>
      <c r="G547" s="560">
        <f t="shared" si="11"/>
        <v>0</v>
      </c>
      <c r="H547" s="560">
        <v>7275322</v>
      </c>
      <c r="I547" s="560"/>
      <c r="J547" s="560">
        <f t="shared" si="10"/>
        <v>7275322</v>
      </c>
    </row>
    <row r="548" spans="1:10" x14ac:dyDescent="0.25">
      <c r="A548" s="362">
        <v>14</v>
      </c>
      <c r="B548" s="364">
        <v>43997</v>
      </c>
      <c r="C548" s="362" t="s">
        <v>166</v>
      </c>
      <c r="D548" s="560">
        <v>41282465</v>
      </c>
      <c r="E548" s="560"/>
      <c r="F548" s="560">
        <v>41282500</v>
      </c>
      <c r="G548" s="560">
        <f t="shared" si="11"/>
        <v>-35</v>
      </c>
      <c r="H548" s="560"/>
      <c r="I548" s="560"/>
      <c r="J548" s="560">
        <f t="shared" si="10"/>
        <v>0</v>
      </c>
    </row>
    <row r="549" spans="1:10" x14ac:dyDescent="0.25">
      <c r="A549" s="362">
        <v>15</v>
      </c>
      <c r="B549" s="364">
        <v>43997</v>
      </c>
      <c r="C549" s="362" t="s">
        <v>3435</v>
      </c>
      <c r="D549" s="560"/>
      <c r="E549" s="560"/>
      <c r="F549" s="560">
        <v>25890100</v>
      </c>
      <c r="G549" s="560">
        <f t="shared" si="11"/>
        <v>-25890100</v>
      </c>
      <c r="H549" s="560"/>
      <c r="I549" s="560"/>
      <c r="J549" s="560">
        <f t="shared" si="10"/>
        <v>0</v>
      </c>
    </row>
    <row r="550" spans="1:10" x14ac:dyDescent="0.25">
      <c r="A550" s="530"/>
      <c r="B550" s="589"/>
      <c r="C550" s="530"/>
      <c r="D550" s="562"/>
      <c r="E550" s="562"/>
      <c r="F550" s="562"/>
      <c r="G550" s="562">
        <f t="shared" si="11"/>
        <v>0</v>
      </c>
      <c r="H550" s="562"/>
      <c r="I550" s="562"/>
      <c r="J550" s="562">
        <f t="shared" si="10"/>
        <v>0</v>
      </c>
    </row>
    <row r="551" spans="1:10" x14ac:dyDescent="0.25">
      <c r="A551" s="362">
        <v>1</v>
      </c>
      <c r="B551" s="364">
        <v>43998</v>
      </c>
      <c r="C551" s="362" t="s">
        <v>80</v>
      </c>
      <c r="D551" s="560">
        <v>237361039</v>
      </c>
      <c r="E551" s="560">
        <v>11851578</v>
      </c>
      <c r="F551" s="560">
        <v>249212700</v>
      </c>
      <c r="G551" s="560">
        <f t="shared" si="11"/>
        <v>-83</v>
      </c>
      <c r="H551" s="560">
        <v>38000000</v>
      </c>
      <c r="I551" s="560"/>
      <c r="J551" s="560">
        <f t="shared" si="10"/>
        <v>38000000</v>
      </c>
    </row>
    <row r="552" spans="1:10" x14ac:dyDescent="0.25">
      <c r="A552" s="362">
        <v>2</v>
      </c>
      <c r="B552" s="364">
        <v>43998</v>
      </c>
      <c r="C552" s="362" t="s">
        <v>83</v>
      </c>
      <c r="D552" s="560">
        <v>494013277</v>
      </c>
      <c r="E552" s="560">
        <v>43979924</v>
      </c>
      <c r="F552" s="560">
        <f>210493200+327500000</f>
        <v>537993200</v>
      </c>
      <c r="G552" s="560">
        <f t="shared" si="11"/>
        <v>1</v>
      </c>
      <c r="H552" s="560">
        <v>8677431</v>
      </c>
      <c r="I552" s="560"/>
      <c r="J552" s="560">
        <f t="shared" ref="J552:J563" si="12">H552-I552</f>
        <v>8677431</v>
      </c>
    </row>
    <row r="553" spans="1:10" x14ac:dyDescent="0.25">
      <c r="A553" s="362">
        <v>3</v>
      </c>
      <c r="B553" s="364">
        <v>43998</v>
      </c>
      <c r="C553" s="362" t="s">
        <v>88</v>
      </c>
      <c r="D553" s="560">
        <v>99465934</v>
      </c>
      <c r="E553" s="560">
        <v>28519190</v>
      </c>
      <c r="F553" s="560">
        <v>127985200</v>
      </c>
      <c r="G553" s="560">
        <f t="shared" si="11"/>
        <v>-76</v>
      </c>
      <c r="H553" s="560">
        <v>15757400</v>
      </c>
      <c r="I553" s="560"/>
      <c r="J553" s="560">
        <f t="shared" si="12"/>
        <v>15757400</v>
      </c>
    </row>
    <row r="554" spans="1:10" x14ac:dyDescent="0.25">
      <c r="A554" s="362">
        <v>4</v>
      </c>
      <c r="B554" s="364">
        <v>43998</v>
      </c>
      <c r="C554" s="362" t="s">
        <v>146</v>
      </c>
      <c r="D554" s="560">
        <v>99715937</v>
      </c>
      <c r="E554" s="560">
        <v>79126038</v>
      </c>
      <c r="F554" s="560">
        <v>178841600</v>
      </c>
      <c r="G554" s="560">
        <f t="shared" si="11"/>
        <v>375</v>
      </c>
      <c r="H554" s="560">
        <v>18459470</v>
      </c>
      <c r="I554" s="560"/>
      <c r="J554" s="560">
        <f t="shared" si="12"/>
        <v>18459470</v>
      </c>
    </row>
    <row r="555" spans="1:10" x14ac:dyDescent="0.25">
      <c r="A555" s="362">
        <v>5</v>
      </c>
      <c r="B555" s="364">
        <v>43998</v>
      </c>
      <c r="C555" s="362" t="s">
        <v>86</v>
      </c>
      <c r="D555" s="560">
        <v>77737580</v>
      </c>
      <c r="E555" s="560">
        <v>38713822</v>
      </c>
      <c r="F555" s="560">
        <v>116451400</v>
      </c>
      <c r="G555" s="560">
        <f t="shared" si="11"/>
        <v>2</v>
      </c>
      <c r="H555" s="560">
        <v>6917966</v>
      </c>
      <c r="I555" s="560"/>
      <c r="J555" s="560">
        <f t="shared" si="12"/>
        <v>6917966</v>
      </c>
    </row>
    <row r="556" spans="1:10" x14ac:dyDescent="0.25">
      <c r="A556" s="362">
        <v>6</v>
      </c>
      <c r="B556" s="364">
        <v>43998</v>
      </c>
      <c r="C556" s="362" t="s">
        <v>89</v>
      </c>
      <c r="D556" s="560">
        <v>125396700</v>
      </c>
      <c r="E556" s="560">
        <v>2330500</v>
      </c>
      <c r="F556" s="560">
        <v>127727200</v>
      </c>
      <c r="G556" s="560">
        <f t="shared" si="11"/>
        <v>0</v>
      </c>
      <c r="H556" s="560">
        <v>16395846</v>
      </c>
      <c r="I556" s="560"/>
      <c r="J556" s="560">
        <f t="shared" si="12"/>
        <v>16395846</v>
      </c>
    </row>
    <row r="557" spans="1:10" x14ac:dyDescent="0.25">
      <c r="A557" s="362">
        <v>7</v>
      </c>
      <c r="B557" s="364">
        <v>43998</v>
      </c>
      <c r="C557" s="362" t="s">
        <v>4751</v>
      </c>
      <c r="D557" s="560">
        <v>225802608</v>
      </c>
      <c r="E557" s="560">
        <v>17916692</v>
      </c>
      <c r="F557" s="560">
        <v>243719300</v>
      </c>
      <c r="G557" s="560">
        <f t="shared" si="11"/>
        <v>0</v>
      </c>
      <c r="H557" s="560">
        <v>27515608</v>
      </c>
      <c r="I557" s="560"/>
      <c r="J557" s="560">
        <f t="shared" si="12"/>
        <v>27515608</v>
      </c>
    </row>
    <row r="558" spans="1:10" x14ac:dyDescent="0.25">
      <c r="A558" s="362">
        <v>8</v>
      </c>
      <c r="B558" s="364">
        <v>43998</v>
      </c>
      <c r="C558" s="362" t="s">
        <v>84</v>
      </c>
      <c r="D558" s="560">
        <v>132745227</v>
      </c>
      <c r="E558" s="560">
        <v>28098388</v>
      </c>
      <c r="F558" s="560">
        <v>160843700</v>
      </c>
      <c r="G558" s="560">
        <f t="shared" si="11"/>
        <v>-85</v>
      </c>
      <c r="H558" s="560">
        <v>28753726</v>
      </c>
      <c r="I558" s="560"/>
      <c r="J558" s="560">
        <f t="shared" si="12"/>
        <v>28753726</v>
      </c>
    </row>
    <row r="559" spans="1:10" x14ac:dyDescent="0.25">
      <c r="A559" s="362">
        <v>9</v>
      </c>
      <c r="B559" s="364">
        <v>43998</v>
      </c>
      <c r="C559" s="362" t="s">
        <v>85</v>
      </c>
      <c r="D559" s="560">
        <v>37099354</v>
      </c>
      <c r="E559" s="560">
        <v>875446</v>
      </c>
      <c r="F559" s="560">
        <v>37974800</v>
      </c>
      <c r="G559" s="560">
        <f t="shared" si="11"/>
        <v>0</v>
      </c>
      <c r="H559" s="560">
        <v>2417148</v>
      </c>
      <c r="I559" s="560"/>
      <c r="J559" s="560">
        <f t="shared" si="12"/>
        <v>2417148</v>
      </c>
    </row>
    <row r="560" spans="1:10" x14ac:dyDescent="0.25">
      <c r="A560" s="362">
        <v>10</v>
      </c>
      <c r="B560" s="364">
        <v>43998</v>
      </c>
      <c r="C560" s="362" t="s">
        <v>81</v>
      </c>
      <c r="D560" s="560">
        <v>142866748</v>
      </c>
      <c r="E560" s="560">
        <v>49889300</v>
      </c>
      <c r="F560" s="560">
        <v>192756100</v>
      </c>
      <c r="G560" s="560">
        <f t="shared" si="11"/>
        <v>-52</v>
      </c>
      <c r="H560" s="560">
        <v>16763074</v>
      </c>
      <c r="I560" s="560"/>
      <c r="J560" s="560">
        <f t="shared" si="12"/>
        <v>16763074</v>
      </c>
    </row>
    <row r="561" spans="1:10" x14ac:dyDescent="0.25">
      <c r="A561" s="362">
        <v>11</v>
      </c>
      <c r="B561" s="364">
        <v>43998</v>
      </c>
      <c r="C561" s="362" t="s">
        <v>79</v>
      </c>
      <c r="D561" s="560">
        <v>39119455</v>
      </c>
      <c r="E561" s="560">
        <v>1149000</v>
      </c>
      <c r="F561" s="560">
        <v>40268500</v>
      </c>
      <c r="G561" s="560">
        <f t="shared" si="11"/>
        <v>-45</v>
      </c>
      <c r="H561" s="560">
        <v>6067534</v>
      </c>
      <c r="I561" s="560"/>
      <c r="J561" s="560">
        <f t="shared" si="12"/>
        <v>6067534</v>
      </c>
    </row>
    <row r="562" spans="1:10" x14ac:dyDescent="0.25">
      <c r="A562" s="362">
        <v>12</v>
      </c>
      <c r="B562" s="364">
        <v>43998</v>
      </c>
      <c r="C562" s="362" t="s">
        <v>82</v>
      </c>
      <c r="D562" s="560">
        <v>42920050</v>
      </c>
      <c r="E562" s="560">
        <v>1296054</v>
      </c>
      <c r="F562" s="560">
        <v>44216200</v>
      </c>
      <c r="G562" s="560">
        <f t="shared" si="11"/>
        <v>-96</v>
      </c>
      <c r="H562" s="560">
        <v>8908566</v>
      </c>
      <c r="I562" s="560"/>
      <c r="J562" s="560">
        <f t="shared" si="12"/>
        <v>8908566</v>
      </c>
    </row>
    <row r="563" spans="1:10" x14ac:dyDescent="0.25">
      <c r="A563" s="362">
        <v>13</v>
      </c>
      <c r="B563" s="364">
        <v>43998</v>
      </c>
      <c r="C563" s="362" t="s">
        <v>78</v>
      </c>
      <c r="D563" s="560">
        <v>76305338</v>
      </c>
      <c r="E563" s="560">
        <v>6176262</v>
      </c>
      <c r="F563" s="560">
        <v>82481600</v>
      </c>
      <c r="G563" s="560">
        <f t="shared" si="11"/>
        <v>0</v>
      </c>
      <c r="H563" s="560">
        <v>15955190</v>
      </c>
      <c r="I563" s="560"/>
      <c r="J563" s="560">
        <f t="shared" si="12"/>
        <v>15955190</v>
      </c>
    </row>
    <row r="564" spans="1:10" x14ac:dyDescent="0.25">
      <c r="A564" s="362">
        <v>14</v>
      </c>
      <c r="B564" s="364">
        <v>43998</v>
      </c>
      <c r="C564" s="362" t="s">
        <v>166</v>
      </c>
      <c r="D564" s="560">
        <v>38018352</v>
      </c>
      <c r="E564" s="560"/>
      <c r="F564" s="560">
        <v>38018200</v>
      </c>
      <c r="G564" s="560">
        <f t="shared" si="11"/>
        <v>152</v>
      </c>
      <c r="H564" s="560"/>
      <c r="I564" s="560"/>
      <c r="J564" s="560"/>
    </row>
    <row r="565" spans="1:10" x14ac:dyDescent="0.25">
      <c r="A565" s="362">
        <v>15</v>
      </c>
      <c r="B565" s="364">
        <v>43998</v>
      </c>
      <c r="C565" s="362" t="s">
        <v>3435</v>
      </c>
      <c r="D565" s="560"/>
      <c r="E565" s="560"/>
      <c r="F565" s="560">
        <v>40154700</v>
      </c>
      <c r="G565" s="560">
        <f t="shared" si="11"/>
        <v>-40154700</v>
      </c>
      <c r="H565" s="560"/>
      <c r="I565" s="560"/>
      <c r="J565" s="560"/>
    </row>
    <row r="566" spans="1:10" x14ac:dyDescent="0.25">
      <c r="A566" s="530"/>
      <c r="B566" s="589"/>
      <c r="C566" s="530"/>
      <c r="D566" s="562"/>
      <c r="E566" s="562"/>
      <c r="F566" s="562"/>
      <c r="G566" s="560">
        <f t="shared" si="11"/>
        <v>0</v>
      </c>
      <c r="H566" s="562"/>
      <c r="I566" s="562"/>
      <c r="J566" s="562"/>
    </row>
    <row r="567" spans="1:10" x14ac:dyDescent="0.25">
      <c r="A567" s="362">
        <v>1</v>
      </c>
      <c r="B567" s="364">
        <v>43999</v>
      </c>
      <c r="C567" s="362" t="s">
        <v>80</v>
      </c>
      <c r="D567" s="560">
        <v>263135799</v>
      </c>
      <c r="E567" s="560">
        <v>5928080</v>
      </c>
      <c r="F567" s="560">
        <v>269063900</v>
      </c>
      <c r="G567" s="560">
        <f t="shared" si="11"/>
        <v>-21</v>
      </c>
      <c r="H567" s="560">
        <v>31814844</v>
      </c>
      <c r="I567" s="560"/>
      <c r="J567" s="560"/>
    </row>
    <row r="568" spans="1:10" x14ac:dyDescent="0.25">
      <c r="A568" s="362">
        <v>2</v>
      </c>
      <c r="B568" s="364">
        <v>43999</v>
      </c>
      <c r="C568" s="362" t="s">
        <v>83</v>
      </c>
      <c r="D568" s="560">
        <v>343776024</v>
      </c>
      <c r="E568" s="560">
        <v>20012276</v>
      </c>
      <c r="F568" s="560">
        <v>363788300</v>
      </c>
      <c r="G568" s="560">
        <f t="shared" si="11"/>
        <v>0</v>
      </c>
      <c r="H568" s="560">
        <v>4116340</v>
      </c>
      <c r="I568" s="560"/>
      <c r="J568" s="560"/>
    </row>
    <row r="569" spans="1:10" x14ac:dyDescent="0.25">
      <c r="A569" s="362">
        <v>3</v>
      </c>
      <c r="B569" s="364">
        <v>43999</v>
      </c>
      <c r="C569" s="362" t="s">
        <v>88</v>
      </c>
      <c r="D569" s="560">
        <v>132793507</v>
      </c>
      <c r="E569" s="560">
        <v>6723548</v>
      </c>
      <c r="F569" s="560">
        <v>139517100</v>
      </c>
      <c r="G569" s="560">
        <f t="shared" si="11"/>
        <v>-45</v>
      </c>
      <c r="H569" s="560">
        <v>13365780</v>
      </c>
      <c r="I569" s="560"/>
      <c r="J569" s="560"/>
    </row>
    <row r="570" spans="1:10" x14ac:dyDescent="0.25">
      <c r="A570" s="362">
        <v>4</v>
      </c>
      <c r="B570" s="364">
        <v>43999</v>
      </c>
      <c r="C570" s="362" t="s">
        <v>146</v>
      </c>
      <c r="D570" s="560">
        <v>70675259</v>
      </c>
      <c r="E570" s="560">
        <v>84775672</v>
      </c>
      <c r="F570" s="560">
        <v>155450900</v>
      </c>
      <c r="G570" s="560">
        <f t="shared" si="11"/>
        <v>31</v>
      </c>
      <c r="H570" s="560">
        <v>15706970</v>
      </c>
      <c r="I570" s="560"/>
      <c r="J570" s="560"/>
    </row>
    <row r="571" spans="1:10" x14ac:dyDescent="0.25">
      <c r="A571" s="362">
        <v>5</v>
      </c>
      <c r="B571" s="364">
        <v>43999</v>
      </c>
      <c r="C571" s="362" t="s">
        <v>86</v>
      </c>
      <c r="D571" s="560">
        <v>71195322</v>
      </c>
      <c r="E571" s="560">
        <v>93845573</v>
      </c>
      <c r="F571" s="560">
        <v>165040900</v>
      </c>
      <c r="G571" s="560">
        <f t="shared" si="11"/>
        <v>-5</v>
      </c>
      <c r="H571" s="560">
        <v>5958766</v>
      </c>
      <c r="I571" s="560"/>
      <c r="J571" s="560"/>
    </row>
    <row r="572" spans="1:10" x14ac:dyDescent="0.25">
      <c r="A572" s="362">
        <v>6</v>
      </c>
      <c r="B572" s="364">
        <v>43999</v>
      </c>
      <c r="C572" s="362" t="s">
        <v>89</v>
      </c>
      <c r="D572" s="560">
        <v>108737991</v>
      </c>
      <c r="E572" s="560">
        <v>3492109</v>
      </c>
      <c r="F572" s="560">
        <v>112230100</v>
      </c>
      <c r="G572" s="560">
        <f t="shared" si="11"/>
        <v>0</v>
      </c>
      <c r="H572" s="560">
        <v>13517346</v>
      </c>
      <c r="I572" s="560"/>
      <c r="J572" s="560"/>
    </row>
    <row r="573" spans="1:10" x14ac:dyDescent="0.25">
      <c r="A573" s="362">
        <v>7</v>
      </c>
      <c r="B573" s="364">
        <v>43999</v>
      </c>
      <c r="C573" s="362" t="s">
        <v>4751</v>
      </c>
      <c r="D573" s="560">
        <v>179796008</v>
      </c>
      <c r="E573" s="560">
        <v>6297492</v>
      </c>
      <c r="F573" s="560">
        <v>186093500</v>
      </c>
      <c r="G573" s="560">
        <f t="shared" si="11"/>
        <v>0</v>
      </c>
      <c r="H573" s="560">
        <v>18892161</v>
      </c>
      <c r="I573" s="560"/>
      <c r="J573" s="560"/>
    </row>
    <row r="574" spans="1:10" x14ac:dyDescent="0.25">
      <c r="A574" s="362">
        <v>8</v>
      </c>
      <c r="B574" s="364">
        <v>43999</v>
      </c>
      <c r="C574" s="362" t="s">
        <v>84</v>
      </c>
      <c r="D574" s="560">
        <v>222644871</v>
      </c>
      <c r="E574" s="560">
        <v>13509557</v>
      </c>
      <c r="F574" s="560">
        <v>236254500</v>
      </c>
      <c r="G574" s="560">
        <f t="shared" si="11"/>
        <v>-100072</v>
      </c>
      <c r="H574" s="560">
        <v>18140074</v>
      </c>
      <c r="I574" s="560"/>
      <c r="J574" s="560"/>
    </row>
    <row r="575" spans="1:10" x14ac:dyDescent="0.25">
      <c r="A575" s="362">
        <v>9</v>
      </c>
      <c r="B575" s="364">
        <v>43999</v>
      </c>
      <c r="C575" s="362" t="s">
        <v>85</v>
      </c>
      <c r="D575" s="560">
        <v>35082468</v>
      </c>
      <c r="E575" s="560">
        <v>1884632</v>
      </c>
      <c r="F575" s="560">
        <v>36967100</v>
      </c>
      <c r="G575" s="560">
        <f t="shared" si="11"/>
        <v>0</v>
      </c>
      <c r="H575" s="560">
        <v>2417148</v>
      </c>
      <c r="I575" s="560"/>
      <c r="J575" s="560"/>
    </row>
    <row r="576" spans="1:10" x14ac:dyDescent="0.25">
      <c r="A576" s="362">
        <v>10</v>
      </c>
      <c r="B576" s="364">
        <v>43999</v>
      </c>
      <c r="C576" s="362" t="s">
        <v>81</v>
      </c>
      <c r="D576" s="560">
        <v>86656626</v>
      </c>
      <c r="E576" s="560">
        <v>15877116</v>
      </c>
      <c r="F576" s="560">
        <v>102533800</v>
      </c>
      <c r="G576" s="560">
        <f t="shared" si="11"/>
        <v>-58</v>
      </c>
      <c r="H576" s="560">
        <v>16363074</v>
      </c>
      <c r="I576" s="560"/>
      <c r="J576" s="560"/>
    </row>
    <row r="577" spans="1:10" x14ac:dyDescent="0.25">
      <c r="A577" s="362">
        <v>11</v>
      </c>
      <c r="B577" s="364">
        <v>43999</v>
      </c>
      <c r="C577" s="362" t="s">
        <v>79</v>
      </c>
      <c r="D577" s="560">
        <v>81154250</v>
      </c>
      <c r="E577" s="560">
        <v>370602</v>
      </c>
      <c r="F577" s="560">
        <v>81524900</v>
      </c>
      <c r="G577" s="560">
        <f t="shared" si="11"/>
        <v>-48</v>
      </c>
      <c r="H577" s="560">
        <v>5633034</v>
      </c>
      <c r="I577" s="560"/>
      <c r="J577" s="560"/>
    </row>
    <row r="578" spans="1:10" x14ac:dyDescent="0.25">
      <c r="A578" s="362">
        <v>12</v>
      </c>
      <c r="B578" s="364">
        <v>43999</v>
      </c>
      <c r="C578" s="362" t="s">
        <v>82</v>
      </c>
      <c r="D578" s="560">
        <v>67387946</v>
      </c>
      <c r="E578" s="560">
        <v>913493</v>
      </c>
      <c r="F578" s="560">
        <v>68301500</v>
      </c>
      <c r="G578" s="560">
        <f t="shared" si="11"/>
        <v>-61</v>
      </c>
      <c r="H578" s="560">
        <v>8251766</v>
      </c>
      <c r="I578" s="560"/>
      <c r="J578" s="560"/>
    </row>
    <row r="579" spans="1:10" x14ac:dyDescent="0.25">
      <c r="A579" s="362">
        <v>13</v>
      </c>
      <c r="B579" s="364">
        <v>43999</v>
      </c>
      <c r="C579" s="362" t="s">
        <v>78</v>
      </c>
      <c r="D579" s="560">
        <v>133683572</v>
      </c>
      <c r="E579" s="560">
        <v>4494028</v>
      </c>
      <c r="F579" s="560">
        <v>138177600</v>
      </c>
      <c r="G579" s="560">
        <f t="shared" si="11"/>
        <v>0</v>
      </c>
      <c r="H579" s="560">
        <v>14695963</v>
      </c>
      <c r="I579" s="560"/>
      <c r="J579" s="560"/>
    </row>
    <row r="580" spans="1:10" x14ac:dyDescent="0.25">
      <c r="A580" s="362">
        <v>14</v>
      </c>
      <c r="B580" s="364">
        <v>43999</v>
      </c>
      <c r="C580" s="362" t="s">
        <v>166</v>
      </c>
      <c r="D580" s="560">
        <v>21239214</v>
      </c>
      <c r="E580" s="560"/>
      <c r="F580" s="560">
        <v>21239300</v>
      </c>
      <c r="G580" s="560">
        <f t="shared" si="11"/>
        <v>-86</v>
      </c>
      <c r="H580" s="560"/>
      <c r="I580" s="560"/>
      <c r="J580" s="560"/>
    </row>
    <row r="581" spans="1:10" x14ac:dyDescent="0.25">
      <c r="A581" s="362">
        <v>15</v>
      </c>
      <c r="B581" s="364">
        <v>43999</v>
      </c>
      <c r="C581" s="362" t="s">
        <v>3435</v>
      </c>
      <c r="D581" s="560"/>
      <c r="E581" s="560"/>
      <c r="F581" s="560">
        <v>130190500</v>
      </c>
      <c r="G581" s="560">
        <f t="shared" si="11"/>
        <v>-130190500</v>
      </c>
      <c r="H581" s="560"/>
      <c r="I581" s="560"/>
      <c r="J581" s="560"/>
    </row>
    <row r="582" spans="1:10" x14ac:dyDescent="0.25">
      <c r="A582" s="530"/>
      <c r="B582" s="589"/>
      <c r="C582" s="530"/>
      <c r="D582" s="562"/>
      <c r="E582" s="562"/>
      <c r="F582" s="562"/>
      <c r="G582" s="562">
        <f t="shared" si="11"/>
        <v>0</v>
      </c>
      <c r="H582" s="562"/>
      <c r="I582" s="562"/>
      <c r="J582" s="562"/>
    </row>
    <row r="583" spans="1:10" x14ac:dyDescent="0.25">
      <c r="A583" s="362">
        <v>1</v>
      </c>
      <c r="B583" s="364">
        <v>44000</v>
      </c>
      <c r="C583" s="362" t="s">
        <v>80</v>
      </c>
      <c r="D583" s="560">
        <v>184776675</v>
      </c>
      <c r="E583" s="560">
        <v>39627259</v>
      </c>
      <c r="F583" s="560">
        <v>224403800</v>
      </c>
      <c r="G583" s="560">
        <f t="shared" ref="G583:G646" si="13">D583+E583-F583</f>
        <v>134</v>
      </c>
      <c r="H583" s="560">
        <v>4613499</v>
      </c>
      <c r="I583" s="560">
        <v>4613499</v>
      </c>
      <c r="J583" s="560">
        <f>H583-I583</f>
        <v>0</v>
      </c>
    </row>
    <row r="584" spans="1:10" x14ac:dyDescent="0.25">
      <c r="A584" s="362">
        <v>2</v>
      </c>
      <c r="B584" s="364">
        <v>44000</v>
      </c>
      <c r="C584" s="362" t="s">
        <v>83</v>
      </c>
      <c r="D584" s="560">
        <v>242620593</v>
      </c>
      <c r="E584" s="560">
        <v>5867371</v>
      </c>
      <c r="F584" s="560">
        <v>248488000</v>
      </c>
      <c r="G584" s="560">
        <f t="shared" si="13"/>
        <v>-36</v>
      </c>
      <c r="H584" s="560">
        <v>3314090</v>
      </c>
      <c r="I584" s="560">
        <v>4116340</v>
      </c>
      <c r="J584" s="560">
        <f t="shared" ref="J584:J613" si="14">H584-I584</f>
        <v>-802250</v>
      </c>
    </row>
    <row r="585" spans="1:10" x14ac:dyDescent="0.25">
      <c r="A585" s="362">
        <v>3</v>
      </c>
      <c r="B585" s="364">
        <v>44000</v>
      </c>
      <c r="C585" s="362" t="s">
        <v>88</v>
      </c>
      <c r="D585" s="560">
        <v>166413544</v>
      </c>
      <c r="E585" s="560">
        <v>23448859</v>
      </c>
      <c r="F585" s="560">
        <v>189862500</v>
      </c>
      <c r="G585" s="560">
        <f t="shared" si="13"/>
        <v>-97</v>
      </c>
      <c r="H585" s="560">
        <v>8247727</v>
      </c>
      <c r="I585" s="560">
        <v>8247727</v>
      </c>
      <c r="J585" s="560">
        <f t="shared" si="14"/>
        <v>0</v>
      </c>
    </row>
    <row r="586" spans="1:10" x14ac:dyDescent="0.25">
      <c r="A586" s="362">
        <v>4</v>
      </c>
      <c r="B586" s="364">
        <v>44000</v>
      </c>
      <c r="C586" s="362" t="s">
        <v>146</v>
      </c>
      <c r="D586" s="560">
        <v>82665900</v>
      </c>
      <c r="E586" s="560">
        <v>67859476</v>
      </c>
      <c r="F586" s="560">
        <v>150525400</v>
      </c>
      <c r="G586" s="560">
        <f t="shared" si="13"/>
        <v>-24</v>
      </c>
      <c r="H586" s="560">
        <v>10462283</v>
      </c>
      <c r="I586" s="560"/>
      <c r="J586" s="560">
        <f t="shared" si="14"/>
        <v>10462283</v>
      </c>
    </row>
    <row r="587" spans="1:10" x14ac:dyDescent="0.25">
      <c r="A587" s="362">
        <v>5</v>
      </c>
      <c r="B587" s="364">
        <v>44000</v>
      </c>
      <c r="C587" s="362" t="s">
        <v>86</v>
      </c>
      <c r="D587" s="560">
        <v>86776282</v>
      </c>
      <c r="E587" s="560">
        <v>46021704</v>
      </c>
      <c r="F587" s="560">
        <v>132797900</v>
      </c>
      <c r="G587" s="560">
        <f t="shared" si="13"/>
        <v>86</v>
      </c>
      <c r="H587" s="560">
        <v>1702380</v>
      </c>
      <c r="I587" s="560"/>
      <c r="J587" s="560">
        <f t="shared" si="14"/>
        <v>1702380</v>
      </c>
    </row>
    <row r="588" spans="1:10" x14ac:dyDescent="0.25">
      <c r="A588" s="362">
        <v>6</v>
      </c>
      <c r="B588" s="364">
        <v>44000</v>
      </c>
      <c r="C588" s="362" t="s">
        <v>89</v>
      </c>
      <c r="D588" s="560">
        <v>242290659</v>
      </c>
      <c r="E588" s="560">
        <v>4460541</v>
      </c>
      <c r="F588" s="560">
        <v>246751200</v>
      </c>
      <c r="G588" s="560">
        <f t="shared" si="13"/>
        <v>0</v>
      </c>
      <c r="H588" s="560">
        <v>7691033</v>
      </c>
      <c r="I588" s="560">
        <v>7691033</v>
      </c>
      <c r="J588" s="560">
        <f t="shared" si="14"/>
        <v>0</v>
      </c>
    </row>
    <row r="589" spans="1:10" x14ac:dyDescent="0.25">
      <c r="A589" s="362">
        <v>7</v>
      </c>
      <c r="B589" s="364">
        <v>44000</v>
      </c>
      <c r="C589" s="362" t="s">
        <v>4751</v>
      </c>
      <c r="D589" s="560">
        <v>228006442</v>
      </c>
      <c r="E589" s="560">
        <v>9321058</v>
      </c>
      <c r="F589" s="560">
        <v>237327500</v>
      </c>
      <c r="G589" s="560">
        <f t="shared" si="13"/>
        <v>0</v>
      </c>
      <c r="H589" s="560">
        <v>11292788</v>
      </c>
      <c r="I589" s="560"/>
      <c r="J589" s="560">
        <f t="shared" si="14"/>
        <v>11292788</v>
      </c>
    </row>
    <row r="590" spans="1:10" x14ac:dyDescent="0.25">
      <c r="A590" s="362">
        <v>8</v>
      </c>
      <c r="B590" s="364">
        <v>44000</v>
      </c>
      <c r="C590" s="362" t="s">
        <v>84</v>
      </c>
      <c r="D590" s="560">
        <v>224180392</v>
      </c>
      <c r="E590" s="560">
        <v>18938567</v>
      </c>
      <c r="F590" s="560">
        <v>243118500</v>
      </c>
      <c r="G590" s="560">
        <f t="shared" si="13"/>
        <v>459</v>
      </c>
      <c r="H590" s="560">
        <v>4369675</v>
      </c>
      <c r="I590" s="560">
        <v>4369675</v>
      </c>
      <c r="J590" s="560">
        <f t="shared" si="14"/>
        <v>0</v>
      </c>
    </row>
    <row r="591" spans="1:10" x14ac:dyDescent="0.25">
      <c r="A591" s="362">
        <v>9</v>
      </c>
      <c r="B591" s="364">
        <v>44000</v>
      </c>
      <c r="C591" s="362" t="s">
        <v>85</v>
      </c>
      <c r="D591" s="560">
        <v>38584189</v>
      </c>
      <c r="E591" s="560">
        <v>2292111</v>
      </c>
      <c r="F591" s="560">
        <v>40876300</v>
      </c>
      <c r="G591" s="560">
        <f t="shared" si="13"/>
        <v>0</v>
      </c>
      <c r="H591" s="560">
        <v>2485768</v>
      </c>
      <c r="I591" s="560">
        <v>2485768</v>
      </c>
      <c r="J591" s="560">
        <f t="shared" si="14"/>
        <v>0</v>
      </c>
    </row>
    <row r="592" spans="1:10" x14ac:dyDescent="0.25">
      <c r="A592" s="362">
        <v>10</v>
      </c>
      <c r="B592" s="364">
        <v>44000</v>
      </c>
      <c r="C592" s="362" t="s">
        <v>81</v>
      </c>
      <c r="D592" s="560">
        <v>96226463</v>
      </c>
      <c r="E592" s="560">
        <v>18391212</v>
      </c>
      <c r="F592" s="560">
        <v>114617700</v>
      </c>
      <c r="G592" s="560">
        <f t="shared" si="13"/>
        <v>-25</v>
      </c>
      <c r="H592" s="560">
        <v>7957783</v>
      </c>
      <c r="I592" s="560"/>
      <c r="J592" s="560">
        <f t="shared" si="14"/>
        <v>7957783</v>
      </c>
    </row>
    <row r="593" spans="1:10" x14ac:dyDescent="0.25">
      <c r="A593" s="362">
        <v>11</v>
      </c>
      <c r="B593" s="364">
        <v>44000</v>
      </c>
      <c r="C593" s="362" t="s">
        <v>79</v>
      </c>
      <c r="D593" s="560">
        <v>45657722</v>
      </c>
      <c r="E593" s="560">
        <v>11075595</v>
      </c>
      <c r="F593" s="560">
        <v>56733400</v>
      </c>
      <c r="G593" s="560">
        <f t="shared" si="13"/>
        <v>-83</v>
      </c>
      <c r="H593" s="560">
        <v>4411784</v>
      </c>
      <c r="I593" s="560">
        <v>4411784</v>
      </c>
      <c r="J593" s="560">
        <f t="shared" si="14"/>
        <v>0</v>
      </c>
    </row>
    <row r="594" spans="1:10" x14ac:dyDescent="0.25">
      <c r="A594" s="362">
        <v>12</v>
      </c>
      <c r="B594" s="364">
        <v>44000</v>
      </c>
      <c r="C594" s="362" t="s">
        <v>82</v>
      </c>
      <c r="D594" s="560">
        <v>246503862</v>
      </c>
      <c r="E594" s="560">
        <v>4998380</v>
      </c>
      <c r="F594" s="560">
        <v>251502200</v>
      </c>
      <c r="G594" s="560">
        <f t="shared" si="13"/>
        <v>42</v>
      </c>
      <c r="H594" s="560">
        <v>5264366</v>
      </c>
      <c r="I594" s="560">
        <v>5264366</v>
      </c>
      <c r="J594" s="560">
        <f t="shared" si="14"/>
        <v>0</v>
      </c>
    </row>
    <row r="595" spans="1:10" x14ac:dyDescent="0.25">
      <c r="A595" s="362">
        <v>13</v>
      </c>
      <c r="B595" s="364">
        <v>44000</v>
      </c>
      <c r="C595" s="362" t="s">
        <v>78</v>
      </c>
      <c r="D595" s="560">
        <v>59493772</v>
      </c>
      <c r="E595" s="560">
        <v>7781128</v>
      </c>
      <c r="F595" s="560">
        <v>67274900</v>
      </c>
      <c r="G595" s="560">
        <f t="shared" si="13"/>
        <v>0</v>
      </c>
      <c r="H595" s="560">
        <v>11714663</v>
      </c>
      <c r="I595" s="560">
        <v>11714663</v>
      </c>
      <c r="J595" s="560">
        <f t="shared" si="14"/>
        <v>0</v>
      </c>
    </row>
    <row r="596" spans="1:10" x14ac:dyDescent="0.25">
      <c r="A596" s="362">
        <v>14</v>
      </c>
      <c r="B596" s="364">
        <v>44000</v>
      </c>
      <c r="C596" s="362" t="s">
        <v>166</v>
      </c>
      <c r="D596" s="560">
        <v>74224101</v>
      </c>
      <c r="E596" s="560"/>
      <c r="F596" s="560">
        <v>74224100</v>
      </c>
      <c r="G596" s="560">
        <f t="shared" si="13"/>
        <v>1</v>
      </c>
      <c r="H596" s="560"/>
      <c r="I596" s="560"/>
      <c r="J596" s="560">
        <f t="shared" si="14"/>
        <v>0</v>
      </c>
    </row>
    <row r="597" spans="1:10" x14ac:dyDescent="0.25">
      <c r="A597" s="362">
        <v>15</v>
      </c>
      <c r="B597" s="364">
        <v>44000</v>
      </c>
      <c r="C597" s="362" t="s">
        <v>3435</v>
      </c>
      <c r="D597" s="560"/>
      <c r="E597" s="560"/>
      <c r="F597" s="560">
        <v>52211800</v>
      </c>
      <c r="G597" s="560">
        <f t="shared" si="13"/>
        <v>-52211800</v>
      </c>
      <c r="H597" s="560"/>
      <c r="I597" s="560"/>
      <c r="J597" s="560">
        <f t="shared" si="14"/>
        <v>0</v>
      </c>
    </row>
    <row r="598" spans="1:10" x14ac:dyDescent="0.25">
      <c r="A598" s="530"/>
      <c r="B598" s="530"/>
      <c r="C598" s="530"/>
      <c r="D598" s="530"/>
      <c r="E598" s="530"/>
      <c r="F598" s="530"/>
      <c r="G598" s="562">
        <f t="shared" si="13"/>
        <v>0</v>
      </c>
      <c r="H598" s="530"/>
      <c r="I598" s="530"/>
      <c r="J598" s="562">
        <f t="shared" si="14"/>
        <v>0</v>
      </c>
    </row>
    <row r="599" spans="1:10" x14ac:dyDescent="0.25">
      <c r="A599" s="362">
        <v>1</v>
      </c>
      <c r="B599" s="364">
        <v>44001</v>
      </c>
      <c r="C599" s="362" t="s">
        <v>80</v>
      </c>
      <c r="D599" s="560">
        <v>200735922</v>
      </c>
      <c r="E599" s="560">
        <v>1525692</v>
      </c>
      <c r="F599" s="560">
        <v>202261600</v>
      </c>
      <c r="G599" s="560">
        <f t="shared" si="13"/>
        <v>14</v>
      </c>
      <c r="H599" s="560">
        <v>4613499</v>
      </c>
      <c r="I599" s="560"/>
      <c r="J599" s="560">
        <f t="shared" si="14"/>
        <v>4613499</v>
      </c>
    </row>
    <row r="600" spans="1:10" x14ac:dyDescent="0.25">
      <c r="A600" s="362">
        <v>2</v>
      </c>
      <c r="B600" s="364">
        <v>44001</v>
      </c>
      <c r="C600" s="362" t="s">
        <v>83</v>
      </c>
      <c r="D600" s="560">
        <v>238489634</v>
      </c>
      <c r="E600" s="560">
        <v>9465255</v>
      </c>
      <c r="F600" s="560">
        <v>247954900</v>
      </c>
      <c r="G600" s="560">
        <f t="shared" si="13"/>
        <v>-11</v>
      </c>
      <c r="H600" s="560">
        <v>1199365</v>
      </c>
      <c r="I600" s="560"/>
      <c r="J600" s="560">
        <f t="shared" si="14"/>
        <v>1199365</v>
      </c>
    </row>
    <row r="601" spans="1:10" x14ac:dyDescent="0.25">
      <c r="A601" s="362">
        <v>3</v>
      </c>
      <c r="B601" s="364">
        <v>44001</v>
      </c>
      <c r="C601" s="362" t="s">
        <v>88</v>
      </c>
      <c r="D601" s="560">
        <v>148156119</v>
      </c>
      <c r="E601" s="560">
        <v>121338995</v>
      </c>
      <c r="F601" s="560">
        <v>269495200</v>
      </c>
      <c r="G601" s="560">
        <f t="shared" si="13"/>
        <v>-86</v>
      </c>
      <c r="H601" s="560">
        <v>8247727</v>
      </c>
      <c r="I601" s="560"/>
      <c r="J601" s="560">
        <f t="shared" si="14"/>
        <v>8247727</v>
      </c>
    </row>
    <row r="602" spans="1:10" x14ac:dyDescent="0.25">
      <c r="A602" s="362">
        <v>4</v>
      </c>
      <c r="B602" s="364">
        <v>44001</v>
      </c>
      <c r="C602" s="362" t="s">
        <v>146</v>
      </c>
      <c r="D602" s="560">
        <v>118792278</v>
      </c>
      <c r="E602" s="560">
        <v>115486727</v>
      </c>
      <c r="F602" s="560">
        <v>234278600</v>
      </c>
      <c r="G602" s="560">
        <f t="shared" si="13"/>
        <v>405</v>
      </c>
      <c r="H602" s="560">
        <v>4569051</v>
      </c>
      <c r="I602" s="560">
        <v>4569051</v>
      </c>
      <c r="J602" s="560">
        <f t="shared" si="14"/>
        <v>0</v>
      </c>
    </row>
    <row r="603" spans="1:10" x14ac:dyDescent="0.25">
      <c r="A603" s="362">
        <v>5</v>
      </c>
      <c r="B603" s="364">
        <v>44001</v>
      </c>
      <c r="C603" s="362" t="s">
        <v>86</v>
      </c>
      <c r="D603" s="560">
        <v>73764709</v>
      </c>
      <c r="E603" s="560">
        <v>134201678</v>
      </c>
      <c r="F603" s="560">
        <v>207966400</v>
      </c>
      <c r="G603" s="560">
        <f t="shared" si="13"/>
        <v>-13</v>
      </c>
      <c r="H603" s="560">
        <v>1702380</v>
      </c>
      <c r="I603" s="560">
        <v>1702380</v>
      </c>
      <c r="J603" s="560">
        <f t="shared" si="14"/>
        <v>0</v>
      </c>
    </row>
    <row r="604" spans="1:10" x14ac:dyDescent="0.25">
      <c r="A604" s="362">
        <v>6</v>
      </c>
      <c r="B604" s="364">
        <v>44001</v>
      </c>
      <c r="C604" s="362" t="s">
        <v>89</v>
      </c>
      <c r="D604" s="560">
        <v>142837080</v>
      </c>
      <c r="E604" s="560">
        <v>12918520</v>
      </c>
      <c r="F604" s="560">
        <v>155755600</v>
      </c>
      <c r="G604" s="560">
        <f t="shared" si="13"/>
        <v>0</v>
      </c>
      <c r="H604" s="560">
        <v>7563255</v>
      </c>
      <c r="I604" s="560"/>
      <c r="J604" s="560">
        <f t="shared" si="14"/>
        <v>7563255</v>
      </c>
    </row>
    <row r="605" spans="1:10" x14ac:dyDescent="0.25">
      <c r="A605" s="362">
        <v>7</v>
      </c>
      <c r="B605" s="364">
        <v>44001</v>
      </c>
      <c r="C605" s="362" t="s">
        <v>4751</v>
      </c>
      <c r="D605" s="560">
        <v>142562754</v>
      </c>
      <c r="E605" s="560">
        <v>8317246</v>
      </c>
      <c r="F605" s="560">
        <v>150880000</v>
      </c>
      <c r="G605" s="560">
        <f t="shared" si="13"/>
        <v>0</v>
      </c>
      <c r="H605" s="560">
        <v>10659838</v>
      </c>
      <c r="I605" s="560">
        <v>11292788</v>
      </c>
      <c r="J605" s="560">
        <f t="shared" si="14"/>
        <v>-632950</v>
      </c>
    </row>
    <row r="606" spans="1:10" x14ac:dyDescent="0.25">
      <c r="A606" s="362">
        <v>8</v>
      </c>
      <c r="B606" s="364">
        <v>44001</v>
      </c>
      <c r="C606" s="362" t="s">
        <v>84</v>
      </c>
      <c r="D606" s="560">
        <v>179853273</v>
      </c>
      <c r="E606" s="560">
        <v>28421209</v>
      </c>
      <c r="F606" s="560">
        <v>208274400</v>
      </c>
      <c r="G606" s="560">
        <f t="shared" si="13"/>
        <v>82</v>
      </c>
      <c r="H606" s="560">
        <v>4369675</v>
      </c>
      <c r="I606" s="560"/>
      <c r="J606" s="560">
        <f t="shared" si="14"/>
        <v>4369675</v>
      </c>
    </row>
    <row r="607" spans="1:10" x14ac:dyDescent="0.25">
      <c r="A607" s="362">
        <v>9</v>
      </c>
      <c r="B607" s="364">
        <v>44001</v>
      </c>
      <c r="C607" s="362" t="s">
        <v>85</v>
      </c>
      <c r="D607" s="560">
        <v>27113871</v>
      </c>
      <c r="E607" s="560">
        <v>967729</v>
      </c>
      <c r="F607" s="560">
        <v>28081600</v>
      </c>
      <c r="G607" s="560">
        <f t="shared" si="13"/>
        <v>0</v>
      </c>
      <c r="H607" s="560">
        <v>2485768</v>
      </c>
      <c r="I607" s="560"/>
      <c r="J607" s="560">
        <f t="shared" si="14"/>
        <v>2485768</v>
      </c>
    </row>
    <row r="608" spans="1:10" x14ac:dyDescent="0.25">
      <c r="A608" s="362">
        <v>10</v>
      </c>
      <c r="B608" s="364">
        <v>44001</v>
      </c>
      <c r="C608" s="362" t="s">
        <v>81</v>
      </c>
      <c r="D608" s="560">
        <v>105705681</v>
      </c>
      <c r="E608" s="560">
        <v>20941911</v>
      </c>
      <c r="F608" s="560">
        <v>126647600</v>
      </c>
      <c r="G608" s="560">
        <f t="shared" si="13"/>
        <v>-8</v>
      </c>
      <c r="H608" s="560">
        <v>4545933</v>
      </c>
      <c r="I608" s="560">
        <v>4545933</v>
      </c>
      <c r="J608" s="560">
        <f t="shared" si="14"/>
        <v>0</v>
      </c>
    </row>
    <row r="609" spans="1:10" x14ac:dyDescent="0.25">
      <c r="A609" s="362">
        <v>11</v>
      </c>
      <c r="B609" s="364">
        <v>44001</v>
      </c>
      <c r="C609" s="362" t="s">
        <v>79</v>
      </c>
      <c r="D609" s="560">
        <v>52161106</v>
      </c>
      <c r="E609" s="560">
        <v>506929</v>
      </c>
      <c r="F609" s="560">
        <v>52687900</v>
      </c>
      <c r="G609" s="560">
        <f t="shared" si="13"/>
        <v>-19865</v>
      </c>
      <c r="H609" s="560">
        <v>4405784</v>
      </c>
      <c r="I609" s="560"/>
      <c r="J609" s="560">
        <f t="shared" si="14"/>
        <v>4405784</v>
      </c>
    </row>
    <row r="610" spans="1:10" x14ac:dyDescent="0.25">
      <c r="A610" s="362">
        <v>12</v>
      </c>
      <c r="B610" s="364">
        <v>44001</v>
      </c>
      <c r="C610" s="362" t="s">
        <v>82</v>
      </c>
      <c r="D610" s="560">
        <v>66062110</v>
      </c>
      <c r="E610" s="560">
        <v>6294624</v>
      </c>
      <c r="F610" s="560">
        <v>72356800</v>
      </c>
      <c r="G610" s="560">
        <f t="shared" si="13"/>
        <v>-66</v>
      </c>
      <c r="H610" s="560">
        <v>5085466</v>
      </c>
      <c r="I610" s="560"/>
      <c r="J610" s="560">
        <f t="shared" si="14"/>
        <v>5085466</v>
      </c>
    </row>
    <row r="611" spans="1:10" x14ac:dyDescent="0.25">
      <c r="A611" s="362">
        <v>13</v>
      </c>
      <c r="B611" s="364">
        <v>44001</v>
      </c>
      <c r="C611" s="362" t="s">
        <v>78</v>
      </c>
      <c r="D611" s="560">
        <v>43077892</v>
      </c>
      <c r="E611" s="560">
        <v>1920808</v>
      </c>
      <c r="F611" s="560">
        <v>44998700</v>
      </c>
      <c r="G611" s="560">
        <f t="shared" si="13"/>
        <v>0</v>
      </c>
      <c r="H611" s="560">
        <v>11218104</v>
      </c>
      <c r="I611" s="560"/>
      <c r="J611" s="560">
        <f t="shared" si="14"/>
        <v>11218104</v>
      </c>
    </row>
    <row r="612" spans="1:10" x14ac:dyDescent="0.25">
      <c r="A612" s="362">
        <v>14</v>
      </c>
      <c r="B612" s="364">
        <v>44001</v>
      </c>
      <c r="C612" s="362" t="s">
        <v>166</v>
      </c>
      <c r="D612" s="560">
        <v>50307421</v>
      </c>
      <c r="E612" s="560"/>
      <c r="F612" s="560">
        <v>50307500</v>
      </c>
      <c r="G612" s="560">
        <f t="shared" si="13"/>
        <v>-79</v>
      </c>
      <c r="H612" s="560"/>
      <c r="I612" s="560"/>
      <c r="J612" s="560">
        <f t="shared" si="14"/>
        <v>0</v>
      </c>
    </row>
    <row r="613" spans="1:10" x14ac:dyDescent="0.25">
      <c r="A613" s="362">
        <v>15</v>
      </c>
      <c r="B613" s="364">
        <v>44001</v>
      </c>
      <c r="C613" s="362" t="s">
        <v>3435</v>
      </c>
      <c r="D613" s="560"/>
      <c r="E613" s="560"/>
      <c r="F613" s="560">
        <v>17683400</v>
      </c>
      <c r="G613" s="560">
        <f t="shared" si="13"/>
        <v>-17683400</v>
      </c>
      <c r="H613" s="560"/>
      <c r="I613" s="560"/>
      <c r="J613" s="560">
        <f t="shared" si="14"/>
        <v>0</v>
      </c>
    </row>
    <row r="614" spans="1:10" x14ac:dyDescent="0.25">
      <c r="A614" s="530"/>
      <c r="B614" s="589"/>
      <c r="C614" s="530"/>
      <c r="D614" s="562"/>
      <c r="E614" s="562"/>
      <c r="F614" s="562"/>
      <c r="G614" s="560">
        <f t="shared" si="13"/>
        <v>0</v>
      </c>
      <c r="H614" s="562"/>
      <c r="I614" s="562"/>
      <c r="J614" s="562"/>
    </row>
    <row r="615" spans="1:10" x14ac:dyDescent="0.25">
      <c r="A615" s="362">
        <v>1</v>
      </c>
      <c r="B615" s="364">
        <v>44002</v>
      </c>
      <c r="C615" s="362" t="s">
        <v>80</v>
      </c>
      <c r="D615" s="560">
        <v>205613519</v>
      </c>
      <c r="E615" s="560">
        <v>6253253</v>
      </c>
      <c r="F615" s="560">
        <v>211866800</v>
      </c>
      <c r="G615" s="560">
        <f t="shared" si="13"/>
        <v>-28</v>
      </c>
      <c r="H615" s="560">
        <v>4613499</v>
      </c>
      <c r="I615" s="560"/>
      <c r="J615" s="560"/>
    </row>
    <row r="616" spans="1:10" x14ac:dyDescent="0.25">
      <c r="A616" s="362">
        <v>2</v>
      </c>
      <c r="B616" s="364">
        <v>44002</v>
      </c>
      <c r="C616" s="362" t="s">
        <v>83</v>
      </c>
      <c r="D616" s="560">
        <v>199115255</v>
      </c>
      <c r="E616" s="560">
        <v>49007179</v>
      </c>
      <c r="F616" s="560">
        <v>248122500</v>
      </c>
      <c r="G616" s="560">
        <f t="shared" si="13"/>
        <v>-66</v>
      </c>
      <c r="H616" s="560">
        <v>712365</v>
      </c>
      <c r="I616" s="560"/>
      <c r="J616" s="560"/>
    </row>
    <row r="617" spans="1:10" x14ac:dyDescent="0.25">
      <c r="A617" s="362">
        <v>3</v>
      </c>
      <c r="B617" s="364">
        <v>44002</v>
      </c>
      <c r="C617" s="362" t="s">
        <v>88</v>
      </c>
      <c r="D617" s="560">
        <v>153588908</v>
      </c>
      <c r="E617" s="560">
        <v>61530639</v>
      </c>
      <c r="F617" s="560">
        <v>215119600</v>
      </c>
      <c r="G617" s="560">
        <f t="shared" si="13"/>
        <v>-53</v>
      </c>
      <c r="H617" s="560">
        <v>8247727</v>
      </c>
      <c r="I617" s="560"/>
      <c r="J617" s="560"/>
    </row>
    <row r="618" spans="1:10" x14ac:dyDescent="0.25">
      <c r="A618" s="362">
        <v>4</v>
      </c>
      <c r="B618" s="364">
        <v>44002</v>
      </c>
      <c r="C618" s="362" t="s">
        <v>146</v>
      </c>
      <c r="D618" s="560">
        <v>69414108</v>
      </c>
      <c r="E618" s="560">
        <v>46052167</v>
      </c>
      <c r="F618" s="560">
        <v>115466400</v>
      </c>
      <c r="G618" s="560">
        <f t="shared" si="13"/>
        <v>-125</v>
      </c>
      <c r="H618" s="560">
        <v>569051</v>
      </c>
      <c r="I618" s="560"/>
      <c r="J618" s="560"/>
    </row>
    <row r="619" spans="1:10" x14ac:dyDescent="0.25">
      <c r="A619" s="362">
        <v>5</v>
      </c>
      <c r="B619" s="364">
        <v>44002</v>
      </c>
      <c r="C619" s="362" t="s">
        <v>86</v>
      </c>
      <c r="D619" s="560">
        <v>48862857</v>
      </c>
      <c r="E619" s="560">
        <v>47839944</v>
      </c>
      <c r="F619" s="560">
        <v>96702800</v>
      </c>
      <c r="G619" s="560">
        <f t="shared" si="13"/>
        <v>1</v>
      </c>
      <c r="H619" s="560">
        <v>1702380</v>
      </c>
      <c r="I619" s="560"/>
      <c r="J619" s="560"/>
    </row>
    <row r="620" spans="1:10" x14ac:dyDescent="0.25">
      <c r="A620" s="362">
        <v>6</v>
      </c>
      <c r="B620" s="364">
        <v>44002</v>
      </c>
      <c r="C620" s="362" t="s">
        <v>89</v>
      </c>
      <c r="D620" s="560">
        <v>130308860</v>
      </c>
      <c r="E620" s="560">
        <v>4663540</v>
      </c>
      <c r="F620" s="560">
        <v>134972400</v>
      </c>
      <c r="G620" s="560">
        <f t="shared" si="13"/>
        <v>0</v>
      </c>
      <c r="H620" s="560">
        <v>6717200</v>
      </c>
      <c r="I620" s="560"/>
      <c r="J620" s="560"/>
    </row>
    <row r="621" spans="1:10" x14ac:dyDescent="0.25">
      <c r="A621" s="362">
        <v>7</v>
      </c>
      <c r="B621" s="364">
        <v>44002</v>
      </c>
      <c r="C621" s="362" t="s">
        <v>4751</v>
      </c>
      <c r="D621" s="560">
        <v>288480909</v>
      </c>
      <c r="E621" s="560">
        <v>11072591</v>
      </c>
      <c r="F621" s="560">
        <v>299553500</v>
      </c>
      <c r="G621" s="560">
        <f t="shared" si="13"/>
        <v>0</v>
      </c>
      <c r="H621" s="560">
        <v>10659838</v>
      </c>
      <c r="I621" s="560"/>
      <c r="J621" s="560"/>
    </row>
    <row r="622" spans="1:10" x14ac:dyDescent="0.25">
      <c r="A622" s="362">
        <v>8</v>
      </c>
      <c r="B622" s="364">
        <v>44002</v>
      </c>
      <c r="C622" s="362" t="s">
        <v>84</v>
      </c>
      <c r="D622" s="560">
        <v>249806052</v>
      </c>
      <c r="E622" s="560">
        <v>14816052</v>
      </c>
      <c r="F622" s="560">
        <v>264622100</v>
      </c>
      <c r="G622" s="560">
        <f t="shared" si="13"/>
        <v>4</v>
      </c>
      <c r="H622" s="560">
        <v>4369675</v>
      </c>
      <c r="I622" s="560"/>
      <c r="J622" s="560"/>
    </row>
    <row r="623" spans="1:10" x14ac:dyDescent="0.25">
      <c r="A623" s="362">
        <v>9</v>
      </c>
      <c r="B623" s="364">
        <v>44002</v>
      </c>
      <c r="C623" s="362" t="s">
        <v>85</v>
      </c>
      <c r="D623" s="560">
        <v>23746518</v>
      </c>
      <c r="E623" s="560">
        <v>1546782</v>
      </c>
      <c r="F623" s="560">
        <v>25293300</v>
      </c>
      <c r="G623" s="560">
        <f t="shared" si="13"/>
        <v>0</v>
      </c>
      <c r="H623" s="560">
        <v>2485768</v>
      </c>
      <c r="I623" s="560"/>
      <c r="J623" s="560"/>
    </row>
    <row r="624" spans="1:10" x14ac:dyDescent="0.25">
      <c r="A624" s="362">
        <v>10</v>
      </c>
      <c r="B624" s="364">
        <v>44002</v>
      </c>
      <c r="C624" s="362" t="s">
        <v>81</v>
      </c>
      <c r="D624" s="560">
        <v>106336206</v>
      </c>
      <c r="E624" s="560">
        <v>16165377</v>
      </c>
      <c r="F624" s="560">
        <v>121701400</v>
      </c>
      <c r="G624" s="560">
        <f t="shared" si="13"/>
        <v>800183</v>
      </c>
      <c r="H624" s="560">
        <v>4545933</v>
      </c>
      <c r="I624" s="560"/>
      <c r="J624" s="560"/>
    </row>
    <row r="625" spans="1:10" x14ac:dyDescent="0.25">
      <c r="A625" s="362">
        <v>11</v>
      </c>
      <c r="B625" s="364">
        <v>44002</v>
      </c>
      <c r="C625" s="362" t="s">
        <v>79</v>
      </c>
      <c r="D625" s="560">
        <v>44271586</v>
      </c>
      <c r="E625" s="560">
        <v>3440470</v>
      </c>
      <c r="F625" s="560">
        <v>47712100</v>
      </c>
      <c r="G625" s="560">
        <f t="shared" si="13"/>
        <v>-44</v>
      </c>
      <c r="H625" s="560">
        <v>3706514</v>
      </c>
      <c r="I625" s="560"/>
      <c r="J625" s="560"/>
    </row>
    <row r="626" spans="1:10" x14ac:dyDescent="0.25">
      <c r="A626" s="362">
        <v>12</v>
      </c>
      <c r="B626" s="364">
        <v>44002</v>
      </c>
      <c r="C626" s="362" t="s">
        <v>82</v>
      </c>
      <c r="D626" s="560">
        <v>19978896</v>
      </c>
      <c r="E626" s="560">
        <v>2131800</v>
      </c>
      <c r="F626" s="560">
        <v>22110700</v>
      </c>
      <c r="G626" s="560">
        <f t="shared" si="13"/>
        <v>-4</v>
      </c>
      <c r="H626" s="560">
        <v>5085466</v>
      </c>
      <c r="I626" s="560"/>
      <c r="J626" s="560"/>
    </row>
    <row r="627" spans="1:10" x14ac:dyDescent="0.25">
      <c r="A627" s="362">
        <v>13</v>
      </c>
      <c r="B627" s="364">
        <v>44002</v>
      </c>
      <c r="C627" s="362" t="s">
        <v>78</v>
      </c>
      <c r="D627" s="560">
        <v>87648429</v>
      </c>
      <c r="E627" s="560">
        <v>1355771</v>
      </c>
      <c r="F627" s="560">
        <v>89004200</v>
      </c>
      <c r="G627" s="560">
        <f t="shared" si="13"/>
        <v>0</v>
      </c>
      <c r="H627" s="560">
        <v>9851280</v>
      </c>
      <c r="I627" s="560"/>
      <c r="J627" s="560"/>
    </row>
    <row r="628" spans="1:10" x14ac:dyDescent="0.25">
      <c r="A628" s="362">
        <v>14</v>
      </c>
      <c r="B628" s="364">
        <v>44002</v>
      </c>
      <c r="C628" s="362" t="s">
        <v>166</v>
      </c>
      <c r="D628" s="560"/>
      <c r="E628" s="560"/>
      <c r="F628" s="560"/>
      <c r="G628" s="560">
        <f t="shared" si="13"/>
        <v>0</v>
      </c>
      <c r="H628" s="560"/>
      <c r="I628" s="560"/>
      <c r="J628" s="560"/>
    </row>
    <row r="629" spans="1:10" x14ac:dyDescent="0.25">
      <c r="A629" s="362">
        <v>15</v>
      </c>
      <c r="B629" s="364">
        <v>44002</v>
      </c>
      <c r="C629" s="362" t="s">
        <v>3435</v>
      </c>
      <c r="D629" s="560"/>
      <c r="E629" s="560"/>
      <c r="F629" s="560"/>
      <c r="G629" s="560">
        <f t="shared" si="13"/>
        <v>0</v>
      </c>
      <c r="H629" s="560"/>
      <c r="I629" s="560"/>
      <c r="J629" s="560"/>
    </row>
    <row r="630" spans="1:10" x14ac:dyDescent="0.25">
      <c r="A630" s="530"/>
      <c r="B630" s="589"/>
      <c r="C630" s="530"/>
      <c r="D630" s="562"/>
      <c r="E630" s="562"/>
      <c r="F630" s="562"/>
      <c r="G630" s="562">
        <f t="shared" si="13"/>
        <v>0</v>
      </c>
      <c r="H630" s="562"/>
      <c r="I630" s="562"/>
      <c r="J630" s="562"/>
    </row>
    <row r="631" spans="1:10" x14ac:dyDescent="0.25">
      <c r="A631" s="362">
        <v>1</v>
      </c>
      <c r="B631" s="364">
        <v>44004</v>
      </c>
      <c r="C631" s="362" t="s">
        <v>80</v>
      </c>
      <c r="D631" s="560">
        <v>193372823</v>
      </c>
      <c r="E631" s="560">
        <v>1753020</v>
      </c>
      <c r="F631" s="560">
        <v>195128900</v>
      </c>
      <c r="G631" s="560">
        <f t="shared" si="13"/>
        <v>-3057</v>
      </c>
      <c r="H631" s="560">
        <v>38000000</v>
      </c>
      <c r="I631" s="560"/>
      <c r="J631" s="560"/>
    </row>
    <row r="632" spans="1:10" x14ac:dyDescent="0.25">
      <c r="A632" s="362">
        <v>2</v>
      </c>
      <c r="B632" s="364">
        <v>44004</v>
      </c>
      <c r="C632" s="362" t="s">
        <v>83</v>
      </c>
      <c r="D632" s="560">
        <v>295544374</v>
      </c>
      <c r="E632" s="560">
        <v>199736870</v>
      </c>
      <c r="F632" s="560">
        <v>495281300</v>
      </c>
      <c r="G632" s="560">
        <f t="shared" si="13"/>
        <v>-56</v>
      </c>
      <c r="H632" s="560">
        <v>9129441</v>
      </c>
      <c r="I632" s="560"/>
      <c r="J632" s="560"/>
    </row>
    <row r="633" spans="1:10" x14ac:dyDescent="0.25">
      <c r="A633" s="362">
        <v>3</v>
      </c>
      <c r="B633" s="364">
        <v>44004</v>
      </c>
      <c r="C633" s="362" t="s">
        <v>88</v>
      </c>
      <c r="D633" s="560">
        <v>168160649</v>
      </c>
      <c r="E633" s="560">
        <v>42075496</v>
      </c>
      <c r="F633" s="560">
        <v>210236200</v>
      </c>
      <c r="G633" s="560">
        <f t="shared" si="13"/>
        <v>-55</v>
      </c>
      <c r="H633" s="560">
        <v>8247727</v>
      </c>
      <c r="I633" s="560"/>
      <c r="J633" s="560"/>
    </row>
    <row r="634" spans="1:10" x14ac:dyDescent="0.25">
      <c r="A634" s="362">
        <v>4</v>
      </c>
      <c r="B634" s="364">
        <v>44004</v>
      </c>
      <c r="C634" s="362" t="s">
        <v>146</v>
      </c>
      <c r="D634" s="560">
        <v>95598934</v>
      </c>
      <c r="E634" s="560">
        <v>118203826</v>
      </c>
      <c r="F634" s="560">
        <v>213802900</v>
      </c>
      <c r="G634" s="560">
        <f t="shared" si="13"/>
        <v>-140</v>
      </c>
      <c r="H634" s="560">
        <v>18969036</v>
      </c>
      <c r="I634" s="560"/>
      <c r="J634" s="560"/>
    </row>
    <row r="635" spans="1:10" x14ac:dyDescent="0.25">
      <c r="A635" s="362">
        <v>5</v>
      </c>
      <c r="B635" s="364">
        <v>44004</v>
      </c>
      <c r="C635" s="362" t="s">
        <v>86</v>
      </c>
      <c r="D635" s="560">
        <v>41438026</v>
      </c>
      <c r="E635" s="560">
        <v>10406041</v>
      </c>
      <c r="F635" s="560">
        <v>51844000</v>
      </c>
      <c r="G635" s="560">
        <f t="shared" si="13"/>
        <v>67</v>
      </c>
      <c r="H635" s="560">
        <v>7946325</v>
      </c>
      <c r="I635" s="560"/>
      <c r="J635" s="560"/>
    </row>
    <row r="636" spans="1:10" x14ac:dyDescent="0.25">
      <c r="A636" s="362">
        <v>6</v>
      </c>
      <c r="B636" s="364">
        <v>44004</v>
      </c>
      <c r="C636" s="362" t="s">
        <v>89</v>
      </c>
      <c r="D636" s="560">
        <v>162398394</v>
      </c>
      <c r="E636" s="560">
        <v>3373006</v>
      </c>
      <c r="F636" s="560">
        <v>165771400</v>
      </c>
      <c r="G636" s="560">
        <f t="shared" si="13"/>
        <v>0</v>
      </c>
      <c r="H636" s="560">
        <v>3867984</v>
      </c>
      <c r="I636" s="560"/>
      <c r="J636" s="560"/>
    </row>
    <row r="637" spans="1:10" x14ac:dyDescent="0.25">
      <c r="A637" s="362">
        <v>7</v>
      </c>
      <c r="B637" s="364">
        <v>44004</v>
      </c>
      <c r="C637" s="362" t="s">
        <v>4751</v>
      </c>
      <c r="D637" s="560">
        <v>220963039</v>
      </c>
      <c r="E637" s="560">
        <v>11400961</v>
      </c>
      <c r="F637" s="560">
        <v>232364000</v>
      </c>
      <c r="G637" s="560">
        <f t="shared" si="13"/>
        <v>0</v>
      </c>
      <c r="H637" s="560">
        <v>10479656</v>
      </c>
      <c r="I637" s="560"/>
      <c r="J637" s="560"/>
    </row>
    <row r="638" spans="1:10" x14ac:dyDescent="0.25">
      <c r="A638" s="362">
        <v>8</v>
      </c>
      <c r="B638" s="364">
        <v>44004</v>
      </c>
      <c r="C638" s="362" t="s">
        <v>84</v>
      </c>
      <c r="D638" s="560">
        <v>234814645</v>
      </c>
      <c r="E638" s="560">
        <v>39675891</v>
      </c>
      <c r="F638" s="560">
        <v>274490600</v>
      </c>
      <c r="G638" s="560">
        <f t="shared" si="13"/>
        <v>-64</v>
      </c>
      <c r="H638" s="560">
        <v>4369675</v>
      </c>
      <c r="I638" s="560"/>
      <c r="J638" s="560"/>
    </row>
    <row r="639" spans="1:10" x14ac:dyDescent="0.25">
      <c r="A639" s="362">
        <v>9</v>
      </c>
      <c r="B639" s="364">
        <v>44004</v>
      </c>
      <c r="C639" s="362" t="s">
        <v>85</v>
      </c>
      <c r="D639" s="560">
        <v>62393411</v>
      </c>
      <c r="E639" s="560">
        <v>5280089</v>
      </c>
      <c r="F639" s="560">
        <v>67673500</v>
      </c>
      <c r="G639" s="560">
        <f t="shared" si="13"/>
        <v>0</v>
      </c>
      <c r="H639" s="560">
        <v>2485768</v>
      </c>
      <c r="I639" s="560"/>
      <c r="J639" s="560"/>
    </row>
    <row r="640" spans="1:10" x14ac:dyDescent="0.25">
      <c r="A640" s="362">
        <v>10</v>
      </c>
      <c r="B640" s="364">
        <v>44004</v>
      </c>
      <c r="C640" s="362" t="s">
        <v>81</v>
      </c>
      <c r="D640" s="560">
        <v>74149576</v>
      </c>
      <c r="E640" s="560">
        <v>14688650</v>
      </c>
      <c r="F640" s="560">
        <v>88838300</v>
      </c>
      <c r="G640" s="560">
        <f t="shared" si="13"/>
        <v>-74</v>
      </c>
      <c r="H640" s="560">
        <v>2532633</v>
      </c>
      <c r="I640" s="560"/>
      <c r="J640" s="560"/>
    </row>
    <row r="641" spans="1:10" x14ac:dyDescent="0.25">
      <c r="A641" s="362">
        <v>11</v>
      </c>
      <c r="B641" s="364">
        <v>44004</v>
      </c>
      <c r="C641" s="362" t="s">
        <v>79</v>
      </c>
      <c r="D641" s="560">
        <v>113373546</v>
      </c>
      <c r="E641" s="560">
        <v>4860973</v>
      </c>
      <c r="F641" s="560">
        <v>118234600</v>
      </c>
      <c r="G641" s="560">
        <f t="shared" si="13"/>
        <v>-81</v>
      </c>
      <c r="H641" s="560">
        <v>3273014</v>
      </c>
      <c r="I641" s="560"/>
      <c r="J641" s="560"/>
    </row>
    <row r="642" spans="1:10" x14ac:dyDescent="0.25">
      <c r="A642" s="362">
        <v>12</v>
      </c>
      <c r="B642" s="364">
        <v>44004</v>
      </c>
      <c r="C642" s="362" t="s">
        <v>82</v>
      </c>
      <c r="D642" s="560">
        <v>50222549</v>
      </c>
      <c r="E642" s="560">
        <v>4473476</v>
      </c>
      <c r="F642" s="560">
        <v>54696100</v>
      </c>
      <c r="G642" s="560">
        <f t="shared" si="13"/>
        <v>-75</v>
      </c>
      <c r="H642" s="560">
        <v>10182366</v>
      </c>
      <c r="I642" s="560"/>
      <c r="J642" s="560"/>
    </row>
    <row r="643" spans="1:10" x14ac:dyDescent="0.25">
      <c r="A643" s="362">
        <v>13</v>
      </c>
      <c r="B643" s="364">
        <v>44004</v>
      </c>
      <c r="C643" s="362" t="s">
        <v>78</v>
      </c>
      <c r="D643" s="560">
        <v>94761307</v>
      </c>
      <c r="E643" s="560">
        <v>14534393</v>
      </c>
      <c r="F643" s="560">
        <v>109295700</v>
      </c>
      <c r="G643" s="560">
        <f t="shared" si="13"/>
        <v>0</v>
      </c>
      <c r="H643" s="560">
        <v>8934267</v>
      </c>
      <c r="I643" s="560"/>
      <c r="J643" s="560"/>
    </row>
    <row r="644" spans="1:10" x14ac:dyDescent="0.25">
      <c r="A644" s="362">
        <v>14</v>
      </c>
      <c r="B644" s="364">
        <v>44004</v>
      </c>
      <c r="C644" s="362" t="s">
        <v>166</v>
      </c>
      <c r="D644" s="560">
        <v>62807989</v>
      </c>
      <c r="E644" s="560"/>
      <c r="F644" s="560">
        <v>62808000</v>
      </c>
      <c r="G644" s="560">
        <f t="shared" si="13"/>
        <v>-11</v>
      </c>
      <c r="H644" s="560"/>
      <c r="I644" s="560"/>
      <c r="J644" s="560"/>
    </row>
    <row r="645" spans="1:10" x14ac:dyDescent="0.25">
      <c r="A645" s="362">
        <v>15</v>
      </c>
      <c r="B645" s="364">
        <v>44004</v>
      </c>
      <c r="C645" s="362" t="s">
        <v>3435</v>
      </c>
      <c r="D645" s="560"/>
      <c r="E645" s="560"/>
      <c r="F645" s="560">
        <v>42384700</v>
      </c>
      <c r="G645" s="560">
        <f t="shared" si="13"/>
        <v>-42384700</v>
      </c>
      <c r="H645" s="560"/>
      <c r="I645" s="560"/>
      <c r="J645" s="560"/>
    </row>
    <row r="646" spans="1:10" x14ac:dyDescent="0.25">
      <c r="A646" s="530"/>
      <c r="B646" s="589"/>
      <c r="C646" s="530"/>
      <c r="D646" s="562"/>
      <c r="E646" s="562"/>
      <c r="F646" s="562"/>
      <c r="G646" s="562">
        <f t="shared" si="13"/>
        <v>0</v>
      </c>
      <c r="H646" s="562"/>
      <c r="I646" s="562"/>
      <c r="J646" s="562"/>
    </row>
    <row r="647" spans="1:10" x14ac:dyDescent="0.25">
      <c r="A647" s="362">
        <v>1</v>
      </c>
      <c r="B647" s="364">
        <v>44005</v>
      </c>
      <c r="C647" s="362" t="s">
        <v>80</v>
      </c>
      <c r="D647" s="560">
        <v>254124788</v>
      </c>
      <c r="E647" s="560">
        <v>14806039</v>
      </c>
      <c r="F647" s="560">
        <v>268931300</v>
      </c>
      <c r="G647" s="560">
        <f t="shared" ref="G647:G710" si="15">D647+E647-F647</f>
        <v>-473</v>
      </c>
      <c r="H647" s="560">
        <v>32788432</v>
      </c>
      <c r="I647" s="560"/>
      <c r="J647" s="560"/>
    </row>
    <row r="648" spans="1:10" x14ac:dyDescent="0.25">
      <c r="A648" s="362">
        <v>2</v>
      </c>
      <c r="B648" s="364">
        <v>44005</v>
      </c>
      <c r="C648" s="362" t="s">
        <v>83</v>
      </c>
      <c r="D648" s="560">
        <v>154998470</v>
      </c>
      <c r="E648" s="560">
        <v>22438736</v>
      </c>
      <c r="F648" s="560">
        <v>177437200</v>
      </c>
      <c r="G648" s="560">
        <f t="shared" si="15"/>
        <v>6</v>
      </c>
      <c r="H648" s="560">
        <v>7475691</v>
      </c>
      <c r="I648" s="560"/>
      <c r="J648" s="560"/>
    </row>
    <row r="649" spans="1:10" x14ac:dyDescent="0.25">
      <c r="A649" s="362">
        <v>3</v>
      </c>
      <c r="B649" s="364">
        <v>44005</v>
      </c>
      <c r="C649" s="362" t="s">
        <v>88</v>
      </c>
      <c r="D649" s="560">
        <v>210031466</v>
      </c>
      <c r="E649" s="560">
        <v>45263384</v>
      </c>
      <c r="F649" s="560">
        <v>255294900</v>
      </c>
      <c r="G649" s="560">
        <f t="shared" si="15"/>
        <v>-50</v>
      </c>
      <c r="H649" s="560">
        <v>16000601</v>
      </c>
      <c r="I649" s="560"/>
      <c r="J649" s="560"/>
    </row>
    <row r="650" spans="1:10" x14ac:dyDescent="0.25">
      <c r="A650" s="362">
        <v>4</v>
      </c>
      <c r="B650" s="364">
        <v>44005</v>
      </c>
      <c r="C650" s="362" t="s">
        <v>146</v>
      </c>
      <c r="D650" s="560">
        <v>137824332</v>
      </c>
      <c r="E650" s="560">
        <v>25909456</v>
      </c>
      <c r="F650" s="560">
        <v>163735000</v>
      </c>
      <c r="G650" s="560">
        <f t="shared" si="15"/>
        <v>-1212</v>
      </c>
      <c r="H650" s="560">
        <v>18375736</v>
      </c>
      <c r="I650" s="560"/>
      <c r="J650" s="560"/>
    </row>
    <row r="651" spans="1:10" x14ac:dyDescent="0.25">
      <c r="A651" s="362">
        <v>5</v>
      </c>
      <c r="B651" s="364">
        <v>44005</v>
      </c>
      <c r="C651" s="362" t="s">
        <v>86</v>
      </c>
      <c r="D651" s="560">
        <v>38314360</v>
      </c>
      <c r="E651" s="560">
        <v>144099547</v>
      </c>
      <c r="F651" s="560">
        <v>182413600</v>
      </c>
      <c r="G651" s="560">
        <f t="shared" si="15"/>
        <v>307</v>
      </c>
      <c r="H651" s="560">
        <v>7289208</v>
      </c>
      <c r="I651" s="560"/>
      <c r="J651" s="560"/>
    </row>
    <row r="652" spans="1:10" x14ac:dyDescent="0.25">
      <c r="A652" s="362">
        <v>6</v>
      </c>
      <c r="B652" s="364">
        <v>44005</v>
      </c>
      <c r="C652" s="362" t="s">
        <v>89</v>
      </c>
      <c r="D652" s="560">
        <v>141633175</v>
      </c>
      <c r="E652" s="560">
        <v>4167725</v>
      </c>
      <c r="F652" s="560">
        <v>145800900</v>
      </c>
      <c r="G652" s="560">
        <f t="shared" si="15"/>
        <v>0</v>
      </c>
      <c r="H652" s="560">
        <v>15489783</v>
      </c>
      <c r="I652" s="560"/>
      <c r="J652" s="560"/>
    </row>
    <row r="653" spans="1:10" x14ac:dyDescent="0.25">
      <c r="A653" s="362">
        <v>7</v>
      </c>
      <c r="B653" s="364">
        <v>44005</v>
      </c>
      <c r="C653" s="362" t="s">
        <v>4751</v>
      </c>
      <c r="D653" s="560">
        <v>209822947</v>
      </c>
      <c r="E653" s="560">
        <v>8760053</v>
      </c>
      <c r="F653" s="560">
        <v>218583000</v>
      </c>
      <c r="G653" s="560">
        <f t="shared" si="15"/>
        <v>0</v>
      </c>
      <c r="H653" s="560">
        <v>28201858</v>
      </c>
      <c r="I653" s="560"/>
      <c r="J653" s="560"/>
    </row>
    <row r="654" spans="1:10" x14ac:dyDescent="0.25">
      <c r="A654" s="362">
        <v>8</v>
      </c>
      <c r="B654" s="364">
        <v>44005</v>
      </c>
      <c r="C654" s="362" t="s">
        <v>84</v>
      </c>
      <c r="D654" s="560">
        <v>168517173</v>
      </c>
      <c r="E654" s="560">
        <v>15288847</v>
      </c>
      <c r="F654" s="560">
        <v>183806100</v>
      </c>
      <c r="G654" s="560">
        <f t="shared" si="15"/>
        <v>-80</v>
      </c>
      <c r="H654" s="560">
        <v>25195276</v>
      </c>
      <c r="I654" s="560"/>
      <c r="J654" s="560"/>
    </row>
    <row r="655" spans="1:10" x14ac:dyDescent="0.25">
      <c r="A655" s="362">
        <v>9</v>
      </c>
      <c r="B655" s="364">
        <v>44005</v>
      </c>
      <c r="C655" s="362" t="s">
        <v>85</v>
      </c>
      <c r="D655" s="560">
        <v>27387862</v>
      </c>
      <c r="E655" s="560">
        <v>6022738</v>
      </c>
      <c r="F655" s="560">
        <v>33410600</v>
      </c>
      <c r="G655" s="560">
        <f t="shared" si="15"/>
        <v>0</v>
      </c>
      <c r="H655" s="560">
        <v>2485768</v>
      </c>
      <c r="I655" s="560"/>
      <c r="J655" s="560"/>
    </row>
    <row r="656" spans="1:10" x14ac:dyDescent="0.25">
      <c r="A656" s="362">
        <v>10</v>
      </c>
      <c r="B656" s="364">
        <v>44005</v>
      </c>
      <c r="C656" s="362" t="s">
        <v>81</v>
      </c>
      <c r="D656" s="560">
        <v>89800020</v>
      </c>
      <c r="E656" s="560">
        <v>18001853</v>
      </c>
      <c r="F656" s="560">
        <v>107801900</v>
      </c>
      <c r="G656" s="560">
        <f t="shared" si="15"/>
        <v>-27</v>
      </c>
      <c r="H656" s="560"/>
      <c r="I656" s="560"/>
      <c r="J656" s="560"/>
    </row>
    <row r="657" spans="1:10" x14ac:dyDescent="0.25">
      <c r="A657" s="362">
        <v>11</v>
      </c>
      <c r="B657" s="364">
        <v>44005</v>
      </c>
      <c r="C657" s="362" t="s">
        <v>79</v>
      </c>
      <c r="D657" s="560">
        <v>46092366</v>
      </c>
      <c r="E657" s="560">
        <v>375000</v>
      </c>
      <c r="F657" s="560">
        <v>46467400</v>
      </c>
      <c r="G657" s="560">
        <f t="shared" si="15"/>
        <v>-34</v>
      </c>
      <c r="H657" s="560">
        <v>5262764</v>
      </c>
      <c r="I657" s="560"/>
      <c r="J657" s="560"/>
    </row>
    <row r="658" spans="1:10" x14ac:dyDescent="0.25">
      <c r="A658" s="362">
        <v>12</v>
      </c>
      <c r="B658" s="364">
        <v>44005</v>
      </c>
      <c r="C658" s="362" t="s">
        <v>82</v>
      </c>
      <c r="D658" s="560">
        <v>49125525</v>
      </c>
      <c r="E658" s="560">
        <v>4605233</v>
      </c>
      <c r="F658" s="560">
        <v>53730800</v>
      </c>
      <c r="G658" s="560">
        <f t="shared" si="15"/>
        <v>-42</v>
      </c>
      <c r="H658" s="560">
        <v>10028266</v>
      </c>
      <c r="I658" s="560"/>
      <c r="J658" s="560"/>
    </row>
    <row r="659" spans="1:10" x14ac:dyDescent="0.25">
      <c r="A659" s="362">
        <v>13</v>
      </c>
      <c r="B659" s="364">
        <v>44005</v>
      </c>
      <c r="C659" s="362" t="s">
        <v>78</v>
      </c>
      <c r="D659" s="560">
        <v>98043058</v>
      </c>
      <c r="E659" s="560">
        <v>5787342</v>
      </c>
      <c r="F659" s="560">
        <v>103830400</v>
      </c>
      <c r="G659" s="560">
        <f t="shared" si="15"/>
        <v>0</v>
      </c>
      <c r="H659" s="560">
        <v>15698463</v>
      </c>
      <c r="I659" s="560"/>
      <c r="J659" s="560"/>
    </row>
    <row r="660" spans="1:10" x14ac:dyDescent="0.25">
      <c r="A660" s="362">
        <v>14</v>
      </c>
      <c r="B660" s="364">
        <v>44005</v>
      </c>
      <c r="C660" s="362" t="s">
        <v>166</v>
      </c>
      <c r="D660" s="560">
        <v>98776841</v>
      </c>
      <c r="E660" s="560"/>
      <c r="F660" s="560">
        <v>98776800</v>
      </c>
      <c r="G660" s="560">
        <f t="shared" si="15"/>
        <v>41</v>
      </c>
      <c r="H660" s="560"/>
      <c r="I660" s="560"/>
      <c r="J660" s="560"/>
    </row>
    <row r="661" spans="1:10" x14ac:dyDescent="0.25">
      <c r="A661" s="362">
        <v>15</v>
      </c>
      <c r="B661" s="364">
        <v>44005</v>
      </c>
      <c r="C661" s="362" t="s">
        <v>3435</v>
      </c>
      <c r="D661" s="560"/>
      <c r="E661" s="560"/>
      <c r="F661" s="560">
        <v>42379100</v>
      </c>
      <c r="G661" s="560">
        <f t="shared" si="15"/>
        <v>-42379100</v>
      </c>
      <c r="H661" s="560"/>
      <c r="I661" s="560"/>
      <c r="J661" s="560"/>
    </row>
    <row r="662" spans="1:10" x14ac:dyDescent="0.25">
      <c r="A662" s="530"/>
      <c r="B662" s="589"/>
      <c r="C662" s="530"/>
      <c r="D662" s="562"/>
      <c r="E662" s="562"/>
      <c r="F662" s="562"/>
      <c r="G662" s="562">
        <f t="shared" si="15"/>
        <v>0</v>
      </c>
      <c r="H662" s="562"/>
      <c r="I662" s="562"/>
      <c r="J662" s="562"/>
    </row>
    <row r="663" spans="1:10" x14ac:dyDescent="0.25">
      <c r="A663" s="362">
        <v>1</v>
      </c>
      <c r="B663" s="364">
        <v>44006</v>
      </c>
      <c r="C663" s="362" t="s">
        <v>80</v>
      </c>
      <c r="D663" s="560">
        <v>237557495</v>
      </c>
      <c r="E663" s="560">
        <v>4717108</v>
      </c>
      <c r="F663" s="560">
        <v>242274800</v>
      </c>
      <c r="G663" s="560">
        <f t="shared" si="15"/>
        <v>-197</v>
      </c>
      <c r="H663" s="560">
        <v>32788435</v>
      </c>
      <c r="I663" s="560"/>
      <c r="J663" s="560"/>
    </row>
    <row r="664" spans="1:10" x14ac:dyDescent="0.25">
      <c r="A664" s="362">
        <v>2</v>
      </c>
      <c r="B664" s="364">
        <v>44006</v>
      </c>
      <c r="C664" s="362" t="s">
        <v>83</v>
      </c>
      <c r="D664" s="560">
        <v>244725036</v>
      </c>
      <c r="E664" s="560">
        <v>84741406</v>
      </c>
      <c r="F664" s="560">
        <v>329466500</v>
      </c>
      <c r="G664" s="560">
        <f t="shared" si="15"/>
        <v>-58</v>
      </c>
      <c r="H664" s="560">
        <v>7041991</v>
      </c>
      <c r="I664" s="560"/>
      <c r="J664" s="560"/>
    </row>
    <row r="665" spans="1:10" x14ac:dyDescent="0.25">
      <c r="A665" s="362">
        <v>3</v>
      </c>
      <c r="B665" s="364">
        <v>44006</v>
      </c>
      <c r="C665" s="362" t="s">
        <v>88</v>
      </c>
      <c r="D665" s="560">
        <v>148032874</v>
      </c>
      <c r="E665" s="560">
        <v>6039939</v>
      </c>
      <c r="F665" s="560">
        <v>154073900</v>
      </c>
      <c r="G665" s="560">
        <f t="shared" si="15"/>
        <v>-1087</v>
      </c>
      <c r="H665" s="560">
        <v>12131102</v>
      </c>
      <c r="I665" s="560"/>
      <c r="J665" s="560"/>
    </row>
    <row r="666" spans="1:10" x14ac:dyDescent="0.25">
      <c r="A666" s="362">
        <v>4</v>
      </c>
      <c r="B666" s="364">
        <v>44006</v>
      </c>
      <c r="C666" s="362" t="s">
        <v>146</v>
      </c>
      <c r="D666" s="560">
        <v>97527244</v>
      </c>
      <c r="E666" s="560">
        <v>105710548</v>
      </c>
      <c r="F666" s="560">
        <v>203237800</v>
      </c>
      <c r="G666" s="560">
        <f t="shared" si="15"/>
        <v>-8</v>
      </c>
      <c r="H666" s="560">
        <v>18375736</v>
      </c>
      <c r="I666" s="560"/>
      <c r="J666" s="560"/>
    </row>
    <row r="667" spans="1:10" x14ac:dyDescent="0.25">
      <c r="A667" s="362">
        <v>5</v>
      </c>
      <c r="B667" s="364">
        <v>44006</v>
      </c>
      <c r="C667" s="362" t="s">
        <v>86</v>
      </c>
      <c r="D667" s="560">
        <v>85523354</v>
      </c>
      <c r="E667" s="560">
        <v>12520100</v>
      </c>
      <c r="F667" s="560">
        <v>98043500</v>
      </c>
      <c r="G667" s="560">
        <f t="shared" si="15"/>
        <v>-46</v>
      </c>
      <c r="H667" s="560">
        <v>6802071</v>
      </c>
      <c r="I667" s="560"/>
      <c r="J667" s="560"/>
    </row>
    <row r="668" spans="1:10" x14ac:dyDescent="0.25">
      <c r="A668" s="362">
        <v>6</v>
      </c>
      <c r="B668" s="364">
        <v>44006</v>
      </c>
      <c r="C668" s="362" t="s">
        <v>89</v>
      </c>
      <c r="D668" s="560">
        <v>136837626</v>
      </c>
      <c r="E668" s="560">
        <v>3655074</v>
      </c>
      <c r="F668" s="560">
        <v>140492700</v>
      </c>
      <c r="G668" s="560">
        <f t="shared" si="15"/>
        <v>0</v>
      </c>
      <c r="H668" s="560">
        <v>14733252</v>
      </c>
      <c r="I668" s="560"/>
      <c r="J668" s="560"/>
    </row>
    <row r="669" spans="1:10" x14ac:dyDescent="0.25">
      <c r="A669" s="362">
        <v>7</v>
      </c>
      <c r="B669" s="364">
        <v>44006</v>
      </c>
      <c r="C669" s="362" t="s">
        <v>4751</v>
      </c>
      <c r="D669" s="560">
        <v>146107009</v>
      </c>
      <c r="E669" s="560">
        <v>30631391</v>
      </c>
      <c r="F669" s="560">
        <v>176738400</v>
      </c>
      <c r="G669" s="560">
        <f t="shared" si="15"/>
        <v>0</v>
      </c>
      <c r="H669" s="560">
        <v>19845858</v>
      </c>
      <c r="I669" s="560"/>
      <c r="J669" s="560"/>
    </row>
    <row r="670" spans="1:10" x14ac:dyDescent="0.25">
      <c r="A670" s="362">
        <v>8</v>
      </c>
      <c r="B670" s="364">
        <v>44006</v>
      </c>
      <c r="C670" s="362" t="s">
        <v>84</v>
      </c>
      <c r="D670" s="560">
        <v>253832985</v>
      </c>
      <c r="E670" s="560">
        <v>20279923</v>
      </c>
      <c r="F670" s="560">
        <v>274112900</v>
      </c>
      <c r="G670" s="560">
        <f t="shared" si="15"/>
        <v>8</v>
      </c>
      <c r="H670" s="560">
        <v>25195276</v>
      </c>
      <c r="I670" s="560"/>
      <c r="J670" s="560"/>
    </row>
    <row r="671" spans="1:10" x14ac:dyDescent="0.25">
      <c r="A671" s="362">
        <v>9</v>
      </c>
      <c r="B671" s="364">
        <v>44006</v>
      </c>
      <c r="C671" s="362" t="s">
        <v>85</v>
      </c>
      <c r="D671" s="560">
        <v>58781445</v>
      </c>
      <c r="E671" s="560">
        <v>3000755</v>
      </c>
      <c r="F671" s="560">
        <v>61782200</v>
      </c>
      <c r="G671" s="560">
        <f t="shared" si="15"/>
        <v>0</v>
      </c>
      <c r="H671" s="560">
        <v>2485768</v>
      </c>
      <c r="I671" s="560"/>
      <c r="J671" s="560"/>
    </row>
    <row r="672" spans="1:10" x14ac:dyDescent="0.25">
      <c r="A672" s="362">
        <v>10</v>
      </c>
      <c r="B672" s="364">
        <v>44006</v>
      </c>
      <c r="C672" s="362" t="s">
        <v>81</v>
      </c>
      <c r="D672" s="560">
        <v>50008258</v>
      </c>
      <c r="E672" s="560">
        <v>12455802</v>
      </c>
      <c r="F672" s="560">
        <v>62464100</v>
      </c>
      <c r="G672" s="560">
        <f t="shared" si="15"/>
        <v>-40</v>
      </c>
      <c r="H672" s="560">
        <v>16702434</v>
      </c>
      <c r="I672" s="560"/>
      <c r="J672" s="560"/>
    </row>
    <row r="673" spans="1:10" x14ac:dyDescent="0.25">
      <c r="A673" s="362">
        <v>11</v>
      </c>
      <c r="B673" s="364">
        <v>44006</v>
      </c>
      <c r="C673" s="362" t="s">
        <v>79</v>
      </c>
      <c r="D673" s="560">
        <v>97757553</v>
      </c>
      <c r="E673" s="560">
        <v>248600</v>
      </c>
      <c r="F673" s="560">
        <v>98006200</v>
      </c>
      <c r="G673" s="560">
        <f t="shared" si="15"/>
        <v>-47</v>
      </c>
      <c r="H673" s="560">
        <v>5138764</v>
      </c>
      <c r="I673" s="560"/>
      <c r="J673" s="560"/>
    </row>
    <row r="674" spans="1:10" x14ac:dyDescent="0.25">
      <c r="A674" s="362">
        <v>12</v>
      </c>
      <c r="B674" s="364">
        <v>44006</v>
      </c>
      <c r="C674" s="362" t="s">
        <v>82</v>
      </c>
      <c r="D674" s="560">
        <v>121795376</v>
      </c>
      <c r="E674" s="560"/>
      <c r="F674" s="560">
        <v>121795400</v>
      </c>
      <c r="G674" s="560">
        <f t="shared" si="15"/>
        <v>-24</v>
      </c>
      <c r="H674" s="560">
        <v>9379466</v>
      </c>
      <c r="I674" s="560"/>
      <c r="J674" s="560"/>
    </row>
    <row r="675" spans="1:10" x14ac:dyDescent="0.25">
      <c r="A675" s="362">
        <v>13</v>
      </c>
      <c r="B675" s="364">
        <v>44006</v>
      </c>
      <c r="C675" s="362" t="s">
        <v>78</v>
      </c>
      <c r="D675" s="560">
        <v>81794601</v>
      </c>
      <c r="E675" s="560">
        <v>4256099</v>
      </c>
      <c r="F675" s="560">
        <v>86050700</v>
      </c>
      <c r="G675" s="560">
        <f t="shared" si="15"/>
        <v>0</v>
      </c>
      <c r="H675" s="560">
        <v>14829627</v>
      </c>
      <c r="I675" s="560"/>
      <c r="J675" s="560"/>
    </row>
    <row r="676" spans="1:10" x14ac:dyDescent="0.25">
      <c r="A676" s="362">
        <v>14</v>
      </c>
      <c r="B676" s="364">
        <v>44006</v>
      </c>
      <c r="C676" s="362" t="s">
        <v>166</v>
      </c>
      <c r="D676" s="560">
        <v>39906451</v>
      </c>
      <c r="E676" s="560"/>
      <c r="F676" s="560">
        <v>39906500</v>
      </c>
      <c r="G676" s="560">
        <f t="shared" si="15"/>
        <v>-49</v>
      </c>
      <c r="H676" s="560"/>
      <c r="I676" s="560"/>
      <c r="J676" s="560"/>
    </row>
    <row r="677" spans="1:10" x14ac:dyDescent="0.25">
      <c r="A677" s="362">
        <v>15</v>
      </c>
      <c r="B677" s="364">
        <v>44006</v>
      </c>
      <c r="C677" s="362" t="s">
        <v>3435</v>
      </c>
      <c r="D677" s="560"/>
      <c r="E677" s="560"/>
      <c r="F677" s="560">
        <v>193242200</v>
      </c>
      <c r="G677" s="560">
        <f t="shared" si="15"/>
        <v>-193242200</v>
      </c>
      <c r="H677" s="560"/>
      <c r="I677" s="560"/>
      <c r="J677" s="560"/>
    </row>
    <row r="678" spans="1:10" x14ac:dyDescent="0.25">
      <c r="A678" s="530"/>
      <c r="B678" s="589"/>
      <c r="C678" s="530"/>
      <c r="D678" s="562"/>
      <c r="E678" s="562"/>
      <c r="F678" s="562"/>
      <c r="G678" s="562">
        <f t="shared" si="15"/>
        <v>0</v>
      </c>
      <c r="H678" s="562"/>
      <c r="I678" s="562"/>
      <c r="J678" s="562"/>
    </row>
    <row r="679" spans="1:10" x14ac:dyDescent="0.25">
      <c r="A679" s="362">
        <v>1</v>
      </c>
      <c r="B679" s="364">
        <v>44007</v>
      </c>
      <c r="C679" s="362" t="s">
        <v>80</v>
      </c>
      <c r="D679" s="560">
        <v>313205857</v>
      </c>
      <c r="E679" s="560">
        <v>4805555</v>
      </c>
      <c r="F679" s="560">
        <v>318011200</v>
      </c>
      <c r="G679" s="560">
        <f t="shared" si="15"/>
        <v>212</v>
      </c>
      <c r="H679" s="560">
        <v>16391584</v>
      </c>
      <c r="I679" s="560">
        <v>16391564</v>
      </c>
      <c r="J679" s="560">
        <f>H679-I679</f>
        <v>20</v>
      </c>
    </row>
    <row r="680" spans="1:10" x14ac:dyDescent="0.25">
      <c r="A680" s="362">
        <v>2</v>
      </c>
      <c r="B680" s="364">
        <v>44007</v>
      </c>
      <c r="C680" s="362" t="s">
        <v>83</v>
      </c>
      <c r="D680" s="560">
        <v>318030886</v>
      </c>
      <c r="E680" s="560">
        <v>16297444</v>
      </c>
      <c r="F680" s="560">
        <v>334328400</v>
      </c>
      <c r="G680" s="560">
        <f t="shared" si="15"/>
        <v>-70</v>
      </c>
      <c r="H680" s="560">
        <v>5226616</v>
      </c>
      <c r="I680" s="560">
        <v>6184116</v>
      </c>
      <c r="J680" s="560">
        <f t="shared" ref="J680:J709" si="16">H680-I680</f>
        <v>-957500</v>
      </c>
    </row>
    <row r="681" spans="1:10" x14ac:dyDescent="0.25">
      <c r="A681" s="362">
        <v>3</v>
      </c>
      <c r="B681" s="364">
        <v>44007</v>
      </c>
      <c r="C681" s="362" t="s">
        <v>88</v>
      </c>
      <c r="D681" s="560">
        <v>255554943</v>
      </c>
      <c r="E681" s="560">
        <v>10343253</v>
      </c>
      <c r="F681" s="560">
        <v>265898200</v>
      </c>
      <c r="G681" s="560">
        <f t="shared" si="15"/>
        <v>-4</v>
      </c>
      <c r="H681" s="560">
        <v>1050056</v>
      </c>
      <c r="I681" s="560">
        <v>1050052</v>
      </c>
      <c r="J681" s="560">
        <f t="shared" si="16"/>
        <v>4</v>
      </c>
    </row>
    <row r="682" spans="1:10" x14ac:dyDescent="0.25">
      <c r="A682" s="362">
        <v>4</v>
      </c>
      <c r="B682" s="364">
        <v>44007</v>
      </c>
      <c r="C682" s="362" t="s">
        <v>146</v>
      </c>
      <c r="D682" s="560">
        <v>61766627</v>
      </c>
      <c r="E682" s="560">
        <v>152338905</v>
      </c>
      <c r="F682" s="560">
        <v>214106300</v>
      </c>
      <c r="G682" s="560">
        <f t="shared" si="15"/>
        <v>-768</v>
      </c>
      <c r="H682" s="560">
        <v>10320022</v>
      </c>
      <c r="I682" s="560"/>
      <c r="J682" s="560">
        <f t="shared" si="16"/>
        <v>10320022</v>
      </c>
    </row>
    <row r="683" spans="1:10" x14ac:dyDescent="0.25">
      <c r="A683" s="362">
        <v>5</v>
      </c>
      <c r="B683" s="364">
        <v>44007</v>
      </c>
      <c r="C683" s="362" t="s">
        <v>86</v>
      </c>
      <c r="D683" s="560">
        <v>87356146</v>
      </c>
      <c r="E683" s="560">
        <v>60340478</v>
      </c>
      <c r="F683" s="560">
        <v>147696600</v>
      </c>
      <c r="G683" s="560">
        <f t="shared" si="15"/>
        <v>24</v>
      </c>
      <c r="H683" s="560">
        <v>3448123</v>
      </c>
      <c r="I683" s="560"/>
      <c r="J683" s="560">
        <f t="shared" si="16"/>
        <v>3448123</v>
      </c>
    </row>
    <row r="684" spans="1:10" x14ac:dyDescent="0.25">
      <c r="A684" s="362">
        <v>6</v>
      </c>
      <c r="B684" s="364">
        <v>44007</v>
      </c>
      <c r="C684" s="362" t="s">
        <v>89</v>
      </c>
      <c r="D684" s="560">
        <v>175926000</v>
      </c>
      <c r="E684" s="560">
        <v>3354000</v>
      </c>
      <c r="F684" s="560">
        <v>179280000</v>
      </c>
      <c r="G684" s="560">
        <f t="shared" si="15"/>
        <v>0</v>
      </c>
      <c r="H684" s="560">
        <v>9049194</v>
      </c>
      <c r="I684" s="560">
        <v>9049194</v>
      </c>
      <c r="J684" s="560">
        <f t="shared" si="16"/>
        <v>0</v>
      </c>
    </row>
    <row r="685" spans="1:10" x14ac:dyDescent="0.25">
      <c r="A685" s="362">
        <v>7</v>
      </c>
      <c r="B685" s="364">
        <v>44007</v>
      </c>
      <c r="C685" s="362" t="s">
        <v>4751</v>
      </c>
      <c r="D685" s="560">
        <v>138839140</v>
      </c>
      <c r="E685" s="560">
        <v>24285460</v>
      </c>
      <c r="F685" s="560">
        <v>163124600</v>
      </c>
      <c r="G685" s="560">
        <f t="shared" si="15"/>
        <v>0</v>
      </c>
      <c r="H685" s="560">
        <v>8151935</v>
      </c>
      <c r="I685" s="560">
        <v>7926935</v>
      </c>
      <c r="J685" s="560">
        <f t="shared" si="16"/>
        <v>225000</v>
      </c>
    </row>
    <row r="686" spans="1:10" x14ac:dyDescent="0.25">
      <c r="A686" s="362">
        <v>8</v>
      </c>
      <c r="B686" s="364">
        <v>44007</v>
      </c>
      <c r="C686" s="362" t="s">
        <v>84</v>
      </c>
      <c r="D686" s="560">
        <v>221384814</v>
      </c>
      <c r="E686" s="560">
        <v>13307298</v>
      </c>
      <c r="F686" s="560">
        <v>234692200</v>
      </c>
      <c r="G686" s="560">
        <f t="shared" si="15"/>
        <v>-88</v>
      </c>
      <c r="H686" s="560">
        <v>6233013</v>
      </c>
      <c r="I686" s="560">
        <v>6233013</v>
      </c>
      <c r="J686" s="560">
        <f t="shared" si="16"/>
        <v>0</v>
      </c>
    </row>
    <row r="687" spans="1:10" x14ac:dyDescent="0.25">
      <c r="A687" s="362">
        <v>9</v>
      </c>
      <c r="B687" s="364">
        <v>44007</v>
      </c>
      <c r="C687" s="362" t="s">
        <v>85</v>
      </c>
      <c r="D687" s="560">
        <v>20796405</v>
      </c>
      <c r="E687" s="560">
        <v>4148595</v>
      </c>
      <c r="F687" s="560">
        <v>24945000</v>
      </c>
      <c r="G687" s="560">
        <f t="shared" si="15"/>
        <v>0</v>
      </c>
      <c r="H687" s="560">
        <v>3441140</v>
      </c>
      <c r="I687" s="560"/>
      <c r="J687" s="560">
        <f t="shared" si="16"/>
        <v>3441140</v>
      </c>
    </row>
    <row r="688" spans="1:10" x14ac:dyDescent="0.25">
      <c r="A688" s="362">
        <v>10</v>
      </c>
      <c r="B688" s="364">
        <v>44007</v>
      </c>
      <c r="C688" s="362" t="s">
        <v>81</v>
      </c>
      <c r="D688" s="560">
        <v>64609593</v>
      </c>
      <c r="E688" s="560">
        <v>18969610</v>
      </c>
      <c r="F688" s="560">
        <v>83579200</v>
      </c>
      <c r="G688" s="560">
        <f t="shared" si="15"/>
        <v>3</v>
      </c>
      <c r="H688" s="560">
        <v>9250204</v>
      </c>
      <c r="I688" s="560">
        <v>9250204</v>
      </c>
      <c r="J688" s="560">
        <f t="shared" si="16"/>
        <v>0</v>
      </c>
    </row>
    <row r="689" spans="1:10" x14ac:dyDescent="0.25">
      <c r="A689" s="362">
        <v>11</v>
      </c>
      <c r="B689" s="364">
        <v>44007</v>
      </c>
      <c r="C689" s="362" t="s">
        <v>79</v>
      </c>
      <c r="D689" s="560">
        <v>73540742</v>
      </c>
      <c r="E689" s="560">
        <v>5476221</v>
      </c>
      <c r="F689" s="560">
        <v>79017000</v>
      </c>
      <c r="G689" s="560">
        <f t="shared" si="15"/>
        <v>-37</v>
      </c>
      <c r="H689" s="560">
        <v>2783564</v>
      </c>
      <c r="I689" s="560">
        <v>2783564</v>
      </c>
      <c r="J689" s="560">
        <f t="shared" si="16"/>
        <v>0</v>
      </c>
    </row>
    <row r="690" spans="1:10" x14ac:dyDescent="0.25">
      <c r="A690" s="362">
        <v>12</v>
      </c>
      <c r="B690" s="364">
        <v>44007</v>
      </c>
      <c r="C690" s="362" t="s">
        <v>82</v>
      </c>
      <c r="D690" s="560">
        <v>133145613</v>
      </c>
      <c r="E690" s="560">
        <v>609681</v>
      </c>
      <c r="F690" s="560">
        <v>133755300</v>
      </c>
      <c r="G690" s="560">
        <f t="shared" si="15"/>
        <v>-6</v>
      </c>
      <c r="H690" s="560">
        <v>4850436</v>
      </c>
      <c r="I690" s="560">
        <v>4850436</v>
      </c>
      <c r="J690" s="560">
        <f t="shared" si="16"/>
        <v>0</v>
      </c>
    </row>
    <row r="691" spans="1:10" x14ac:dyDescent="0.25">
      <c r="A691" s="362">
        <v>13</v>
      </c>
      <c r="B691" s="364">
        <v>44007</v>
      </c>
      <c r="C691" s="362" t="s">
        <v>78</v>
      </c>
      <c r="D691" s="560">
        <v>199615782</v>
      </c>
      <c r="E691" s="560">
        <v>2116818</v>
      </c>
      <c r="F691" s="560">
        <v>201732600</v>
      </c>
      <c r="G691" s="560">
        <f t="shared" si="15"/>
        <v>0</v>
      </c>
      <c r="H691" s="560">
        <v>9958251</v>
      </c>
      <c r="I691" s="560">
        <v>9958251</v>
      </c>
      <c r="J691" s="560">
        <f t="shared" si="16"/>
        <v>0</v>
      </c>
    </row>
    <row r="692" spans="1:10" x14ac:dyDescent="0.25">
      <c r="A692" s="362">
        <v>14</v>
      </c>
      <c r="B692" s="364">
        <v>44007</v>
      </c>
      <c r="C692" s="362" t="s">
        <v>166</v>
      </c>
      <c r="D692" s="560">
        <v>70433298</v>
      </c>
      <c r="E692" s="560"/>
      <c r="F692" s="560">
        <v>70433300</v>
      </c>
      <c r="G692" s="560">
        <f t="shared" si="15"/>
        <v>-2</v>
      </c>
      <c r="H692" s="560"/>
      <c r="I692" s="560"/>
      <c r="J692" s="560">
        <f t="shared" si="16"/>
        <v>0</v>
      </c>
    </row>
    <row r="693" spans="1:10" x14ac:dyDescent="0.25">
      <c r="A693" s="362">
        <v>15</v>
      </c>
      <c r="B693" s="364">
        <v>44007</v>
      </c>
      <c r="C693" s="362" t="s">
        <v>3435</v>
      </c>
      <c r="D693" s="560"/>
      <c r="E693" s="560"/>
      <c r="F693" s="560">
        <v>74813900</v>
      </c>
      <c r="G693" s="560">
        <f t="shared" si="15"/>
        <v>-74813900</v>
      </c>
      <c r="H693" s="560"/>
      <c r="I693" s="560"/>
      <c r="J693" s="560">
        <f t="shared" si="16"/>
        <v>0</v>
      </c>
    </row>
    <row r="694" spans="1:10" x14ac:dyDescent="0.25">
      <c r="A694" s="530"/>
      <c r="B694" s="530"/>
      <c r="C694" s="530"/>
      <c r="D694" s="562"/>
      <c r="E694" s="562"/>
      <c r="F694" s="562"/>
      <c r="G694" s="562">
        <f t="shared" si="15"/>
        <v>0</v>
      </c>
      <c r="H694" s="562"/>
      <c r="I694" s="562"/>
      <c r="J694" s="562">
        <f t="shared" si="16"/>
        <v>0</v>
      </c>
    </row>
    <row r="695" spans="1:10" x14ac:dyDescent="0.25">
      <c r="A695" s="362">
        <v>1</v>
      </c>
      <c r="B695" s="364">
        <v>44008</v>
      </c>
      <c r="C695" s="362" t="s">
        <v>80</v>
      </c>
      <c r="D695" s="560">
        <v>345293903</v>
      </c>
      <c r="E695" s="560">
        <v>72654060</v>
      </c>
      <c r="F695" s="560">
        <v>417946900</v>
      </c>
      <c r="G695" s="560">
        <f t="shared" si="15"/>
        <v>1063</v>
      </c>
      <c r="H695" s="560">
        <v>16391564</v>
      </c>
      <c r="I695" s="560"/>
      <c r="J695" s="560">
        <f t="shared" si="16"/>
        <v>16391564</v>
      </c>
    </row>
    <row r="696" spans="1:10" x14ac:dyDescent="0.25">
      <c r="A696" s="362">
        <v>2</v>
      </c>
      <c r="B696" s="364">
        <v>44008</v>
      </c>
      <c r="C696" s="362" t="s">
        <v>83</v>
      </c>
      <c r="D696" s="560">
        <v>193549947</v>
      </c>
      <c r="E696" s="560">
        <v>19126412</v>
      </c>
      <c r="F696" s="560">
        <v>212676400</v>
      </c>
      <c r="G696" s="560">
        <f t="shared" si="15"/>
        <v>-41</v>
      </c>
      <c r="H696" s="560">
        <v>3352866</v>
      </c>
      <c r="I696" s="560"/>
      <c r="J696" s="560">
        <f t="shared" si="16"/>
        <v>3352866</v>
      </c>
    </row>
    <row r="697" spans="1:10" x14ac:dyDescent="0.25">
      <c r="A697" s="362">
        <v>3</v>
      </c>
      <c r="B697" s="364">
        <v>44008</v>
      </c>
      <c r="C697" s="362" t="s">
        <v>88</v>
      </c>
      <c r="D697" s="560">
        <v>194863493</v>
      </c>
      <c r="E697" s="560">
        <v>19745177</v>
      </c>
      <c r="F697" s="560">
        <v>214608700</v>
      </c>
      <c r="G697" s="560">
        <f t="shared" si="15"/>
        <v>-30</v>
      </c>
      <c r="H697" s="560">
        <v>1050000</v>
      </c>
      <c r="I697" s="560"/>
      <c r="J697" s="560">
        <f t="shared" si="16"/>
        <v>1050000</v>
      </c>
    </row>
    <row r="698" spans="1:10" x14ac:dyDescent="0.25">
      <c r="A698" s="362">
        <v>4</v>
      </c>
      <c r="B698" s="364">
        <v>44008</v>
      </c>
      <c r="C698" s="362" t="s">
        <v>146</v>
      </c>
      <c r="D698" s="560">
        <v>48214920</v>
      </c>
      <c r="E698" s="560">
        <v>76792807</v>
      </c>
      <c r="F698" s="560">
        <v>125007800</v>
      </c>
      <c r="G698" s="560">
        <f t="shared" si="15"/>
        <v>-73</v>
      </c>
      <c r="H698" s="560">
        <v>4988272</v>
      </c>
      <c r="I698" s="560">
        <v>4988272</v>
      </c>
      <c r="J698" s="560">
        <f t="shared" si="16"/>
        <v>0</v>
      </c>
    </row>
    <row r="699" spans="1:10" x14ac:dyDescent="0.25">
      <c r="A699" s="362">
        <v>5</v>
      </c>
      <c r="B699" s="364">
        <v>44008</v>
      </c>
      <c r="C699" s="362" t="s">
        <v>86</v>
      </c>
      <c r="D699" s="560">
        <v>29112037</v>
      </c>
      <c r="E699" s="560">
        <v>11132636</v>
      </c>
      <c r="F699" s="560">
        <v>40244700</v>
      </c>
      <c r="G699" s="560">
        <f t="shared" si="15"/>
        <v>-27</v>
      </c>
      <c r="H699" s="560">
        <v>3448181</v>
      </c>
      <c r="I699" s="560">
        <v>3448123</v>
      </c>
      <c r="J699" s="560">
        <f t="shared" si="16"/>
        <v>58</v>
      </c>
    </row>
    <row r="700" spans="1:10" x14ac:dyDescent="0.25">
      <c r="A700" s="362">
        <v>6</v>
      </c>
      <c r="B700" s="364">
        <v>44008</v>
      </c>
      <c r="C700" s="362" t="s">
        <v>89</v>
      </c>
      <c r="D700" s="560">
        <v>183355736</v>
      </c>
      <c r="E700" s="560">
        <v>4774264</v>
      </c>
      <c r="F700" s="560">
        <v>188130000</v>
      </c>
      <c r="G700" s="560">
        <f t="shared" si="15"/>
        <v>0</v>
      </c>
      <c r="H700" s="560">
        <v>8955194</v>
      </c>
      <c r="I700" s="560"/>
      <c r="J700" s="560">
        <f t="shared" si="16"/>
        <v>8955194</v>
      </c>
    </row>
    <row r="701" spans="1:10" x14ac:dyDescent="0.25">
      <c r="A701" s="362">
        <v>7</v>
      </c>
      <c r="B701" s="364">
        <v>44008</v>
      </c>
      <c r="C701" s="362" t="s">
        <v>4751</v>
      </c>
      <c r="D701" s="560">
        <v>237150568</v>
      </c>
      <c r="E701" s="560">
        <v>14433432</v>
      </c>
      <c r="F701" s="560">
        <v>251584000</v>
      </c>
      <c r="G701" s="560">
        <f t="shared" si="15"/>
        <v>0</v>
      </c>
      <c r="H701" s="560">
        <v>6629935</v>
      </c>
      <c r="I701" s="560"/>
      <c r="J701" s="560">
        <f t="shared" si="16"/>
        <v>6629935</v>
      </c>
    </row>
    <row r="702" spans="1:10" x14ac:dyDescent="0.25">
      <c r="A702" s="362">
        <v>8</v>
      </c>
      <c r="B702" s="364">
        <v>44008</v>
      </c>
      <c r="C702" s="362" t="s">
        <v>84</v>
      </c>
      <c r="D702" s="560">
        <v>163576653</v>
      </c>
      <c r="E702" s="560">
        <v>22008178</v>
      </c>
      <c r="F702" s="560">
        <v>185584900</v>
      </c>
      <c r="G702" s="560">
        <f t="shared" si="15"/>
        <v>-69</v>
      </c>
      <c r="H702" s="560">
        <v>6233013</v>
      </c>
      <c r="I702" s="560"/>
      <c r="J702" s="560">
        <f t="shared" si="16"/>
        <v>6233013</v>
      </c>
    </row>
    <row r="703" spans="1:10" x14ac:dyDescent="0.25">
      <c r="A703" s="362">
        <v>9</v>
      </c>
      <c r="B703" s="364">
        <v>44008</v>
      </c>
      <c r="C703" s="362" t="s">
        <v>85</v>
      </c>
      <c r="D703" s="560">
        <v>21027017</v>
      </c>
      <c r="E703" s="560">
        <v>4912383</v>
      </c>
      <c r="F703" s="560">
        <v>25939400</v>
      </c>
      <c r="G703" s="560">
        <f t="shared" si="15"/>
        <v>0</v>
      </c>
      <c r="H703" s="560">
        <v>3441140</v>
      </c>
      <c r="I703" s="560"/>
      <c r="J703" s="560">
        <f t="shared" si="16"/>
        <v>3441140</v>
      </c>
    </row>
    <row r="704" spans="1:10" x14ac:dyDescent="0.25">
      <c r="A704" s="362">
        <v>10</v>
      </c>
      <c r="B704" s="364">
        <v>44008</v>
      </c>
      <c r="C704" s="362" t="s">
        <v>81</v>
      </c>
      <c r="D704" s="560">
        <v>59390086</v>
      </c>
      <c r="E704" s="560">
        <v>23641353</v>
      </c>
      <c r="F704" s="560">
        <v>83031400</v>
      </c>
      <c r="G704" s="560">
        <f t="shared" si="15"/>
        <v>39</v>
      </c>
      <c r="H704" s="560">
        <v>9250204</v>
      </c>
      <c r="I704" s="560"/>
      <c r="J704" s="560">
        <f t="shared" si="16"/>
        <v>9250204</v>
      </c>
    </row>
    <row r="705" spans="1:10" x14ac:dyDescent="0.25">
      <c r="A705" s="362">
        <v>11</v>
      </c>
      <c r="B705" s="364">
        <v>44008</v>
      </c>
      <c r="C705" s="362" t="s">
        <v>79</v>
      </c>
      <c r="D705" s="560">
        <v>71360740</v>
      </c>
      <c r="E705" s="560"/>
      <c r="F705" s="560">
        <v>71360800</v>
      </c>
      <c r="G705" s="560">
        <f t="shared" si="15"/>
        <v>-60</v>
      </c>
      <c r="H705" s="560">
        <v>2744564</v>
      </c>
      <c r="I705" s="560"/>
      <c r="J705" s="560">
        <f t="shared" si="16"/>
        <v>2744564</v>
      </c>
    </row>
    <row r="706" spans="1:10" x14ac:dyDescent="0.25">
      <c r="A706" s="362">
        <v>12</v>
      </c>
      <c r="B706" s="364">
        <v>44008</v>
      </c>
      <c r="C706" s="362" t="s">
        <v>82</v>
      </c>
      <c r="D706" s="560">
        <v>108484715</v>
      </c>
      <c r="E706" s="560"/>
      <c r="F706" s="560">
        <v>108484800</v>
      </c>
      <c r="G706" s="560">
        <f t="shared" si="15"/>
        <v>-85</v>
      </c>
      <c r="H706" s="560">
        <v>4850436</v>
      </c>
      <c r="I706" s="560"/>
      <c r="J706" s="560">
        <f t="shared" si="16"/>
        <v>4850436</v>
      </c>
    </row>
    <row r="707" spans="1:10" x14ac:dyDescent="0.25">
      <c r="A707" s="362">
        <v>13</v>
      </c>
      <c r="B707" s="364">
        <v>44008</v>
      </c>
      <c r="C707" s="362" t="s">
        <v>78</v>
      </c>
      <c r="D707" s="560">
        <v>122055300</v>
      </c>
      <c r="E707" s="560">
        <v>12775500</v>
      </c>
      <c r="F707" s="560">
        <v>134830800</v>
      </c>
      <c r="G707" s="560">
        <f t="shared" si="15"/>
        <v>0</v>
      </c>
      <c r="H707" s="560">
        <v>8733376</v>
      </c>
      <c r="I707" s="560"/>
      <c r="J707" s="560">
        <f t="shared" si="16"/>
        <v>8733376</v>
      </c>
    </row>
    <row r="708" spans="1:10" x14ac:dyDescent="0.25">
      <c r="A708" s="362">
        <v>14</v>
      </c>
      <c r="B708" s="364">
        <v>44008</v>
      </c>
      <c r="C708" s="362" t="s">
        <v>166</v>
      </c>
      <c r="D708" s="560">
        <v>35858344</v>
      </c>
      <c r="E708" s="560"/>
      <c r="F708" s="560">
        <v>35858300</v>
      </c>
      <c r="G708" s="560">
        <f t="shared" si="15"/>
        <v>44</v>
      </c>
      <c r="H708" s="560"/>
      <c r="I708" s="560"/>
      <c r="J708" s="560">
        <f t="shared" si="16"/>
        <v>0</v>
      </c>
    </row>
    <row r="709" spans="1:10" x14ac:dyDescent="0.25">
      <c r="A709" s="362">
        <v>15</v>
      </c>
      <c r="B709" s="364">
        <v>44008</v>
      </c>
      <c r="C709" s="362" t="s">
        <v>3435</v>
      </c>
      <c r="D709" s="560"/>
      <c r="E709" s="560"/>
      <c r="F709" s="560">
        <v>39803500</v>
      </c>
      <c r="G709" s="560">
        <f t="shared" si="15"/>
        <v>-39803500</v>
      </c>
      <c r="H709" s="560"/>
      <c r="I709" s="560"/>
      <c r="J709" s="560">
        <f t="shared" si="16"/>
        <v>0</v>
      </c>
    </row>
    <row r="710" spans="1:10" x14ac:dyDescent="0.25">
      <c r="A710" s="530"/>
      <c r="B710" s="589"/>
      <c r="C710" s="530"/>
      <c r="D710" s="562"/>
      <c r="E710" s="562"/>
      <c r="F710" s="562"/>
      <c r="G710" s="562">
        <f t="shared" si="15"/>
        <v>0</v>
      </c>
      <c r="H710" s="562"/>
      <c r="I710" s="562"/>
      <c r="J710" s="562"/>
    </row>
    <row r="711" spans="1:10" x14ac:dyDescent="0.25">
      <c r="A711" s="362">
        <v>1</v>
      </c>
      <c r="B711" s="364">
        <v>44009</v>
      </c>
      <c r="C711" s="362" t="s">
        <v>80</v>
      </c>
      <c r="D711" s="560">
        <v>241287533</v>
      </c>
      <c r="E711" s="560">
        <v>2601720</v>
      </c>
      <c r="F711" s="560">
        <v>246232300</v>
      </c>
      <c r="G711" s="560">
        <f t="shared" ref="G711:G774" si="17">D711+E711-F711</f>
        <v>-2343047</v>
      </c>
      <c r="H711" s="560"/>
      <c r="I711" s="560"/>
      <c r="J711" s="560"/>
    </row>
    <row r="712" spans="1:10" x14ac:dyDescent="0.25">
      <c r="A712" s="362">
        <v>2</v>
      </c>
      <c r="B712" s="364">
        <v>44009</v>
      </c>
      <c r="C712" s="362" t="s">
        <v>83</v>
      </c>
      <c r="D712" s="560">
        <v>256171783</v>
      </c>
      <c r="E712" s="560">
        <v>49422117</v>
      </c>
      <c r="F712" s="560">
        <v>305593900</v>
      </c>
      <c r="G712" s="560">
        <f t="shared" si="17"/>
        <v>0</v>
      </c>
      <c r="H712" s="560">
        <v>3362866</v>
      </c>
      <c r="I712" s="560"/>
      <c r="J712" s="560"/>
    </row>
    <row r="713" spans="1:10" x14ac:dyDescent="0.25">
      <c r="A713" s="362">
        <v>3</v>
      </c>
      <c r="B713" s="364">
        <v>44009</v>
      </c>
      <c r="C713" s="362" t="s">
        <v>88</v>
      </c>
      <c r="D713" s="560">
        <v>166906623</v>
      </c>
      <c r="E713" s="560">
        <v>38790980</v>
      </c>
      <c r="F713" s="560">
        <v>205697000</v>
      </c>
      <c r="G713" s="560">
        <f t="shared" si="17"/>
        <v>603</v>
      </c>
      <c r="H713" s="560">
        <v>721552</v>
      </c>
      <c r="I713" s="560"/>
      <c r="J713" s="560"/>
    </row>
    <row r="714" spans="1:10" x14ac:dyDescent="0.25">
      <c r="A714" s="362">
        <v>4</v>
      </c>
      <c r="B714" s="364">
        <v>44009</v>
      </c>
      <c r="C714" s="362" t="s">
        <v>146</v>
      </c>
      <c r="D714" s="560">
        <v>101693817</v>
      </c>
      <c r="E714" s="560">
        <v>72678071</v>
      </c>
      <c r="F714" s="560">
        <v>174372000</v>
      </c>
      <c r="G714" s="560">
        <f t="shared" si="17"/>
        <v>-112</v>
      </c>
      <c r="H714" s="560">
        <v>199972</v>
      </c>
      <c r="I714" s="560"/>
      <c r="J714" s="560"/>
    </row>
    <row r="715" spans="1:10" x14ac:dyDescent="0.25">
      <c r="A715" s="362">
        <v>5</v>
      </c>
      <c r="B715" s="364">
        <v>44009</v>
      </c>
      <c r="C715" s="362" t="s">
        <v>86</v>
      </c>
      <c r="D715" s="560">
        <v>57666574</v>
      </c>
      <c r="E715" s="560">
        <v>163246341</v>
      </c>
      <c r="F715" s="560">
        <v>220913000</v>
      </c>
      <c r="G715" s="560">
        <f t="shared" si="17"/>
        <v>-85</v>
      </c>
      <c r="H715" s="560">
        <v>2499623</v>
      </c>
      <c r="I715" s="560"/>
      <c r="J715" s="560"/>
    </row>
    <row r="716" spans="1:10" x14ac:dyDescent="0.25">
      <c r="A716" s="362">
        <v>6</v>
      </c>
      <c r="B716" s="364">
        <v>44009</v>
      </c>
      <c r="C716" s="362" t="s">
        <v>89</v>
      </c>
      <c r="D716" s="560">
        <v>81148404</v>
      </c>
      <c r="E716" s="560">
        <v>3563100</v>
      </c>
      <c r="F716" s="560">
        <v>84711600</v>
      </c>
      <c r="G716" s="560">
        <f t="shared" si="17"/>
        <v>-96</v>
      </c>
      <c r="H716" s="560">
        <v>8453394</v>
      </c>
      <c r="I716" s="560"/>
      <c r="J716" s="560"/>
    </row>
    <row r="717" spans="1:10" x14ac:dyDescent="0.25">
      <c r="A717" s="362">
        <v>7</v>
      </c>
      <c r="B717" s="364">
        <v>44009</v>
      </c>
      <c r="C717" s="362" t="s">
        <v>4751</v>
      </c>
      <c r="D717" s="560">
        <v>222309718</v>
      </c>
      <c r="E717" s="560">
        <v>6900282</v>
      </c>
      <c r="F717" s="560">
        <v>229210000</v>
      </c>
      <c r="G717" s="560">
        <f t="shared" si="17"/>
        <v>0</v>
      </c>
      <c r="H717" s="560"/>
      <c r="I717" s="560"/>
      <c r="J717" s="560"/>
    </row>
    <row r="718" spans="1:10" x14ac:dyDescent="0.25">
      <c r="A718" s="362">
        <v>8</v>
      </c>
      <c r="B718" s="364">
        <v>44009</v>
      </c>
      <c r="C718" s="362" t="s">
        <v>84</v>
      </c>
      <c r="D718" s="560">
        <v>171748059</v>
      </c>
      <c r="E718" s="560">
        <v>19550547</v>
      </c>
      <c r="F718" s="560">
        <v>191298800</v>
      </c>
      <c r="G718" s="560">
        <f t="shared" si="17"/>
        <v>-194</v>
      </c>
      <c r="H718" s="560">
        <v>5262013</v>
      </c>
      <c r="I718" s="560"/>
      <c r="J718" s="560"/>
    </row>
    <row r="719" spans="1:10" x14ac:dyDescent="0.25">
      <c r="A719" s="362">
        <v>9</v>
      </c>
      <c r="B719" s="364">
        <v>44009</v>
      </c>
      <c r="C719" s="362" t="s">
        <v>85</v>
      </c>
      <c r="D719" s="560">
        <v>22601363</v>
      </c>
      <c r="E719" s="560">
        <v>3282537</v>
      </c>
      <c r="F719" s="560">
        <v>25883900</v>
      </c>
      <c r="G719" s="560">
        <f t="shared" si="17"/>
        <v>0</v>
      </c>
      <c r="H719" s="560">
        <v>3085340</v>
      </c>
      <c r="I719" s="560"/>
      <c r="J719" s="560"/>
    </row>
    <row r="720" spans="1:10" x14ac:dyDescent="0.25">
      <c r="A720" s="362">
        <v>10</v>
      </c>
      <c r="B720" s="364">
        <v>44009</v>
      </c>
      <c r="C720" s="362" t="s">
        <v>81</v>
      </c>
      <c r="D720" s="560">
        <v>85180677</v>
      </c>
      <c r="E720" s="560">
        <v>30255561</v>
      </c>
      <c r="F720" s="560">
        <v>115436300</v>
      </c>
      <c r="G720" s="560">
        <f t="shared" si="17"/>
        <v>-62</v>
      </c>
      <c r="H720" s="560">
        <v>7333304</v>
      </c>
      <c r="I720" s="560"/>
      <c r="J720" s="560"/>
    </row>
    <row r="721" spans="1:10" x14ac:dyDescent="0.25">
      <c r="A721" s="362">
        <v>11</v>
      </c>
      <c r="B721" s="364">
        <v>44009</v>
      </c>
      <c r="C721" s="362" t="s">
        <v>79</v>
      </c>
      <c r="D721" s="560">
        <v>39080981</v>
      </c>
      <c r="E721" s="560">
        <v>445767</v>
      </c>
      <c r="F721" s="560">
        <v>39526800</v>
      </c>
      <c r="G721" s="560">
        <f t="shared" si="17"/>
        <v>-52</v>
      </c>
      <c r="H721" s="560">
        <v>2606064</v>
      </c>
      <c r="I721" s="560"/>
      <c r="J721" s="560"/>
    </row>
    <row r="722" spans="1:10" x14ac:dyDescent="0.25">
      <c r="A722" s="362">
        <v>12</v>
      </c>
      <c r="B722" s="364">
        <v>44009</v>
      </c>
      <c r="C722" s="362" t="s">
        <v>82</v>
      </c>
      <c r="D722" s="560">
        <v>60532455</v>
      </c>
      <c r="E722" s="560">
        <v>4361200</v>
      </c>
      <c r="F722" s="560">
        <v>64893700</v>
      </c>
      <c r="G722" s="560">
        <f t="shared" si="17"/>
        <v>-45</v>
      </c>
      <c r="H722" s="560">
        <v>4135136</v>
      </c>
      <c r="I722" s="560"/>
      <c r="J722" s="560"/>
    </row>
    <row r="723" spans="1:10" x14ac:dyDescent="0.25">
      <c r="A723" s="362">
        <v>13</v>
      </c>
      <c r="B723" s="364">
        <v>44009</v>
      </c>
      <c r="C723" s="362" t="s">
        <v>78</v>
      </c>
      <c r="D723" s="560">
        <v>121403691</v>
      </c>
      <c r="E723" s="560">
        <v>9261709</v>
      </c>
      <c r="F723" s="560">
        <v>130665400</v>
      </c>
      <c r="G723" s="560">
        <f t="shared" si="17"/>
        <v>0</v>
      </c>
      <c r="H723" s="560">
        <v>10059374</v>
      </c>
      <c r="I723" s="560"/>
      <c r="J723" s="560"/>
    </row>
    <row r="724" spans="1:10" x14ac:dyDescent="0.25">
      <c r="A724" s="362">
        <v>14</v>
      </c>
      <c r="B724" s="364">
        <v>44009</v>
      </c>
      <c r="C724" s="362" t="s">
        <v>166</v>
      </c>
      <c r="D724" s="560"/>
      <c r="E724" s="560"/>
      <c r="F724" s="560"/>
      <c r="G724" s="560">
        <f t="shared" si="17"/>
        <v>0</v>
      </c>
      <c r="H724" s="560"/>
      <c r="I724" s="560"/>
      <c r="J724" s="560"/>
    </row>
    <row r="725" spans="1:10" x14ac:dyDescent="0.25">
      <c r="A725" s="362">
        <v>15</v>
      </c>
      <c r="B725" s="364">
        <v>44009</v>
      </c>
      <c r="C725" s="362" t="s">
        <v>3435</v>
      </c>
      <c r="D725" s="560"/>
      <c r="E725" s="560"/>
      <c r="F725" s="560"/>
      <c r="G725" s="560">
        <f t="shared" si="17"/>
        <v>0</v>
      </c>
      <c r="H725" s="560"/>
      <c r="I725" s="560"/>
      <c r="J725" s="560"/>
    </row>
    <row r="726" spans="1:10" x14ac:dyDescent="0.25">
      <c r="A726" s="530"/>
      <c r="B726" s="589"/>
      <c r="C726" s="530"/>
      <c r="D726" s="562"/>
      <c r="E726" s="562"/>
      <c r="F726" s="562"/>
      <c r="G726" s="562">
        <f t="shared" si="17"/>
        <v>0</v>
      </c>
      <c r="H726" s="562"/>
      <c r="I726" s="562"/>
      <c r="J726" s="562"/>
    </row>
    <row r="727" spans="1:10" x14ac:dyDescent="0.25">
      <c r="A727" s="362">
        <v>1</v>
      </c>
      <c r="B727" s="364">
        <v>44011</v>
      </c>
      <c r="C727" s="362" t="s">
        <v>80</v>
      </c>
      <c r="D727" s="560">
        <v>353752130</v>
      </c>
      <c r="E727" s="560">
        <v>2142874</v>
      </c>
      <c r="F727" s="560">
        <v>355895500</v>
      </c>
      <c r="G727" s="560">
        <f t="shared" si="17"/>
        <v>-496</v>
      </c>
      <c r="H727" s="560">
        <v>16391564</v>
      </c>
      <c r="I727" s="560"/>
      <c r="J727" s="560"/>
    </row>
    <row r="728" spans="1:10" x14ac:dyDescent="0.25">
      <c r="A728" s="362">
        <v>2</v>
      </c>
      <c r="B728" s="364">
        <v>44011</v>
      </c>
      <c r="C728" s="362" t="s">
        <v>83</v>
      </c>
      <c r="D728" s="560">
        <v>243410855</v>
      </c>
      <c r="E728" s="560">
        <v>49680109</v>
      </c>
      <c r="F728" s="560">
        <v>293091000</v>
      </c>
      <c r="G728" s="560">
        <f t="shared" si="17"/>
        <v>-36</v>
      </c>
      <c r="H728" s="560">
        <v>17904050</v>
      </c>
      <c r="I728" s="560"/>
      <c r="J728" s="560"/>
    </row>
    <row r="729" spans="1:10" x14ac:dyDescent="0.25">
      <c r="A729" s="362">
        <v>3</v>
      </c>
      <c r="B729" s="364">
        <v>44011</v>
      </c>
      <c r="C729" s="362" t="s">
        <v>88</v>
      </c>
      <c r="D729" s="560">
        <v>282508447</v>
      </c>
      <c r="E729" s="560">
        <v>15901508</v>
      </c>
      <c r="F729" s="560">
        <v>298410000</v>
      </c>
      <c r="G729" s="560">
        <f t="shared" si="17"/>
        <v>-45</v>
      </c>
      <c r="H729" s="560">
        <v>721552</v>
      </c>
      <c r="I729" s="560"/>
      <c r="J729" s="560"/>
    </row>
    <row r="730" spans="1:10" x14ac:dyDescent="0.25">
      <c r="A730" s="362">
        <v>4</v>
      </c>
      <c r="B730" s="364">
        <v>44011</v>
      </c>
      <c r="C730" s="362" t="s">
        <v>146</v>
      </c>
      <c r="D730" s="560">
        <v>83895693</v>
      </c>
      <c r="E730" s="560">
        <v>62935819</v>
      </c>
      <c r="F730" s="560">
        <v>146831600</v>
      </c>
      <c r="G730" s="560">
        <f t="shared" si="17"/>
        <v>-88</v>
      </c>
      <c r="H730" s="560">
        <v>19146670</v>
      </c>
      <c r="I730" s="560"/>
      <c r="J730" s="560"/>
    </row>
    <row r="731" spans="1:10" x14ac:dyDescent="0.25">
      <c r="A731" s="362">
        <v>5</v>
      </c>
      <c r="B731" s="364">
        <v>44011</v>
      </c>
      <c r="C731" s="362" t="s">
        <v>86</v>
      </c>
      <c r="D731" s="560">
        <v>38215104</v>
      </c>
      <c r="E731" s="560">
        <v>9768000</v>
      </c>
      <c r="F731" s="560">
        <v>47983000</v>
      </c>
      <c r="G731" s="560">
        <f t="shared" si="17"/>
        <v>104</v>
      </c>
      <c r="H731" s="560">
        <v>8110392</v>
      </c>
      <c r="I731" s="560"/>
      <c r="J731" s="560"/>
    </row>
    <row r="732" spans="1:10" x14ac:dyDescent="0.25">
      <c r="A732" s="362">
        <v>6</v>
      </c>
      <c r="B732" s="364">
        <v>44011</v>
      </c>
      <c r="C732" s="362" t="s">
        <v>89</v>
      </c>
      <c r="D732" s="560">
        <v>113803895</v>
      </c>
      <c r="E732" s="560">
        <v>7159230</v>
      </c>
      <c r="F732" s="560">
        <v>120963200</v>
      </c>
      <c r="G732" s="560">
        <f t="shared" si="17"/>
        <v>-75</v>
      </c>
      <c r="H732" s="560">
        <v>8453394</v>
      </c>
      <c r="I732" s="560"/>
      <c r="J732" s="560"/>
    </row>
    <row r="733" spans="1:10" x14ac:dyDescent="0.25">
      <c r="A733" s="362">
        <v>7</v>
      </c>
      <c r="B733" s="364">
        <v>44011</v>
      </c>
      <c r="C733" s="362" t="s">
        <v>4751</v>
      </c>
      <c r="D733" s="560">
        <v>155405325</v>
      </c>
      <c r="E733" s="560">
        <v>8861075</v>
      </c>
      <c r="F733" s="560">
        <v>164266400</v>
      </c>
      <c r="G733" s="560">
        <f t="shared" si="17"/>
        <v>0</v>
      </c>
      <c r="H733" s="560">
        <v>4864885</v>
      </c>
      <c r="I733" s="560"/>
      <c r="J733" s="560"/>
    </row>
    <row r="734" spans="1:10" x14ac:dyDescent="0.25">
      <c r="A734" s="362">
        <v>8</v>
      </c>
      <c r="B734" s="364">
        <v>44011</v>
      </c>
      <c r="C734" s="362" t="s">
        <v>84</v>
      </c>
      <c r="D734" s="560">
        <v>163962457</v>
      </c>
      <c r="E734" s="560">
        <v>35903812</v>
      </c>
      <c r="F734" s="560">
        <v>199866300</v>
      </c>
      <c r="G734" s="560">
        <f t="shared" si="17"/>
        <v>-31</v>
      </c>
      <c r="H734" s="560">
        <v>5262013</v>
      </c>
      <c r="I734" s="560"/>
      <c r="J734" s="560"/>
    </row>
    <row r="735" spans="1:10" x14ac:dyDescent="0.25">
      <c r="A735" s="362">
        <v>9</v>
      </c>
      <c r="B735" s="364">
        <v>44011</v>
      </c>
      <c r="C735" s="362" t="s">
        <v>85</v>
      </c>
      <c r="D735" s="560">
        <v>21508650</v>
      </c>
      <c r="E735" s="560"/>
      <c r="F735" s="560">
        <v>21508700</v>
      </c>
      <c r="G735" s="560">
        <f t="shared" si="17"/>
        <v>-50</v>
      </c>
      <c r="H735" s="560"/>
      <c r="I735" s="560"/>
      <c r="J735" s="560"/>
    </row>
    <row r="736" spans="1:10" x14ac:dyDescent="0.25">
      <c r="A736" s="362">
        <v>10</v>
      </c>
      <c r="B736" s="364">
        <v>44011</v>
      </c>
      <c r="C736" s="362" t="s">
        <v>81</v>
      </c>
      <c r="D736" s="560">
        <v>82280544</v>
      </c>
      <c r="E736" s="560">
        <v>6523051</v>
      </c>
      <c r="F736" s="560">
        <v>88803600</v>
      </c>
      <c r="G736" s="560">
        <f t="shared" si="17"/>
        <v>-5</v>
      </c>
      <c r="H736" s="560">
        <v>7333304</v>
      </c>
      <c r="I736" s="560"/>
      <c r="J736" s="560"/>
    </row>
    <row r="737" spans="1:10" x14ac:dyDescent="0.25">
      <c r="A737" s="362">
        <v>11</v>
      </c>
      <c r="B737" s="364">
        <v>44011</v>
      </c>
      <c r="C737" s="362" t="s">
        <v>79</v>
      </c>
      <c r="D737" s="560">
        <v>43078797</v>
      </c>
      <c r="E737" s="560">
        <v>3619941</v>
      </c>
      <c r="F737" s="560">
        <v>46698800</v>
      </c>
      <c r="G737" s="560">
        <f t="shared" si="17"/>
        <v>-62</v>
      </c>
      <c r="H737" s="560">
        <v>2338564</v>
      </c>
      <c r="I737" s="560"/>
      <c r="J737" s="560"/>
    </row>
    <row r="738" spans="1:10" x14ac:dyDescent="0.25">
      <c r="A738" s="362">
        <v>12</v>
      </c>
      <c r="B738" s="364">
        <v>44011</v>
      </c>
      <c r="C738" s="362" t="s">
        <v>82</v>
      </c>
      <c r="D738" s="560">
        <v>70685360</v>
      </c>
      <c r="E738" s="560">
        <v>3753892</v>
      </c>
      <c r="F738" s="560">
        <v>74439300</v>
      </c>
      <c r="G738" s="560">
        <f t="shared" si="17"/>
        <v>-48</v>
      </c>
      <c r="H738" s="560">
        <v>3671636</v>
      </c>
      <c r="I738" s="560"/>
      <c r="J738" s="560"/>
    </row>
    <row r="739" spans="1:10" x14ac:dyDescent="0.25">
      <c r="A739" s="362">
        <v>13</v>
      </c>
      <c r="B739" s="364">
        <v>44011</v>
      </c>
      <c r="C739" s="362" t="s">
        <v>78</v>
      </c>
      <c r="D739" s="560">
        <v>55796350</v>
      </c>
      <c r="E739" s="560">
        <v>1817250</v>
      </c>
      <c r="F739" s="560">
        <v>57613600</v>
      </c>
      <c r="G739" s="560">
        <f t="shared" si="17"/>
        <v>0</v>
      </c>
      <c r="H739" s="560">
        <v>6593046</v>
      </c>
      <c r="I739" s="560"/>
      <c r="J739" s="560"/>
    </row>
    <row r="740" spans="1:10" x14ac:dyDescent="0.25">
      <c r="A740" s="362">
        <v>14</v>
      </c>
      <c r="B740" s="364">
        <v>44011</v>
      </c>
      <c r="C740" s="362" t="s">
        <v>166</v>
      </c>
      <c r="D740" s="560">
        <v>36308031</v>
      </c>
      <c r="E740" s="560"/>
      <c r="F740" s="560">
        <v>36308100</v>
      </c>
      <c r="G740" s="560">
        <f t="shared" si="17"/>
        <v>-69</v>
      </c>
      <c r="H740" s="560"/>
      <c r="I740" s="560"/>
      <c r="J740" s="560"/>
    </row>
    <row r="741" spans="1:10" x14ac:dyDescent="0.25">
      <c r="A741" s="362">
        <v>15</v>
      </c>
      <c r="B741" s="364">
        <v>44011</v>
      </c>
      <c r="C741" s="362" t="s">
        <v>3435</v>
      </c>
      <c r="D741" s="560"/>
      <c r="E741" s="560"/>
      <c r="F741" s="560">
        <v>29231000</v>
      </c>
      <c r="G741" s="560">
        <f t="shared" si="17"/>
        <v>-29231000</v>
      </c>
      <c r="H741" s="560"/>
      <c r="I741" s="560"/>
      <c r="J741" s="560"/>
    </row>
    <row r="742" spans="1:10" x14ac:dyDescent="0.25">
      <c r="A742" s="530"/>
      <c r="B742" s="530"/>
      <c r="C742" s="530"/>
      <c r="D742" s="562"/>
      <c r="E742" s="562"/>
      <c r="F742" s="562"/>
      <c r="G742" s="562">
        <f t="shared" si="17"/>
        <v>0</v>
      </c>
      <c r="H742" s="562"/>
      <c r="I742" s="562"/>
      <c r="J742" s="562"/>
    </row>
    <row r="743" spans="1:10" x14ac:dyDescent="0.25">
      <c r="A743" s="362">
        <v>1</v>
      </c>
      <c r="B743" s="364">
        <v>44012</v>
      </c>
      <c r="C743" s="362" t="s">
        <v>80</v>
      </c>
      <c r="D743" s="560">
        <v>260156317</v>
      </c>
      <c r="E743" s="560">
        <v>35992044</v>
      </c>
      <c r="F743" s="560">
        <v>296148200</v>
      </c>
      <c r="G743" s="560">
        <f t="shared" si="17"/>
        <v>161</v>
      </c>
      <c r="H743" s="560">
        <v>16391564</v>
      </c>
      <c r="I743" s="560"/>
      <c r="J743" s="560"/>
    </row>
    <row r="744" spans="1:10" x14ac:dyDescent="0.25">
      <c r="A744" s="362">
        <v>2</v>
      </c>
      <c r="B744" s="364">
        <v>44012</v>
      </c>
      <c r="C744" s="362" t="s">
        <v>83</v>
      </c>
      <c r="D744" s="560">
        <v>173285474</v>
      </c>
      <c r="E744" s="560">
        <v>21055844</v>
      </c>
      <c r="F744" s="560">
        <v>194345300</v>
      </c>
      <c r="G744" s="560">
        <f t="shared" si="17"/>
        <v>-3982</v>
      </c>
      <c r="H744" s="560">
        <v>9007869</v>
      </c>
      <c r="I744" s="560"/>
      <c r="J744" s="560"/>
    </row>
    <row r="745" spans="1:10" x14ac:dyDescent="0.25">
      <c r="A745" s="362">
        <v>3</v>
      </c>
      <c r="B745" s="364">
        <v>44012</v>
      </c>
      <c r="C745" s="362" t="s">
        <v>88</v>
      </c>
      <c r="D745" s="560">
        <v>96456200</v>
      </c>
      <c r="E745" s="560">
        <v>25294102</v>
      </c>
      <c r="F745" s="560">
        <v>121750400</v>
      </c>
      <c r="G745" s="560">
        <f t="shared" si="17"/>
        <v>-98</v>
      </c>
      <c r="H745" s="560">
        <v>721552</v>
      </c>
      <c r="I745" s="560"/>
      <c r="J745" s="560"/>
    </row>
    <row r="746" spans="1:10" x14ac:dyDescent="0.25">
      <c r="A746" s="362">
        <v>4</v>
      </c>
      <c r="B746" s="364">
        <v>44012</v>
      </c>
      <c r="C746" s="362" t="s">
        <v>146</v>
      </c>
      <c r="D746" s="560">
        <v>196439256</v>
      </c>
      <c r="E746" s="560">
        <v>98032157</v>
      </c>
      <c r="F746" s="560">
        <v>294471500</v>
      </c>
      <c r="G746" s="560">
        <f t="shared" si="17"/>
        <v>-87</v>
      </c>
      <c r="H746" s="560">
        <v>18571670</v>
      </c>
      <c r="I746" s="560"/>
      <c r="J746" s="560"/>
    </row>
    <row r="747" spans="1:10" x14ac:dyDescent="0.25">
      <c r="A747" s="362">
        <v>5</v>
      </c>
      <c r="B747" s="364">
        <v>44012</v>
      </c>
      <c r="C747" s="362" t="s">
        <v>86</v>
      </c>
      <c r="D747" s="560">
        <v>59345915</v>
      </c>
      <c r="E747" s="560">
        <v>4743295</v>
      </c>
      <c r="F747" s="560">
        <v>64089300</v>
      </c>
      <c r="G747" s="560">
        <f t="shared" si="17"/>
        <v>-90</v>
      </c>
      <c r="H747" s="560">
        <v>4335892</v>
      </c>
      <c r="I747" s="560"/>
      <c r="J747" s="560"/>
    </row>
    <row r="748" spans="1:10" x14ac:dyDescent="0.25">
      <c r="A748" s="362">
        <v>6</v>
      </c>
      <c r="B748" s="364">
        <v>44012</v>
      </c>
      <c r="C748" s="362" t="s">
        <v>89</v>
      </c>
      <c r="D748" s="560">
        <v>194455848</v>
      </c>
      <c r="E748" s="560">
        <v>3698752</v>
      </c>
      <c r="F748" s="560">
        <v>198154600</v>
      </c>
      <c r="G748" s="560">
        <f t="shared" si="17"/>
        <v>0</v>
      </c>
      <c r="H748" s="560">
        <v>5670641</v>
      </c>
      <c r="I748" s="560"/>
      <c r="J748" s="560"/>
    </row>
    <row r="749" spans="1:10" x14ac:dyDescent="0.25">
      <c r="A749" s="362">
        <v>7</v>
      </c>
      <c r="B749" s="364">
        <v>44012</v>
      </c>
      <c r="C749" s="362" t="s">
        <v>4751</v>
      </c>
      <c r="D749" s="560">
        <v>173019776</v>
      </c>
      <c r="E749" s="560">
        <v>16630224</v>
      </c>
      <c r="F749" s="560">
        <v>189650000</v>
      </c>
      <c r="G749" s="560">
        <f t="shared" si="17"/>
        <v>0</v>
      </c>
      <c r="H749" s="560">
        <v>4408945</v>
      </c>
      <c r="I749" s="560"/>
      <c r="J749" s="560"/>
    </row>
    <row r="750" spans="1:10" x14ac:dyDescent="0.25">
      <c r="A750" s="362">
        <v>8</v>
      </c>
      <c r="B750" s="364">
        <v>44012</v>
      </c>
      <c r="C750" s="362" t="s">
        <v>84</v>
      </c>
      <c r="D750" s="560">
        <v>305682426</v>
      </c>
      <c r="E750" s="560">
        <v>7728136</v>
      </c>
      <c r="F750" s="560">
        <v>313410700</v>
      </c>
      <c r="G750" s="560">
        <f t="shared" si="17"/>
        <v>-138</v>
      </c>
      <c r="H750" s="560">
        <v>5262013</v>
      </c>
      <c r="I750" s="560"/>
      <c r="J750" s="560"/>
    </row>
    <row r="751" spans="1:10" x14ac:dyDescent="0.25">
      <c r="A751" s="362">
        <v>9</v>
      </c>
      <c r="B751" s="364">
        <v>44012</v>
      </c>
      <c r="C751" s="362" t="s">
        <v>85</v>
      </c>
      <c r="D751" s="560">
        <v>29681200</v>
      </c>
      <c r="E751" s="560"/>
      <c r="F751" s="560">
        <v>29681200</v>
      </c>
      <c r="G751" s="560">
        <f t="shared" si="17"/>
        <v>0</v>
      </c>
      <c r="H751" s="560"/>
      <c r="I751" s="560"/>
      <c r="J751" s="560"/>
    </row>
    <row r="752" spans="1:10" x14ac:dyDescent="0.25">
      <c r="A752" s="362">
        <v>10</v>
      </c>
      <c r="B752" s="364">
        <v>44012</v>
      </c>
      <c r="C752" s="362" t="s">
        <v>81</v>
      </c>
      <c r="D752" s="560">
        <v>86447972</v>
      </c>
      <c r="E752" s="560">
        <v>20279430</v>
      </c>
      <c r="F752" s="560">
        <v>106727400</v>
      </c>
      <c r="G752" s="560">
        <f t="shared" si="17"/>
        <v>2</v>
      </c>
      <c r="H752" s="560">
        <v>15849826</v>
      </c>
      <c r="I752" s="560"/>
      <c r="J752" s="560"/>
    </row>
    <row r="753" spans="1:10" x14ac:dyDescent="0.25">
      <c r="A753" s="362">
        <v>11</v>
      </c>
      <c r="B753" s="364">
        <v>44012</v>
      </c>
      <c r="C753" s="362" t="s">
        <v>79</v>
      </c>
      <c r="D753" s="560">
        <v>77744033</v>
      </c>
      <c r="E753" s="560">
        <v>159490</v>
      </c>
      <c r="F753" s="560">
        <v>77903600</v>
      </c>
      <c r="G753" s="560">
        <f t="shared" si="17"/>
        <v>-77</v>
      </c>
      <c r="H753" s="560">
        <v>5807686</v>
      </c>
      <c r="I753" s="560"/>
      <c r="J753" s="560"/>
    </row>
    <row r="754" spans="1:10" x14ac:dyDescent="0.25">
      <c r="A754" s="362">
        <v>12</v>
      </c>
      <c r="B754" s="364">
        <v>44012</v>
      </c>
      <c r="C754" s="362" t="s">
        <v>82</v>
      </c>
      <c r="D754" s="560">
        <v>38590549</v>
      </c>
      <c r="E754" s="560">
        <v>7578000</v>
      </c>
      <c r="F754" s="560">
        <v>46168600</v>
      </c>
      <c r="G754" s="560">
        <f t="shared" si="17"/>
        <v>-51</v>
      </c>
      <c r="H754" s="560">
        <v>2328186</v>
      </c>
      <c r="I754" s="560"/>
      <c r="J754" s="560"/>
    </row>
    <row r="755" spans="1:10" x14ac:dyDescent="0.25">
      <c r="A755" s="362">
        <v>13</v>
      </c>
      <c r="B755" s="364">
        <v>44012</v>
      </c>
      <c r="C755" s="362" t="s">
        <v>78</v>
      </c>
      <c r="D755" s="560">
        <v>94946054</v>
      </c>
      <c r="E755" s="560">
        <v>4104946</v>
      </c>
      <c r="F755" s="560">
        <v>99051000</v>
      </c>
      <c r="G755" s="560">
        <f t="shared" si="17"/>
        <v>0</v>
      </c>
      <c r="H755" s="560">
        <v>15476056</v>
      </c>
      <c r="I755" s="560"/>
      <c r="J755" s="560"/>
    </row>
    <row r="756" spans="1:10" x14ac:dyDescent="0.25">
      <c r="A756" s="362">
        <v>14</v>
      </c>
      <c r="B756" s="364">
        <v>44012</v>
      </c>
      <c r="C756" s="362" t="s">
        <v>166</v>
      </c>
      <c r="D756" s="560">
        <v>49752414</v>
      </c>
      <c r="E756" s="560"/>
      <c r="F756" s="560">
        <v>49752500</v>
      </c>
      <c r="G756" s="560">
        <f t="shared" si="17"/>
        <v>-86</v>
      </c>
      <c r="H756" s="560"/>
      <c r="I756" s="560"/>
      <c r="J756" s="560"/>
    </row>
    <row r="757" spans="1:10" x14ac:dyDescent="0.25">
      <c r="A757" s="362">
        <v>15</v>
      </c>
      <c r="B757" s="364">
        <v>44012</v>
      </c>
      <c r="C757" s="362" t="s">
        <v>3435</v>
      </c>
      <c r="D757" s="560"/>
      <c r="E757" s="560"/>
      <c r="F757" s="560">
        <v>32445100</v>
      </c>
      <c r="G757" s="560">
        <f t="shared" si="17"/>
        <v>-32445100</v>
      </c>
      <c r="H757" s="560"/>
      <c r="I757" s="560"/>
      <c r="J757" s="560"/>
    </row>
    <row r="758" spans="1:10" x14ac:dyDescent="0.25">
      <c r="A758" s="530"/>
      <c r="B758" s="530"/>
      <c r="C758" s="530"/>
      <c r="D758" s="562"/>
      <c r="E758" s="562"/>
      <c r="F758" s="562"/>
      <c r="G758" s="562">
        <f t="shared" si="17"/>
        <v>0</v>
      </c>
      <c r="H758" s="562"/>
      <c r="I758" s="562"/>
      <c r="J758" s="562"/>
    </row>
    <row r="759" spans="1:10" x14ac:dyDescent="0.25">
      <c r="A759" s="362">
        <v>1</v>
      </c>
      <c r="B759" s="364">
        <v>44013</v>
      </c>
      <c r="C759" s="362" t="s">
        <v>80</v>
      </c>
      <c r="D759" s="560">
        <v>261186449</v>
      </c>
      <c r="E759" s="560"/>
      <c r="F759" s="560">
        <v>251186500</v>
      </c>
      <c r="G759" s="560">
        <f t="shared" si="17"/>
        <v>9999949</v>
      </c>
      <c r="H759" s="560">
        <v>3084677</v>
      </c>
      <c r="I759" s="560"/>
      <c r="J759" s="560"/>
    </row>
    <row r="760" spans="1:10" x14ac:dyDescent="0.25">
      <c r="A760" s="362">
        <v>2</v>
      </c>
      <c r="B760" s="364">
        <v>44013</v>
      </c>
      <c r="C760" s="362" t="s">
        <v>83</v>
      </c>
      <c r="D760" s="560">
        <v>397926985</v>
      </c>
      <c r="E760" s="560">
        <v>25705230</v>
      </c>
      <c r="F760" s="560">
        <v>423632300</v>
      </c>
      <c r="G760" s="560">
        <f t="shared" si="17"/>
        <v>-85</v>
      </c>
      <c r="H760" s="560">
        <v>5200259</v>
      </c>
      <c r="I760" s="560"/>
      <c r="J760" s="560"/>
    </row>
    <row r="761" spans="1:10" x14ac:dyDescent="0.25">
      <c r="A761" s="362">
        <v>3</v>
      </c>
      <c r="B761" s="364">
        <v>44013</v>
      </c>
      <c r="C761" s="362" t="s">
        <v>88</v>
      </c>
      <c r="D761" s="560">
        <v>199718714</v>
      </c>
      <c r="E761" s="560">
        <v>2152191</v>
      </c>
      <c r="F761" s="560">
        <v>201871000</v>
      </c>
      <c r="G761" s="560">
        <f t="shared" si="17"/>
        <v>-95</v>
      </c>
      <c r="H761" s="560">
        <v>14436451</v>
      </c>
      <c r="I761" s="560"/>
      <c r="J761" s="560"/>
    </row>
    <row r="762" spans="1:10" x14ac:dyDescent="0.25">
      <c r="A762" s="362">
        <v>4</v>
      </c>
      <c r="B762" s="364">
        <v>44013</v>
      </c>
      <c r="C762" s="362" t="s">
        <v>146</v>
      </c>
      <c r="D762" s="560">
        <v>59685508</v>
      </c>
      <c r="E762" s="560">
        <v>80750516</v>
      </c>
      <c r="F762" s="560">
        <v>140436400</v>
      </c>
      <c r="G762" s="560">
        <f t="shared" si="17"/>
        <v>-376</v>
      </c>
      <c r="H762" s="560">
        <v>15045670</v>
      </c>
      <c r="I762" s="560"/>
      <c r="J762" s="560"/>
    </row>
    <row r="763" spans="1:10" x14ac:dyDescent="0.25">
      <c r="A763" s="362">
        <v>5</v>
      </c>
      <c r="B763" s="364">
        <v>44013</v>
      </c>
      <c r="C763" s="362" t="s">
        <v>86</v>
      </c>
      <c r="D763" s="560">
        <v>48488368</v>
      </c>
      <c r="E763" s="560">
        <v>98469800</v>
      </c>
      <c r="F763" s="560">
        <v>146958200</v>
      </c>
      <c r="G763" s="560">
        <f t="shared" si="17"/>
        <v>-32</v>
      </c>
      <c r="H763" s="560">
        <v>4035892</v>
      </c>
      <c r="I763" s="560"/>
      <c r="J763" s="560"/>
    </row>
    <row r="764" spans="1:10" x14ac:dyDescent="0.25">
      <c r="A764" s="362">
        <v>6</v>
      </c>
      <c r="B764" s="364">
        <v>44013</v>
      </c>
      <c r="C764" s="362" t="s">
        <v>89</v>
      </c>
      <c r="D764" s="560">
        <v>130325700</v>
      </c>
      <c r="E764" s="560">
        <v>1454100</v>
      </c>
      <c r="F764" s="560">
        <v>131779800</v>
      </c>
      <c r="G764" s="560">
        <f t="shared" si="17"/>
        <v>0</v>
      </c>
      <c r="H764" s="560">
        <v>16621879</v>
      </c>
      <c r="I764" s="560"/>
      <c r="J764" s="560"/>
    </row>
    <row r="765" spans="1:10" x14ac:dyDescent="0.25">
      <c r="A765" s="362">
        <v>7</v>
      </c>
      <c r="B765" s="364">
        <v>44013</v>
      </c>
      <c r="C765" s="362" t="s">
        <v>4751</v>
      </c>
      <c r="D765" s="560">
        <v>164506063</v>
      </c>
      <c r="E765" s="560">
        <v>7231337</v>
      </c>
      <c r="F765" s="560">
        <v>171737400</v>
      </c>
      <c r="G765" s="560">
        <f t="shared" si="17"/>
        <v>0</v>
      </c>
      <c r="H765" s="560">
        <v>26085018</v>
      </c>
      <c r="I765" s="560"/>
      <c r="J765" s="560"/>
    </row>
    <row r="766" spans="1:10" x14ac:dyDescent="0.25">
      <c r="A766" s="362">
        <v>8</v>
      </c>
      <c r="B766" s="364">
        <v>44013</v>
      </c>
      <c r="C766" s="362" t="s">
        <v>84</v>
      </c>
      <c r="D766" s="560">
        <v>235160051</v>
      </c>
      <c r="E766" s="560">
        <v>104988240</v>
      </c>
      <c r="F766" s="560">
        <v>340148000</v>
      </c>
      <c r="G766" s="560">
        <f t="shared" si="17"/>
        <v>291</v>
      </c>
      <c r="H766" s="560">
        <v>19039889</v>
      </c>
      <c r="I766" s="560"/>
      <c r="J766" s="560"/>
    </row>
    <row r="767" spans="1:10" x14ac:dyDescent="0.25">
      <c r="A767" s="362">
        <v>9</v>
      </c>
      <c r="B767" s="364">
        <v>44013</v>
      </c>
      <c r="C767" s="362" t="s">
        <v>85</v>
      </c>
      <c r="D767" s="560">
        <v>39887767</v>
      </c>
      <c r="E767" s="560"/>
      <c r="F767" s="560">
        <v>39887800</v>
      </c>
      <c r="G767" s="560">
        <f t="shared" si="17"/>
        <v>-33</v>
      </c>
      <c r="H767" s="560"/>
      <c r="I767" s="560"/>
      <c r="J767" s="560"/>
    </row>
    <row r="768" spans="1:10" x14ac:dyDescent="0.25">
      <c r="A768" s="362">
        <v>10</v>
      </c>
      <c r="B768" s="364">
        <v>44013</v>
      </c>
      <c r="C768" s="362" t="s">
        <v>81</v>
      </c>
      <c r="D768" s="560">
        <v>110648460</v>
      </c>
      <c r="E768" s="560"/>
      <c r="F768" s="560">
        <v>117830400</v>
      </c>
      <c r="G768" s="560">
        <f t="shared" si="17"/>
        <v>-7181940</v>
      </c>
      <c r="H768" s="560">
        <v>14115328</v>
      </c>
      <c r="I768" s="560"/>
      <c r="J768" s="560"/>
    </row>
    <row r="769" spans="1:10" x14ac:dyDescent="0.25">
      <c r="A769" s="362">
        <v>11</v>
      </c>
      <c r="B769" s="364">
        <v>44013</v>
      </c>
      <c r="C769" s="362" t="s">
        <v>79</v>
      </c>
      <c r="D769" s="560">
        <v>52386032</v>
      </c>
      <c r="E769" s="560">
        <v>1023256</v>
      </c>
      <c r="F769" s="560">
        <v>47409300</v>
      </c>
      <c r="G769" s="560">
        <f t="shared" si="17"/>
        <v>5999988</v>
      </c>
      <c r="H769" s="560">
        <v>4867686</v>
      </c>
      <c r="I769" s="560"/>
      <c r="J769" s="560"/>
    </row>
    <row r="770" spans="1:10" x14ac:dyDescent="0.25">
      <c r="A770" s="362">
        <v>12</v>
      </c>
      <c r="B770" s="364">
        <v>44013</v>
      </c>
      <c r="C770" s="362" t="s">
        <v>82</v>
      </c>
      <c r="D770" s="560">
        <v>77804918</v>
      </c>
      <c r="E770" s="560"/>
      <c r="F770" s="560">
        <v>77805000</v>
      </c>
      <c r="G770" s="560">
        <f t="shared" si="17"/>
        <v>-82</v>
      </c>
      <c r="H770" s="560">
        <v>8310927</v>
      </c>
      <c r="I770" s="560"/>
      <c r="J770" s="560"/>
    </row>
    <row r="771" spans="1:10" x14ac:dyDescent="0.25">
      <c r="A771" s="362">
        <v>13</v>
      </c>
      <c r="B771" s="364">
        <v>44013</v>
      </c>
      <c r="C771" s="362" t="s">
        <v>78</v>
      </c>
      <c r="D771" s="560">
        <v>146418759</v>
      </c>
      <c r="E771" s="560">
        <v>1664041</v>
      </c>
      <c r="F771" s="560">
        <v>148082800</v>
      </c>
      <c r="G771" s="560">
        <f t="shared" si="17"/>
        <v>0</v>
      </c>
      <c r="H771" s="560">
        <v>14499431</v>
      </c>
      <c r="I771" s="560"/>
      <c r="J771" s="560"/>
    </row>
    <row r="772" spans="1:10" x14ac:dyDescent="0.25">
      <c r="A772" s="362">
        <v>14</v>
      </c>
      <c r="B772" s="364">
        <v>44013</v>
      </c>
      <c r="C772" s="362" t="s">
        <v>166</v>
      </c>
      <c r="D772" s="560">
        <v>67478350</v>
      </c>
      <c r="E772" s="560"/>
      <c r="F772" s="560">
        <v>67478400</v>
      </c>
      <c r="G772" s="560">
        <f t="shared" si="17"/>
        <v>-50</v>
      </c>
      <c r="H772" s="560"/>
      <c r="I772" s="560"/>
      <c r="J772" s="560"/>
    </row>
    <row r="773" spans="1:10" x14ac:dyDescent="0.25">
      <c r="A773" s="362">
        <v>15</v>
      </c>
      <c r="B773" s="364">
        <v>44013</v>
      </c>
      <c r="C773" s="362" t="s">
        <v>3435</v>
      </c>
      <c r="D773" s="560"/>
      <c r="E773" s="560"/>
      <c r="F773" s="560">
        <v>65331500</v>
      </c>
      <c r="G773" s="560">
        <f t="shared" si="17"/>
        <v>-65331500</v>
      </c>
      <c r="H773" s="560"/>
      <c r="I773" s="560"/>
      <c r="J773" s="560"/>
    </row>
    <row r="774" spans="1:10" x14ac:dyDescent="0.25">
      <c r="A774" s="530"/>
      <c r="B774" s="589"/>
      <c r="C774" s="530"/>
      <c r="D774" s="562"/>
      <c r="E774" s="562"/>
      <c r="F774" s="562"/>
      <c r="G774" s="562">
        <f t="shared" si="17"/>
        <v>0</v>
      </c>
      <c r="H774" s="562"/>
      <c r="I774" s="562"/>
      <c r="J774" s="562"/>
    </row>
    <row r="775" spans="1:10" x14ac:dyDescent="0.25">
      <c r="A775" s="362">
        <v>1</v>
      </c>
      <c r="B775" s="364">
        <v>44014</v>
      </c>
      <c r="C775" s="362" t="s">
        <v>80</v>
      </c>
      <c r="D775" s="560">
        <v>232733197</v>
      </c>
      <c r="E775" s="560">
        <v>26515731</v>
      </c>
      <c r="F775" s="560">
        <v>259250000</v>
      </c>
      <c r="G775" s="560">
        <f t="shared" ref="G775:G838" si="18">D775+E775-F775</f>
        <v>-1072</v>
      </c>
      <c r="H775" s="560">
        <v>12043011</v>
      </c>
      <c r="I775" s="560">
        <v>12043012</v>
      </c>
      <c r="J775" s="560">
        <f>H775-I775</f>
        <v>-1</v>
      </c>
    </row>
    <row r="776" spans="1:10" x14ac:dyDescent="0.25">
      <c r="A776" s="362">
        <v>2</v>
      </c>
      <c r="B776" s="364">
        <v>44014</v>
      </c>
      <c r="C776" s="362" t="s">
        <v>83</v>
      </c>
      <c r="D776" s="560">
        <v>201254899</v>
      </c>
      <c r="E776" s="560">
        <v>26964119</v>
      </c>
      <c r="F776" s="560">
        <v>228219000</v>
      </c>
      <c r="G776" s="560">
        <f t="shared" si="18"/>
        <v>18</v>
      </c>
      <c r="H776" s="560">
        <v>4639609</v>
      </c>
      <c r="I776" s="560">
        <v>4639609</v>
      </c>
      <c r="J776" s="560">
        <f t="shared" ref="J776:J789" si="19">H776-I776</f>
        <v>0</v>
      </c>
    </row>
    <row r="777" spans="1:10" x14ac:dyDescent="0.25">
      <c r="A777" s="362">
        <v>3</v>
      </c>
      <c r="B777" s="364">
        <v>44014</v>
      </c>
      <c r="C777" s="362" t="s">
        <v>88</v>
      </c>
      <c r="D777" s="560">
        <v>296489286</v>
      </c>
      <c r="E777" s="560">
        <v>66105795</v>
      </c>
      <c r="F777" s="560">
        <v>362595100</v>
      </c>
      <c r="G777" s="560">
        <f t="shared" si="18"/>
        <v>-19</v>
      </c>
      <c r="H777" s="560">
        <v>3280208</v>
      </c>
      <c r="I777" s="560"/>
      <c r="J777" s="560">
        <f t="shared" si="19"/>
        <v>3280208</v>
      </c>
    </row>
    <row r="778" spans="1:10" x14ac:dyDescent="0.25">
      <c r="A778" s="362">
        <v>4</v>
      </c>
      <c r="B778" s="364">
        <v>44014</v>
      </c>
      <c r="C778" s="362" t="s">
        <v>146</v>
      </c>
      <c r="D778" s="560">
        <v>74099730</v>
      </c>
      <c r="E778" s="560">
        <v>176012298</v>
      </c>
      <c r="F778" s="560">
        <v>250111600</v>
      </c>
      <c r="G778" s="560">
        <f t="shared" si="18"/>
        <v>428</v>
      </c>
      <c r="H778" s="560">
        <v>7697252</v>
      </c>
      <c r="I778" s="560"/>
      <c r="J778" s="560">
        <f t="shared" si="19"/>
        <v>7697252</v>
      </c>
    </row>
    <row r="779" spans="1:10" x14ac:dyDescent="0.25">
      <c r="A779" s="362">
        <v>5</v>
      </c>
      <c r="B779" s="364">
        <v>44014</v>
      </c>
      <c r="C779" s="362" t="s">
        <v>86</v>
      </c>
      <c r="D779" s="560">
        <v>66482865</v>
      </c>
      <c r="E779" s="560">
        <v>88634134</v>
      </c>
      <c r="F779" s="560">
        <v>155117000</v>
      </c>
      <c r="G779" s="560">
        <f t="shared" si="18"/>
        <v>-1</v>
      </c>
      <c r="H779" s="560">
        <v>1307204</v>
      </c>
      <c r="I779" s="560"/>
      <c r="J779" s="560">
        <f t="shared" si="19"/>
        <v>1307204</v>
      </c>
    </row>
    <row r="780" spans="1:10" x14ac:dyDescent="0.25">
      <c r="A780" s="362">
        <v>6</v>
      </c>
      <c r="B780" s="364">
        <v>44014</v>
      </c>
      <c r="C780" s="362" t="s">
        <v>89</v>
      </c>
      <c r="D780" s="560">
        <v>184065968</v>
      </c>
      <c r="E780" s="560">
        <v>5800932</v>
      </c>
      <c r="F780" s="560">
        <v>189866900</v>
      </c>
      <c r="G780" s="560">
        <f t="shared" si="18"/>
        <v>0</v>
      </c>
      <c r="H780" s="560">
        <v>8986497</v>
      </c>
      <c r="I780" s="560">
        <v>8986497</v>
      </c>
      <c r="J780" s="560">
        <f t="shared" si="19"/>
        <v>0</v>
      </c>
    </row>
    <row r="781" spans="1:10" x14ac:dyDescent="0.25">
      <c r="A781" s="362">
        <v>7</v>
      </c>
      <c r="B781" s="364">
        <v>44014</v>
      </c>
      <c r="C781" s="362" t="s">
        <v>4751</v>
      </c>
      <c r="D781" s="560">
        <v>299429850</v>
      </c>
      <c r="E781" s="560">
        <v>16989150</v>
      </c>
      <c r="F781" s="560">
        <v>316419000</v>
      </c>
      <c r="G781" s="560">
        <f t="shared" si="18"/>
        <v>0</v>
      </c>
      <c r="H781" s="560">
        <v>15446424</v>
      </c>
      <c r="I781" s="560"/>
      <c r="J781" s="560">
        <f t="shared" si="19"/>
        <v>15446424</v>
      </c>
    </row>
    <row r="782" spans="1:10" x14ac:dyDescent="0.25">
      <c r="A782" s="362">
        <v>8</v>
      </c>
      <c r="B782" s="364">
        <v>44014</v>
      </c>
      <c r="C782" s="362" t="s">
        <v>84</v>
      </c>
      <c r="D782" s="560">
        <v>285990113</v>
      </c>
      <c r="E782" s="560">
        <v>10075919</v>
      </c>
      <c r="F782" s="560">
        <v>296067700</v>
      </c>
      <c r="G782" s="560">
        <f t="shared" si="18"/>
        <v>-1668</v>
      </c>
      <c r="H782" s="560">
        <v>4632889</v>
      </c>
      <c r="I782" s="560">
        <v>4632889</v>
      </c>
      <c r="J782" s="560">
        <f t="shared" si="19"/>
        <v>0</v>
      </c>
    </row>
    <row r="783" spans="1:10" x14ac:dyDescent="0.25">
      <c r="A783" s="362">
        <v>9</v>
      </c>
      <c r="B783" s="364">
        <v>44014</v>
      </c>
      <c r="C783" s="362" t="s">
        <v>85</v>
      </c>
      <c r="D783" s="560">
        <v>27499800</v>
      </c>
      <c r="E783" s="560"/>
      <c r="F783" s="560">
        <v>27499800</v>
      </c>
      <c r="G783" s="560">
        <f t="shared" si="18"/>
        <v>0</v>
      </c>
      <c r="H783" s="560"/>
      <c r="I783" s="560"/>
      <c r="J783" s="560">
        <f t="shared" si="19"/>
        <v>0</v>
      </c>
    </row>
    <row r="784" spans="1:10" x14ac:dyDescent="0.25">
      <c r="A784" s="362">
        <v>10</v>
      </c>
      <c r="B784" s="364">
        <v>44014</v>
      </c>
      <c r="C784" s="362" t="s">
        <v>81</v>
      </c>
      <c r="D784" s="560">
        <v>71914078</v>
      </c>
      <c r="E784" s="560">
        <v>21871862</v>
      </c>
      <c r="F784" s="560">
        <v>93786000</v>
      </c>
      <c r="G784" s="560">
        <f t="shared" si="18"/>
        <v>-60</v>
      </c>
      <c r="H784" s="560">
        <v>11184140</v>
      </c>
      <c r="I784" s="560"/>
      <c r="J784" s="560">
        <f t="shared" si="19"/>
        <v>11184140</v>
      </c>
    </row>
    <row r="785" spans="1:10" x14ac:dyDescent="0.25">
      <c r="A785" s="362">
        <v>11</v>
      </c>
      <c r="B785" s="364">
        <v>44014</v>
      </c>
      <c r="C785" s="362" t="s">
        <v>79</v>
      </c>
      <c r="D785" s="560">
        <v>98097975</v>
      </c>
      <c r="E785" s="560">
        <v>324640</v>
      </c>
      <c r="F785" s="560">
        <v>98422700</v>
      </c>
      <c r="G785" s="560">
        <f t="shared" si="18"/>
        <v>-85</v>
      </c>
      <c r="H785" s="560">
        <v>3480586</v>
      </c>
      <c r="I785" s="560">
        <v>3480586</v>
      </c>
      <c r="J785" s="560">
        <f t="shared" si="19"/>
        <v>0</v>
      </c>
    </row>
    <row r="786" spans="1:10" x14ac:dyDescent="0.25">
      <c r="A786" s="362">
        <v>12</v>
      </c>
      <c r="B786" s="364">
        <v>44014</v>
      </c>
      <c r="C786" s="362" t="s">
        <v>82</v>
      </c>
      <c r="D786" s="560">
        <v>58361335</v>
      </c>
      <c r="E786" s="560"/>
      <c r="F786" s="560">
        <v>58361400</v>
      </c>
      <c r="G786" s="560">
        <f t="shared" si="18"/>
        <v>-65</v>
      </c>
      <c r="H786" s="560">
        <v>5202527</v>
      </c>
      <c r="I786" s="560">
        <v>5202527</v>
      </c>
      <c r="J786" s="560">
        <f t="shared" si="19"/>
        <v>0</v>
      </c>
    </row>
    <row r="787" spans="1:10" x14ac:dyDescent="0.25">
      <c r="A787" s="362">
        <v>13</v>
      </c>
      <c r="B787" s="364">
        <v>44014</v>
      </c>
      <c r="C787" s="362" t="s">
        <v>78</v>
      </c>
      <c r="D787" s="560">
        <v>62889955</v>
      </c>
      <c r="E787" s="560">
        <v>3300345</v>
      </c>
      <c r="F787" s="560">
        <v>66190300</v>
      </c>
      <c r="G787" s="560">
        <f t="shared" si="18"/>
        <v>0</v>
      </c>
      <c r="H787" s="560">
        <v>8775831</v>
      </c>
      <c r="I787" s="560">
        <v>8775831</v>
      </c>
      <c r="J787" s="560">
        <f t="shared" si="19"/>
        <v>0</v>
      </c>
    </row>
    <row r="788" spans="1:10" x14ac:dyDescent="0.25">
      <c r="A788" s="362">
        <v>14</v>
      </c>
      <c r="B788" s="364">
        <v>44014</v>
      </c>
      <c r="C788" s="362" t="s">
        <v>166</v>
      </c>
      <c r="D788" s="560">
        <v>74840543</v>
      </c>
      <c r="E788" s="560"/>
      <c r="F788" s="560">
        <v>74840500</v>
      </c>
      <c r="G788" s="560">
        <f t="shared" si="18"/>
        <v>43</v>
      </c>
      <c r="H788" s="560"/>
      <c r="I788" s="560"/>
      <c r="J788" s="560">
        <f t="shared" si="19"/>
        <v>0</v>
      </c>
    </row>
    <row r="789" spans="1:10" x14ac:dyDescent="0.25">
      <c r="A789" s="362">
        <v>15</v>
      </c>
      <c r="B789" s="364">
        <v>44014</v>
      </c>
      <c r="C789" s="362" t="s">
        <v>3435</v>
      </c>
      <c r="D789" s="560"/>
      <c r="E789" s="560"/>
      <c r="F789" s="560">
        <v>46362800</v>
      </c>
      <c r="G789" s="560">
        <f t="shared" si="18"/>
        <v>-46362800</v>
      </c>
      <c r="H789" s="560"/>
      <c r="I789" s="560"/>
      <c r="J789" s="560">
        <f t="shared" si="19"/>
        <v>0</v>
      </c>
    </row>
    <row r="790" spans="1:10" x14ac:dyDescent="0.25">
      <c r="A790" s="530"/>
      <c r="B790" s="589"/>
      <c r="C790" s="530"/>
      <c r="D790" s="562"/>
      <c r="E790" s="562"/>
      <c r="F790" s="562"/>
      <c r="G790" s="562">
        <f t="shared" si="18"/>
        <v>0</v>
      </c>
      <c r="H790" s="562"/>
      <c r="I790" s="562"/>
      <c r="J790" s="562"/>
    </row>
    <row r="791" spans="1:10" x14ac:dyDescent="0.25">
      <c r="A791" s="362">
        <v>1</v>
      </c>
      <c r="B791" s="364">
        <v>44015</v>
      </c>
      <c r="C791" s="362" t="s">
        <v>80</v>
      </c>
      <c r="D791" s="560">
        <v>227589169</v>
      </c>
      <c r="E791" s="560">
        <v>30322388</v>
      </c>
      <c r="F791" s="560">
        <v>257912400</v>
      </c>
      <c r="G791" s="560">
        <f t="shared" si="18"/>
        <v>-843</v>
      </c>
      <c r="H791" s="560">
        <v>16391964</v>
      </c>
      <c r="I791" s="560"/>
      <c r="J791" s="560">
        <f>H791-I791</f>
        <v>16391964</v>
      </c>
    </row>
    <row r="792" spans="1:10" x14ac:dyDescent="0.25">
      <c r="A792" s="362">
        <v>2</v>
      </c>
      <c r="B792" s="364">
        <v>44015</v>
      </c>
      <c r="C792" s="362" t="s">
        <v>83</v>
      </c>
      <c r="D792" s="560">
        <v>303253544</v>
      </c>
      <c r="E792" s="560">
        <v>3462443</v>
      </c>
      <c r="F792" s="560">
        <v>306716000</v>
      </c>
      <c r="G792" s="560">
        <f t="shared" si="18"/>
        <v>-13</v>
      </c>
      <c r="H792" s="560">
        <v>737984</v>
      </c>
      <c r="I792" s="560"/>
      <c r="J792" s="560">
        <f t="shared" ref="J792:J805" si="20">H792-I792</f>
        <v>737984</v>
      </c>
    </row>
    <row r="793" spans="1:10" x14ac:dyDescent="0.25">
      <c r="A793" s="362">
        <v>3</v>
      </c>
      <c r="B793" s="364">
        <v>44015</v>
      </c>
      <c r="C793" s="362" t="s">
        <v>88</v>
      </c>
      <c r="D793" s="560">
        <v>134255110</v>
      </c>
      <c r="E793" s="560">
        <v>53918094</v>
      </c>
      <c r="F793" s="560">
        <v>188173300</v>
      </c>
      <c r="G793" s="560">
        <f t="shared" si="18"/>
        <v>-96</v>
      </c>
      <c r="H793" s="560">
        <v>3280648</v>
      </c>
      <c r="I793" s="560">
        <v>3280648</v>
      </c>
      <c r="J793" s="560">
        <f t="shared" si="20"/>
        <v>0</v>
      </c>
    </row>
    <row r="794" spans="1:10" x14ac:dyDescent="0.25">
      <c r="A794" s="362">
        <v>4</v>
      </c>
      <c r="B794" s="364">
        <v>44015</v>
      </c>
      <c r="C794" s="362" t="s">
        <v>146</v>
      </c>
      <c r="D794" s="560">
        <v>55643370</v>
      </c>
      <c r="E794" s="560">
        <v>48482388</v>
      </c>
      <c r="F794" s="560">
        <v>104126200</v>
      </c>
      <c r="G794" s="560">
        <f t="shared" si="18"/>
        <v>-442</v>
      </c>
      <c r="H794" s="560">
        <v>5677637</v>
      </c>
      <c r="I794" s="560">
        <v>5677637</v>
      </c>
      <c r="J794" s="560">
        <f t="shared" si="20"/>
        <v>0</v>
      </c>
    </row>
    <row r="795" spans="1:10" x14ac:dyDescent="0.25">
      <c r="A795" s="362">
        <v>5</v>
      </c>
      <c r="B795" s="364">
        <v>44015</v>
      </c>
      <c r="C795" s="362" t="s">
        <v>86</v>
      </c>
      <c r="D795" s="560">
        <v>76619303</v>
      </c>
      <c r="E795" s="560">
        <v>11918000</v>
      </c>
      <c r="F795" s="560">
        <v>88537400</v>
      </c>
      <c r="G795" s="560">
        <f t="shared" si="18"/>
        <v>-97</v>
      </c>
      <c r="H795" s="560">
        <v>1007204</v>
      </c>
      <c r="I795" s="560">
        <v>1307204</v>
      </c>
      <c r="J795" s="560">
        <f t="shared" si="20"/>
        <v>-300000</v>
      </c>
    </row>
    <row r="796" spans="1:10" x14ac:dyDescent="0.25">
      <c r="A796" s="362">
        <v>6</v>
      </c>
      <c r="B796" s="364">
        <v>44015</v>
      </c>
      <c r="C796" s="362" t="s">
        <v>89</v>
      </c>
      <c r="D796" s="560">
        <v>258218885</v>
      </c>
      <c r="E796" s="560">
        <v>4615515</v>
      </c>
      <c r="F796" s="560">
        <v>262834400</v>
      </c>
      <c r="G796" s="560">
        <f t="shared" si="18"/>
        <v>0</v>
      </c>
      <c r="H796" s="560"/>
      <c r="I796" s="560">
        <v>8948497</v>
      </c>
      <c r="J796" s="560">
        <f t="shared" si="20"/>
        <v>-8948497</v>
      </c>
    </row>
    <row r="797" spans="1:10" x14ac:dyDescent="0.25">
      <c r="A797" s="362">
        <v>7</v>
      </c>
      <c r="B797" s="364">
        <v>44015</v>
      </c>
      <c r="C797" s="362" t="s">
        <v>4751</v>
      </c>
      <c r="D797" s="560">
        <v>127502820</v>
      </c>
      <c r="E797" s="560">
        <v>10293580</v>
      </c>
      <c r="F797" s="560">
        <v>137796400</v>
      </c>
      <c r="G797" s="560">
        <f t="shared" si="18"/>
        <v>0</v>
      </c>
      <c r="H797" s="560">
        <v>11114524</v>
      </c>
      <c r="I797" s="560">
        <v>11603924</v>
      </c>
      <c r="J797" s="560">
        <f t="shared" si="20"/>
        <v>-489400</v>
      </c>
    </row>
    <row r="798" spans="1:10" x14ac:dyDescent="0.25">
      <c r="A798" s="362">
        <v>8</v>
      </c>
      <c r="B798" s="364">
        <v>44015</v>
      </c>
      <c r="C798" s="362" t="s">
        <v>84</v>
      </c>
      <c r="D798" s="560">
        <v>236252100</v>
      </c>
      <c r="E798" s="560">
        <v>10300909</v>
      </c>
      <c r="F798" s="560">
        <v>246552900</v>
      </c>
      <c r="G798" s="560">
        <f t="shared" si="18"/>
        <v>109</v>
      </c>
      <c r="H798" s="560">
        <v>4632889</v>
      </c>
      <c r="I798" s="560"/>
      <c r="J798" s="560">
        <f t="shared" si="20"/>
        <v>4632889</v>
      </c>
    </row>
    <row r="799" spans="1:10" x14ac:dyDescent="0.25">
      <c r="A799" s="362">
        <v>9</v>
      </c>
      <c r="B799" s="364">
        <v>44015</v>
      </c>
      <c r="C799" s="362" t="s">
        <v>85</v>
      </c>
      <c r="D799" s="560">
        <v>24184763</v>
      </c>
      <c r="E799" s="560">
        <v>1050754</v>
      </c>
      <c r="F799" s="560">
        <v>25235600</v>
      </c>
      <c r="G799" s="560">
        <f t="shared" si="18"/>
        <v>-83</v>
      </c>
      <c r="H799" s="560"/>
      <c r="I799" s="560"/>
      <c r="J799" s="560">
        <f t="shared" si="20"/>
        <v>0</v>
      </c>
    </row>
    <row r="800" spans="1:10" x14ac:dyDescent="0.25">
      <c r="A800" s="362">
        <v>10</v>
      </c>
      <c r="B800" s="364">
        <v>44015</v>
      </c>
      <c r="C800" s="362" t="s">
        <v>81</v>
      </c>
      <c r="D800" s="560">
        <v>57075976</v>
      </c>
      <c r="E800" s="560">
        <v>19964642</v>
      </c>
      <c r="F800" s="560">
        <v>77040700</v>
      </c>
      <c r="G800" s="560">
        <f t="shared" si="18"/>
        <v>-82</v>
      </c>
      <c r="H800" s="560">
        <v>4646240</v>
      </c>
      <c r="I800" s="560">
        <v>4646240</v>
      </c>
      <c r="J800" s="560">
        <f t="shared" si="20"/>
        <v>0</v>
      </c>
    </row>
    <row r="801" spans="1:10" x14ac:dyDescent="0.25">
      <c r="A801" s="362">
        <v>11</v>
      </c>
      <c r="B801" s="364">
        <v>44015</v>
      </c>
      <c r="C801" s="362" t="s">
        <v>79</v>
      </c>
      <c r="D801" s="560">
        <v>50138257</v>
      </c>
      <c r="E801" s="560">
        <v>17825781</v>
      </c>
      <c r="F801" s="560">
        <v>67964100</v>
      </c>
      <c r="G801" s="560">
        <f t="shared" si="18"/>
        <v>-62</v>
      </c>
      <c r="H801" s="560">
        <v>3220586</v>
      </c>
      <c r="I801" s="560"/>
      <c r="J801" s="560">
        <f t="shared" si="20"/>
        <v>3220586</v>
      </c>
    </row>
    <row r="802" spans="1:10" x14ac:dyDescent="0.25">
      <c r="A802" s="362">
        <v>12</v>
      </c>
      <c r="B802" s="364">
        <v>44015</v>
      </c>
      <c r="C802" s="362" t="s">
        <v>82</v>
      </c>
      <c r="D802" s="560">
        <v>230103024</v>
      </c>
      <c r="E802" s="560">
        <v>3011600</v>
      </c>
      <c r="F802" s="560">
        <v>233114700</v>
      </c>
      <c r="G802" s="560">
        <f t="shared" si="18"/>
        <v>-76</v>
      </c>
      <c r="H802" s="560">
        <v>5202527</v>
      </c>
      <c r="I802" s="560"/>
      <c r="J802" s="560">
        <f t="shared" si="20"/>
        <v>5202527</v>
      </c>
    </row>
    <row r="803" spans="1:10" x14ac:dyDescent="0.25">
      <c r="A803" s="362">
        <v>13</v>
      </c>
      <c r="B803" s="364">
        <v>44015</v>
      </c>
      <c r="C803" s="362" t="s">
        <v>78</v>
      </c>
      <c r="D803" s="560">
        <v>80884816</v>
      </c>
      <c r="E803" s="560">
        <v>2827884</v>
      </c>
      <c r="F803" s="560">
        <v>83712700</v>
      </c>
      <c r="G803" s="560">
        <f t="shared" si="18"/>
        <v>0</v>
      </c>
      <c r="H803" s="560">
        <v>8775831</v>
      </c>
      <c r="I803" s="560"/>
      <c r="J803" s="560">
        <f t="shared" si="20"/>
        <v>8775831</v>
      </c>
    </row>
    <row r="804" spans="1:10" x14ac:dyDescent="0.25">
      <c r="A804" s="362">
        <v>14</v>
      </c>
      <c r="B804" s="364">
        <v>44015</v>
      </c>
      <c r="C804" s="362" t="s">
        <v>166</v>
      </c>
      <c r="D804" s="560">
        <v>67861955</v>
      </c>
      <c r="E804" s="560"/>
      <c r="F804" s="560">
        <v>67862000</v>
      </c>
      <c r="G804" s="560">
        <f t="shared" si="18"/>
        <v>-45</v>
      </c>
      <c r="H804" s="560"/>
      <c r="I804" s="560"/>
      <c r="J804" s="560">
        <f t="shared" si="20"/>
        <v>0</v>
      </c>
    </row>
    <row r="805" spans="1:10" x14ac:dyDescent="0.25">
      <c r="A805" s="362">
        <v>15</v>
      </c>
      <c r="B805" s="364">
        <v>44015</v>
      </c>
      <c r="C805" s="362" t="s">
        <v>3435</v>
      </c>
      <c r="D805" s="560"/>
      <c r="E805" s="560"/>
      <c r="F805" s="560">
        <v>30065800</v>
      </c>
      <c r="G805" s="560">
        <f t="shared" si="18"/>
        <v>-30065800</v>
      </c>
      <c r="H805" s="560"/>
      <c r="I805" s="560"/>
      <c r="J805" s="560">
        <f t="shared" si="20"/>
        <v>0</v>
      </c>
    </row>
    <row r="806" spans="1:10" x14ac:dyDescent="0.25">
      <c r="A806" s="530"/>
      <c r="B806" s="589"/>
      <c r="C806" s="530"/>
      <c r="D806" s="562"/>
      <c r="E806" s="562"/>
      <c r="F806" s="562"/>
      <c r="G806" s="562">
        <f t="shared" si="18"/>
        <v>0</v>
      </c>
      <c r="H806" s="562"/>
      <c r="I806" s="562"/>
      <c r="J806" s="562"/>
    </row>
    <row r="807" spans="1:10" x14ac:dyDescent="0.25">
      <c r="A807" s="362">
        <v>1</v>
      </c>
      <c r="B807" s="364">
        <v>44016</v>
      </c>
      <c r="C807" s="362" t="s">
        <v>80</v>
      </c>
      <c r="D807" s="560">
        <v>145089810</v>
      </c>
      <c r="E807" s="560"/>
      <c r="F807" s="560">
        <v>145090100</v>
      </c>
      <c r="G807" s="560">
        <f t="shared" si="18"/>
        <v>-290</v>
      </c>
      <c r="H807" s="560">
        <v>12043011</v>
      </c>
      <c r="I807" s="560"/>
      <c r="J807" s="560"/>
    </row>
    <row r="808" spans="1:10" x14ac:dyDescent="0.25">
      <c r="A808" s="362">
        <v>2</v>
      </c>
      <c r="B808" s="364">
        <v>44016</v>
      </c>
      <c r="C808" s="362" t="s">
        <v>83</v>
      </c>
      <c r="D808" s="560">
        <v>262876981</v>
      </c>
      <c r="E808" s="560">
        <v>30910731</v>
      </c>
      <c r="F808" s="560">
        <v>293787800</v>
      </c>
      <c r="G808" s="560">
        <f t="shared" si="18"/>
        <v>-88</v>
      </c>
      <c r="H808" s="560">
        <v>587984</v>
      </c>
      <c r="I808" s="560"/>
      <c r="J808" s="560"/>
    </row>
    <row r="809" spans="1:10" x14ac:dyDescent="0.25">
      <c r="A809" s="362">
        <v>3</v>
      </c>
      <c r="B809" s="364">
        <v>44016</v>
      </c>
      <c r="C809" s="362" t="s">
        <v>88</v>
      </c>
      <c r="D809" s="560">
        <v>135238477</v>
      </c>
      <c r="E809" s="560">
        <v>16212748</v>
      </c>
      <c r="F809" s="560">
        <v>151451500</v>
      </c>
      <c r="G809" s="560">
        <f t="shared" si="18"/>
        <v>-275</v>
      </c>
      <c r="H809" s="560">
        <v>3280608</v>
      </c>
      <c r="I809" s="560"/>
      <c r="J809" s="560"/>
    </row>
    <row r="810" spans="1:10" x14ac:dyDescent="0.25">
      <c r="A810" s="362">
        <v>4</v>
      </c>
      <c r="B810" s="364">
        <v>44016</v>
      </c>
      <c r="C810" s="362" t="s">
        <v>146</v>
      </c>
      <c r="D810" s="560">
        <v>58622011</v>
      </c>
      <c r="E810" s="560">
        <v>49465703</v>
      </c>
      <c r="F810" s="560">
        <v>108087900</v>
      </c>
      <c r="G810" s="560">
        <f t="shared" si="18"/>
        <v>-186</v>
      </c>
      <c r="H810" s="560">
        <v>5038537</v>
      </c>
      <c r="I810" s="560"/>
      <c r="J810" s="560"/>
    </row>
    <row r="811" spans="1:10" x14ac:dyDescent="0.25">
      <c r="A811" s="362">
        <v>5</v>
      </c>
      <c r="B811" s="364">
        <v>44016</v>
      </c>
      <c r="C811" s="362" t="s">
        <v>86</v>
      </c>
      <c r="D811" s="560">
        <v>67078474</v>
      </c>
      <c r="E811" s="560">
        <v>22825700</v>
      </c>
      <c r="F811" s="560">
        <v>89905000</v>
      </c>
      <c r="G811" s="560">
        <f t="shared" si="18"/>
        <v>-826</v>
      </c>
      <c r="H811" s="560">
        <v>1307204</v>
      </c>
      <c r="I811" s="560"/>
      <c r="J811" s="560"/>
    </row>
    <row r="812" spans="1:10" x14ac:dyDescent="0.25">
      <c r="A812" s="362">
        <v>6</v>
      </c>
      <c r="B812" s="364">
        <v>44016</v>
      </c>
      <c r="C812" s="362" t="s">
        <v>89</v>
      </c>
      <c r="D812" s="560">
        <v>105283542</v>
      </c>
      <c r="E812" s="560">
        <v>3352158</v>
      </c>
      <c r="F812" s="560">
        <v>108635700</v>
      </c>
      <c r="G812" s="560">
        <f t="shared" si="18"/>
        <v>0</v>
      </c>
      <c r="H812" s="560">
        <v>8753997</v>
      </c>
      <c r="I812" s="560"/>
      <c r="J812" s="560"/>
    </row>
    <row r="813" spans="1:10" x14ac:dyDescent="0.25">
      <c r="A813" s="362">
        <v>7</v>
      </c>
      <c r="B813" s="364">
        <v>44016</v>
      </c>
      <c r="C813" s="362" t="s">
        <v>4751</v>
      </c>
      <c r="D813" s="560">
        <v>223671383</v>
      </c>
      <c r="E813" s="560">
        <v>11767117</v>
      </c>
      <c r="F813" s="560">
        <v>235438500</v>
      </c>
      <c r="G813" s="560">
        <f t="shared" si="18"/>
        <v>0</v>
      </c>
      <c r="H813" s="560">
        <v>11114524</v>
      </c>
      <c r="I813" s="560"/>
      <c r="J813" s="560"/>
    </row>
    <row r="814" spans="1:10" x14ac:dyDescent="0.25">
      <c r="A814" s="362">
        <v>8</v>
      </c>
      <c r="B814" s="364">
        <v>44016</v>
      </c>
      <c r="C814" s="362" t="s">
        <v>84</v>
      </c>
      <c r="D814" s="560">
        <v>198944472</v>
      </c>
      <c r="E814" s="560">
        <v>7704066</v>
      </c>
      <c r="F814" s="560">
        <v>206648700</v>
      </c>
      <c r="G814" s="560">
        <f t="shared" si="18"/>
        <v>-162</v>
      </c>
      <c r="H814" s="560">
        <v>4632889</v>
      </c>
      <c r="I814" s="560"/>
      <c r="J814" s="560"/>
    </row>
    <row r="815" spans="1:10" x14ac:dyDescent="0.25">
      <c r="A815" s="362">
        <v>9</v>
      </c>
      <c r="B815" s="364">
        <v>44016</v>
      </c>
      <c r="C815" s="362" t="s">
        <v>81</v>
      </c>
      <c r="D815" s="560">
        <v>127018535</v>
      </c>
      <c r="E815" s="560">
        <v>11471150</v>
      </c>
      <c r="F815" s="560">
        <v>138489700</v>
      </c>
      <c r="G815" s="560">
        <f t="shared" si="18"/>
        <v>-15</v>
      </c>
      <c r="H815" s="560">
        <v>3688340</v>
      </c>
      <c r="I815" s="560"/>
      <c r="J815" s="560"/>
    </row>
    <row r="816" spans="1:10" x14ac:dyDescent="0.25">
      <c r="A816" s="362">
        <v>10</v>
      </c>
      <c r="B816" s="364">
        <v>44016</v>
      </c>
      <c r="C816" s="362" t="s">
        <v>79</v>
      </c>
      <c r="D816" s="560">
        <v>25381296</v>
      </c>
      <c r="E816" s="560">
        <v>1428754</v>
      </c>
      <c r="F816" s="560">
        <v>26266300</v>
      </c>
      <c r="G816" s="560">
        <f t="shared" si="18"/>
        <v>543750</v>
      </c>
      <c r="H816" s="560">
        <v>3203086</v>
      </c>
      <c r="I816" s="560"/>
      <c r="J816" s="560"/>
    </row>
    <row r="817" spans="1:10" x14ac:dyDescent="0.25">
      <c r="A817" s="362">
        <v>11</v>
      </c>
      <c r="B817" s="364">
        <v>44016</v>
      </c>
      <c r="C817" s="362" t="s">
        <v>82</v>
      </c>
      <c r="D817" s="560">
        <v>89802112</v>
      </c>
      <c r="E817" s="560"/>
      <c r="F817" s="560">
        <v>89802200</v>
      </c>
      <c r="G817" s="560">
        <f t="shared" si="18"/>
        <v>-88</v>
      </c>
      <c r="H817" s="560">
        <v>5202527</v>
      </c>
      <c r="I817" s="560"/>
      <c r="J817" s="560"/>
    </row>
    <row r="818" spans="1:10" x14ac:dyDescent="0.25">
      <c r="A818" s="362">
        <v>12</v>
      </c>
      <c r="B818" s="364">
        <v>44016</v>
      </c>
      <c r="C818" s="362" t="s">
        <v>78</v>
      </c>
      <c r="D818" s="560">
        <v>83145392</v>
      </c>
      <c r="E818" s="560">
        <v>2401508</v>
      </c>
      <c r="F818" s="560">
        <v>85546900</v>
      </c>
      <c r="G818" s="560">
        <f t="shared" si="18"/>
        <v>0</v>
      </c>
      <c r="H818" s="560">
        <v>7458339</v>
      </c>
      <c r="I818" s="560"/>
      <c r="J818" s="560"/>
    </row>
    <row r="819" spans="1:10" x14ac:dyDescent="0.25">
      <c r="A819" s="362">
        <v>13</v>
      </c>
      <c r="B819" s="364">
        <v>44016</v>
      </c>
      <c r="C819" s="362" t="s">
        <v>85</v>
      </c>
      <c r="D819" s="560">
        <v>15047700</v>
      </c>
      <c r="E819" s="560"/>
      <c r="F819" s="560">
        <v>15047700</v>
      </c>
      <c r="G819" s="560">
        <f t="shared" si="18"/>
        <v>0</v>
      </c>
      <c r="H819" s="560"/>
      <c r="I819" s="560"/>
      <c r="J819" s="560"/>
    </row>
    <row r="820" spans="1:10" x14ac:dyDescent="0.25">
      <c r="A820" s="362">
        <v>14</v>
      </c>
      <c r="B820" s="364">
        <v>44016</v>
      </c>
      <c r="C820" s="362" t="s">
        <v>166</v>
      </c>
      <c r="D820" s="560"/>
      <c r="E820" s="560"/>
      <c r="F820" s="560"/>
      <c r="G820" s="560">
        <f t="shared" si="18"/>
        <v>0</v>
      </c>
      <c r="H820" s="560"/>
      <c r="I820" s="560"/>
      <c r="J820" s="560"/>
    </row>
    <row r="821" spans="1:10" x14ac:dyDescent="0.25">
      <c r="A821" s="362">
        <v>15</v>
      </c>
      <c r="B821" s="364">
        <v>44016</v>
      </c>
      <c r="C821" s="362" t="s">
        <v>3435</v>
      </c>
      <c r="D821" s="560"/>
      <c r="E821" s="560"/>
      <c r="F821" s="560"/>
      <c r="G821" s="560">
        <f t="shared" si="18"/>
        <v>0</v>
      </c>
      <c r="H821" s="560"/>
      <c r="I821" s="560"/>
      <c r="J821" s="560"/>
    </row>
    <row r="822" spans="1:10" x14ac:dyDescent="0.25">
      <c r="A822" s="530"/>
      <c r="B822" s="589"/>
      <c r="C822" s="530"/>
      <c r="D822" s="562"/>
      <c r="E822" s="562"/>
      <c r="F822" s="562"/>
      <c r="G822" s="562">
        <f t="shared" si="18"/>
        <v>0</v>
      </c>
      <c r="H822" s="562"/>
      <c r="I822" s="562"/>
      <c r="J822" s="562"/>
    </row>
    <row r="823" spans="1:10" x14ac:dyDescent="0.25">
      <c r="A823" s="362">
        <v>1</v>
      </c>
      <c r="B823" s="364">
        <v>44018</v>
      </c>
      <c r="C823" s="362" t="s">
        <v>80</v>
      </c>
      <c r="D823" s="560">
        <v>152671633</v>
      </c>
      <c r="E823" s="560"/>
      <c r="F823" s="560">
        <v>152672100</v>
      </c>
      <c r="G823" s="560">
        <f t="shared" si="18"/>
        <v>-467</v>
      </c>
      <c r="H823" s="560">
        <v>38000000</v>
      </c>
      <c r="I823" s="560"/>
      <c r="J823" s="560"/>
    </row>
    <row r="824" spans="1:10" x14ac:dyDescent="0.25">
      <c r="A824" s="362">
        <v>2</v>
      </c>
      <c r="B824" s="364">
        <v>44018</v>
      </c>
      <c r="C824" s="362" t="s">
        <v>83</v>
      </c>
      <c r="D824" s="560">
        <v>284548406</v>
      </c>
      <c r="E824" s="560">
        <v>14802542</v>
      </c>
      <c r="F824" s="560">
        <v>299351000</v>
      </c>
      <c r="G824" s="560">
        <f t="shared" si="18"/>
        <v>-52</v>
      </c>
      <c r="H824" s="560">
        <v>9999414</v>
      </c>
      <c r="I824" s="560"/>
      <c r="J824" s="560"/>
    </row>
    <row r="825" spans="1:10" x14ac:dyDescent="0.25">
      <c r="A825" s="362">
        <v>3</v>
      </c>
      <c r="B825" s="364">
        <v>44018</v>
      </c>
      <c r="C825" s="362" t="s">
        <v>88</v>
      </c>
      <c r="D825" s="560">
        <v>363135213</v>
      </c>
      <c r="E825" s="560">
        <v>3416818</v>
      </c>
      <c r="F825" s="560">
        <v>366552033</v>
      </c>
      <c r="G825" s="560">
        <f t="shared" si="18"/>
        <v>-2</v>
      </c>
      <c r="H825" s="560">
        <v>16103601</v>
      </c>
      <c r="I825" s="560"/>
      <c r="J825" s="560"/>
    </row>
    <row r="826" spans="1:10" x14ac:dyDescent="0.25">
      <c r="A826" s="362">
        <v>4</v>
      </c>
      <c r="B826" s="364">
        <v>44018</v>
      </c>
      <c r="C826" s="362" t="s">
        <v>146</v>
      </c>
      <c r="D826" s="560">
        <v>95718962</v>
      </c>
      <c r="E826" s="560">
        <v>163585735</v>
      </c>
      <c r="F826" s="560">
        <v>259304100</v>
      </c>
      <c r="G826" s="560">
        <f t="shared" si="18"/>
        <v>597</v>
      </c>
      <c r="H826" s="560">
        <v>18387370</v>
      </c>
      <c r="I826" s="560"/>
      <c r="J826" s="560"/>
    </row>
    <row r="827" spans="1:10" x14ac:dyDescent="0.25">
      <c r="A827" s="362">
        <v>5</v>
      </c>
      <c r="B827" s="364">
        <v>44018</v>
      </c>
      <c r="C827" s="362" t="s">
        <v>86</v>
      </c>
      <c r="D827" s="560">
        <v>66759336</v>
      </c>
      <c r="E827" s="560">
        <v>77934021</v>
      </c>
      <c r="F827" s="560">
        <v>144693400</v>
      </c>
      <c r="G827" s="560">
        <f t="shared" si="18"/>
        <v>-43</v>
      </c>
      <c r="H827" s="560">
        <v>7615921</v>
      </c>
      <c r="I827" s="560"/>
      <c r="J827" s="560"/>
    </row>
    <row r="828" spans="1:10" x14ac:dyDescent="0.25">
      <c r="A828" s="362">
        <v>6</v>
      </c>
      <c r="B828" s="364">
        <v>44018</v>
      </c>
      <c r="C828" s="362" t="s">
        <v>89</v>
      </c>
      <c r="D828" s="560">
        <v>173416699</v>
      </c>
      <c r="E828" s="560">
        <v>2918250</v>
      </c>
      <c r="F828" s="560">
        <v>176334900</v>
      </c>
      <c r="G828" s="560">
        <f t="shared" si="18"/>
        <v>49</v>
      </c>
      <c r="H828" s="560">
        <v>8662997</v>
      </c>
      <c r="I828" s="560"/>
      <c r="J828" s="560"/>
    </row>
    <row r="829" spans="1:10" x14ac:dyDescent="0.25">
      <c r="A829" s="362">
        <v>7</v>
      </c>
      <c r="B829" s="364">
        <v>44018</v>
      </c>
      <c r="C829" s="362" t="s">
        <v>4751</v>
      </c>
      <c r="D829" s="560">
        <v>218504760</v>
      </c>
      <c r="E829" s="560">
        <v>9714340</v>
      </c>
      <c r="F829" s="560">
        <v>228219100</v>
      </c>
      <c r="G829" s="560">
        <f t="shared" si="18"/>
        <v>0</v>
      </c>
      <c r="H829" s="560">
        <v>10075622</v>
      </c>
      <c r="I829" s="560"/>
      <c r="J829" s="560"/>
    </row>
    <row r="830" spans="1:10" x14ac:dyDescent="0.25">
      <c r="A830" s="362">
        <v>8</v>
      </c>
      <c r="B830" s="364">
        <v>44018</v>
      </c>
      <c r="C830" s="362" t="s">
        <v>84</v>
      </c>
      <c r="D830" s="560">
        <v>404030229</v>
      </c>
      <c r="E830" s="560">
        <v>10898038</v>
      </c>
      <c r="F830" s="560">
        <v>414928200</v>
      </c>
      <c r="G830" s="560">
        <f t="shared" si="18"/>
        <v>67</v>
      </c>
      <c r="H830" s="560">
        <v>4632889</v>
      </c>
      <c r="I830" s="560"/>
      <c r="J830" s="560"/>
    </row>
    <row r="831" spans="1:10" x14ac:dyDescent="0.25">
      <c r="A831" s="362">
        <v>9</v>
      </c>
      <c r="B831" s="364">
        <v>44018</v>
      </c>
      <c r="C831" s="362" t="s">
        <v>81</v>
      </c>
      <c r="D831" s="560">
        <v>45351758</v>
      </c>
      <c r="E831" s="560">
        <v>11396084</v>
      </c>
      <c r="F831" s="560">
        <v>56747900</v>
      </c>
      <c r="G831" s="560">
        <f t="shared" si="18"/>
        <v>-58</v>
      </c>
      <c r="H831" s="560">
        <v>2799190</v>
      </c>
      <c r="I831" s="560"/>
      <c r="J831" s="560"/>
    </row>
    <row r="832" spans="1:10" x14ac:dyDescent="0.25">
      <c r="A832" s="362">
        <v>10</v>
      </c>
      <c r="B832" s="364">
        <v>44018</v>
      </c>
      <c r="C832" s="362" t="s">
        <v>79</v>
      </c>
      <c r="D832" s="560">
        <v>76641092</v>
      </c>
      <c r="E832" s="560">
        <v>1830984</v>
      </c>
      <c r="F832" s="560">
        <v>78472100</v>
      </c>
      <c r="G832" s="560">
        <f t="shared" si="18"/>
        <v>-24</v>
      </c>
      <c r="H832" s="560">
        <v>2260086</v>
      </c>
      <c r="I832" s="560"/>
      <c r="J832" s="560"/>
    </row>
    <row r="833" spans="1:10" x14ac:dyDescent="0.25">
      <c r="A833" s="362">
        <v>11</v>
      </c>
      <c r="B833" s="364">
        <v>44018</v>
      </c>
      <c r="C833" s="362" t="s">
        <v>82</v>
      </c>
      <c r="D833" s="560">
        <v>54719941</v>
      </c>
      <c r="E833" s="560">
        <v>3901720</v>
      </c>
      <c r="F833" s="560">
        <v>58621700</v>
      </c>
      <c r="G833" s="560">
        <f t="shared" si="18"/>
        <v>-39</v>
      </c>
      <c r="H833" s="560">
        <v>9373091</v>
      </c>
      <c r="I833" s="560"/>
      <c r="J833" s="560"/>
    </row>
    <row r="834" spans="1:10" x14ac:dyDescent="0.25">
      <c r="A834" s="362">
        <v>12</v>
      </c>
      <c r="B834" s="364">
        <v>44018</v>
      </c>
      <c r="C834" s="362" t="s">
        <v>78</v>
      </c>
      <c r="D834" s="560">
        <v>232339217</v>
      </c>
      <c r="E834" s="560">
        <v>23119283</v>
      </c>
      <c r="F834" s="560">
        <v>255458500</v>
      </c>
      <c r="G834" s="560">
        <f t="shared" si="18"/>
        <v>0</v>
      </c>
      <c r="H834" s="560">
        <v>4879779</v>
      </c>
      <c r="I834" s="560"/>
      <c r="J834" s="560"/>
    </row>
    <row r="835" spans="1:10" x14ac:dyDescent="0.25">
      <c r="A835" s="362">
        <v>13</v>
      </c>
      <c r="B835" s="364">
        <v>44018</v>
      </c>
      <c r="C835" s="362" t="s">
        <v>85</v>
      </c>
      <c r="D835" s="560">
        <v>38646200</v>
      </c>
      <c r="E835" s="560"/>
      <c r="F835" s="560">
        <v>38646200</v>
      </c>
      <c r="G835" s="560">
        <f t="shared" si="18"/>
        <v>0</v>
      </c>
      <c r="H835" s="560"/>
      <c r="I835" s="560"/>
      <c r="J835" s="560"/>
    </row>
    <row r="836" spans="1:10" x14ac:dyDescent="0.25">
      <c r="A836" s="362">
        <v>14</v>
      </c>
      <c r="B836" s="364">
        <v>44018</v>
      </c>
      <c r="C836" s="362" t="s">
        <v>166</v>
      </c>
      <c r="D836" s="560">
        <v>109090693</v>
      </c>
      <c r="E836" s="560"/>
      <c r="F836" s="560">
        <v>109018700</v>
      </c>
      <c r="G836" s="560">
        <f t="shared" si="18"/>
        <v>71993</v>
      </c>
      <c r="H836" s="560"/>
      <c r="I836" s="560"/>
      <c r="J836" s="560"/>
    </row>
    <row r="837" spans="1:10" x14ac:dyDescent="0.25">
      <c r="A837" s="362">
        <v>15</v>
      </c>
      <c r="B837" s="364">
        <v>44018</v>
      </c>
      <c r="C837" s="362" t="s">
        <v>3435</v>
      </c>
      <c r="D837" s="560"/>
      <c r="E837" s="560"/>
      <c r="F837" s="560">
        <v>50121300</v>
      </c>
      <c r="G837" s="560">
        <f t="shared" si="18"/>
        <v>-50121300</v>
      </c>
      <c r="H837" s="560"/>
      <c r="I837" s="560"/>
      <c r="J837" s="560"/>
    </row>
    <row r="838" spans="1:10" x14ac:dyDescent="0.25">
      <c r="A838" s="530"/>
      <c r="B838" s="530"/>
      <c r="C838" s="530"/>
      <c r="D838" s="562"/>
      <c r="E838" s="562"/>
      <c r="F838" s="562"/>
      <c r="G838" s="562">
        <f t="shared" si="18"/>
        <v>0</v>
      </c>
      <c r="H838" s="562"/>
      <c r="I838" s="562"/>
      <c r="J838" s="562"/>
    </row>
    <row r="839" spans="1:10" x14ac:dyDescent="0.25">
      <c r="A839" s="362">
        <v>1</v>
      </c>
      <c r="B839" s="364">
        <v>44019</v>
      </c>
      <c r="C839" s="362" t="s">
        <v>80</v>
      </c>
      <c r="D839" s="560">
        <v>264199692</v>
      </c>
      <c r="E839" s="560"/>
      <c r="F839" s="560">
        <v>264199800</v>
      </c>
      <c r="G839" s="560">
        <f t="shared" ref="G839:G902" si="21">D839+E839-F839</f>
        <v>-108</v>
      </c>
      <c r="H839" s="560">
        <v>33793232</v>
      </c>
      <c r="I839" s="560"/>
      <c r="J839" s="560"/>
    </row>
    <row r="840" spans="1:10" x14ac:dyDescent="0.25">
      <c r="A840" s="362">
        <v>2</v>
      </c>
      <c r="B840" s="364">
        <v>44019</v>
      </c>
      <c r="C840" s="362" t="s">
        <v>83</v>
      </c>
      <c r="D840" s="560">
        <v>286158258</v>
      </c>
      <c r="E840" s="560">
        <v>42152247</v>
      </c>
      <c r="F840" s="560">
        <v>328310500</v>
      </c>
      <c r="G840" s="560">
        <f t="shared" si="21"/>
        <v>5</v>
      </c>
      <c r="H840" s="560">
        <v>3812213</v>
      </c>
      <c r="I840" s="560"/>
      <c r="J840" s="560"/>
    </row>
    <row r="841" spans="1:10" x14ac:dyDescent="0.25">
      <c r="A841" s="362">
        <v>3</v>
      </c>
      <c r="B841" s="364">
        <v>44019</v>
      </c>
      <c r="C841" s="362" t="s">
        <v>88</v>
      </c>
      <c r="D841" s="560">
        <v>246450660</v>
      </c>
      <c r="E841" s="560">
        <v>58778616</v>
      </c>
      <c r="F841" s="560">
        <v>305229300</v>
      </c>
      <c r="G841" s="560">
        <f t="shared" si="21"/>
        <v>-24</v>
      </c>
      <c r="H841" s="560">
        <v>13874571</v>
      </c>
      <c r="I841" s="560"/>
      <c r="J841" s="560"/>
    </row>
    <row r="842" spans="1:10" x14ac:dyDescent="0.25">
      <c r="A842" s="362">
        <v>4</v>
      </c>
      <c r="B842" s="364">
        <v>44019</v>
      </c>
      <c r="C842" s="362" t="s">
        <v>146</v>
      </c>
      <c r="D842" s="560">
        <v>150744231</v>
      </c>
      <c r="E842" s="560">
        <v>97654020</v>
      </c>
      <c r="F842" s="560">
        <v>248398300</v>
      </c>
      <c r="G842" s="560">
        <f t="shared" si="21"/>
        <v>-49</v>
      </c>
      <c r="H842" s="560">
        <v>17884619</v>
      </c>
      <c r="I842" s="560"/>
      <c r="J842" s="560"/>
    </row>
    <row r="843" spans="1:10" x14ac:dyDescent="0.25">
      <c r="A843" s="362">
        <v>5</v>
      </c>
      <c r="B843" s="364">
        <v>44019</v>
      </c>
      <c r="C843" s="362" t="s">
        <v>86</v>
      </c>
      <c r="D843" s="560">
        <v>39993663</v>
      </c>
      <c r="E843" s="560">
        <v>33991700</v>
      </c>
      <c r="F843" s="560">
        <v>73985400</v>
      </c>
      <c r="G843" s="560">
        <f t="shared" si="21"/>
        <v>-37</v>
      </c>
      <c r="H843" s="560">
        <v>7415921</v>
      </c>
      <c r="I843" s="560"/>
      <c r="J843" s="560"/>
    </row>
    <row r="844" spans="1:10" x14ac:dyDescent="0.25">
      <c r="A844" s="362">
        <v>6</v>
      </c>
      <c r="B844" s="364">
        <v>44019</v>
      </c>
      <c r="C844" s="362" t="s">
        <v>89</v>
      </c>
      <c r="D844" s="560">
        <v>116496366</v>
      </c>
      <c r="E844" s="560">
        <v>4023134</v>
      </c>
      <c r="F844" s="560">
        <v>120519500</v>
      </c>
      <c r="G844" s="560">
        <f t="shared" si="21"/>
        <v>0</v>
      </c>
      <c r="H844" s="560">
        <v>19676932</v>
      </c>
      <c r="I844" s="560"/>
      <c r="J844" s="560"/>
    </row>
    <row r="845" spans="1:10" x14ac:dyDescent="0.25">
      <c r="A845" s="362">
        <v>7</v>
      </c>
      <c r="B845" s="364">
        <v>44019</v>
      </c>
      <c r="C845" s="362" t="s">
        <v>4751</v>
      </c>
      <c r="D845" s="560">
        <v>197768295</v>
      </c>
      <c r="E845" s="560">
        <v>15450905</v>
      </c>
      <c r="F845" s="560">
        <v>213219200</v>
      </c>
      <c r="G845" s="560">
        <f t="shared" si="21"/>
        <v>0</v>
      </c>
      <c r="H845" s="560">
        <v>27346506</v>
      </c>
      <c r="I845" s="560"/>
      <c r="J845" s="560"/>
    </row>
    <row r="846" spans="1:10" x14ac:dyDescent="0.25">
      <c r="A846" s="362">
        <v>8</v>
      </c>
      <c r="B846" s="364">
        <v>44019</v>
      </c>
      <c r="C846" s="362" t="s">
        <v>84</v>
      </c>
      <c r="D846" s="560">
        <v>208502658</v>
      </c>
      <c r="E846" s="560">
        <v>10087846</v>
      </c>
      <c r="F846" s="560">
        <v>218590500</v>
      </c>
      <c r="G846" s="560">
        <f t="shared" si="21"/>
        <v>4</v>
      </c>
      <c r="H846" s="560">
        <v>23178713</v>
      </c>
      <c r="I846" s="560"/>
      <c r="J846" s="560"/>
    </row>
    <row r="847" spans="1:10" x14ac:dyDescent="0.25">
      <c r="A847" s="362">
        <v>9</v>
      </c>
      <c r="B847" s="364">
        <v>44019</v>
      </c>
      <c r="C847" s="362" t="s">
        <v>81</v>
      </c>
      <c r="D847" s="560">
        <v>145454167</v>
      </c>
      <c r="E847" s="560">
        <v>18479000</v>
      </c>
      <c r="F847" s="560">
        <v>163933200</v>
      </c>
      <c r="G847" s="560">
        <f t="shared" si="21"/>
        <v>-33</v>
      </c>
      <c r="H847" s="560">
        <v>16692078</v>
      </c>
      <c r="I847" s="560"/>
      <c r="J847" s="560"/>
    </row>
    <row r="848" spans="1:10" x14ac:dyDescent="0.25">
      <c r="A848" s="362">
        <v>10</v>
      </c>
      <c r="B848" s="364">
        <v>44019</v>
      </c>
      <c r="C848" s="362" t="s">
        <v>79</v>
      </c>
      <c r="D848" s="560">
        <v>41008875</v>
      </c>
      <c r="E848" s="560">
        <v>106500</v>
      </c>
      <c r="F848" s="560">
        <v>41115600</v>
      </c>
      <c r="G848" s="560">
        <f t="shared" si="21"/>
        <v>-225</v>
      </c>
      <c r="H848" s="560">
        <v>4074666</v>
      </c>
      <c r="I848" s="560"/>
      <c r="J848" s="560"/>
    </row>
    <row r="849" spans="1:10" x14ac:dyDescent="0.25">
      <c r="A849" s="362">
        <v>11</v>
      </c>
      <c r="B849" s="364">
        <v>44019</v>
      </c>
      <c r="C849" s="362" t="s">
        <v>82</v>
      </c>
      <c r="D849" s="560">
        <v>83625786</v>
      </c>
      <c r="E849" s="560">
        <v>1315000</v>
      </c>
      <c r="F849" s="560">
        <v>84940800</v>
      </c>
      <c r="G849" s="560">
        <f t="shared" si="21"/>
        <v>-14</v>
      </c>
      <c r="H849" s="560">
        <v>8959991</v>
      </c>
      <c r="I849" s="560"/>
      <c r="J849" s="560"/>
    </row>
    <row r="850" spans="1:10" x14ac:dyDescent="0.25">
      <c r="A850" s="362">
        <v>12</v>
      </c>
      <c r="B850" s="364">
        <v>44019</v>
      </c>
      <c r="C850" s="362" t="s">
        <v>78</v>
      </c>
      <c r="D850" s="560">
        <v>83076517</v>
      </c>
      <c r="E850" s="560">
        <v>12581783</v>
      </c>
      <c r="F850" s="560">
        <v>95658300</v>
      </c>
      <c r="G850" s="560">
        <f t="shared" si="21"/>
        <v>0</v>
      </c>
      <c r="H850" s="560">
        <v>15279608</v>
      </c>
      <c r="I850" s="560"/>
      <c r="J850" s="560"/>
    </row>
    <row r="851" spans="1:10" x14ac:dyDescent="0.25">
      <c r="A851" s="362">
        <v>13</v>
      </c>
      <c r="B851" s="364">
        <v>44019</v>
      </c>
      <c r="C851" s="362" t="s">
        <v>85</v>
      </c>
      <c r="D851" s="560">
        <v>22674600</v>
      </c>
      <c r="E851" s="560"/>
      <c r="F851" s="560">
        <v>22674600</v>
      </c>
      <c r="G851" s="560">
        <f t="shared" si="21"/>
        <v>0</v>
      </c>
      <c r="H851" s="560"/>
      <c r="I851" s="560"/>
      <c r="J851" s="560"/>
    </row>
    <row r="852" spans="1:10" x14ac:dyDescent="0.25">
      <c r="A852" s="362">
        <v>14</v>
      </c>
      <c r="B852" s="364">
        <v>44019</v>
      </c>
      <c r="C852" s="362" t="s">
        <v>166</v>
      </c>
      <c r="D852" s="560">
        <v>222058978</v>
      </c>
      <c r="E852" s="560"/>
      <c r="F852" s="560">
        <v>222059000</v>
      </c>
      <c r="G852" s="560">
        <f t="shared" si="21"/>
        <v>-22</v>
      </c>
      <c r="H852" s="560"/>
      <c r="I852" s="560"/>
      <c r="J852" s="560"/>
    </row>
    <row r="853" spans="1:10" x14ac:dyDescent="0.25">
      <c r="A853" s="362">
        <v>15</v>
      </c>
      <c r="B853" s="364">
        <v>44019</v>
      </c>
      <c r="C853" s="362" t="s">
        <v>3435</v>
      </c>
      <c r="D853" s="560"/>
      <c r="E853" s="560"/>
      <c r="F853" s="560">
        <v>58296800</v>
      </c>
      <c r="G853" s="560">
        <f t="shared" si="21"/>
        <v>-58296800</v>
      </c>
      <c r="H853" s="560"/>
      <c r="I853" s="560"/>
      <c r="J853" s="560"/>
    </row>
    <row r="854" spans="1:10" x14ac:dyDescent="0.25">
      <c r="A854" s="530"/>
      <c r="B854" s="589"/>
      <c r="C854" s="530"/>
      <c r="D854" s="562"/>
      <c r="E854" s="562"/>
      <c r="F854" s="562"/>
      <c r="G854" s="562">
        <f t="shared" si="21"/>
        <v>0</v>
      </c>
      <c r="H854" s="562"/>
      <c r="I854" s="562"/>
      <c r="J854" s="562"/>
    </row>
    <row r="855" spans="1:10" x14ac:dyDescent="0.25">
      <c r="A855" s="362">
        <v>1</v>
      </c>
      <c r="B855" s="364">
        <v>44020</v>
      </c>
      <c r="C855" s="362" t="s">
        <v>80</v>
      </c>
      <c r="D855" s="560">
        <v>335779842</v>
      </c>
      <c r="E855" s="560"/>
      <c r="F855" s="560">
        <v>335779800</v>
      </c>
      <c r="G855" s="560">
        <f t="shared" si="21"/>
        <v>42</v>
      </c>
      <c r="H855" s="560">
        <v>27696153</v>
      </c>
      <c r="I855" s="560"/>
      <c r="J855" s="560"/>
    </row>
    <row r="856" spans="1:10" x14ac:dyDescent="0.25">
      <c r="A856" s="362">
        <v>2</v>
      </c>
      <c r="B856" s="364">
        <v>44020</v>
      </c>
      <c r="C856" s="362" t="s">
        <v>83</v>
      </c>
      <c r="D856" s="560">
        <v>446061137</v>
      </c>
      <c r="E856" s="560">
        <v>49323075</v>
      </c>
      <c r="F856" s="560">
        <v>495384200</v>
      </c>
      <c r="G856" s="560">
        <f t="shared" si="21"/>
        <v>12</v>
      </c>
      <c r="H856" s="560">
        <v>9999414</v>
      </c>
      <c r="I856" s="560"/>
      <c r="J856" s="560"/>
    </row>
    <row r="857" spans="1:10" x14ac:dyDescent="0.25">
      <c r="A857" s="362">
        <v>3</v>
      </c>
      <c r="B857" s="364">
        <v>44020</v>
      </c>
      <c r="C857" s="362" t="s">
        <v>88</v>
      </c>
      <c r="D857" s="560">
        <v>129721373</v>
      </c>
      <c r="E857" s="560">
        <v>11050963</v>
      </c>
      <c r="F857" s="560">
        <v>140772400</v>
      </c>
      <c r="G857" s="560">
        <f t="shared" si="21"/>
        <v>-64</v>
      </c>
      <c r="H857" s="560">
        <v>13874571</v>
      </c>
      <c r="I857" s="560"/>
      <c r="J857" s="560"/>
    </row>
    <row r="858" spans="1:10" x14ac:dyDescent="0.25">
      <c r="A858" s="362">
        <v>4</v>
      </c>
      <c r="B858" s="364">
        <v>44020</v>
      </c>
      <c r="C858" s="362" t="s">
        <v>146</v>
      </c>
      <c r="D858" s="560">
        <v>75440760</v>
      </c>
      <c r="E858" s="560">
        <v>41360187</v>
      </c>
      <c r="F858" s="560">
        <v>116801200</v>
      </c>
      <c r="G858" s="560">
        <f t="shared" si="21"/>
        <v>-253</v>
      </c>
      <c r="H858" s="560">
        <v>17884619</v>
      </c>
      <c r="I858" s="560"/>
      <c r="J858" s="560"/>
    </row>
    <row r="859" spans="1:10" x14ac:dyDescent="0.25">
      <c r="A859" s="362">
        <v>5</v>
      </c>
      <c r="B859" s="364">
        <v>44020</v>
      </c>
      <c r="C859" s="362" t="s">
        <v>86</v>
      </c>
      <c r="D859" s="560">
        <v>82103985</v>
      </c>
      <c r="E859" s="560">
        <v>23471810</v>
      </c>
      <c r="F859" s="560">
        <v>105575500</v>
      </c>
      <c r="G859" s="560">
        <f t="shared" si="21"/>
        <v>295</v>
      </c>
      <c r="H859" s="560">
        <v>6270487</v>
      </c>
      <c r="I859" s="560"/>
      <c r="J859" s="560"/>
    </row>
    <row r="860" spans="1:10" x14ac:dyDescent="0.25">
      <c r="A860" s="362">
        <v>6</v>
      </c>
      <c r="B860" s="364">
        <v>44020</v>
      </c>
      <c r="C860" s="362" t="s">
        <v>89</v>
      </c>
      <c r="D860" s="560">
        <v>123588891</v>
      </c>
      <c r="E860" s="560">
        <v>5580109</v>
      </c>
      <c r="F860" s="560">
        <v>129169000</v>
      </c>
      <c r="G860" s="560">
        <f t="shared" si="21"/>
        <v>0</v>
      </c>
      <c r="H860" s="560">
        <v>14628450</v>
      </c>
      <c r="I860" s="560"/>
      <c r="J860" s="560"/>
    </row>
    <row r="861" spans="1:10" x14ac:dyDescent="0.25">
      <c r="A861" s="362">
        <v>7</v>
      </c>
      <c r="B861" s="364">
        <v>44020</v>
      </c>
      <c r="C861" s="362" t="s">
        <v>4751</v>
      </c>
      <c r="D861" s="560">
        <v>122056813</v>
      </c>
      <c r="E861" s="560">
        <v>2973487</v>
      </c>
      <c r="F861" s="560">
        <v>125030300</v>
      </c>
      <c r="G861" s="560">
        <f t="shared" si="21"/>
        <v>0</v>
      </c>
      <c r="H861" s="560">
        <v>21840180</v>
      </c>
      <c r="I861" s="560"/>
      <c r="J861" s="560"/>
    </row>
    <row r="862" spans="1:10" x14ac:dyDescent="0.25">
      <c r="A862" s="362">
        <v>8</v>
      </c>
      <c r="B862" s="364">
        <v>44020</v>
      </c>
      <c r="C862" s="362" t="s">
        <v>84</v>
      </c>
      <c r="D862" s="560">
        <v>457276353</v>
      </c>
      <c r="E862" s="560">
        <v>9986361</v>
      </c>
      <c r="F862" s="560">
        <v>467262900</v>
      </c>
      <c r="G862" s="560">
        <f t="shared" si="21"/>
        <v>-186</v>
      </c>
      <c r="H862" s="560">
        <v>23178713</v>
      </c>
      <c r="I862" s="560"/>
      <c r="J862" s="560"/>
    </row>
    <row r="863" spans="1:10" x14ac:dyDescent="0.25">
      <c r="A863" s="362">
        <v>9</v>
      </c>
      <c r="B863" s="364">
        <v>44020</v>
      </c>
      <c r="C863" s="362" t="s">
        <v>81</v>
      </c>
      <c r="D863" s="560">
        <v>70121722</v>
      </c>
      <c r="E863" s="560">
        <v>16814783</v>
      </c>
      <c r="F863" s="560">
        <v>86936600</v>
      </c>
      <c r="G863" s="560">
        <f t="shared" si="21"/>
        <v>-95</v>
      </c>
      <c r="H863" s="560">
        <v>13735678</v>
      </c>
      <c r="I863" s="560"/>
      <c r="J863" s="560"/>
    </row>
    <row r="864" spans="1:10" x14ac:dyDescent="0.25">
      <c r="A864" s="362">
        <v>10</v>
      </c>
      <c r="B864" s="364">
        <v>44020</v>
      </c>
      <c r="C864" s="362" t="s">
        <v>79</v>
      </c>
      <c r="D864" s="560">
        <v>77852804</v>
      </c>
      <c r="E864" s="560">
        <v>10348252</v>
      </c>
      <c r="F864" s="560">
        <v>88201100</v>
      </c>
      <c r="G864" s="560">
        <f t="shared" si="21"/>
        <v>-44</v>
      </c>
      <c r="H864" s="560">
        <v>4074666</v>
      </c>
      <c r="I864" s="560"/>
      <c r="J864" s="560"/>
    </row>
    <row r="865" spans="1:10" x14ac:dyDescent="0.25">
      <c r="A865" s="362">
        <v>11</v>
      </c>
      <c r="B865" s="364">
        <v>44020</v>
      </c>
      <c r="C865" s="362" t="s">
        <v>82</v>
      </c>
      <c r="D865" s="560">
        <v>128926756</v>
      </c>
      <c r="E865" s="560"/>
      <c r="F865" s="560">
        <v>128926800</v>
      </c>
      <c r="G865" s="560">
        <f t="shared" si="21"/>
        <v>-44</v>
      </c>
      <c r="H865" s="560">
        <v>7379668</v>
      </c>
      <c r="I865" s="560"/>
      <c r="J865" s="560"/>
    </row>
    <row r="866" spans="1:10" x14ac:dyDescent="0.25">
      <c r="A866" s="362">
        <v>12</v>
      </c>
      <c r="B866" s="364">
        <v>44020</v>
      </c>
      <c r="C866" s="362" t="s">
        <v>78</v>
      </c>
      <c r="D866" s="560">
        <v>67850436</v>
      </c>
      <c r="E866" s="560">
        <v>1556564</v>
      </c>
      <c r="F866" s="560">
        <v>69407000</v>
      </c>
      <c r="G866" s="560">
        <f t="shared" si="21"/>
        <v>0</v>
      </c>
      <c r="H866" s="560">
        <v>14833808</v>
      </c>
      <c r="I866" s="560"/>
      <c r="J866" s="560"/>
    </row>
    <row r="867" spans="1:10" x14ac:dyDescent="0.25">
      <c r="A867" s="362">
        <v>13</v>
      </c>
      <c r="B867" s="364">
        <v>44020</v>
      </c>
      <c r="C867" s="362" t="s">
        <v>85</v>
      </c>
      <c r="D867" s="560">
        <v>34930600</v>
      </c>
      <c r="E867" s="560"/>
      <c r="F867" s="560">
        <v>34930600</v>
      </c>
      <c r="G867" s="560">
        <f t="shared" si="21"/>
        <v>0</v>
      </c>
      <c r="H867" s="560"/>
      <c r="I867" s="560"/>
      <c r="J867" s="560"/>
    </row>
    <row r="868" spans="1:10" x14ac:dyDescent="0.25">
      <c r="A868" s="362">
        <v>14</v>
      </c>
      <c r="B868" s="364">
        <v>44020</v>
      </c>
      <c r="C868" s="362" t="s">
        <v>166</v>
      </c>
      <c r="D868" s="560">
        <v>42917147</v>
      </c>
      <c r="E868" s="560"/>
      <c r="F868" s="560">
        <v>42917200</v>
      </c>
      <c r="G868" s="560">
        <f t="shared" si="21"/>
        <v>-53</v>
      </c>
      <c r="H868" s="560"/>
      <c r="I868" s="560"/>
      <c r="J868" s="560"/>
    </row>
    <row r="869" spans="1:10" x14ac:dyDescent="0.25">
      <c r="A869" s="362">
        <v>15</v>
      </c>
      <c r="B869" s="364">
        <v>44020</v>
      </c>
      <c r="C869" s="362" t="s">
        <v>3435</v>
      </c>
      <c r="D869" s="560"/>
      <c r="E869" s="560"/>
      <c r="F869" s="560">
        <v>60463800</v>
      </c>
      <c r="G869" s="560">
        <f t="shared" si="21"/>
        <v>-60463800</v>
      </c>
      <c r="H869" s="560"/>
      <c r="I869" s="560"/>
      <c r="J869" s="560"/>
    </row>
    <row r="870" spans="1:10" x14ac:dyDescent="0.25">
      <c r="A870" s="530"/>
      <c r="B870" s="589"/>
      <c r="C870" s="530"/>
      <c r="D870" s="530"/>
      <c r="E870" s="530"/>
      <c r="F870" s="530"/>
      <c r="G870" s="562">
        <f t="shared" si="21"/>
        <v>0</v>
      </c>
      <c r="H870" s="530"/>
      <c r="I870" s="530"/>
      <c r="J870" s="530"/>
    </row>
    <row r="871" spans="1:10" x14ac:dyDescent="0.25">
      <c r="A871" s="362">
        <v>1</v>
      </c>
      <c r="B871" s="364">
        <v>44021</v>
      </c>
      <c r="C871" s="362" t="s">
        <v>80</v>
      </c>
      <c r="D871" s="560">
        <v>272290442</v>
      </c>
      <c r="E871" s="560">
        <v>5408271</v>
      </c>
      <c r="F871" s="560">
        <v>277699500</v>
      </c>
      <c r="G871" s="560">
        <f t="shared" si="21"/>
        <v>-787</v>
      </c>
      <c r="H871" s="560">
        <v>4936644</v>
      </c>
      <c r="I871" s="560">
        <v>4936644</v>
      </c>
      <c r="J871" s="560">
        <f>H871-I871</f>
        <v>0</v>
      </c>
    </row>
    <row r="872" spans="1:10" x14ac:dyDescent="0.25">
      <c r="A872" s="362">
        <v>2</v>
      </c>
      <c r="B872" s="364">
        <v>44021</v>
      </c>
      <c r="C872" s="362" t="s">
        <v>83</v>
      </c>
      <c r="D872" s="560">
        <v>180252426</v>
      </c>
      <c r="E872" s="560">
        <v>5038446</v>
      </c>
      <c r="F872" s="560">
        <v>185290873</v>
      </c>
      <c r="G872" s="560">
        <f t="shared" si="21"/>
        <v>-1</v>
      </c>
      <c r="H872" s="560">
        <v>2254913</v>
      </c>
      <c r="I872" s="560">
        <v>2254913</v>
      </c>
      <c r="J872" s="560">
        <f t="shared" ref="J872:J901" si="22">H872-I872</f>
        <v>0</v>
      </c>
    </row>
    <row r="873" spans="1:10" x14ac:dyDescent="0.25">
      <c r="A873" s="362">
        <v>3</v>
      </c>
      <c r="B873" s="364">
        <v>44021</v>
      </c>
      <c r="C873" s="362" t="s">
        <v>88</v>
      </c>
      <c r="D873" s="560">
        <v>306833405</v>
      </c>
      <c r="E873" s="560">
        <v>29992265</v>
      </c>
      <c r="F873" s="560">
        <v>336825800</v>
      </c>
      <c r="G873" s="560">
        <f t="shared" si="21"/>
        <v>-130</v>
      </c>
      <c r="H873" s="560">
        <v>4851865</v>
      </c>
      <c r="I873" s="560"/>
      <c r="J873" s="560">
        <f t="shared" si="22"/>
        <v>4851865</v>
      </c>
    </row>
    <row r="874" spans="1:10" x14ac:dyDescent="0.25">
      <c r="A874" s="362">
        <v>4</v>
      </c>
      <c r="B874" s="364">
        <v>44021</v>
      </c>
      <c r="C874" s="362" t="s">
        <v>146</v>
      </c>
      <c r="D874" s="560">
        <v>77644221</v>
      </c>
      <c r="E874" s="560">
        <v>345411160</v>
      </c>
      <c r="F874" s="560">
        <v>423054400</v>
      </c>
      <c r="G874" s="560">
        <f t="shared" si="21"/>
        <v>981</v>
      </c>
      <c r="H874" s="560">
        <v>10097227</v>
      </c>
      <c r="I874" s="560"/>
      <c r="J874" s="560">
        <f t="shared" si="22"/>
        <v>10097227</v>
      </c>
    </row>
    <row r="875" spans="1:10" x14ac:dyDescent="0.25">
      <c r="A875" s="362">
        <v>5</v>
      </c>
      <c r="B875" s="364">
        <v>44021</v>
      </c>
      <c r="C875" s="362" t="s">
        <v>86</v>
      </c>
      <c r="D875" s="560">
        <v>73691227</v>
      </c>
      <c r="E875" s="560">
        <v>39936288</v>
      </c>
      <c r="F875" s="560">
        <v>113627600</v>
      </c>
      <c r="G875" s="560">
        <f t="shared" si="21"/>
        <v>-85</v>
      </c>
      <c r="H875" s="560">
        <v>3068835</v>
      </c>
      <c r="I875" s="560"/>
      <c r="J875" s="560">
        <f t="shared" si="22"/>
        <v>3068835</v>
      </c>
    </row>
    <row r="876" spans="1:10" x14ac:dyDescent="0.25">
      <c r="A876" s="362">
        <v>6</v>
      </c>
      <c r="B876" s="364">
        <v>44021</v>
      </c>
      <c r="C876" s="362" t="s">
        <v>89</v>
      </c>
      <c r="D876" s="560">
        <v>150063973</v>
      </c>
      <c r="E876" s="560">
        <v>2823027</v>
      </c>
      <c r="F876" s="560">
        <v>152887000</v>
      </c>
      <c r="G876" s="560">
        <f t="shared" si="21"/>
        <v>0</v>
      </c>
      <c r="H876" s="560">
        <v>10438450</v>
      </c>
      <c r="I876" s="560"/>
      <c r="J876" s="560">
        <f t="shared" si="22"/>
        <v>10438450</v>
      </c>
    </row>
    <row r="877" spans="1:10" x14ac:dyDescent="0.25">
      <c r="A877" s="362">
        <v>7</v>
      </c>
      <c r="B877" s="364">
        <v>44021</v>
      </c>
      <c r="C877" s="362" t="s">
        <v>4751</v>
      </c>
      <c r="D877" s="560">
        <v>358863998</v>
      </c>
      <c r="E877" s="560">
        <v>13236502</v>
      </c>
      <c r="F877" s="560">
        <v>372100500</v>
      </c>
      <c r="G877" s="560">
        <f t="shared" si="21"/>
        <v>0</v>
      </c>
      <c r="H877" s="560">
        <v>13427809</v>
      </c>
      <c r="I877" s="560"/>
      <c r="J877" s="560">
        <f t="shared" si="22"/>
        <v>13427809</v>
      </c>
    </row>
    <row r="878" spans="1:10" x14ac:dyDescent="0.25">
      <c r="A878" s="362">
        <v>8</v>
      </c>
      <c r="B878" s="364">
        <v>44021</v>
      </c>
      <c r="C878" s="362" t="s">
        <v>84</v>
      </c>
      <c r="D878" s="560">
        <v>147410663</v>
      </c>
      <c r="E878" s="560">
        <v>10590321</v>
      </c>
      <c r="F878" s="560">
        <v>158001000</v>
      </c>
      <c r="G878" s="560">
        <f t="shared" si="21"/>
        <v>-16</v>
      </c>
      <c r="H878" s="560">
        <v>4335719</v>
      </c>
      <c r="I878" s="560">
        <v>4335719</v>
      </c>
      <c r="J878" s="560">
        <f t="shared" si="22"/>
        <v>0</v>
      </c>
    </row>
    <row r="879" spans="1:10" x14ac:dyDescent="0.25">
      <c r="A879" s="362">
        <v>9</v>
      </c>
      <c r="B879" s="364">
        <v>44021</v>
      </c>
      <c r="C879" s="362" t="s">
        <v>81</v>
      </c>
      <c r="D879" s="560">
        <v>99743263</v>
      </c>
      <c r="E879" s="560">
        <v>22348583</v>
      </c>
      <c r="F879" s="560">
        <v>122091900</v>
      </c>
      <c r="G879" s="560">
        <f t="shared" si="21"/>
        <v>-54</v>
      </c>
      <c r="H879" s="560">
        <v>9405435</v>
      </c>
      <c r="I879" s="560"/>
      <c r="J879" s="560">
        <f t="shared" si="22"/>
        <v>9405435</v>
      </c>
    </row>
    <row r="880" spans="1:10" x14ac:dyDescent="0.25">
      <c r="A880" s="362">
        <v>10</v>
      </c>
      <c r="B880" s="364">
        <v>44021</v>
      </c>
      <c r="C880" s="362" t="s">
        <v>79</v>
      </c>
      <c r="D880" s="560">
        <v>54634161</v>
      </c>
      <c r="E880" s="560">
        <v>2409888</v>
      </c>
      <c r="F880" s="560">
        <v>57044100</v>
      </c>
      <c r="G880" s="560">
        <f t="shared" si="21"/>
        <v>-51</v>
      </c>
      <c r="H880" s="560">
        <v>2785716</v>
      </c>
      <c r="I880" s="560">
        <v>2785716</v>
      </c>
      <c r="J880" s="560">
        <f t="shared" si="22"/>
        <v>0</v>
      </c>
    </row>
    <row r="881" spans="1:10" x14ac:dyDescent="0.25">
      <c r="A881" s="362">
        <v>11</v>
      </c>
      <c r="B881" s="364">
        <v>44021</v>
      </c>
      <c r="C881" s="362" t="s">
        <v>82</v>
      </c>
      <c r="D881" s="560">
        <v>78427514</v>
      </c>
      <c r="E881" s="560">
        <v>1998340</v>
      </c>
      <c r="F881" s="560">
        <v>80425900</v>
      </c>
      <c r="G881" s="560">
        <f t="shared" si="21"/>
        <v>-46</v>
      </c>
      <c r="H881" s="560">
        <v>4748168</v>
      </c>
      <c r="I881" s="560">
        <v>4748168</v>
      </c>
      <c r="J881" s="560">
        <f t="shared" si="22"/>
        <v>0</v>
      </c>
    </row>
    <row r="882" spans="1:10" x14ac:dyDescent="0.25">
      <c r="A882" s="362">
        <v>12</v>
      </c>
      <c r="B882" s="364">
        <v>44021</v>
      </c>
      <c r="C882" s="362" t="s">
        <v>78</v>
      </c>
      <c r="D882" s="560">
        <v>90481561</v>
      </c>
      <c r="E882" s="560">
        <v>1704739</v>
      </c>
      <c r="F882" s="560">
        <v>92186300</v>
      </c>
      <c r="G882" s="560">
        <f t="shared" si="21"/>
        <v>0</v>
      </c>
      <c r="H882" s="560">
        <v>10282185</v>
      </c>
      <c r="I882" s="560">
        <v>10282185</v>
      </c>
      <c r="J882" s="560">
        <f t="shared" si="22"/>
        <v>0</v>
      </c>
    </row>
    <row r="883" spans="1:10" x14ac:dyDescent="0.25">
      <c r="A883" s="362">
        <v>13</v>
      </c>
      <c r="B883" s="364">
        <v>44021</v>
      </c>
      <c r="C883" s="362" t="s">
        <v>85</v>
      </c>
      <c r="D883" s="560">
        <v>11879700</v>
      </c>
      <c r="E883" s="560"/>
      <c r="F883" s="560">
        <v>11879700</v>
      </c>
      <c r="G883" s="560">
        <f t="shared" si="21"/>
        <v>0</v>
      </c>
      <c r="H883" s="560"/>
      <c r="I883" s="560"/>
      <c r="J883" s="560">
        <f t="shared" si="22"/>
        <v>0</v>
      </c>
    </row>
    <row r="884" spans="1:10" x14ac:dyDescent="0.25">
      <c r="A884" s="362">
        <v>14</v>
      </c>
      <c r="B884" s="364">
        <v>44021</v>
      </c>
      <c r="C884" s="362" t="s">
        <v>166</v>
      </c>
      <c r="D884" s="560">
        <v>70778923</v>
      </c>
      <c r="E884" s="560"/>
      <c r="F884" s="560">
        <v>70779000</v>
      </c>
      <c r="G884" s="560">
        <f t="shared" si="21"/>
        <v>-77</v>
      </c>
      <c r="H884" s="560"/>
      <c r="I884" s="560"/>
      <c r="J884" s="560">
        <f t="shared" si="22"/>
        <v>0</v>
      </c>
    </row>
    <row r="885" spans="1:10" x14ac:dyDescent="0.25">
      <c r="A885" s="362">
        <v>15</v>
      </c>
      <c r="B885" s="364">
        <v>44021</v>
      </c>
      <c r="C885" s="362" t="s">
        <v>3435</v>
      </c>
      <c r="D885" s="560"/>
      <c r="E885" s="560"/>
      <c r="F885" s="560">
        <v>44909100</v>
      </c>
      <c r="G885" s="560">
        <f t="shared" si="21"/>
        <v>-44909100</v>
      </c>
      <c r="H885" s="560"/>
      <c r="I885" s="560"/>
      <c r="J885" s="560">
        <f t="shared" si="22"/>
        <v>0</v>
      </c>
    </row>
    <row r="886" spans="1:10" x14ac:dyDescent="0.25">
      <c r="A886" s="530"/>
      <c r="B886" s="530"/>
      <c r="C886" s="530"/>
      <c r="D886" s="562"/>
      <c r="E886" s="562"/>
      <c r="F886" s="562"/>
      <c r="G886" s="562">
        <f t="shared" si="21"/>
        <v>0</v>
      </c>
      <c r="H886" s="562"/>
      <c r="I886" s="562"/>
      <c r="J886" s="562">
        <f t="shared" si="22"/>
        <v>0</v>
      </c>
    </row>
    <row r="887" spans="1:10" x14ac:dyDescent="0.25">
      <c r="A887" s="362">
        <v>1</v>
      </c>
      <c r="B887" s="364">
        <v>44022</v>
      </c>
      <c r="C887" s="362" t="s">
        <v>80</v>
      </c>
      <c r="D887" s="560">
        <v>232732130</v>
      </c>
      <c r="E887" s="560"/>
      <c r="F887" s="560">
        <v>232732200</v>
      </c>
      <c r="G887" s="560">
        <f t="shared" si="21"/>
        <v>-70</v>
      </c>
      <c r="H887" s="560">
        <v>4936644</v>
      </c>
      <c r="I887" s="560"/>
      <c r="J887" s="560">
        <f t="shared" si="22"/>
        <v>4936644</v>
      </c>
    </row>
    <row r="888" spans="1:10" x14ac:dyDescent="0.25">
      <c r="A888" s="362">
        <v>2</v>
      </c>
      <c r="B888" s="364">
        <v>44022</v>
      </c>
      <c r="C888" s="362" t="s">
        <v>83</v>
      </c>
      <c r="D888" s="560">
        <v>124581758</v>
      </c>
      <c r="E888" s="560">
        <v>4115313</v>
      </c>
      <c r="F888" s="560">
        <v>128697100</v>
      </c>
      <c r="G888" s="560">
        <f t="shared" si="21"/>
        <v>-29</v>
      </c>
      <c r="H888" s="560">
        <v>826913</v>
      </c>
      <c r="I888" s="560"/>
      <c r="J888" s="560">
        <f t="shared" si="22"/>
        <v>826913</v>
      </c>
    </row>
    <row r="889" spans="1:10" x14ac:dyDescent="0.25">
      <c r="A889" s="362">
        <v>3</v>
      </c>
      <c r="B889" s="364">
        <v>44022</v>
      </c>
      <c r="C889" s="362" t="s">
        <v>88</v>
      </c>
      <c r="D889" s="560">
        <v>117645398</v>
      </c>
      <c r="E889" s="560">
        <v>34223134</v>
      </c>
      <c r="F889" s="560">
        <v>151868600</v>
      </c>
      <c r="G889" s="560">
        <f t="shared" si="21"/>
        <v>-68</v>
      </c>
      <c r="H889" s="560">
        <v>4851865</v>
      </c>
      <c r="I889" s="560">
        <v>4851865</v>
      </c>
      <c r="J889" s="560">
        <f t="shared" si="22"/>
        <v>0</v>
      </c>
    </row>
    <row r="890" spans="1:10" x14ac:dyDescent="0.25">
      <c r="A890" s="362">
        <v>4</v>
      </c>
      <c r="B890" s="364">
        <v>44022</v>
      </c>
      <c r="C890" s="362" t="s">
        <v>146</v>
      </c>
      <c r="D890" s="560">
        <v>46613409</v>
      </c>
      <c r="E890" s="560">
        <v>43394049</v>
      </c>
      <c r="F890" s="560">
        <v>90007800</v>
      </c>
      <c r="G890" s="560">
        <f t="shared" si="21"/>
        <v>-342</v>
      </c>
      <c r="H890" s="560">
        <v>4235327</v>
      </c>
      <c r="I890" s="560">
        <v>4235327</v>
      </c>
      <c r="J890" s="560">
        <f t="shared" si="22"/>
        <v>0</v>
      </c>
    </row>
    <row r="891" spans="1:10" x14ac:dyDescent="0.25">
      <c r="A891" s="362">
        <v>5</v>
      </c>
      <c r="B891" s="364">
        <v>44022</v>
      </c>
      <c r="C891" s="362" t="s">
        <v>86</v>
      </c>
      <c r="D891" s="560">
        <v>25794210</v>
      </c>
      <c r="E891" s="560">
        <v>135012699</v>
      </c>
      <c r="F891" s="560">
        <v>160807000</v>
      </c>
      <c r="G891" s="560">
        <f t="shared" si="21"/>
        <v>-91</v>
      </c>
      <c r="H891" s="560">
        <v>2540335</v>
      </c>
      <c r="I891" s="560">
        <v>3068835</v>
      </c>
      <c r="J891" s="560">
        <f t="shared" si="22"/>
        <v>-528500</v>
      </c>
    </row>
    <row r="892" spans="1:10" x14ac:dyDescent="0.25">
      <c r="A892" s="362">
        <v>6</v>
      </c>
      <c r="B892" s="364">
        <v>44022</v>
      </c>
      <c r="C892" s="362" t="s">
        <v>89</v>
      </c>
      <c r="D892" s="560">
        <v>232072531</v>
      </c>
      <c r="E892" s="560">
        <v>1421069</v>
      </c>
      <c r="F892" s="560">
        <v>233493600</v>
      </c>
      <c r="G892" s="560">
        <f t="shared" si="21"/>
        <v>0</v>
      </c>
      <c r="H892" s="560">
        <v>8874031</v>
      </c>
      <c r="I892" s="560">
        <v>8874031</v>
      </c>
      <c r="J892" s="560">
        <f t="shared" si="22"/>
        <v>0</v>
      </c>
    </row>
    <row r="893" spans="1:10" x14ac:dyDescent="0.25">
      <c r="A893" s="362">
        <v>7</v>
      </c>
      <c r="B893" s="364">
        <v>44022</v>
      </c>
      <c r="C893" s="362" t="s">
        <v>4751</v>
      </c>
      <c r="D893" s="560">
        <v>173123887</v>
      </c>
      <c r="E893" s="560">
        <v>7817113</v>
      </c>
      <c r="F893" s="560">
        <v>180941000</v>
      </c>
      <c r="G893" s="560">
        <f t="shared" si="21"/>
        <v>0</v>
      </c>
      <c r="H893" s="560">
        <v>12702804</v>
      </c>
      <c r="I893" s="560">
        <v>13427809</v>
      </c>
      <c r="J893" s="560">
        <f t="shared" si="22"/>
        <v>-725005</v>
      </c>
    </row>
    <row r="894" spans="1:10" x14ac:dyDescent="0.25">
      <c r="A894" s="362">
        <v>8</v>
      </c>
      <c r="B894" s="364">
        <v>44022</v>
      </c>
      <c r="C894" s="362" t="s">
        <v>84</v>
      </c>
      <c r="D894" s="560">
        <v>158349647</v>
      </c>
      <c r="E894" s="560">
        <v>9937433</v>
      </c>
      <c r="F894" s="560">
        <v>168287200</v>
      </c>
      <c r="G894" s="560">
        <f t="shared" si="21"/>
        <v>-120</v>
      </c>
      <c r="H894" s="560">
        <v>4335719</v>
      </c>
      <c r="I894" s="560"/>
      <c r="J894" s="560">
        <f t="shared" si="22"/>
        <v>4335719</v>
      </c>
    </row>
    <row r="895" spans="1:10" x14ac:dyDescent="0.25">
      <c r="A895" s="362">
        <v>9</v>
      </c>
      <c r="B895" s="364">
        <v>44022</v>
      </c>
      <c r="C895" s="362" t="s">
        <v>81</v>
      </c>
      <c r="D895" s="560">
        <v>87924266</v>
      </c>
      <c r="E895" s="560">
        <v>22372756</v>
      </c>
      <c r="F895" s="560">
        <v>110297000</v>
      </c>
      <c r="G895" s="560">
        <f t="shared" si="21"/>
        <v>22</v>
      </c>
      <c r="H895" s="560">
        <v>7083935</v>
      </c>
      <c r="I895" s="560">
        <v>7083935</v>
      </c>
      <c r="J895" s="560">
        <f t="shared" si="22"/>
        <v>0</v>
      </c>
    </row>
    <row r="896" spans="1:10" x14ac:dyDescent="0.25">
      <c r="A896" s="362">
        <v>10</v>
      </c>
      <c r="B896" s="364">
        <v>44022</v>
      </c>
      <c r="C896" s="362" t="s">
        <v>79</v>
      </c>
      <c r="D896" s="560">
        <v>55123314</v>
      </c>
      <c r="E896" s="560">
        <v>825479</v>
      </c>
      <c r="F896" s="560">
        <v>55948800</v>
      </c>
      <c r="G896" s="560">
        <f t="shared" si="21"/>
        <v>-7</v>
      </c>
      <c r="H896" s="560">
        <v>2783716</v>
      </c>
      <c r="I896" s="560"/>
      <c r="J896" s="560">
        <f t="shared" si="22"/>
        <v>2783716</v>
      </c>
    </row>
    <row r="897" spans="1:10" x14ac:dyDescent="0.25">
      <c r="A897" s="362">
        <v>11</v>
      </c>
      <c r="B897" s="364">
        <v>44022</v>
      </c>
      <c r="C897" s="362" t="s">
        <v>82</v>
      </c>
      <c r="D897" s="560">
        <v>59870041</v>
      </c>
      <c r="E897" s="560"/>
      <c r="F897" s="560">
        <v>59871000</v>
      </c>
      <c r="G897" s="560">
        <f t="shared" si="21"/>
        <v>-959</v>
      </c>
      <c r="H897" s="560">
        <v>4748168</v>
      </c>
      <c r="I897" s="560"/>
      <c r="J897" s="560">
        <f t="shared" si="22"/>
        <v>4748168</v>
      </c>
    </row>
    <row r="898" spans="1:10" x14ac:dyDescent="0.25">
      <c r="A898" s="362">
        <v>12</v>
      </c>
      <c r="B898" s="364">
        <v>44022</v>
      </c>
      <c r="C898" s="362" t="s">
        <v>78</v>
      </c>
      <c r="D898" s="560">
        <v>89917241</v>
      </c>
      <c r="E898" s="560">
        <v>2489559</v>
      </c>
      <c r="F898" s="560">
        <v>92406800</v>
      </c>
      <c r="G898" s="560">
        <f t="shared" si="21"/>
        <v>0</v>
      </c>
      <c r="H898" s="560">
        <v>8813558</v>
      </c>
      <c r="I898" s="560"/>
      <c r="J898" s="560">
        <f t="shared" si="22"/>
        <v>8813558</v>
      </c>
    </row>
    <row r="899" spans="1:10" x14ac:dyDescent="0.25">
      <c r="A899" s="362">
        <v>13</v>
      </c>
      <c r="B899" s="364">
        <v>44022</v>
      </c>
      <c r="C899" s="362" t="s">
        <v>85</v>
      </c>
      <c r="D899" s="560">
        <v>7927000</v>
      </c>
      <c r="E899" s="560"/>
      <c r="F899" s="560">
        <v>7927000</v>
      </c>
      <c r="G899" s="560">
        <f t="shared" si="21"/>
        <v>0</v>
      </c>
      <c r="H899" s="560"/>
      <c r="I899" s="560"/>
      <c r="J899" s="560">
        <f t="shared" si="22"/>
        <v>0</v>
      </c>
    </row>
    <row r="900" spans="1:10" x14ac:dyDescent="0.25">
      <c r="A900" s="362">
        <v>14</v>
      </c>
      <c r="B900" s="364">
        <v>44022</v>
      </c>
      <c r="C900" s="362" t="s">
        <v>166</v>
      </c>
      <c r="D900" s="560">
        <v>32408436</v>
      </c>
      <c r="E900" s="560"/>
      <c r="F900" s="560">
        <v>32408500</v>
      </c>
      <c r="G900" s="560">
        <f t="shared" si="21"/>
        <v>-64</v>
      </c>
      <c r="H900" s="560"/>
      <c r="I900" s="560"/>
      <c r="J900" s="560">
        <f t="shared" si="22"/>
        <v>0</v>
      </c>
    </row>
    <row r="901" spans="1:10" x14ac:dyDescent="0.25">
      <c r="A901" s="362">
        <v>15</v>
      </c>
      <c r="B901" s="364">
        <v>44022</v>
      </c>
      <c r="C901" s="362" t="s">
        <v>3435</v>
      </c>
      <c r="D901" s="560"/>
      <c r="E901" s="560"/>
      <c r="F901" s="560">
        <v>75059000</v>
      </c>
      <c r="G901" s="560">
        <f t="shared" si="21"/>
        <v>-75059000</v>
      </c>
      <c r="H901" s="560"/>
      <c r="I901" s="560"/>
      <c r="J901" s="560">
        <f t="shared" si="22"/>
        <v>0</v>
      </c>
    </row>
    <row r="902" spans="1:10" x14ac:dyDescent="0.25">
      <c r="A902" s="530"/>
      <c r="B902" s="589"/>
      <c r="C902" s="530"/>
      <c r="D902" s="562"/>
      <c r="E902" s="562"/>
      <c r="F902" s="562"/>
      <c r="G902" s="562">
        <f t="shared" si="21"/>
        <v>0</v>
      </c>
      <c r="H902" s="562"/>
      <c r="I902" s="562"/>
      <c r="J902" s="562"/>
    </row>
    <row r="903" spans="1:10" x14ac:dyDescent="0.25">
      <c r="A903" s="362">
        <v>1</v>
      </c>
      <c r="B903" s="364">
        <v>44023</v>
      </c>
      <c r="C903" s="362" t="s">
        <v>80</v>
      </c>
      <c r="D903" s="560">
        <v>205727050</v>
      </c>
      <c r="E903" s="560"/>
      <c r="F903" s="560">
        <v>205727000</v>
      </c>
      <c r="G903" s="560">
        <f t="shared" ref="G903:G966" si="23">D903+E903-F903</f>
        <v>50</v>
      </c>
      <c r="H903" s="560">
        <v>4936644</v>
      </c>
      <c r="I903" s="560"/>
      <c r="J903" s="560"/>
    </row>
    <row r="904" spans="1:10" x14ac:dyDescent="0.25">
      <c r="A904" s="362">
        <v>2</v>
      </c>
      <c r="B904" s="364">
        <v>44023</v>
      </c>
      <c r="C904" s="362" t="s">
        <v>83</v>
      </c>
      <c r="D904" s="560">
        <v>296400436</v>
      </c>
      <c r="E904" s="560">
        <v>52105164</v>
      </c>
      <c r="F904" s="560">
        <v>348505600</v>
      </c>
      <c r="G904" s="560">
        <f t="shared" si="23"/>
        <v>0</v>
      </c>
      <c r="H904" s="560">
        <v>551913</v>
      </c>
      <c r="I904" s="560"/>
      <c r="J904" s="560"/>
    </row>
    <row r="905" spans="1:10" x14ac:dyDescent="0.25">
      <c r="A905" s="362">
        <v>3</v>
      </c>
      <c r="B905" s="364">
        <v>44023</v>
      </c>
      <c r="C905" s="362" t="s">
        <v>88</v>
      </c>
      <c r="D905" s="560">
        <v>217039983</v>
      </c>
      <c r="E905" s="560">
        <v>5502347</v>
      </c>
      <c r="F905" s="560">
        <v>222542400</v>
      </c>
      <c r="G905" s="560">
        <f t="shared" si="23"/>
        <v>-70</v>
      </c>
      <c r="H905" s="560">
        <v>4851865</v>
      </c>
      <c r="I905" s="560"/>
      <c r="J905" s="560"/>
    </row>
    <row r="906" spans="1:10" x14ac:dyDescent="0.25">
      <c r="A906" s="362">
        <v>4</v>
      </c>
      <c r="B906" s="364">
        <v>44023</v>
      </c>
      <c r="C906" s="362" t="s">
        <v>146</v>
      </c>
      <c r="D906" s="560">
        <v>83391325</v>
      </c>
      <c r="E906" s="560">
        <v>93680570</v>
      </c>
      <c r="F906" s="560">
        <v>177071700</v>
      </c>
      <c r="G906" s="560">
        <f t="shared" si="23"/>
        <v>195</v>
      </c>
      <c r="H906" s="560">
        <v>3578127</v>
      </c>
      <c r="I906" s="560"/>
      <c r="J906" s="560"/>
    </row>
    <row r="907" spans="1:10" x14ac:dyDescent="0.25">
      <c r="A907" s="362">
        <v>5</v>
      </c>
      <c r="B907" s="364">
        <v>44023</v>
      </c>
      <c r="C907" s="362" t="s">
        <v>86</v>
      </c>
      <c r="D907" s="560">
        <v>36186098</v>
      </c>
      <c r="E907" s="560">
        <v>34985962</v>
      </c>
      <c r="F907" s="560">
        <v>71172000</v>
      </c>
      <c r="G907" s="560">
        <f t="shared" si="23"/>
        <v>60</v>
      </c>
      <c r="H907" s="560">
        <v>2540335</v>
      </c>
      <c r="I907" s="560"/>
      <c r="J907" s="560"/>
    </row>
    <row r="908" spans="1:10" x14ac:dyDescent="0.25">
      <c r="A908" s="362">
        <v>6</v>
      </c>
      <c r="B908" s="364">
        <v>44023</v>
      </c>
      <c r="C908" s="362" t="s">
        <v>89</v>
      </c>
      <c r="D908" s="560">
        <v>110131999</v>
      </c>
      <c r="E908" s="560">
        <v>4547772</v>
      </c>
      <c r="F908" s="560">
        <v>114679800</v>
      </c>
      <c r="G908" s="560">
        <f t="shared" si="23"/>
        <v>-29</v>
      </c>
      <c r="H908" s="560">
        <v>8792031</v>
      </c>
      <c r="I908" s="560"/>
      <c r="J908" s="560"/>
    </row>
    <row r="909" spans="1:10" x14ac:dyDescent="0.25">
      <c r="A909" s="362">
        <v>7</v>
      </c>
      <c r="B909" s="364">
        <v>44023</v>
      </c>
      <c r="C909" s="362" t="s">
        <v>4751</v>
      </c>
      <c r="D909" s="560">
        <v>249866556</v>
      </c>
      <c r="E909" s="560">
        <v>16750044</v>
      </c>
      <c r="F909" s="560">
        <v>266616600</v>
      </c>
      <c r="G909" s="560">
        <f t="shared" si="23"/>
        <v>0</v>
      </c>
      <c r="H909" s="560">
        <v>12702809</v>
      </c>
      <c r="I909" s="560"/>
      <c r="J909" s="560"/>
    </row>
    <row r="910" spans="1:10" x14ac:dyDescent="0.25">
      <c r="A910" s="362">
        <v>8</v>
      </c>
      <c r="B910" s="364">
        <v>44023</v>
      </c>
      <c r="C910" s="362" t="s">
        <v>84</v>
      </c>
      <c r="D910" s="560">
        <v>210831895</v>
      </c>
      <c r="E910" s="560">
        <v>21014609</v>
      </c>
      <c r="F910" s="560">
        <v>231847100</v>
      </c>
      <c r="G910" s="560">
        <f t="shared" si="23"/>
        <v>-596</v>
      </c>
      <c r="H910" s="560">
        <v>4335719</v>
      </c>
      <c r="I910" s="560"/>
      <c r="J910" s="560"/>
    </row>
    <row r="911" spans="1:10" x14ac:dyDescent="0.25">
      <c r="A911" s="362">
        <v>9</v>
      </c>
      <c r="B911" s="364">
        <v>44023</v>
      </c>
      <c r="C911" s="362" t="s">
        <v>81</v>
      </c>
      <c r="D911" s="560">
        <v>93127484</v>
      </c>
      <c r="E911" s="560">
        <v>4858723</v>
      </c>
      <c r="F911" s="560">
        <v>97986300</v>
      </c>
      <c r="G911" s="560">
        <f t="shared" si="23"/>
        <v>-93</v>
      </c>
      <c r="H911" s="560">
        <v>6496165</v>
      </c>
      <c r="I911" s="560"/>
      <c r="J911" s="560"/>
    </row>
    <row r="912" spans="1:10" x14ac:dyDescent="0.25">
      <c r="A912" s="362">
        <v>10</v>
      </c>
      <c r="B912" s="364">
        <v>44023</v>
      </c>
      <c r="C912" s="362" t="s">
        <v>79</v>
      </c>
      <c r="D912" s="560">
        <v>30128035</v>
      </c>
      <c r="E912" s="560">
        <v>1004738</v>
      </c>
      <c r="F912" s="560">
        <v>31132900</v>
      </c>
      <c r="G912" s="560">
        <f t="shared" si="23"/>
        <v>-127</v>
      </c>
      <c r="H912" s="560">
        <v>2762716</v>
      </c>
      <c r="I912" s="560"/>
      <c r="J912" s="560"/>
    </row>
    <row r="913" spans="1:10" x14ac:dyDescent="0.25">
      <c r="A913" s="362">
        <v>11</v>
      </c>
      <c r="B913" s="364">
        <v>44023</v>
      </c>
      <c r="C913" s="362" t="s">
        <v>82</v>
      </c>
      <c r="D913" s="560">
        <v>142460059</v>
      </c>
      <c r="E913" s="560">
        <v>2826700</v>
      </c>
      <c r="F913" s="560">
        <v>145286800</v>
      </c>
      <c r="G913" s="560">
        <f t="shared" si="23"/>
        <v>-41</v>
      </c>
      <c r="H913" s="560">
        <v>3815668</v>
      </c>
      <c r="I913" s="560"/>
      <c r="J913" s="560"/>
    </row>
    <row r="914" spans="1:10" x14ac:dyDescent="0.25">
      <c r="A914" s="362">
        <v>12</v>
      </c>
      <c r="B914" s="364">
        <v>44023</v>
      </c>
      <c r="C914" s="362" t="s">
        <v>78</v>
      </c>
      <c r="D914" s="560">
        <v>89220794</v>
      </c>
      <c r="E914" s="560">
        <v>2757306</v>
      </c>
      <c r="F914" s="560">
        <v>91978100</v>
      </c>
      <c r="G914" s="560">
        <f t="shared" si="23"/>
        <v>0</v>
      </c>
      <c r="H914" s="560">
        <v>8496008</v>
      </c>
      <c r="I914" s="560"/>
      <c r="J914" s="560"/>
    </row>
    <row r="915" spans="1:10" x14ac:dyDescent="0.25">
      <c r="A915" s="362">
        <v>13</v>
      </c>
      <c r="B915" s="364">
        <v>44023</v>
      </c>
      <c r="C915" s="362" t="s">
        <v>85</v>
      </c>
      <c r="D915" s="560">
        <v>11782500</v>
      </c>
      <c r="E915" s="560"/>
      <c r="F915" s="560">
        <v>11782500</v>
      </c>
      <c r="G915" s="560">
        <f t="shared" si="23"/>
        <v>0</v>
      </c>
      <c r="H915" s="560"/>
      <c r="I915" s="560"/>
      <c r="J915" s="560"/>
    </row>
    <row r="916" spans="1:10" x14ac:dyDescent="0.25">
      <c r="A916" s="362">
        <v>14</v>
      </c>
      <c r="B916" s="364">
        <v>44023</v>
      </c>
      <c r="C916" s="362" t="s">
        <v>166</v>
      </c>
      <c r="D916" s="560"/>
      <c r="E916" s="560"/>
      <c r="F916" s="560"/>
      <c r="G916" s="560">
        <f t="shared" si="23"/>
        <v>0</v>
      </c>
      <c r="H916" s="560"/>
      <c r="I916" s="560"/>
      <c r="J916" s="560"/>
    </row>
    <row r="917" spans="1:10" x14ac:dyDescent="0.25">
      <c r="A917" s="362">
        <v>15</v>
      </c>
      <c r="B917" s="364">
        <v>44023</v>
      </c>
      <c r="C917" s="362" t="s">
        <v>3435</v>
      </c>
      <c r="D917" s="560"/>
      <c r="E917" s="560"/>
      <c r="F917" s="560"/>
      <c r="G917" s="560">
        <f t="shared" si="23"/>
        <v>0</v>
      </c>
      <c r="H917" s="560"/>
      <c r="I917" s="560"/>
      <c r="J917" s="560"/>
    </row>
    <row r="918" spans="1:10" x14ac:dyDescent="0.25">
      <c r="A918" s="530"/>
      <c r="B918" s="530"/>
      <c r="C918" s="530"/>
      <c r="D918" s="562"/>
      <c r="E918" s="562"/>
      <c r="F918" s="562"/>
      <c r="G918" s="562">
        <f t="shared" si="23"/>
        <v>0</v>
      </c>
      <c r="H918" s="562"/>
      <c r="I918" s="562"/>
      <c r="J918" s="562"/>
    </row>
    <row r="919" spans="1:10" x14ac:dyDescent="0.25">
      <c r="A919" s="362">
        <v>1</v>
      </c>
      <c r="B919" s="364">
        <v>44025</v>
      </c>
      <c r="C919" s="362" t="s">
        <v>80</v>
      </c>
      <c r="D919" s="560">
        <v>227848313</v>
      </c>
      <c r="E919" s="560"/>
      <c r="F919" s="560">
        <v>227848300</v>
      </c>
      <c r="G919" s="560">
        <f t="shared" si="23"/>
        <v>13</v>
      </c>
      <c r="H919" s="560">
        <v>4936644</v>
      </c>
      <c r="I919" s="560"/>
      <c r="J919" s="560"/>
    </row>
    <row r="920" spans="1:10" x14ac:dyDescent="0.25">
      <c r="A920" s="362">
        <v>2</v>
      </c>
      <c r="B920" s="364">
        <v>44025</v>
      </c>
      <c r="C920" s="362" t="s">
        <v>83</v>
      </c>
      <c r="D920" s="560">
        <v>527312615</v>
      </c>
      <c r="E920" s="560">
        <v>11373947</v>
      </c>
      <c r="F920" s="560">
        <f>192686600+346000000</f>
        <v>538686600</v>
      </c>
      <c r="G920" s="560">
        <f t="shared" si="23"/>
        <v>-38</v>
      </c>
      <c r="H920" s="560">
        <v>13002337</v>
      </c>
      <c r="I920" s="560"/>
      <c r="J920" s="560"/>
    </row>
    <row r="921" spans="1:10" x14ac:dyDescent="0.25">
      <c r="A921" s="362">
        <v>3</v>
      </c>
      <c r="B921" s="364">
        <v>44025</v>
      </c>
      <c r="C921" s="362" t="s">
        <v>88</v>
      </c>
      <c r="D921" s="560">
        <v>228791550</v>
      </c>
      <c r="E921" s="560">
        <v>24871646</v>
      </c>
      <c r="F921" s="560">
        <v>253666300</v>
      </c>
      <c r="G921" s="560">
        <f t="shared" si="23"/>
        <v>-3104</v>
      </c>
      <c r="H921" s="560">
        <v>17801751</v>
      </c>
      <c r="I921" s="560"/>
      <c r="J921" s="560"/>
    </row>
    <row r="922" spans="1:10" x14ac:dyDescent="0.25">
      <c r="A922" s="362">
        <v>4</v>
      </c>
      <c r="B922" s="364">
        <v>44025</v>
      </c>
      <c r="C922" s="362" t="s">
        <v>146</v>
      </c>
      <c r="D922" s="560">
        <v>58763601</v>
      </c>
      <c r="E922" s="560">
        <v>76018484</v>
      </c>
      <c r="F922" s="560">
        <v>134782200</v>
      </c>
      <c r="G922" s="560">
        <f t="shared" si="23"/>
        <v>-115</v>
      </c>
      <c r="H922" s="560">
        <v>3578127</v>
      </c>
      <c r="I922" s="560"/>
      <c r="J922" s="560"/>
    </row>
    <row r="923" spans="1:10" x14ac:dyDescent="0.25">
      <c r="A923" s="362">
        <v>5</v>
      </c>
      <c r="B923" s="364">
        <v>44025</v>
      </c>
      <c r="C923" s="362" t="s">
        <v>86</v>
      </c>
      <c r="D923" s="560">
        <v>48808476</v>
      </c>
      <c r="E923" s="560">
        <v>74382587</v>
      </c>
      <c r="F923" s="560">
        <v>123191000</v>
      </c>
      <c r="G923" s="560">
        <f t="shared" si="23"/>
        <v>63</v>
      </c>
      <c r="H923" s="560">
        <v>9974221</v>
      </c>
      <c r="I923" s="560"/>
      <c r="J923" s="560"/>
    </row>
    <row r="924" spans="1:10" x14ac:dyDescent="0.25">
      <c r="A924" s="362">
        <v>6</v>
      </c>
      <c r="B924" s="364">
        <v>44025</v>
      </c>
      <c r="C924" s="362" t="s">
        <v>89</v>
      </c>
      <c r="D924" s="560">
        <v>91657400</v>
      </c>
      <c r="E924" s="560">
        <v>1193200</v>
      </c>
      <c r="F924" s="560">
        <v>92850600</v>
      </c>
      <c r="G924" s="560">
        <f t="shared" si="23"/>
        <v>0</v>
      </c>
      <c r="H924" s="560">
        <v>8002531</v>
      </c>
      <c r="I924" s="560"/>
      <c r="J924" s="560"/>
    </row>
    <row r="925" spans="1:10" x14ac:dyDescent="0.25">
      <c r="A925" s="362">
        <v>7</v>
      </c>
      <c r="B925" s="364">
        <v>44025</v>
      </c>
      <c r="C925" s="362" t="s">
        <v>4751</v>
      </c>
      <c r="D925" s="560">
        <v>157633775</v>
      </c>
      <c r="E925" s="560">
        <v>20693225</v>
      </c>
      <c r="F925" s="560">
        <v>178327000</v>
      </c>
      <c r="G925" s="560">
        <f t="shared" si="23"/>
        <v>0</v>
      </c>
      <c r="H925" s="560">
        <v>12234309</v>
      </c>
      <c r="I925" s="560"/>
      <c r="J925" s="560"/>
    </row>
    <row r="926" spans="1:10" x14ac:dyDescent="0.25">
      <c r="A926" s="362">
        <v>8</v>
      </c>
      <c r="B926" s="364">
        <v>44025</v>
      </c>
      <c r="C926" s="362" t="s">
        <v>84</v>
      </c>
      <c r="D926" s="560">
        <v>356096425</v>
      </c>
      <c r="E926" s="560">
        <v>11226252</v>
      </c>
      <c r="F926" s="560">
        <v>367322700</v>
      </c>
      <c r="G926" s="560">
        <f t="shared" si="23"/>
        <v>-23</v>
      </c>
      <c r="H926" s="560">
        <v>4335719</v>
      </c>
      <c r="I926" s="560"/>
      <c r="J926" s="560"/>
    </row>
    <row r="927" spans="1:10" x14ac:dyDescent="0.25">
      <c r="A927" s="362">
        <v>9</v>
      </c>
      <c r="B927" s="364">
        <v>44025</v>
      </c>
      <c r="C927" s="362" t="s">
        <v>81</v>
      </c>
      <c r="D927" s="560">
        <v>200543064</v>
      </c>
      <c r="E927" s="560">
        <v>12779665</v>
      </c>
      <c r="F927" s="560">
        <v>213322800</v>
      </c>
      <c r="G927" s="560">
        <f t="shared" si="23"/>
        <v>-71</v>
      </c>
      <c r="H927" s="560">
        <v>5826185</v>
      </c>
      <c r="I927" s="560"/>
      <c r="J927" s="560"/>
    </row>
    <row r="928" spans="1:10" x14ac:dyDescent="0.25">
      <c r="A928" s="362">
        <v>10</v>
      </c>
      <c r="B928" s="364">
        <v>44025</v>
      </c>
      <c r="C928" s="362" t="s">
        <v>79</v>
      </c>
      <c r="D928" s="560">
        <v>36321146</v>
      </c>
      <c r="E928" s="560">
        <v>1500226</v>
      </c>
      <c r="F928" s="560">
        <v>37821400</v>
      </c>
      <c r="G928" s="560">
        <f t="shared" si="23"/>
        <v>-28</v>
      </c>
      <c r="H928" s="560">
        <v>2107716</v>
      </c>
      <c r="I928" s="560"/>
      <c r="J928" s="560"/>
    </row>
    <row r="929" spans="1:10" x14ac:dyDescent="0.25">
      <c r="A929" s="362">
        <v>11</v>
      </c>
      <c r="B929" s="364">
        <v>44025</v>
      </c>
      <c r="C929" s="362" t="s">
        <v>82</v>
      </c>
      <c r="D929" s="560">
        <v>29335078</v>
      </c>
      <c r="E929" s="560">
        <v>457700</v>
      </c>
      <c r="F929" s="560">
        <v>29792800</v>
      </c>
      <c r="G929" s="560">
        <f t="shared" si="23"/>
        <v>-22</v>
      </c>
      <c r="H929" s="560">
        <v>3815668</v>
      </c>
      <c r="I929" s="560"/>
      <c r="J929" s="560"/>
    </row>
    <row r="930" spans="1:10" x14ac:dyDescent="0.25">
      <c r="A930" s="362">
        <v>12</v>
      </c>
      <c r="B930" s="364">
        <v>44025</v>
      </c>
      <c r="C930" s="362" t="s">
        <v>78</v>
      </c>
      <c r="D930" s="560">
        <v>51242212</v>
      </c>
      <c r="E930" s="560">
        <v>4093288</v>
      </c>
      <c r="F930" s="560">
        <v>55335500</v>
      </c>
      <c r="G930" s="560">
        <f t="shared" si="23"/>
        <v>0</v>
      </c>
      <c r="H930" s="560">
        <v>7710108</v>
      </c>
      <c r="I930" s="560"/>
      <c r="J930" s="560"/>
    </row>
    <row r="931" spans="1:10" x14ac:dyDescent="0.25">
      <c r="A931" s="362">
        <v>13</v>
      </c>
      <c r="B931" s="364">
        <v>44025</v>
      </c>
      <c r="C931" s="362" t="s">
        <v>85</v>
      </c>
      <c r="D931" s="560">
        <v>27069900</v>
      </c>
      <c r="E931" s="560"/>
      <c r="F931" s="560">
        <v>27069900</v>
      </c>
      <c r="G931" s="560">
        <f t="shared" si="23"/>
        <v>0</v>
      </c>
      <c r="H931" s="560"/>
      <c r="I931" s="560"/>
      <c r="J931" s="560"/>
    </row>
    <row r="932" spans="1:10" x14ac:dyDescent="0.25">
      <c r="A932" s="362">
        <v>14</v>
      </c>
      <c r="B932" s="364">
        <v>44025</v>
      </c>
      <c r="C932" s="362" t="s">
        <v>166</v>
      </c>
      <c r="D932" s="560">
        <v>42742057</v>
      </c>
      <c r="E932" s="560"/>
      <c r="F932" s="560">
        <v>42742000</v>
      </c>
      <c r="G932" s="560">
        <f t="shared" si="23"/>
        <v>57</v>
      </c>
      <c r="H932" s="560"/>
      <c r="I932" s="560"/>
      <c r="J932" s="560"/>
    </row>
    <row r="933" spans="1:10" x14ac:dyDescent="0.25">
      <c r="A933" s="362">
        <v>15</v>
      </c>
      <c r="B933" s="364">
        <v>44025</v>
      </c>
      <c r="C933" s="362" t="s">
        <v>3435</v>
      </c>
      <c r="D933" s="560"/>
      <c r="E933" s="560"/>
      <c r="F933" s="560">
        <v>22885400</v>
      </c>
      <c r="G933" s="560">
        <f t="shared" si="23"/>
        <v>-22885400</v>
      </c>
      <c r="H933" s="560"/>
      <c r="I933" s="560"/>
      <c r="J933" s="560"/>
    </row>
    <row r="934" spans="1:10" x14ac:dyDescent="0.25">
      <c r="A934" s="530"/>
      <c r="B934" s="589"/>
      <c r="C934" s="530"/>
      <c r="D934" s="530"/>
      <c r="E934" s="530"/>
      <c r="F934" s="530"/>
      <c r="G934" s="562">
        <f t="shared" si="23"/>
        <v>0</v>
      </c>
      <c r="H934" s="530"/>
      <c r="I934" s="530"/>
      <c r="J934" s="530"/>
    </row>
    <row r="935" spans="1:10" x14ac:dyDescent="0.25">
      <c r="A935" s="362">
        <v>1</v>
      </c>
      <c r="B935" s="364">
        <v>44026</v>
      </c>
      <c r="C935" s="362" t="s">
        <v>80</v>
      </c>
      <c r="D935" s="560">
        <v>191186572</v>
      </c>
      <c r="E935" s="560"/>
      <c r="F935" s="560">
        <v>191186600</v>
      </c>
      <c r="G935" s="560">
        <f t="shared" si="23"/>
        <v>-28</v>
      </c>
      <c r="H935" s="560">
        <v>33937082</v>
      </c>
      <c r="I935" s="560"/>
      <c r="J935" s="560"/>
    </row>
    <row r="936" spans="1:10" x14ac:dyDescent="0.25">
      <c r="A936" s="362">
        <v>2</v>
      </c>
      <c r="B936" s="364">
        <v>44026</v>
      </c>
      <c r="C936" s="362" t="s">
        <v>83</v>
      </c>
      <c r="D936" s="560">
        <v>282088502</v>
      </c>
      <c r="E936" s="560">
        <v>14187291</v>
      </c>
      <c r="F936" s="560">
        <v>296275800</v>
      </c>
      <c r="G936" s="560">
        <f t="shared" si="23"/>
        <v>-7</v>
      </c>
      <c r="H936" s="560">
        <v>7904901</v>
      </c>
      <c r="I936" s="560"/>
      <c r="J936" s="560"/>
    </row>
    <row r="937" spans="1:10" x14ac:dyDescent="0.25">
      <c r="A937" s="362">
        <v>3</v>
      </c>
      <c r="B937" s="364">
        <v>44026</v>
      </c>
      <c r="C937" s="362" t="s">
        <v>88</v>
      </c>
      <c r="D937" s="560">
        <v>237555438</v>
      </c>
      <c r="E937" s="560">
        <v>4872813</v>
      </c>
      <c r="F937" s="560">
        <v>242428300</v>
      </c>
      <c r="G937" s="560">
        <f t="shared" si="23"/>
        <v>-49</v>
      </c>
      <c r="H937" s="560">
        <v>14303641</v>
      </c>
      <c r="I937" s="560"/>
      <c r="J937" s="560"/>
    </row>
    <row r="938" spans="1:10" x14ac:dyDescent="0.25">
      <c r="A938" s="362">
        <v>4</v>
      </c>
      <c r="B938" s="364">
        <v>44026</v>
      </c>
      <c r="C938" s="362" t="s">
        <v>146</v>
      </c>
      <c r="D938" s="560">
        <v>174180701</v>
      </c>
      <c r="E938" s="560">
        <v>151151853</v>
      </c>
      <c r="F938" s="560">
        <v>325333000</v>
      </c>
      <c r="G938" s="560">
        <f t="shared" si="23"/>
        <v>-446</v>
      </c>
      <c r="H938" s="560">
        <v>18792270</v>
      </c>
      <c r="I938" s="560"/>
      <c r="J938" s="560"/>
    </row>
    <row r="939" spans="1:10" x14ac:dyDescent="0.25">
      <c r="A939" s="362">
        <v>5</v>
      </c>
      <c r="B939" s="364">
        <v>44026</v>
      </c>
      <c r="C939" s="362" t="s">
        <v>86</v>
      </c>
      <c r="D939" s="560">
        <v>59186259</v>
      </c>
      <c r="E939" s="560">
        <v>14170160</v>
      </c>
      <c r="F939" s="560">
        <v>73356400</v>
      </c>
      <c r="G939" s="560">
        <f t="shared" si="23"/>
        <v>19</v>
      </c>
      <c r="H939" s="560">
        <v>7353733</v>
      </c>
      <c r="I939" s="560"/>
      <c r="J939" s="560"/>
    </row>
    <row r="940" spans="1:10" x14ac:dyDescent="0.25">
      <c r="A940" s="362">
        <v>6</v>
      </c>
      <c r="B940" s="364">
        <v>44026</v>
      </c>
      <c r="C940" s="362" t="s">
        <v>89</v>
      </c>
      <c r="D940" s="560">
        <v>120408553</v>
      </c>
      <c r="E940" s="560">
        <v>5608747</v>
      </c>
      <c r="F940" s="560">
        <v>126017300</v>
      </c>
      <c r="G940" s="560">
        <f t="shared" si="23"/>
        <v>0</v>
      </c>
      <c r="H940" s="560">
        <v>17118107</v>
      </c>
      <c r="I940" s="560"/>
      <c r="J940" s="560"/>
    </row>
    <row r="941" spans="1:10" x14ac:dyDescent="0.25">
      <c r="A941" s="362">
        <v>7</v>
      </c>
      <c r="B941" s="364">
        <v>44026</v>
      </c>
      <c r="C941" s="362" t="s">
        <v>4751</v>
      </c>
      <c r="D941" s="560">
        <v>140468835</v>
      </c>
      <c r="E941" s="560">
        <v>15177965</v>
      </c>
      <c r="F941" s="560">
        <v>155646800</v>
      </c>
      <c r="G941" s="560">
        <f t="shared" si="23"/>
        <v>0</v>
      </c>
      <c r="H941" s="560">
        <v>12095659</v>
      </c>
      <c r="I941" s="560"/>
      <c r="J941" s="560"/>
    </row>
    <row r="942" spans="1:10" x14ac:dyDescent="0.25">
      <c r="A942" s="362">
        <v>8</v>
      </c>
      <c r="B942" s="364">
        <v>44026</v>
      </c>
      <c r="C942" s="362" t="s">
        <v>84</v>
      </c>
      <c r="D942" s="560">
        <v>161757340</v>
      </c>
      <c r="E942" s="560">
        <v>18923444</v>
      </c>
      <c r="F942" s="560">
        <v>180680800</v>
      </c>
      <c r="G942" s="560">
        <f t="shared" si="23"/>
        <v>-16</v>
      </c>
      <c r="H942" s="560">
        <v>25551115</v>
      </c>
      <c r="I942" s="560"/>
      <c r="J942" s="560"/>
    </row>
    <row r="943" spans="1:10" x14ac:dyDescent="0.25">
      <c r="A943" s="362">
        <v>9</v>
      </c>
      <c r="B943" s="364">
        <v>44026</v>
      </c>
      <c r="C943" s="362" t="s">
        <v>81</v>
      </c>
      <c r="D943" s="560">
        <v>87192089</v>
      </c>
      <c r="E943" s="560">
        <v>17069186</v>
      </c>
      <c r="F943" s="560">
        <v>104261300</v>
      </c>
      <c r="G943" s="560">
        <f t="shared" si="23"/>
        <v>-25</v>
      </c>
      <c r="H943" s="560">
        <v>17752178</v>
      </c>
      <c r="I943" s="560"/>
      <c r="J943" s="560"/>
    </row>
    <row r="944" spans="1:10" x14ac:dyDescent="0.25">
      <c r="A944" s="362">
        <v>10</v>
      </c>
      <c r="B944" s="364">
        <v>44026</v>
      </c>
      <c r="C944" s="362" t="s">
        <v>79</v>
      </c>
      <c r="D944" s="560">
        <v>63523426</v>
      </c>
      <c r="E944" s="560">
        <v>453100</v>
      </c>
      <c r="F944" s="560">
        <v>63976600</v>
      </c>
      <c r="G944" s="560">
        <f t="shared" si="23"/>
        <v>-74</v>
      </c>
      <c r="H944" s="560">
        <v>4758796</v>
      </c>
      <c r="I944" s="560"/>
      <c r="J944" s="560"/>
    </row>
    <row r="945" spans="1:10" x14ac:dyDescent="0.25">
      <c r="A945" s="362">
        <v>11</v>
      </c>
      <c r="B945" s="364">
        <v>44026</v>
      </c>
      <c r="C945" s="362" t="s">
        <v>82</v>
      </c>
      <c r="D945" s="560">
        <v>38293319</v>
      </c>
      <c r="E945" s="560">
        <v>4587568</v>
      </c>
      <c r="F945" s="560">
        <v>42880900</v>
      </c>
      <c r="G945" s="560">
        <f t="shared" si="23"/>
        <v>-13</v>
      </c>
      <c r="H945" s="560">
        <v>8559191</v>
      </c>
      <c r="I945" s="560"/>
      <c r="J945" s="560"/>
    </row>
    <row r="946" spans="1:10" x14ac:dyDescent="0.25">
      <c r="A946" s="362">
        <v>12</v>
      </c>
      <c r="B946" s="364">
        <v>44026</v>
      </c>
      <c r="C946" s="362" t="s">
        <v>78</v>
      </c>
      <c r="D946" s="560">
        <v>146767058</v>
      </c>
      <c r="E946" s="560">
        <v>3259042</v>
      </c>
      <c r="F946" s="560">
        <v>150026100</v>
      </c>
      <c r="G946" s="560">
        <f t="shared" si="23"/>
        <v>0</v>
      </c>
      <c r="H946" s="560">
        <v>15535444</v>
      </c>
      <c r="I946" s="560"/>
      <c r="J946" s="560"/>
    </row>
    <row r="947" spans="1:10" x14ac:dyDescent="0.25">
      <c r="A947" s="362">
        <v>13</v>
      </c>
      <c r="B947" s="364">
        <v>44026</v>
      </c>
      <c r="C947" s="362" t="s">
        <v>85</v>
      </c>
      <c r="D947" s="560">
        <v>31276600</v>
      </c>
      <c r="E947" s="560"/>
      <c r="F947" s="560">
        <v>31276600</v>
      </c>
      <c r="G947" s="560">
        <f t="shared" si="23"/>
        <v>0</v>
      </c>
      <c r="H947" s="560"/>
      <c r="I947" s="560"/>
      <c r="J947" s="560"/>
    </row>
    <row r="948" spans="1:10" x14ac:dyDescent="0.25">
      <c r="A948" s="362">
        <v>14</v>
      </c>
      <c r="B948" s="364">
        <v>44026</v>
      </c>
      <c r="C948" s="362" t="s">
        <v>166</v>
      </c>
      <c r="D948" s="560">
        <v>80161959</v>
      </c>
      <c r="E948" s="560"/>
      <c r="F948" s="560">
        <v>80162000</v>
      </c>
      <c r="G948" s="560">
        <f t="shared" si="23"/>
        <v>-41</v>
      </c>
      <c r="H948" s="560"/>
      <c r="I948" s="560"/>
      <c r="J948" s="560"/>
    </row>
    <row r="949" spans="1:10" x14ac:dyDescent="0.25">
      <c r="A949" s="362">
        <v>15</v>
      </c>
      <c r="B949" s="364">
        <v>44026</v>
      </c>
      <c r="C949" s="362" t="s">
        <v>3435</v>
      </c>
      <c r="D949" s="560"/>
      <c r="E949" s="560"/>
      <c r="F949" s="560">
        <v>34793200</v>
      </c>
      <c r="G949" s="560">
        <f t="shared" si="23"/>
        <v>-34793200</v>
      </c>
      <c r="H949" s="560"/>
      <c r="I949" s="560"/>
      <c r="J949" s="560"/>
    </row>
    <row r="950" spans="1:10" x14ac:dyDescent="0.25">
      <c r="A950" s="530"/>
      <c r="B950" s="589"/>
      <c r="C950" s="530"/>
      <c r="D950" s="562"/>
      <c r="E950" s="562"/>
      <c r="F950" s="562"/>
      <c r="G950" s="562">
        <f t="shared" si="23"/>
        <v>0</v>
      </c>
      <c r="H950" s="562"/>
      <c r="I950" s="562"/>
      <c r="J950" s="562"/>
    </row>
    <row r="951" spans="1:10" x14ac:dyDescent="0.25">
      <c r="A951" s="362">
        <v>1</v>
      </c>
      <c r="B951" s="364">
        <v>44027</v>
      </c>
      <c r="C951" s="362" t="s">
        <v>80</v>
      </c>
      <c r="D951" s="560">
        <v>298182979</v>
      </c>
      <c r="E951" s="560">
        <v>56437629</v>
      </c>
      <c r="F951" s="560">
        <v>354630700</v>
      </c>
      <c r="G951" s="560">
        <f t="shared" si="23"/>
        <v>-10092</v>
      </c>
      <c r="H951" s="560">
        <v>33937081</v>
      </c>
      <c r="I951" s="560"/>
      <c r="J951" s="560"/>
    </row>
    <row r="952" spans="1:10" x14ac:dyDescent="0.25">
      <c r="A952" s="362">
        <v>2</v>
      </c>
      <c r="B952" s="364">
        <v>44027</v>
      </c>
      <c r="C952" s="362" t="s">
        <v>83</v>
      </c>
      <c r="D952" s="560">
        <v>317372979</v>
      </c>
      <c r="E952" s="560">
        <v>9858241</v>
      </c>
      <c r="F952" s="560">
        <v>327231300</v>
      </c>
      <c r="G952" s="560">
        <f t="shared" si="23"/>
        <v>-80</v>
      </c>
      <c r="H952" s="560">
        <v>7174466</v>
      </c>
      <c r="I952" s="560"/>
      <c r="J952" s="560"/>
    </row>
    <row r="953" spans="1:10" x14ac:dyDescent="0.25">
      <c r="A953" s="362">
        <v>3</v>
      </c>
      <c r="B953" s="364">
        <v>44027</v>
      </c>
      <c r="C953" s="362" t="s">
        <v>88</v>
      </c>
      <c r="D953" s="560">
        <v>201862755</v>
      </c>
      <c r="E953" s="560">
        <v>5556162</v>
      </c>
      <c r="F953" s="560">
        <v>207419000</v>
      </c>
      <c r="G953" s="560">
        <f t="shared" si="23"/>
        <v>-83</v>
      </c>
      <c r="H953" s="560">
        <v>12229938</v>
      </c>
      <c r="I953" s="560"/>
      <c r="J953" s="560"/>
    </row>
    <row r="954" spans="1:10" x14ac:dyDescent="0.25">
      <c r="A954" s="362">
        <v>4</v>
      </c>
      <c r="B954" s="364">
        <v>44027</v>
      </c>
      <c r="C954" s="362" t="s">
        <v>146</v>
      </c>
      <c r="D954" s="560">
        <v>54635208</v>
      </c>
      <c r="E954" s="560">
        <v>46956626</v>
      </c>
      <c r="F954" s="560">
        <v>101591700</v>
      </c>
      <c r="G954" s="560">
        <f t="shared" si="23"/>
        <v>134</v>
      </c>
      <c r="H954" s="560">
        <v>16390670</v>
      </c>
      <c r="I954" s="560"/>
      <c r="J954" s="560"/>
    </row>
    <row r="955" spans="1:10" x14ac:dyDescent="0.25">
      <c r="A955" s="362">
        <v>5</v>
      </c>
      <c r="B955" s="364">
        <v>44027</v>
      </c>
      <c r="C955" s="362" t="s">
        <v>86</v>
      </c>
      <c r="D955" s="560">
        <v>69688035</v>
      </c>
      <c r="E955" s="560">
        <v>5485178</v>
      </c>
      <c r="F955" s="560">
        <v>75173800</v>
      </c>
      <c r="G955" s="560">
        <f t="shared" si="23"/>
        <v>-587</v>
      </c>
      <c r="H955" s="560">
        <v>7353733</v>
      </c>
      <c r="I955" s="560"/>
      <c r="J955" s="560"/>
    </row>
    <row r="956" spans="1:10" x14ac:dyDescent="0.25">
      <c r="A956" s="362">
        <v>6</v>
      </c>
      <c r="B956" s="364">
        <v>44027</v>
      </c>
      <c r="C956" s="362" t="s">
        <v>89</v>
      </c>
      <c r="D956" s="560">
        <v>92124600</v>
      </c>
      <c r="E956" s="560">
        <v>4389000</v>
      </c>
      <c r="F956" s="560">
        <v>96513600</v>
      </c>
      <c r="G956" s="560">
        <f t="shared" si="23"/>
        <v>0</v>
      </c>
      <c r="H956" s="560">
        <v>17118107</v>
      </c>
      <c r="I956" s="560"/>
      <c r="J956" s="560"/>
    </row>
    <row r="957" spans="1:10" x14ac:dyDescent="0.25">
      <c r="A957" s="362">
        <v>7</v>
      </c>
      <c r="B957" s="364">
        <v>44027</v>
      </c>
      <c r="C957" s="362" t="s">
        <v>4751</v>
      </c>
      <c r="D957" s="560">
        <v>218776996</v>
      </c>
      <c r="E957" s="560">
        <v>8480204</v>
      </c>
      <c r="F957" s="560">
        <v>227257200</v>
      </c>
      <c r="G957" s="560">
        <f t="shared" si="23"/>
        <v>0</v>
      </c>
      <c r="H957" s="560">
        <v>27820758</v>
      </c>
      <c r="I957" s="560"/>
      <c r="J957" s="560"/>
    </row>
    <row r="958" spans="1:10" x14ac:dyDescent="0.25">
      <c r="A958" s="362">
        <v>8</v>
      </c>
      <c r="B958" s="364">
        <v>44027</v>
      </c>
      <c r="C958" s="362" t="s">
        <v>84</v>
      </c>
      <c r="D958" s="560">
        <v>239399799</v>
      </c>
      <c r="E958" s="560">
        <v>11969566</v>
      </c>
      <c r="F958" s="560">
        <v>251369200</v>
      </c>
      <c r="G958" s="560">
        <f t="shared" si="23"/>
        <v>165</v>
      </c>
      <c r="H958" s="560">
        <v>25551115</v>
      </c>
      <c r="I958" s="560"/>
      <c r="J958" s="560"/>
    </row>
    <row r="959" spans="1:10" x14ac:dyDescent="0.25">
      <c r="A959" s="362">
        <v>9</v>
      </c>
      <c r="B959" s="364">
        <v>44027</v>
      </c>
      <c r="C959" s="362" t="s">
        <v>81</v>
      </c>
      <c r="D959" s="560">
        <v>88026988</v>
      </c>
      <c r="E959" s="560">
        <v>11044436</v>
      </c>
      <c r="F959" s="560">
        <v>99071400</v>
      </c>
      <c r="G959" s="560">
        <f t="shared" si="23"/>
        <v>24</v>
      </c>
      <c r="H959" s="560">
        <v>16024578</v>
      </c>
      <c r="I959" s="560"/>
      <c r="J959" s="560"/>
    </row>
    <row r="960" spans="1:10" x14ac:dyDescent="0.25">
      <c r="A960" s="362">
        <v>10</v>
      </c>
      <c r="B960" s="364">
        <v>44027</v>
      </c>
      <c r="C960" s="362" t="s">
        <v>79</v>
      </c>
      <c r="D960" s="560">
        <v>64982388</v>
      </c>
      <c r="E960" s="560">
        <v>1437230</v>
      </c>
      <c r="F960" s="560">
        <v>66419700</v>
      </c>
      <c r="G960" s="560">
        <f t="shared" si="23"/>
        <v>-82</v>
      </c>
      <c r="H960" s="560">
        <v>4683296</v>
      </c>
      <c r="I960" s="560"/>
      <c r="J960" s="560"/>
    </row>
    <row r="961" spans="1:10" x14ac:dyDescent="0.25">
      <c r="A961" s="362">
        <v>11</v>
      </c>
      <c r="B961" s="364">
        <v>44027</v>
      </c>
      <c r="C961" s="362" t="s">
        <v>82</v>
      </c>
      <c r="D961" s="560">
        <v>119625289</v>
      </c>
      <c r="E961" s="560">
        <v>420300</v>
      </c>
      <c r="F961" s="560">
        <v>120045700</v>
      </c>
      <c r="G961" s="560">
        <f t="shared" si="23"/>
        <v>-111</v>
      </c>
      <c r="H961" s="560">
        <v>8390191</v>
      </c>
      <c r="I961" s="560"/>
      <c r="J961" s="560"/>
    </row>
    <row r="962" spans="1:10" x14ac:dyDescent="0.25">
      <c r="A962" s="362">
        <v>12</v>
      </c>
      <c r="B962" s="364">
        <v>44027</v>
      </c>
      <c r="C962" s="362" t="s">
        <v>78</v>
      </c>
      <c r="D962" s="560">
        <v>78377082</v>
      </c>
      <c r="E962" s="560">
        <v>4995118</v>
      </c>
      <c r="F962" s="560">
        <v>83372200</v>
      </c>
      <c r="G962" s="560">
        <f t="shared" si="23"/>
        <v>0</v>
      </c>
      <c r="H962" s="560">
        <v>14582394</v>
      </c>
      <c r="I962" s="560"/>
      <c r="J962" s="560"/>
    </row>
    <row r="963" spans="1:10" x14ac:dyDescent="0.25">
      <c r="A963" s="362">
        <v>13</v>
      </c>
      <c r="B963" s="364">
        <v>44027</v>
      </c>
      <c r="C963" s="362" t="s">
        <v>85</v>
      </c>
      <c r="D963" s="560">
        <v>31301700</v>
      </c>
      <c r="E963" s="560"/>
      <c r="F963" s="560">
        <v>31301700</v>
      </c>
      <c r="G963" s="560">
        <f t="shared" si="23"/>
        <v>0</v>
      </c>
      <c r="H963" s="560"/>
      <c r="I963" s="560"/>
      <c r="J963" s="560"/>
    </row>
    <row r="964" spans="1:10" x14ac:dyDescent="0.25">
      <c r="A964" s="362">
        <v>14</v>
      </c>
      <c r="B964" s="364">
        <v>44027</v>
      </c>
      <c r="C964" s="362" t="s">
        <v>166</v>
      </c>
      <c r="D964" s="560">
        <v>50260197</v>
      </c>
      <c r="E964" s="560"/>
      <c r="F964" s="560">
        <v>50260200</v>
      </c>
      <c r="G964" s="560">
        <f t="shared" si="23"/>
        <v>-3</v>
      </c>
      <c r="H964" s="560"/>
      <c r="I964" s="560"/>
      <c r="J964" s="560"/>
    </row>
    <row r="965" spans="1:10" x14ac:dyDescent="0.25">
      <c r="A965" s="362">
        <v>15</v>
      </c>
      <c r="B965" s="364">
        <v>44027</v>
      </c>
      <c r="C965" s="362" t="s">
        <v>3435</v>
      </c>
      <c r="D965" s="560"/>
      <c r="E965" s="560"/>
      <c r="F965" s="560">
        <v>47586100</v>
      </c>
      <c r="G965" s="560">
        <f t="shared" si="23"/>
        <v>-47586100</v>
      </c>
      <c r="H965" s="560"/>
      <c r="I965" s="560"/>
      <c r="J965" s="560"/>
    </row>
    <row r="966" spans="1:10" x14ac:dyDescent="0.25">
      <c r="A966" s="530"/>
      <c r="B966" s="530"/>
      <c r="C966" s="530"/>
      <c r="D966" s="562"/>
      <c r="E966" s="562"/>
      <c r="F966" s="562"/>
      <c r="G966" s="562">
        <f t="shared" si="23"/>
        <v>0</v>
      </c>
      <c r="H966" s="562"/>
      <c r="I966" s="562"/>
      <c r="J966" s="562"/>
    </row>
    <row r="967" spans="1:10" x14ac:dyDescent="0.25">
      <c r="A967" s="362">
        <v>1</v>
      </c>
      <c r="B967" s="364">
        <v>44028</v>
      </c>
      <c r="C967" s="362" t="s">
        <v>80</v>
      </c>
      <c r="D967" s="560">
        <v>243446692</v>
      </c>
      <c r="E967" s="560">
        <v>56157067</v>
      </c>
      <c r="F967" s="560">
        <v>299603800</v>
      </c>
      <c r="G967" s="560">
        <f t="shared" ref="G967:G1030" si="24">D967+E967-F967</f>
        <v>-41</v>
      </c>
      <c r="H967" s="560">
        <v>17351897</v>
      </c>
      <c r="I967" s="560">
        <v>17351897</v>
      </c>
      <c r="J967" s="560">
        <f>H967-I967</f>
        <v>0</v>
      </c>
    </row>
    <row r="968" spans="1:10" x14ac:dyDescent="0.25">
      <c r="A968" s="362">
        <v>2</v>
      </c>
      <c r="B968" s="364">
        <v>44028</v>
      </c>
      <c r="C968" s="362" t="s">
        <v>83</v>
      </c>
      <c r="D968" s="560">
        <v>209008882</v>
      </c>
      <c r="E968" s="560">
        <v>48879900</v>
      </c>
      <c r="F968" s="560">
        <v>257888800</v>
      </c>
      <c r="G968" s="560">
        <f t="shared" si="24"/>
        <v>-18</v>
      </c>
      <c r="H968" s="560">
        <v>5275766</v>
      </c>
      <c r="I968" s="560">
        <v>7173466</v>
      </c>
      <c r="J968" s="560">
        <f t="shared" ref="J968:J997" si="25">H968-I968</f>
        <v>-1897700</v>
      </c>
    </row>
    <row r="969" spans="1:10" x14ac:dyDescent="0.25">
      <c r="A969" s="362">
        <v>3</v>
      </c>
      <c r="B969" s="364">
        <v>44028</v>
      </c>
      <c r="C969" s="362" t="s">
        <v>88</v>
      </c>
      <c r="D969" s="560">
        <v>266504861</v>
      </c>
      <c r="E969" s="560">
        <v>18063561</v>
      </c>
      <c r="F969" s="560">
        <v>284568500</v>
      </c>
      <c r="G969" s="560">
        <f t="shared" si="24"/>
        <v>-78</v>
      </c>
      <c r="H969" s="560">
        <v>5020388</v>
      </c>
      <c r="I969" s="560">
        <v>5020388</v>
      </c>
      <c r="J969" s="560">
        <f t="shared" si="25"/>
        <v>0</v>
      </c>
    </row>
    <row r="970" spans="1:10" x14ac:dyDescent="0.25">
      <c r="A970" s="362">
        <v>4</v>
      </c>
      <c r="B970" s="364">
        <v>44028</v>
      </c>
      <c r="C970" s="362" t="s">
        <v>146</v>
      </c>
      <c r="D970" s="560">
        <v>42713807</v>
      </c>
      <c r="E970" s="560">
        <v>144120192</v>
      </c>
      <c r="F970" s="560">
        <v>186834400</v>
      </c>
      <c r="G970" s="560">
        <f t="shared" si="24"/>
        <v>-401</v>
      </c>
      <c r="H970" s="560">
        <v>9181546</v>
      </c>
      <c r="I970" s="560"/>
      <c r="J970" s="560">
        <f t="shared" si="25"/>
        <v>9181546</v>
      </c>
    </row>
    <row r="971" spans="1:10" x14ac:dyDescent="0.25">
      <c r="A971" s="362">
        <v>5</v>
      </c>
      <c r="B971" s="364">
        <v>44028</v>
      </c>
      <c r="C971" s="362" t="s">
        <v>86</v>
      </c>
      <c r="D971" s="560">
        <v>74514357</v>
      </c>
      <c r="E971" s="560">
        <v>47902500</v>
      </c>
      <c r="F971" s="560">
        <v>122417200</v>
      </c>
      <c r="G971" s="560">
        <f t="shared" si="24"/>
        <v>-343</v>
      </c>
      <c r="H971" s="560">
        <v>3036346</v>
      </c>
      <c r="I971" s="560"/>
      <c r="J971" s="560">
        <f t="shared" si="25"/>
        <v>3036346</v>
      </c>
    </row>
    <row r="972" spans="1:10" x14ac:dyDescent="0.25">
      <c r="A972" s="362">
        <v>6</v>
      </c>
      <c r="B972" s="364">
        <v>44028</v>
      </c>
      <c r="C972" s="362" t="s">
        <v>89</v>
      </c>
      <c r="D972" s="560">
        <v>124697857</v>
      </c>
      <c r="E972" s="560">
        <v>3878143</v>
      </c>
      <c r="F972" s="560">
        <v>128576000</v>
      </c>
      <c r="G972" s="560">
        <f t="shared" si="24"/>
        <v>0</v>
      </c>
      <c r="H972" s="560">
        <v>10700144</v>
      </c>
      <c r="I972" s="560">
        <v>10700144</v>
      </c>
      <c r="J972" s="560">
        <f t="shared" si="25"/>
        <v>0</v>
      </c>
    </row>
    <row r="973" spans="1:10" x14ac:dyDescent="0.25">
      <c r="A973" s="362">
        <v>7</v>
      </c>
      <c r="B973" s="364">
        <v>44028</v>
      </c>
      <c r="C973" s="362" t="s">
        <v>4751</v>
      </c>
      <c r="D973" s="560">
        <v>190607403</v>
      </c>
      <c r="E973" s="560">
        <v>12594897</v>
      </c>
      <c r="F973" s="560">
        <v>203202300</v>
      </c>
      <c r="G973" s="560">
        <f t="shared" si="24"/>
        <v>0</v>
      </c>
      <c r="H973" s="560">
        <v>14431489</v>
      </c>
      <c r="I973" s="560"/>
      <c r="J973" s="560">
        <f t="shared" si="25"/>
        <v>14431489</v>
      </c>
    </row>
    <row r="974" spans="1:10" x14ac:dyDescent="0.25">
      <c r="A974" s="362">
        <v>8</v>
      </c>
      <c r="B974" s="364">
        <v>44028</v>
      </c>
      <c r="C974" s="362" t="s">
        <v>84</v>
      </c>
      <c r="D974" s="560">
        <v>216077941</v>
      </c>
      <c r="E974" s="560">
        <v>11474322</v>
      </c>
      <c r="F974" s="560">
        <v>227552400</v>
      </c>
      <c r="G974" s="560">
        <f t="shared" si="24"/>
        <v>-137</v>
      </c>
      <c r="H974" s="560">
        <v>3968091</v>
      </c>
      <c r="I974" s="560"/>
      <c r="J974" s="560">
        <f t="shared" si="25"/>
        <v>3968091</v>
      </c>
    </row>
    <row r="975" spans="1:10" x14ac:dyDescent="0.25">
      <c r="A975" s="362">
        <v>9</v>
      </c>
      <c r="B975" s="364">
        <v>44028</v>
      </c>
      <c r="C975" s="362" t="s">
        <v>81</v>
      </c>
      <c r="D975" s="560">
        <v>42622927</v>
      </c>
      <c r="E975" s="560">
        <v>9184968</v>
      </c>
      <c r="F975" s="560">
        <v>51807900</v>
      </c>
      <c r="G975" s="560">
        <f t="shared" si="24"/>
        <v>-5</v>
      </c>
      <c r="H975" s="560">
        <v>11937035</v>
      </c>
      <c r="I975" s="560"/>
      <c r="J975" s="560">
        <f t="shared" si="25"/>
        <v>11937035</v>
      </c>
    </row>
    <row r="976" spans="1:10" x14ac:dyDescent="0.25">
      <c r="A976" s="362">
        <v>10</v>
      </c>
      <c r="B976" s="364">
        <v>44028</v>
      </c>
      <c r="C976" s="362" t="s">
        <v>79</v>
      </c>
      <c r="D976" s="560">
        <v>60369338</v>
      </c>
      <c r="E976" s="560">
        <v>640050</v>
      </c>
      <c r="F976" s="560">
        <v>61009400</v>
      </c>
      <c r="G976" s="560">
        <f t="shared" si="24"/>
        <v>-12</v>
      </c>
      <c r="H976" s="560">
        <v>3119705</v>
      </c>
      <c r="I976" s="560">
        <v>3119705</v>
      </c>
      <c r="J976" s="560">
        <f t="shared" si="25"/>
        <v>0</v>
      </c>
    </row>
    <row r="977" spans="1:10" x14ac:dyDescent="0.25">
      <c r="A977" s="362">
        <v>11</v>
      </c>
      <c r="B977" s="364">
        <v>44028</v>
      </c>
      <c r="C977" s="362" t="s">
        <v>82</v>
      </c>
      <c r="D977" s="560">
        <v>110226236</v>
      </c>
      <c r="E977" s="560"/>
      <c r="F977" s="560">
        <v>110226300</v>
      </c>
      <c r="G977" s="560">
        <f t="shared" si="24"/>
        <v>-64</v>
      </c>
      <c r="H977" s="560">
        <v>3406391</v>
      </c>
      <c r="I977" s="560">
        <v>3406391</v>
      </c>
      <c r="J977" s="560">
        <f t="shared" si="25"/>
        <v>0</v>
      </c>
    </row>
    <row r="978" spans="1:10" x14ac:dyDescent="0.25">
      <c r="A978" s="362">
        <v>12</v>
      </c>
      <c r="B978" s="364">
        <v>44028</v>
      </c>
      <c r="C978" s="362" t="s">
        <v>78</v>
      </c>
      <c r="D978" s="560">
        <v>69555838</v>
      </c>
      <c r="E978" s="560">
        <v>2501962</v>
      </c>
      <c r="F978" s="560">
        <v>72057800</v>
      </c>
      <c r="G978" s="560">
        <f t="shared" si="24"/>
        <v>0</v>
      </c>
      <c r="H978" s="560">
        <v>10769790</v>
      </c>
      <c r="I978" s="560">
        <v>10769790</v>
      </c>
      <c r="J978" s="560">
        <f t="shared" si="25"/>
        <v>0</v>
      </c>
    </row>
    <row r="979" spans="1:10" x14ac:dyDescent="0.25">
      <c r="A979" s="362">
        <v>13</v>
      </c>
      <c r="B979" s="364">
        <v>44028</v>
      </c>
      <c r="C979" s="362" t="s">
        <v>85</v>
      </c>
      <c r="D979" s="560">
        <v>29270200</v>
      </c>
      <c r="E979" s="560"/>
      <c r="F979" s="560">
        <v>29270200</v>
      </c>
      <c r="G979" s="560">
        <f t="shared" si="24"/>
        <v>0</v>
      </c>
      <c r="H979" s="560"/>
      <c r="I979" s="560"/>
      <c r="J979" s="560">
        <f t="shared" si="25"/>
        <v>0</v>
      </c>
    </row>
    <row r="980" spans="1:10" x14ac:dyDescent="0.25">
      <c r="A980" s="362">
        <v>14</v>
      </c>
      <c r="B980" s="364">
        <v>44028</v>
      </c>
      <c r="C980" s="362" t="s">
        <v>166</v>
      </c>
      <c r="D980" s="560">
        <v>45230846</v>
      </c>
      <c r="E980" s="560"/>
      <c r="F980" s="560">
        <v>45230900</v>
      </c>
      <c r="G980" s="560">
        <f t="shared" si="24"/>
        <v>-54</v>
      </c>
      <c r="H980" s="560"/>
      <c r="I980" s="560"/>
      <c r="J980" s="560">
        <f t="shared" si="25"/>
        <v>0</v>
      </c>
    </row>
    <row r="981" spans="1:10" x14ac:dyDescent="0.25">
      <c r="A981" s="362">
        <v>15</v>
      </c>
      <c r="B981" s="364">
        <v>44028</v>
      </c>
      <c r="C981" s="362" t="s">
        <v>3435</v>
      </c>
      <c r="D981" s="560"/>
      <c r="E981" s="560"/>
      <c r="F981" s="560">
        <v>37712000</v>
      </c>
      <c r="G981" s="560">
        <f t="shared" si="24"/>
        <v>-37712000</v>
      </c>
      <c r="H981" s="560"/>
      <c r="I981" s="560"/>
      <c r="J981" s="560">
        <f t="shared" si="25"/>
        <v>0</v>
      </c>
    </row>
    <row r="982" spans="1:10" x14ac:dyDescent="0.25">
      <c r="A982" s="530"/>
      <c r="B982" s="589"/>
      <c r="C982" s="530"/>
      <c r="D982" s="562"/>
      <c r="E982" s="562"/>
      <c r="F982" s="562"/>
      <c r="G982" s="562">
        <f t="shared" si="24"/>
        <v>0</v>
      </c>
      <c r="H982" s="562"/>
      <c r="I982" s="562"/>
      <c r="J982" s="562">
        <f t="shared" si="25"/>
        <v>0</v>
      </c>
    </row>
    <row r="983" spans="1:10" x14ac:dyDescent="0.25">
      <c r="A983" s="362">
        <v>1</v>
      </c>
      <c r="B983" s="364">
        <v>44029</v>
      </c>
      <c r="C983" s="362" t="s">
        <v>80</v>
      </c>
      <c r="D983" s="560">
        <v>162263817</v>
      </c>
      <c r="E983" s="560">
        <v>72664363</v>
      </c>
      <c r="F983" s="560">
        <v>234928400</v>
      </c>
      <c r="G983" s="560">
        <f t="shared" si="24"/>
        <v>-220</v>
      </c>
      <c r="H983" s="560">
        <v>17351897</v>
      </c>
      <c r="I983" s="560"/>
      <c r="J983" s="560">
        <f t="shared" si="25"/>
        <v>17351897</v>
      </c>
    </row>
    <row r="984" spans="1:10" x14ac:dyDescent="0.25">
      <c r="A984" s="362">
        <v>2</v>
      </c>
      <c r="B984" s="364">
        <v>44029</v>
      </c>
      <c r="C984" s="362" t="s">
        <v>83</v>
      </c>
      <c r="D984" s="560">
        <v>287732014</v>
      </c>
      <c r="E984" s="560">
        <v>6099134</v>
      </c>
      <c r="F984" s="560">
        <v>293831300</v>
      </c>
      <c r="G984" s="560">
        <f t="shared" si="24"/>
        <v>-152</v>
      </c>
      <c r="H984" s="560">
        <v>3890266</v>
      </c>
      <c r="I984" s="560"/>
      <c r="J984" s="560">
        <f t="shared" si="25"/>
        <v>3890266</v>
      </c>
    </row>
    <row r="985" spans="1:10" x14ac:dyDescent="0.25">
      <c r="A985" s="362">
        <v>3</v>
      </c>
      <c r="B985" s="364">
        <v>44029</v>
      </c>
      <c r="C985" s="362" t="s">
        <v>88</v>
      </c>
      <c r="D985" s="560">
        <v>223950434</v>
      </c>
      <c r="E985" s="560">
        <v>2848933</v>
      </c>
      <c r="F985" s="560">
        <v>226799400</v>
      </c>
      <c r="G985" s="560">
        <f t="shared" si="24"/>
        <v>-33</v>
      </c>
      <c r="H985" s="560">
        <v>5020388</v>
      </c>
      <c r="I985" s="560"/>
      <c r="J985" s="560">
        <f t="shared" si="25"/>
        <v>5020388</v>
      </c>
    </row>
    <row r="986" spans="1:10" x14ac:dyDescent="0.25">
      <c r="A986" s="362">
        <v>4</v>
      </c>
      <c r="B986" s="364">
        <v>44029</v>
      </c>
      <c r="C986" s="362" t="s">
        <v>146</v>
      </c>
      <c r="D986" s="560">
        <v>149447047</v>
      </c>
      <c r="E986" s="560">
        <v>92520706</v>
      </c>
      <c r="F986" s="560">
        <v>241967900</v>
      </c>
      <c r="G986" s="560">
        <f t="shared" si="24"/>
        <v>-147</v>
      </c>
      <c r="H986" s="560">
        <v>3573314</v>
      </c>
      <c r="I986" s="560">
        <v>3573314</v>
      </c>
      <c r="J986" s="560">
        <f t="shared" si="25"/>
        <v>0</v>
      </c>
    </row>
    <row r="987" spans="1:10" x14ac:dyDescent="0.25">
      <c r="A987" s="362">
        <v>5</v>
      </c>
      <c r="B987" s="364">
        <v>44029</v>
      </c>
      <c r="C987" s="362" t="s">
        <v>86</v>
      </c>
      <c r="D987" s="560">
        <v>60395142</v>
      </c>
      <c r="E987" s="560">
        <v>8155249</v>
      </c>
      <c r="F987" s="560">
        <v>68550800</v>
      </c>
      <c r="G987" s="560">
        <f t="shared" si="24"/>
        <v>-409</v>
      </c>
      <c r="H987" s="560">
        <v>3036346</v>
      </c>
      <c r="I987" s="560">
        <v>3036346</v>
      </c>
      <c r="J987" s="560">
        <f t="shared" si="25"/>
        <v>0</v>
      </c>
    </row>
    <row r="988" spans="1:10" x14ac:dyDescent="0.25">
      <c r="A988" s="362">
        <v>6</v>
      </c>
      <c r="B988" s="364">
        <v>44029</v>
      </c>
      <c r="C988" s="362" t="s">
        <v>89</v>
      </c>
      <c r="D988" s="560">
        <v>182270950</v>
      </c>
      <c r="E988" s="560">
        <v>2258250</v>
      </c>
      <c r="F988" s="560">
        <v>184529200</v>
      </c>
      <c r="G988" s="560">
        <f t="shared" si="24"/>
        <v>0</v>
      </c>
      <c r="H988" s="560">
        <v>9770644</v>
      </c>
      <c r="I988" s="560"/>
      <c r="J988" s="560">
        <f t="shared" si="25"/>
        <v>9770644</v>
      </c>
    </row>
    <row r="989" spans="1:10" x14ac:dyDescent="0.25">
      <c r="A989" s="362">
        <v>7</v>
      </c>
      <c r="B989" s="364">
        <v>44029</v>
      </c>
      <c r="C989" s="362" t="s">
        <v>4751</v>
      </c>
      <c r="D989" s="560">
        <v>126830320</v>
      </c>
      <c r="E989" s="560">
        <v>6238780</v>
      </c>
      <c r="F989" s="560">
        <v>133069100</v>
      </c>
      <c r="G989" s="560">
        <f t="shared" si="24"/>
        <v>0</v>
      </c>
      <c r="H989" s="560">
        <v>14091489</v>
      </c>
      <c r="I989" s="560">
        <v>14431489</v>
      </c>
      <c r="J989" s="560">
        <f t="shared" si="25"/>
        <v>-340000</v>
      </c>
    </row>
    <row r="990" spans="1:10" x14ac:dyDescent="0.25">
      <c r="A990" s="362">
        <v>8</v>
      </c>
      <c r="B990" s="364">
        <v>44029</v>
      </c>
      <c r="C990" s="362" t="s">
        <v>84</v>
      </c>
      <c r="D990" s="560">
        <v>200019493</v>
      </c>
      <c r="E990" s="560">
        <v>15553908</v>
      </c>
      <c r="F990" s="560">
        <v>215573400</v>
      </c>
      <c r="G990" s="560">
        <f t="shared" si="24"/>
        <v>1</v>
      </c>
      <c r="H990" s="560">
        <v>3968091</v>
      </c>
      <c r="I990" s="560">
        <v>3968091</v>
      </c>
      <c r="J990" s="560">
        <f t="shared" si="25"/>
        <v>0</v>
      </c>
    </row>
    <row r="991" spans="1:10" x14ac:dyDescent="0.25">
      <c r="A991" s="362">
        <v>9</v>
      </c>
      <c r="B991" s="364">
        <v>44029</v>
      </c>
      <c r="C991" s="362" t="s">
        <v>81</v>
      </c>
      <c r="D991" s="560">
        <v>65380690</v>
      </c>
      <c r="E991" s="560">
        <v>11277198</v>
      </c>
      <c r="F991" s="560">
        <v>75193600</v>
      </c>
      <c r="G991" s="560">
        <f t="shared" si="24"/>
        <v>1464288</v>
      </c>
      <c r="H991" s="560">
        <v>7212035</v>
      </c>
      <c r="I991" s="560">
        <v>7212035</v>
      </c>
      <c r="J991" s="560">
        <f t="shared" si="25"/>
        <v>0</v>
      </c>
    </row>
    <row r="992" spans="1:10" x14ac:dyDescent="0.25">
      <c r="A992" s="362">
        <v>10</v>
      </c>
      <c r="B992" s="364">
        <v>44029</v>
      </c>
      <c r="C992" s="362" t="s">
        <v>79</v>
      </c>
      <c r="D992" s="560">
        <v>44807858</v>
      </c>
      <c r="E992" s="560">
        <v>877903</v>
      </c>
      <c r="F992" s="560">
        <v>45685800</v>
      </c>
      <c r="G992" s="560">
        <f t="shared" si="24"/>
        <v>-39</v>
      </c>
      <c r="H992" s="560">
        <v>3117705</v>
      </c>
      <c r="I992" s="560"/>
      <c r="J992" s="560">
        <f t="shared" si="25"/>
        <v>3117705</v>
      </c>
    </row>
    <row r="993" spans="1:10" x14ac:dyDescent="0.25">
      <c r="A993" s="362">
        <v>11</v>
      </c>
      <c r="B993" s="364">
        <v>44029</v>
      </c>
      <c r="C993" s="362" t="s">
        <v>82</v>
      </c>
      <c r="D993" s="560">
        <v>49976382</v>
      </c>
      <c r="E993" s="560"/>
      <c r="F993" s="560">
        <v>49976400</v>
      </c>
      <c r="G993" s="560">
        <f t="shared" si="24"/>
        <v>-18</v>
      </c>
      <c r="H993" s="560">
        <v>3406391</v>
      </c>
      <c r="I993" s="560"/>
      <c r="J993" s="560">
        <f t="shared" si="25"/>
        <v>3406391</v>
      </c>
    </row>
    <row r="994" spans="1:10" x14ac:dyDescent="0.25">
      <c r="A994" s="362">
        <v>12</v>
      </c>
      <c r="B994" s="364">
        <v>44029</v>
      </c>
      <c r="C994" s="362" t="s">
        <v>78</v>
      </c>
      <c r="D994" s="560">
        <v>64827191</v>
      </c>
      <c r="E994" s="560">
        <v>9460309</v>
      </c>
      <c r="F994" s="560">
        <v>74287500</v>
      </c>
      <c r="G994" s="560">
        <f t="shared" si="24"/>
        <v>0</v>
      </c>
      <c r="H994" s="560">
        <v>10006790</v>
      </c>
      <c r="I994" s="560"/>
      <c r="J994" s="560">
        <f t="shared" si="25"/>
        <v>10006790</v>
      </c>
    </row>
    <row r="995" spans="1:10" x14ac:dyDescent="0.25">
      <c r="A995" s="362">
        <v>13</v>
      </c>
      <c r="B995" s="364">
        <v>44029</v>
      </c>
      <c r="C995" s="362" t="s">
        <v>85</v>
      </c>
      <c r="D995" s="560">
        <v>23002200</v>
      </c>
      <c r="E995" s="560"/>
      <c r="F995" s="560">
        <v>2302200</v>
      </c>
      <c r="G995" s="560">
        <f t="shared" si="24"/>
        <v>20700000</v>
      </c>
      <c r="H995" s="560"/>
      <c r="I995" s="560"/>
      <c r="J995" s="560">
        <f t="shared" si="25"/>
        <v>0</v>
      </c>
    </row>
    <row r="996" spans="1:10" x14ac:dyDescent="0.25">
      <c r="A996" s="362">
        <v>14</v>
      </c>
      <c r="B996" s="364">
        <v>44029</v>
      </c>
      <c r="C996" s="362" t="s">
        <v>166</v>
      </c>
      <c r="D996" s="560">
        <v>91418200</v>
      </c>
      <c r="E996" s="560"/>
      <c r="F996" s="560">
        <v>91418200</v>
      </c>
      <c r="G996" s="560">
        <f t="shared" si="24"/>
        <v>0</v>
      </c>
      <c r="H996" s="560"/>
      <c r="I996" s="560"/>
      <c r="J996" s="560">
        <f t="shared" si="25"/>
        <v>0</v>
      </c>
    </row>
    <row r="997" spans="1:10" x14ac:dyDescent="0.25">
      <c r="A997" s="362">
        <v>15</v>
      </c>
      <c r="B997" s="364">
        <v>44029</v>
      </c>
      <c r="C997" s="362" t="s">
        <v>3435</v>
      </c>
      <c r="D997" s="560"/>
      <c r="E997" s="560"/>
      <c r="F997" s="560">
        <v>19033300</v>
      </c>
      <c r="G997" s="560">
        <f t="shared" si="24"/>
        <v>-19033300</v>
      </c>
      <c r="H997" s="560"/>
      <c r="I997" s="560"/>
      <c r="J997" s="560">
        <f t="shared" si="25"/>
        <v>0</v>
      </c>
    </row>
    <row r="998" spans="1:10" x14ac:dyDescent="0.25">
      <c r="A998" s="530"/>
      <c r="B998" s="589"/>
      <c r="C998" s="530"/>
      <c r="D998" s="562"/>
      <c r="E998" s="562"/>
      <c r="F998" s="562"/>
      <c r="G998" s="562">
        <f t="shared" si="24"/>
        <v>0</v>
      </c>
      <c r="H998" s="562"/>
      <c r="I998" s="562"/>
      <c r="J998" s="562"/>
    </row>
    <row r="999" spans="1:10" x14ac:dyDescent="0.25">
      <c r="A999" s="362">
        <v>1</v>
      </c>
      <c r="B999" s="364">
        <v>44030</v>
      </c>
      <c r="C999" s="362" t="s">
        <v>80</v>
      </c>
      <c r="D999" s="560">
        <v>196857614</v>
      </c>
      <c r="E999" s="560">
        <v>2385598</v>
      </c>
      <c r="F999" s="560">
        <v>199242400</v>
      </c>
      <c r="G999" s="560">
        <f t="shared" si="24"/>
        <v>812</v>
      </c>
      <c r="H999" s="560">
        <v>17351897</v>
      </c>
      <c r="I999" s="560"/>
      <c r="J999" s="560"/>
    </row>
    <row r="1000" spans="1:10" x14ac:dyDescent="0.25">
      <c r="A1000" s="362">
        <v>2</v>
      </c>
      <c r="B1000" s="364">
        <v>44030</v>
      </c>
      <c r="C1000" s="362" t="s">
        <v>83</v>
      </c>
      <c r="D1000" s="560">
        <v>255925957</v>
      </c>
      <c r="E1000" s="560">
        <v>10502750</v>
      </c>
      <c r="F1000" s="560">
        <v>266428700</v>
      </c>
      <c r="G1000" s="560">
        <f t="shared" si="24"/>
        <v>7</v>
      </c>
      <c r="H1000" s="560">
        <v>2959516</v>
      </c>
      <c r="I1000" s="560"/>
      <c r="J1000" s="560"/>
    </row>
    <row r="1001" spans="1:10" x14ac:dyDescent="0.25">
      <c r="A1001" s="362">
        <v>3</v>
      </c>
      <c r="B1001" s="364">
        <v>44030</v>
      </c>
      <c r="C1001" s="362" t="s">
        <v>88</v>
      </c>
      <c r="D1001" s="560">
        <v>114309761</v>
      </c>
      <c r="E1001" s="560">
        <v>224575919</v>
      </c>
      <c r="F1001" s="560">
        <v>338885700</v>
      </c>
      <c r="G1001" s="560">
        <f t="shared" si="24"/>
        <v>-20</v>
      </c>
      <c r="H1001" s="560">
        <v>5020388</v>
      </c>
      <c r="I1001" s="560"/>
      <c r="J1001" s="560"/>
    </row>
    <row r="1002" spans="1:10" x14ac:dyDescent="0.25">
      <c r="A1002" s="362">
        <v>4</v>
      </c>
      <c r="B1002" s="364">
        <v>44030</v>
      </c>
      <c r="C1002" s="362" t="s">
        <v>146</v>
      </c>
      <c r="D1002" s="560">
        <v>63853218</v>
      </c>
      <c r="E1002" s="560">
        <v>37094783</v>
      </c>
      <c r="F1002" s="560">
        <v>100948400</v>
      </c>
      <c r="G1002" s="560">
        <f t="shared" si="24"/>
        <v>-399</v>
      </c>
      <c r="H1002" s="560">
        <v>577614</v>
      </c>
      <c r="I1002" s="560"/>
      <c r="J1002" s="560"/>
    </row>
    <row r="1003" spans="1:10" x14ac:dyDescent="0.25">
      <c r="A1003" s="362">
        <v>5</v>
      </c>
      <c r="B1003" s="364">
        <v>44030</v>
      </c>
      <c r="C1003" s="362" t="s">
        <v>86</v>
      </c>
      <c r="D1003" s="560">
        <v>40177418</v>
      </c>
      <c r="E1003" s="560">
        <v>38634247</v>
      </c>
      <c r="F1003" s="560">
        <v>78811700</v>
      </c>
      <c r="G1003" s="560">
        <f t="shared" si="24"/>
        <v>-35</v>
      </c>
      <c r="H1003" s="560">
        <v>2396346</v>
      </c>
      <c r="I1003" s="560"/>
      <c r="J1003" s="560"/>
    </row>
    <row r="1004" spans="1:10" x14ac:dyDescent="0.25">
      <c r="A1004" s="362">
        <v>6</v>
      </c>
      <c r="B1004" s="364">
        <v>44030</v>
      </c>
      <c r="C1004" s="362" t="s">
        <v>89</v>
      </c>
      <c r="D1004" s="560">
        <v>117205100</v>
      </c>
      <c r="E1004" s="560">
        <v>1405500</v>
      </c>
      <c r="F1004" s="560">
        <v>118610600</v>
      </c>
      <c r="G1004" s="560">
        <f t="shared" si="24"/>
        <v>0</v>
      </c>
      <c r="H1004" s="560">
        <v>9770644</v>
      </c>
      <c r="I1004" s="560"/>
      <c r="J1004" s="560"/>
    </row>
    <row r="1005" spans="1:10" x14ac:dyDescent="0.25">
      <c r="A1005" s="362">
        <v>7</v>
      </c>
      <c r="B1005" s="364">
        <v>44030</v>
      </c>
      <c r="C1005" s="362" t="s">
        <v>4751</v>
      </c>
      <c r="D1005" s="560">
        <v>219583050</v>
      </c>
      <c r="E1005" s="560">
        <v>7893250</v>
      </c>
      <c r="F1005" s="560">
        <v>227476300</v>
      </c>
      <c r="G1005" s="560">
        <f t="shared" si="24"/>
        <v>0</v>
      </c>
      <c r="H1005" s="560">
        <v>13913489</v>
      </c>
      <c r="I1005" s="560"/>
      <c r="J1005" s="560"/>
    </row>
    <row r="1006" spans="1:10" x14ac:dyDescent="0.25">
      <c r="A1006" s="362">
        <v>8</v>
      </c>
      <c r="B1006" s="364">
        <v>44030</v>
      </c>
      <c r="C1006" s="362" t="s">
        <v>84</v>
      </c>
      <c r="D1006" s="560">
        <v>153311434</v>
      </c>
      <c r="E1006" s="560">
        <v>9350959</v>
      </c>
      <c r="F1006" s="560">
        <v>162662700</v>
      </c>
      <c r="G1006" s="560">
        <f t="shared" si="24"/>
        <v>-307</v>
      </c>
      <c r="H1006" s="560">
        <v>3968091</v>
      </c>
      <c r="I1006" s="560"/>
      <c r="J1006" s="560"/>
    </row>
    <row r="1007" spans="1:10" x14ac:dyDescent="0.25">
      <c r="A1007" s="362">
        <v>9</v>
      </c>
      <c r="B1007" s="364">
        <v>44030</v>
      </c>
      <c r="C1007" s="362" t="s">
        <v>81</v>
      </c>
      <c r="D1007" s="560">
        <v>224985993</v>
      </c>
      <c r="E1007" s="560">
        <v>13545148</v>
      </c>
      <c r="F1007" s="560">
        <v>238531200</v>
      </c>
      <c r="G1007" s="560">
        <f t="shared" si="24"/>
        <v>-59</v>
      </c>
      <c r="H1007" s="560">
        <v>5004035</v>
      </c>
      <c r="I1007" s="560"/>
      <c r="J1007" s="560"/>
    </row>
    <row r="1008" spans="1:10" x14ac:dyDescent="0.25">
      <c r="A1008" s="362">
        <v>10</v>
      </c>
      <c r="B1008" s="364">
        <v>44030</v>
      </c>
      <c r="C1008" s="362" t="s">
        <v>79</v>
      </c>
      <c r="D1008" s="560">
        <v>32003285</v>
      </c>
      <c r="E1008" s="560">
        <v>1084912</v>
      </c>
      <c r="F1008" s="560">
        <v>33088200</v>
      </c>
      <c r="G1008" s="560">
        <f t="shared" si="24"/>
        <v>-3</v>
      </c>
      <c r="H1008" s="560">
        <v>2921205</v>
      </c>
      <c r="I1008" s="560"/>
      <c r="J1008" s="560"/>
    </row>
    <row r="1009" spans="1:10" x14ac:dyDescent="0.25">
      <c r="A1009" s="362">
        <v>11</v>
      </c>
      <c r="B1009" s="364">
        <v>44030</v>
      </c>
      <c r="C1009" s="362" t="s">
        <v>82</v>
      </c>
      <c r="D1009" s="560">
        <v>198394639</v>
      </c>
      <c r="E1009" s="560">
        <v>2914200</v>
      </c>
      <c r="F1009" s="560">
        <v>201308900</v>
      </c>
      <c r="G1009" s="560">
        <f t="shared" si="24"/>
        <v>-61</v>
      </c>
      <c r="H1009" s="560">
        <v>2539391</v>
      </c>
      <c r="I1009" s="560"/>
      <c r="J1009" s="560"/>
    </row>
    <row r="1010" spans="1:10" x14ac:dyDescent="0.25">
      <c r="A1010" s="362">
        <v>12</v>
      </c>
      <c r="B1010" s="364">
        <v>44030</v>
      </c>
      <c r="C1010" s="362" t="s">
        <v>78</v>
      </c>
      <c r="D1010" s="560">
        <v>93428041</v>
      </c>
      <c r="E1010" s="560">
        <v>15049059</v>
      </c>
      <c r="F1010" s="560">
        <v>108477100</v>
      </c>
      <c r="G1010" s="560">
        <f t="shared" si="24"/>
        <v>0</v>
      </c>
      <c r="H1010" s="560">
        <v>9632590</v>
      </c>
      <c r="I1010" s="560"/>
      <c r="J1010" s="560"/>
    </row>
    <row r="1011" spans="1:10" x14ac:dyDescent="0.25">
      <c r="A1011" s="362">
        <v>13</v>
      </c>
      <c r="B1011" s="364">
        <v>44030</v>
      </c>
      <c r="C1011" s="362" t="s">
        <v>85</v>
      </c>
      <c r="D1011" s="560">
        <v>16345100</v>
      </c>
      <c r="E1011" s="560"/>
      <c r="F1011" s="560">
        <v>16345100</v>
      </c>
      <c r="G1011" s="560">
        <f t="shared" si="24"/>
        <v>0</v>
      </c>
      <c r="H1011" s="560"/>
      <c r="I1011" s="560"/>
      <c r="J1011" s="560"/>
    </row>
    <row r="1012" spans="1:10" x14ac:dyDescent="0.25">
      <c r="A1012" s="362">
        <v>14</v>
      </c>
      <c r="B1012" s="364">
        <v>44030</v>
      </c>
      <c r="C1012" s="362" t="s">
        <v>166</v>
      </c>
      <c r="D1012" s="560"/>
      <c r="E1012" s="560"/>
      <c r="F1012" s="560"/>
      <c r="G1012" s="560">
        <f t="shared" si="24"/>
        <v>0</v>
      </c>
      <c r="H1012" s="560"/>
      <c r="I1012" s="560"/>
      <c r="J1012" s="560"/>
    </row>
    <row r="1013" spans="1:10" x14ac:dyDescent="0.25">
      <c r="A1013" s="362">
        <v>15</v>
      </c>
      <c r="B1013" s="364">
        <v>44030</v>
      </c>
      <c r="C1013" s="362" t="s">
        <v>3435</v>
      </c>
      <c r="D1013" s="560"/>
      <c r="E1013" s="560"/>
      <c r="F1013" s="560"/>
      <c r="G1013" s="560">
        <f t="shared" si="24"/>
        <v>0</v>
      </c>
      <c r="H1013" s="560"/>
      <c r="I1013" s="560"/>
      <c r="J1013" s="560"/>
    </row>
    <row r="1014" spans="1:10" x14ac:dyDescent="0.25">
      <c r="A1014" s="530"/>
      <c r="B1014" s="530"/>
      <c r="C1014" s="530"/>
      <c r="D1014" s="562"/>
      <c r="E1014" s="562"/>
      <c r="F1014" s="562"/>
      <c r="G1014" s="560">
        <f t="shared" si="24"/>
        <v>0</v>
      </c>
      <c r="H1014" s="562"/>
      <c r="I1014" s="562"/>
      <c r="J1014" s="562"/>
    </row>
    <row r="1015" spans="1:10" x14ac:dyDescent="0.25">
      <c r="A1015" s="362">
        <v>1</v>
      </c>
      <c r="B1015" s="364">
        <v>44032</v>
      </c>
      <c r="C1015" s="362" t="s">
        <v>80</v>
      </c>
      <c r="D1015" s="560">
        <v>158707152</v>
      </c>
      <c r="E1015" s="560">
        <v>18815734</v>
      </c>
      <c r="F1015" s="560">
        <v>177522900</v>
      </c>
      <c r="G1015" s="560">
        <f t="shared" si="24"/>
        <v>-14</v>
      </c>
      <c r="H1015" s="560">
        <v>17351897</v>
      </c>
      <c r="I1015" s="560"/>
      <c r="J1015" s="560"/>
    </row>
    <row r="1016" spans="1:10" x14ac:dyDescent="0.25">
      <c r="A1016" s="362">
        <v>2</v>
      </c>
      <c r="B1016" s="364">
        <v>44032</v>
      </c>
      <c r="C1016" s="362" t="s">
        <v>83</v>
      </c>
      <c r="D1016" s="560">
        <v>300042744</v>
      </c>
      <c r="E1016" s="560">
        <v>26562398</v>
      </c>
      <c r="F1016" s="560">
        <v>326605200</v>
      </c>
      <c r="G1016" s="560">
        <f t="shared" si="24"/>
        <v>-58</v>
      </c>
      <c r="H1016" s="560">
        <v>7577859</v>
      </c>
      <c r="I1016" s="560"/>
      <c r="J1016" s="560"/>
    </row>
    <row r="1017" spans="1:10" x14ac:dyDescent="0.25">
      <c r="A1017" s="362">
        <v>3</v>
      </c>
      <c r="B1017" s="364">
        <v>44032</v>
      </c>
      <c r="C1017" s="362" t="s">
        <v>88</v>
      </c>
      <c r="D1017" s="560">
        <v>316470466</v>
      </c>
      <c r="E1017" s="560">
        <v>4794558</v>
      </c>
      <c r="F1017" s="560">
        <v>321265100</v>
      </c>
      <c r="G1017" s="560">
        <f t="shared" si="24"/>
        <v>-76</v>
      </c>
      <c r="H1017" s="560">
        <v>14501751</v>
      </c>
      <c r="I1017" s="560"/>
      <c r="J1017" s="560"/>
    </row>
    <row r="1018" spans="1:10" x14ac:dyDescent="0.25">
      <c r="A1018" s="362">
        <v>4</v>
      </c>
      <c r="B1018" s="364">
        <v>44032</v>
      </c>
      <c r="C1018" s="362" t="s">
        <v>146</v>
      </c>
      <c r="D1018" s="560">
        <v>111177257</v>
      </c>
      <c r="E1018" s="560">
        <v>10411815</v>
      </c>
      <c r="F1018" s="560">
        <v>121589100</v>
      </c>
      <c r="G1018" s="560">
        <f t="shared" si="24"/>
        <v>-28</v>
      </c>
      <c r="H1018" s="560">
        <v>13984820</v>
      </c>
      <c r="I1018" s="560"/>
      <c r="J1018" s="560"/>
    </row>
    <row r="1019" spans="1:10" x14ac:dyDescent="0.25">
      <c r="A1019" s="362">
        <v>5</v>
      </c>
      <c r="B1019" s="364">
        <v>44032</v>
      </c>
      <c r="C1019" s="362" t="s">
        <v>86</v>
      </c>
      <c r="D1019" s="560">
        <v>46944796</v>
      </c>
      <c r="E1019" s="560">
        <v>149027660</v>
      </c>
      <c r="F1019" s="560">
        <v>195972400</v>
      </c>
      <c r="G1019" s="560">
        <f t="shared" si="24"/>
        <v>56</v>
      </c>
      <c r="H1019" s="560">
        <v>7242721</v>
      </c>
      <c r="I1019" s="560"/>
      <c r="J1019" s="560"/>
    </row>
    <row r="1020" spans="1:10" x14ac:dyDescent="0.25">
      <c r="A1020" s="362">
        <v>6</v>
      </c>
      <c r="B1020" s="364">
        <v>44032</v>
      </c>
      <c r="C1020" s="362" t="s">
        <v>89</v>
      </c>
      <c r="D1020" s="560">
        <v>128331229</v>
      </c>
      <c r="E1020" s="560">
        <v>33448771</v>
      </c>
      <c r="F1020" s="560">
        <v>162780000</v>
      </c>
      <c r="G1020" s="560">
        <f t="shared" si="24"/>
        <v>-1000000</v>
      </c>
      <c r="H1020" s="560">
        <v>8416848</v>
      </c>
      <c r="I1020" s="560"/>
      <c r="J1020" s="560"/>
    </row>
    <row r="1021" spans="1:10" x14ac:dyDescent="0.25">
      <c r="A1021" s="362">
        <v>7</v>
      </c>
      <c r="B1021" s="364">
        <v>44032</v>
      </c>
      <c r="C1021" s="362" t="s">
        <v>4751</v>
      </c>
      <c r="D1021" s="560">
        <v>154098450</v>
      </c>
      <c r="E1021" s="560">
        <v>4749050</v>
      </c>
      <c r="F1021" s="560">
        <v>158847500</v>
      </c>
      <c r="G1021" s="560">
        <f t="shared" si="24"/>
        <v>0</v>
      </c>
      <c r="H1021" s="560">
        <v>13690589</v>
      </c>
      <c r="I1021" s="560"/>
      <c r="J1021" s="560"/>
    </row>
    <row r="1022" spans="1:10" x14ac:dyDescent="0.25">
      <c r="A1022" s="362">
        <v>8</v>
      </c>
      <c r="B1022" s="364">
        <v>44032</v>
      </c>
      <c r="C1022" s="362" t="s">
        <v>84</v>
      </c>
      <c r="D1022" s="560">
        <v>346182243</v>
      </c>
      <c r="E1022" s="560">
        <v>17567585</v>
      </c>
      <c r="F1022" s="560">
        <v>363749800</v>
      </c>
      <c r="G1022" s="560">
        <f t="shared" si="24"/>
        <v>28</v>
      </c>
      <c r="H1022" s="560">
        <v>3968091</v>
      </c>
      <c r="I1022" s="560"/>
      <c r="J1022" s="560"/>
    </row>
    <row r="1023" spans="1:10" x14ac:dyDescent="0.25">
      <c r="A1023" s="362">
        <v>9</v>
      </c>
      <c r="B1023" s="364">
        <v>44032</v>
      </c>
      <c r="C1023" s="362" t="s">
        <v>81</v>
      </c>
      <c r="D1023" s="560">
        <v>41050418</v>
      </c>
      <c r="E1023" s="560">
        <v>31098980</v>
      </c>
      <c r="F1023" s="560">
        <v>72149400</v>
      </c>
      <c r="G1023" s="560">
        <f t="shared" si="24"/>
        <v>-2</v>
      </c>
      <c r="H1023" s="560">
        <v>4784535</v>
      </c>
      <c r="I1023" s="560"/>
      <c r="J1023" s="560"/>
    </row>
    <row r="1024" spans="1:10" x14ac:dyDescent="0.25">
      <c r="A1024" s="362">
        <v>10</v>
      </c>
      <c r="B1024" s="364">
        <v>44032</v>
      </c>
      <c r="C1024" s="362" t="s">
        <v>79</v>
      </c>
      <c r="D1024" s="560">
        <v>91205260</v>
      </c>
      <c r="E1024" s="560">
        <v>394984</v>
      </c>
      <c r="F1024" s="560">
        <v>92537800</v>
      </c>
      <c r="G1024" s="560">
        <f t="shared" si="24"/>
        <v>-937556</v>
      </c>
      <c r="H1024" s="560">
        <v>2403705</v>
      </c>
      <c r="I1024" s="560"/>
      <c r="J1024" s="560"/>
    </row>
    <row r="1025" spans="1:10" x14ac:dyDescent="0.25">
      <c r="A1025" s="362">
        <v>11</v>
      </c>
      <c r="B1025" s="364">
        <v>44032</v>
      </c>
      <c r="C1025" s="362" t="s">
        <v>82</v>
      </c>
      <c r="D1025" s="560">
        <v>99440296</v>
      </c>
      <c r="E1025" s="560">
        <v>4860300</v>
      </c>
      <c r="F1025" s="560">
        <v>104300600</v>
      </c>
      <c r="G1025" s="560">
        <f t="shared" si="24"/>
        <v>-4</v>
      </c>
      <c r="H1025" s="560">
        <v>2347591</v>
      </c>
      <c r="I1025" s="560"/>
      <c r="J1025" s="560"/>
    </row>
    <row r="1026" spans="1:10" x14ac:dyDescent="0.25">
      <c r="A1026" s="362">
        <v>12</v>
      </c>
      <c r="B1026" s="364">
        <v>44032</v>
      </c>
      <c r="C1026" s="362" t="s">
        <v>78</v>
      </c>
      <c r="D1026" s="560">
        <v>84728149</v>
      </c>
      <c r="E1026" s="560">
        <v>2831551</v>
      </c>
      <c r="F1026" s="560">
        <v>87599700</v>
      </c>
      <c r="G1026" s="560">
        <f t="shared" si="24"/>
        <v>-40000</v>
      </c>
      <c r="H1026" s="560">
        <v>9632590</v>
      </c>
      <c r="I1026" s="560"/>
      <c r="J1026" s="560"/>
    </row>
    <row r="1027" spans="1:10" x14ac:dyDescent="0.25">
      <c r="A1027" s="362">
        <v>13</v>
      </c>
      <c r="B1027" s="364">
        <v>44032</v>
      </c>
      <c r="C1027" s="362" t="s">
        <v>85</v>
      </c>
      <c r="D1027" s="560">
        <v>48618900</v>
      </c>
      <c r="E1027" s="560"/>
      <c r="F1027" s="560">
        <v>48618900</v>
      </c>
      <c r="G1027" s="560">
        <f t="shared" si="24"/>
        <v>0</v>
      </c>
      <c r="H1027" s="560"/>
      <c r="I1027" s="560"/>
      <c r="J1027" s="560"/>
    </row>
    <row r="1028" spans="1:10" x14ac:dyDescent="0.25">
      <c r="A1028" s="362">
        <v>14</v>
      </c>
      <c r="B1028" s="364">
        <v>44032</v>
      </c>
      <c r="C1028" s="362" t="s">
        <v>166</v>
      </c>
      <c r="D1028" s="560">
        <v>67135868</v>
      </c>
      <c r="E1028" s="560"/>
      <c r="F1028" s="560">
        <v>67135800</v>
      </c>
      <c r="G1028" s="560">
        <f t="shared" si="24"/>
        <v>68</v>
      </c>
      <c r="H1028" s="560"/>
      <c r="I1028" s="560"/>
      <c r="J1028" s="560"/>
    </row>
    <row r="1029" spans="1:10" x14ac:dyDescent="0.25">
      <c r="A1029" s="362">
        <v>15</v>
      </c>
      <c r="B1029" s="364">
        <v>44032</v>
      </c>
      <c r="C1029" s="362" t="s">
        <v>3435</v>
      </c>
      <c r="D1029" s="362"/>
      <c r="E1029" s="362"/>
      <c r="F1029" s="560">
        <v>34318500</v>
      </c>
      <c r="G1029" s="560">
        <f t="shared" si="24"/>
        <v>-34318500</v>
      </c>
      <c r="H1029" s="362"/>
      <c r="I1029" s="362"/>
      <c r="J1029" s="362"/>
    </row>
    <row r="1030" spans="1:10" x14ac:dyDescent="0.25">
      <c r="A1030" s="530"/>
      <c r="B1030" s="589"/>
      <c r="C1030" s="530"/>
      <c r="D1030" s="530"/>
      <c r="E1030" s="530"/>
      <c r="F1030" s="530"/>
      <c r="G1030" s="560">
        <f t="shared" si="24"/>
        <v>0</v>
      </c>
      <c r="H1030" s="530"/>
      <c r="I1030" s="530"/>
      <c r="J1030" s="530"/>
    </row>
    <row r="1031" spans="1:10" x14ac:dyDescent="0.25">
      <c r="A1031" s="362">
        <v>1</v>
      </c>
      <c r="B1031" s="364">
        <v>44033</v>
      </c>
      <c r="C1031" s="362" t="s">
        <v>80</v>
      </c>
      <c r="D1031" s="560">
        <v>242233839</v>
      </c>
      <c r="E1031" s="560">
        <v>8180000</v>
      </c>
      <c r="F1031" s="560">
        <v>250414000</v>
      </c>
      <c r="G1031" s="560">
        <f t="shared" ref="G1031:G1094" si="26">D1031+E1031-F1031</f>
        <v>-161</v>
      </c>
      <c r="H1031" s="560">
        <v>16934132</v>
      </c>
      <c r="I1031" s="560"/>
      <c r="J1031" s="560"/>
    </row>
    <row r="1032" spans="1:10" x14ac:dyDescent="0.25">
      <c r="A1032" s="362">
        <v>2</v>
      </c>
      <c r="B1032" s="364">
        <v>44033</v>
      </c>
      <c r="C1032" s="362" t="s">
        <v>83</v>
      </c>
      <c r="D1032" s="560">
        <v>437008672</v>
      </c>
      <c r="E1032" s="560">
        <v>20880392</v>
      </c>
      <c r="F1032" s="560">
        <v>457889100</v>
      </c>
      <c r="G1032" s="560">
        <f t="shared" si="26"/>
        <v>-36</v>
      </c>
      <c r="H1032" s="560">
        <v>4453434</v>
      </c>
      <c r="I1032" s="560"/>
      <c r="J1032" s="560"/>
    </row>
    <row r="1033" spans="1:10" x14ac:dyDescent="0.25">
      <c r="A1033" s="362">
        <v>3</v>
      </c>
      <c r="B1033" s="364">
        <v>44033</v>
      </c>
      <c r="C1033" s="362" t="s">
        <v>88</v>
      </c>
      <c r="D1033" s="560">
        <v>157046076</v>
      </c>
      <c r="E1033" s="560">
        <v>4029022</v>
      </c>
      <c r="F1033" s="560">
        <v>161075100</v>
      </c>
      <c r="G1033" s="560">
        <f t="shared" si="26"/>
        <v>-2</v>
      </c>
      <c r="H1033" s="560">
        <v>10877701</v>
      </c>
      <c r="I1033" s="560"/>
      <c r="J1033" s="560"/>
    </row>
    <row r="1034" spans="1:10" x14ac:dyDescent="0.25">
      <c r="A1034" s="362">
        <v>4</v>
      </c>
      <c r="B1034" s="364">
        <v>44033</v>
      </c>
      <c r="C1034" s="362" t="s">
        <v>146</v>
      </c>
      <c r="D1034" s="560">
        <v>125160971</v>
      </c>
      <c r="E1034" s="560">
        <v>87755981</v>
      </c>
      <c r="F1034" s="560">
        <v>212917000</v>
      </c>
      <c r="G1034" s="560">
        <f t="shared" si="26"/>
        <v>-48</v>
      </c>
      <c r="H1034" s="560">
        <v>13212720</v>
      </c>
      <c r="I1034" s="560"/>
      <c r="J1034" s="560"/>
    </row>
    <row r="1035" spans="1:10" x14ac:dyDescent="0.25">
      <c r="A1035" s="362">
        <v>5</v>
      </c>
      <c r="B1035" s="364">
        <v>44033</v>
      </c>
      <c r="C1035" s="362" t="s">
        <v>86</v>
      </c>
      <c r="D1035" s="560">
        <v>46588904</v>
      </c>
      <c r="E1035" s="560">
        <v>141139024</v>
      </c>
      <c r="F1035" s="560">
        <v>187728000</v>
      </c>
      <c r="G1035" s="560">
        <f t="shared" si="26"/>
        <v>-72</v>
      </c>
      <c r="H1035" s="560">
        <v>4539305</v>
      </c>
      <c r="I1035" s="560"/>
      <c r="J1035" s="560"/>
    </row>
    <row r="1036" spans="1:10" x14ac:dyDescent="0.25">
      <c r="A1036" s="362">
        <v>6</v>
      </c>
      <c r="B1036" s="364">
        <v>44033</v>
      </c>
      <c r="C1036" s="362" t="s">
        <v>89</v>
      </c>
      <c r="D1036" s="560">
        <v>146464774</v>
      </c>
      <c r="E1036" s="560">
        <v>2475226</v>
      </c>
      <c r="F1036" s="560">
        <v>148940000</v>
      </c>
      <c r="G1036" s="560">
        <f t="shared" si="26"/>
        <v>0</v>
      </c>
      <c r="H1036" s="560">
        <v>12142100</v>
      </c>
      <c r="I1036" s="560"/>
      <c r="J1036" s="560"/>
    </row>
    <row r="1037" spans="1:10" x14ac:dyDescent="0.25">
      <c r="A1037" s="362">
        <v>7</v>
      </c>
      <c r="B1037" s="364">
        <v>44033</v>
      </c>
      <c r="C1037" s="362" t="s">
        <v>4751</v>
      </c>
      <c r="D1037" s="560">
        <v>176424395</v>
      </c>
      <c r="E1037" s="560">
        <v>16048005</v>
      </c>
      <c r="F1037" s="560">
        <v>192472400</v>
      </c>
      <c r="G1037" s="560">
        <f t="shared" si="26"/>
        <v>0</v>
      </c>
      <c r="H1037" s="560">
        <v>610608</v>
      </c>
      <c r="I1037" s="560"/>
      <c r="J1037" s="560"/>
    </row>
    <row r="1038" spans="1:10" x14ac:dyDescent="0.25">
      <c r="A1038" s="362">
        <v>8</v>
      </c>
      <c r="B1038" s="364">
        <v>44033</v>
      </c>
      <c r="C1038" s="362" t="s">
        <v>84</v>
      </c>
      <c r="D1038" s="560">
        <v>193599190</v>
      </c>
      <c r="E1038" s="560">
        <v>18221092</v>
      </c>
      <c r="F1038" s="560">
        <v>211820300</v>
      </c>
      <c r="G1038" s="560">
        <f t="shared" si="26"/>
        <v>-18</v>
      </c>
      <c r="H1038" s="560">
        <v>3968091</v>
      </c>
      <c r="I1038" s="560"/>
      <c r="J1038" s="560"/>
    </row>
    <row r="1039" spans="1:10" x14ac:dyDescent="0.25">
      <c r="A1039" s="362">
        <v>9</v>
      </c>
      <c r="B1039" s="364">
        <v>44033</v>
      </c>
      <c r="C1039" s="362" t="s">
        <v>81</v>
      </c>
      <c r="D1039" s="560">
        <v>61659528</v>
      </c>
      <c r="E1039" s="560">
        <v>26588828</v>
      </c>
      <c r="F1039" s="560">
        <v>88248400</v>
      </c>
      <c r="G1039" s="560">
        <f t="shared" si="26"/>
        <v>-44</v>
      </c>
      <c r="H1039" s="560">
        <v>14065128</v>
      </c>
      <c r="I1039" s="560"/>
      <c r="J1039" s="560"/>
    </row>
    <row r="1040" spans="1:10" x14ac:dyDescent="0.25">
      <c r="A1040" s="362">
        <v>10</v>
      </c>
      <c r="B1040" s="364">
        <v>44033</v>
      </c>
      <c r="C1040" s="362" t="s">
        <v>79</v>
      </c>
      <c r="D1040" s="560">
        <v>48304888</v>
      </c>
      <c r="E1040" s="560"/>
      <c r="F1040" s="560">
        <v>48579900</v>
      </c>
      <c r="G1040" s="560">
        <f t="shared" si="26"/>
        <v>-275012</v>
      </c>
      <c r="H1040" s="560">
        <v>3359166</v>
      </c>
      <c r="I1040" s="560"/>
      <c r="J1040" s="560"/>
    </row>
    <row r="1041" spans="1:10" x14ac:dyDescent="0.25">
      <c r="A1041" s="362">
        <v>11</v>
      </c>
      <c r="B1041" s="364">
        <v>44033</v>
      </c>
      <c r="C1041" s="362" t="s">
        <v>82</v>
      </c>
      <c r="D1041" s="560">
        <v>33046587</v>
      </c>
      <c r="E1041" s="560"/>
      <c r="F1041" s="560">
        <v>33046600</v>
      </c>
      <c r="G1041" s="560">
        <f t="shared" si="26"/>
        <v>-13</v>
      </c>
      <c r="H1041" s="560">
        <v>7425802</v>
      </c>
      <c r="I1041" s="560"/>
      <c r="J1041" s="560"/>
    </row>
    <row r="1042" spans="1:10" x14ac:dyDescent="0.25">
      <c r="A1042" s="362">
        <v>12</v>
      </c>
      <c r="B1042" s="364">
        <v>44033</v>
      </c>
      <c r="C1042" s="362" t="s">
        <v>78</v>
      </c>
      <c r="D1042" s="560">
        <v>119769176</v>
      </c>
      <c r="E1042" s="560">
        <v>5010824</v>
      </c>
      <c r="F1042" s="560">
        <v>124780000</v>
      </c>
      <c r="G1042" s="560">
        <f t="shared" si="26"/>
        <v>0</v>
      </c>
      <c r="H1042" s="560">
        <v>7963617</v>
      </c>
      <c r="I1042" s="560"/>
      <c r="J1042" s="560"/>
    </row>
    <row r="1043" spans="1:10" x14ac:dyDescent="0.25">
      <c r="A1043" s="362">
        <v>13</v>
      </c>
      <c r="B1043" s="364">
        <v>44033</v>
      </c>
      <c r="C1043" s="362" t="s">
        <v>85</v>
      </c>
      <c r="D1043" s="560">
        <v>19009100</v>
      </c>
      <c r="E1043" s="560"/>
      <c r="F1043" s="560">
        <v>19009100</v>
      </c>
      <c r="G1043" s="560">
        <f t="shared" si="26"/>
        <v>0</v>
      </c>
      <c r="H1043" s="560"/>
      <c r="I1043" s="560"/>
      <c r="J1043" s="560"/>
    </row>
    <row r="1044" spans="1:10" x14ac:dyDescent="0.25">
      <c r="A1044" s="362">
        <v>14</v>
      </c>
      <c r="B1044" s="364">
        <v>44033</v>
      </c>
      <c r="C1044" s="362" t="s">
        <v>166</v>
      </c>
      <c r="D1044" s="560">
        <v>68495567</v>
      </c>
      <c r="E1044" s="560"/>
      <c r="F1044" s="560">
        <v>68495600</v>
      </c>
      <c r="G1044" s="560">
        <f t="shared" si="26"/>
        <v>-33</v>
      </c>
      <c r="H1044" s="560"/>
      <c r="I1044" s="560"/>
      <c r="J1044" s="560"/>
    </row>
    <row r="1045" spans="1:10" x14ac:dyDescent="0.25">
      <c r="A1045" s="362">
        <v>15</v>
      </c>
      <c r="B1045" s="364">
        <v>44033</v>
      </c>
      <c r="C1045" s="362" t="s">
        <v>3435</v>
      </c>
      <c r="D1045" s="560"/>
      <c r="E1045" s="560"/>
      <c r="F1045" s="560">
        <v>33473800</v>
      </c>
      <c r="G1045" s="560">
        <f t="shared" si="26"/>
        <v>-33473800</v>
      </c>
      <c r="H1045" s="560"/>
      <c r="I1045" s="560"/>
      <c r="J1045" s="560"/>
    </row>
    <row r="1046" spans="1:10" x14ac:dyDescent="0.25">
      <c r="A1046" s="530"/>
      <c r="B1046" s="530"/>
      <c r="C1046" s="530"/>
      <c r="D1046" s="562"/>
      <c r="E1046" s="562"/>
      <c r="F1046" s="562"/>
      <c r="G1046" s="562">
        <f t="shared" si="26"/>
        <v>0</v>
      </c>
      <c r="H1046" s="562"/>
      <c r="I1046" s="562"/>
      <c r="J1046" s="562"/>
    </row>
    <row r="1047" spans="1:10" x14ac:dyDescent="0.25">
      <c r="A1047" s="362">
        <v>1</v>
      </c>
      <c r="B1047" s="364">
        <v>44034</v>
      </c>
      <c r="C1047" s="362" t="s">
        <v>80</v>
      </c>
      <c r="D1047" s="560">
        <v>313411866</v>
      </c>
      <c r="E1047" s="560"/>
      <c r="F1047" s="560">
        <v>313411800</v>
      </c>
      <c r="G1047" s="560">
        <f t="shared" si="26"/>
        <v>66</v>
      </c>
      <c r="H1047" s="560">
        <v>16934132</v>
      </c>
      <c r="I1047" s="560"/>
      <c r="J1047" s="560"/>
    </row>
    <row r="1048" spans="1:10" x14ac:dyDescent="0.25">
      <c r="A1048" s="362">
        <v>2</v>
      </c>
      <c r="B1048" s="364">
        <v>44034</v>
      </c>
      <c r="C1048" s="362" t="s">
        <v>83</v>
      </c>
      <c r="D1048" s="560">
        <v>112805885</v>
      </c>
      <c r="E1048" s="560">
        <v>25844115</v>
      </c>
      <c r="F1048" s="560">
        <v>138650000</v>
      </c>
      <c r="G1048" s="560">
        <f t="shared" si="26"/>
        <v>0</v>
      </c>
      <c r="H1048" s="560">
        <v>2910335</v>
      </c>
      <c r="I1048" s="560"/>
      <c r="J1048" s="560"/>
    </row>
    <row r="1049" spans="1:10" x14ac:dyDescent="0.25">
      <c r="A1049" s="362">
        <v>3</v>
      </c>
      <c r="B1049" s="364">
        <v>44034</v>
      </c>
      <c r="C1049" s="362" t="s">
        <v>88</v>
      </c>
      <c r="D1049" s="560">
        <v>190503505</v>
      </c>
      <c r="E1049" s="560">
        <v>26205070</v>
      </c>
      <c r="F1049" s="560">
        <v>216708600</v>
      </c>
      <c r="G1049" s="560">
        <f t="shared" si="26"/>
        <v>-25</v>
      </c>
      <c r="H1049" s="560">
        <v>10877701</v>
      </c>
      <c r="I1049" s="560"/>
      <c r="J1049" s="560"/>
    </row>
    <row r="1050" spans="1:10" x14ac:dyDescent="0.25">
      <c r="A1050" s="362">
        <v>4</v>
      </c>
      <c r="B1050" s="364">
        <v>44034</v>
      </c>
      <c r="C1050" s="362" t="s">
        <v>146</v>
      </c>
      <c r="D1050" s="560">
        <v>64278766</v>
      </c>
      <c r="E1050" s="560">
        <v>76343444</v>
      </c>
      <c r="F1050" s="560">
        <v>140622300</v>
      </c>
      <c r="G1050" s="560">
        <f t="shared" si="26"/>
        <v>-90</v>
      </c>
      <c r="H1050" s="560">
        <v>13212720</v>
      </c>
      <c r="I1050" s="560"/>
      <c r="J1050" s="560"/>
    </row>
    <row r="1051" spans="1:10" x14ac:dyDescent="0.25">
      <c r="A1051" s="362">
        <v>5</v>
      </c>
      <c r="B1051" s="364">
        <v>44034</v>
      </c>
      <c r="C1051" s="362" t="s">
        <v>86</v>
      </c>
      <c r="D1051" s="560">
        <v>81786740</v>
      </c>
      <c r="E1051" s="560">
        <v>130202663</v>
      </c>
      <c r="F1051" s="560">
        <v>211989400</v>
      </c>
      <c r="G1051" s="560">
        <f t="shared" si="26"/>
        <v>3</v>
      </c>
      <c r="H1051" s="560">
        <v>4539306</v>
      </c>
      <c r="I1051" s="560"/>
      <c r="J1051" s="560"/>
    </row>
    <row r="1052" spans="1:10" x14ac:dyDescent="0.25">
      <c r="A1052" s="362">
        <v>6</v>
      </c>
      <c r="B1052" s="364">
        <v>44034</v>
      </c>
      <c r="C1052" s="362" t="s">
        <v>89</v>
      </c>
      <c r="D1052" s="560">
        <v>164505700</v>
      </c>
      <c r="E1052" s="560">
        <v>1525000</v>
      </c>
      <c r="F1052" s="560">
        <v>166030700</v>
      </c>
      <c r="G1052" s="560">
        <f t="shared" si="26"/>
        <v>0</v>
      </c>
      <c r="H1052" s="560">
        <v>11840100</v>
      </c>
      <c r="I1052" s="560"/>
      <c r="J1052" s="560"/>
    </row>
    <row r="1053" spans="1:10" x14ac:dyDescent="0.25">
      <c r="A1053" s="362">
        <v>7</v>
      </c>
      <c r="B1053" s="364">
        <v>44034</v>
      </c>
      <c r="C1053" s="362" t="s">
        <v>4751</v>
      </c>
      <c r="D1053" s="560">
        <v>107036817</v>
      </c>
      <c r="E1053" s="560">
        <v>23198983</v>
      </c>
      <c r="F1053" s="560">
        <v>130235800</v>
      </c>
      <c r="G1053" s="560">
        <f t="shared" si="26"/>
        <v>0</v>
      </c>
      <c r="H1053" s="560">
        <v>15498608</v>
      </c>
      <c r="I1053" s="560"/>
      <c r="J1053" s="560"/>
    </row>
    <row r="1054" spans="1:10" x14ac:dyDescent="0.25">
      <c r="A1054" s="362">
        <v>8</v>
      </c>
      <c r="B1054" s="364">
        <v>44034</v>
      </c>
      <c r="C1054" s="362" t="s">
        <v>84</v>
      </c>
      <c r="D1054" s="560">
        <v>280444159</v>
      </c>
      <c r="E1054" s="560">
        <v>21798210</v>
      </c>
      <c r="F1054" s="560">
        <v>302243200</v>
      </c>
      <c r="G1054" s="560">
        <f t="shared" si="26"/>
        <v>-831</v>
      </c>
      <c r="H1054" s="560">
        <v>18940089</v>
      </c>
      <c r="I1054" s="560"/>
      <c r="J1054" s="560"/>
    </row>
    <row r="1055" spans="1:10" x14ac:dyDescent="0.25">
      <c r="A1055" s="362">
        <v>9</v>
      </c>
      <c r="B1055" s="364">
        <v>44034</v>
      </c>
      <c r="C1055" s="362" t="s">
        <v>81</v>
      </c>
      <c r="D1055" s="560">
        <v>70218726</v>
      </c>
      <c r="E1055" s="560">
        <v>7416891</v>
      </c>
      <c r="F1055" s="560">
        <v>77635700</v>
      </c>
      <c r="G1055" s="560">
        <f t="shared" si="26"/>
        <v>-83</v>
      </c>
      <c r="H1055" s="560">
        <v>12689128</v>
      </c>
      <c r="I1055" s="560"/>
      <c r="J1055" s="560"/>
    </row>
    <row r="1056" spans="1:10" x14ac:dyDescent="0.25">
      <c r="A1056" s="362">
        <v>10</v>
      </c>
      <c r="B1056" s="364">
        <v>44034</v>
      </c>
      <c r="C1056" s="362" t="s">
        <v>79</v>
      </c>
      <c r="D1056" s="560">
        <v>105860654</v>
      </c>
      <c r="E1056" s="560">
        <v>1075015</v>
      </c>
      <c r="F1056" s="560">
        <v>107166700</v>
      </c>
      <c r="G1056" s="560">
        <f t="shared" si="26"/>
        <v>-231031</v>
      </c>
      <c r="H1056" s="560">
        <v>3359166</v>
      </c>
      <c r="I1056" s="560"/>
      <c r="J1056" s="560"/>
    </row>
    <row r="1057" spans="1:10" x14ac:dyDescent="0.25">
      <c r="A1057" s="362">
        <v>11</v>
      </c>
      <c r="B1057" s="364">
        <v>44034</v>
      </c>
      <c r="C1057" s="362" t="s">
        <v>82</v>
      </c>
      <c r="D1057" s="560">
        <v>94073657</v>
      </c>
      <c r="E1057" s="560">
        <v>1182000</v>
      </c>
      <c r="F1057" s="560">
        <v>95255800</v>
      </c>
      <c r="G1057" s="560">
        <f t="shared" si="26"/>
        <v>-143</v>
      </c>
      <c r="H1057" s="560">
        <v>7075802</v>
      </c>
      <c r="I1057" s="560"/>
      <c r="J1057" s="560"/>
    </row>
    <row r="1058" spans="1:10" x14ac:dyDescent="0.25">
      <c r="A1058" s="362">
        <v>12</v>
      </c>
      <c r="B1058" s="364">
        <v>44034</v>
      </c>
      <c r="C1058" s="362" t="s">
        <v>78</v>
      </c>
      <c r="D1058" s="560">
        <v>63922427</v>
      </c>
      <c r="E1058" s="560">
        <v>5009473</v>
      </c>
      <c r="F1058" s="560">
        <v>68931900</v>
      </c>
      <c r="G1058" s="560">
        <f t="shared" si="26"/>
        <v>0</v>
      </c>
      <c r="H1058" s="560">
        <v>7142840</v>
      </c>
      <c r="I1058" s="560"/>
      <c r="J1058" s="560"/>
    </row>
    <row r="1059" spans="1:10" x14ac:dyDescent="0.25">
      <c r="A1059" s="362">
        <v>13</v>
      </c>
      <c r="B1059" s="364">
        <v>44034</v>
      </c>
      <c r="C1059" s="362" t="s">
        <v>85</v>
      </c>
      <c r="D1059" s="560">
        <v>46406200</v>
      </c>
      <c r="E1059" s="560"/>
      <c r="F1059" s="560">
        <v>46406200</v>
      </c>
      <c r="G1059" s="560">
        <f t="shared" si="26"/>
        <v>0</v>
      </c>
      <c r="H1059" s="560"/>
      <c r="I1059" s="560"/>
      <c r="J1059" s="560"/>
    </row>
    <row r="1060" spans="1:10" x14ac:dyDescent="0.25">
      <c r="A1060" s="362">
        <v>14</v>
      </c>
      <c r="B1060" s="364">
        <v>44034</v>
      </c>
      <c r="C1060" s="362" t="s">
        <v>166</v>
      </c>
      <c r="D1060" s="560">
        <v>35994942</v>
      </c>
      <c r="E1060" s="560"/>
      <c r="F1060" s="560">
        <v>35995000</v>
      </c>
      <c r="G1060" s="560">
        <f t="shared" si="26"/>
        <v>-58</v>
      </c>
      <c r="H1060" s="560"/>
      <c r="I1060" s="560"/>
      <c r="J1060" s="560"/>
    </row>
    <row r="1061" spans="1:10" x14ac:dyDescent="0.25">
      <c r="A1061" s="362">
        <v>15</v>
      </c>
      <c r="B1061" s="364">
        <v>44034</v>
      </c>
      <c r="C1061" s="362" t="s">
        <v>3435</v>
      </c>
      <c r="D1061" s="560"/>
      <c r="E1061" s="560"/>
      <c r="F1061" s="560">
        <v>73300400</v>
      </c>
      <c r="G1061" s="560">
        <f t="shared" si="26"/>
        <v>-73300400</v>
      </c>
      <c r="H1061" s="560"/>
      <c r="I1061" s="560"/>
      <c r="J1061" s="560"/>
    </row>
    <row r="1062" spans="1:10" x14ac:dyDescent="0.25">
      <c r="A1062" s="530"/>
      <c r="B1062" s="589"/>
      <c r="C1062" s="530"/>
      <c r="D1062" s="562"/>
      <c r="E1062" s="562"/>
      <c r="F1062" s="562"/>
      <c r="G1062" s="562">
        <f t="shared" si="26"/>
        <v>0</v>
      </c>
      <c r="H1062" s="562"/>
      <c r="I1062" s="562"/>
      <c r="J1062" s="562"/>
    </row>
    <row r="1063" spans="1:10" x14ac:dyDescent="0.25">
      <c r="A1063" s="362">
        <v>1</v>
      </c>
      <c r="B1063" s="364">
        <v>44035</v>
      </c>
      <c r="C1063" s="362" t="s">
        <v>80</v>
      </c>
      <c r="D1063" s="560">
        <v>234114202</v>
      </c>
      <c r="E1063" s="560">
        <v>1386000</v>
      </c>
      <c r="F1063" s="560">
        <v>235500400</v>
      </c>
      <c r="G1063" s="560">
        <f t="shared" si="26"/>
        <v>-198</v>
      </c>
      <c r="H1063" s="560">
        <v>5398109</v>
      </c>
      <c r="I1063" s="560"/>
      <c r="J1063" s="560">
        <f>H1063-I1063</f>
        <v>5398109</v>
      </c>
    </row>
    <row r="1064" spans="1:10" x14ac:dyDescent="0.25">
      <c r="A1064" s="362">
        <v>2</v>
      </c>
      <c r="B1064" s="364">
        <v>44035</v>
      </c>
      <c r="C1064" s="362" t="s">
        <v>83</v>
      </c>
      <c r="D1064" s="560">
        <v>186626855</v>
      </c>
      <c r="E1064" s="560">
        <v>32301724</v>
      </c>
      <c r="F1064" s="560">
        <v>218928600</v>
      </c>
      <c r="G1064" s="560">
        <f t="shared" si="26"/>
        <v>-21</v>
      </c>
      <c r="H1064" s="560">
        <v>914984</v>
      </c>
      <c r="I1064" s="560">
        <v>914985</v>
      </c>
      <c r="J1064" s="560">
        <f t="shared" ref="J1064:J1093" si="27">H1064-I1064</f>
        <v>-1</v>
      </c>
    </row>
    <row r="1065" spans="1:10" x14ac:dyDescent="0.25">
      <c r="A1065" s="362">
        <v>3</v>
      </c>
      <c r="B1065" s="364">
        <v>44035</v>
      </c>
      <c r="C1065" s="362" t="s">
        <v>88</v>
      </c>
      <c r="D1065" s="560">
        <v>271791099</v>
      </c>
      <c r="E1065" s="560">
        <v>6249427</v>
      </c>
      <c r="F1065" s="560">
        <v>278040600</v>
      </c>
      <c r="G1065" s="560">
        <f t="shared" si="26"/>
        <v>-74</v>
      </c>
      <c r="H1065" s="560">
        <v>2029643</v>
      </c>
      <c r="I1065" s="560">
        <v>2029643</v>
      </c>
      <c r="J1065" s="560">
        <f t="shared" si="27"/>
        <v>0</v>
      </c>
    </row>
    <row r="1066" spans="1:10" x14ac:dyDescent="0.25">
      <c r="A1066" s="362">
        <v>4</v>
      </c>
      <c r="B1066" s="364">
        <v>44035</v>
      </c>
      <c r="C1066" s="362" t="s">
        <v>146</v>
      </c>
      <c r="D1066" s="560">
        <v>90293105</v>
      </c>
      <c r="E1066" s="560">
        <v>152395735</v>
      </c>
      <c r="F1066" s="560">
        <v>242689100</v>
      </c>
      <c r="G1066" s="560">
        <f t="shared" si="26"/>
        <v>-260</v>
      </c>
      <c r="H1066" s="560">
        <v>7107771</v>
      </c>
      <c r="I1066" s="560"/>
      <c r="J1066" s="560">
        <f t="shared" si="27"/>
        <v>7107771</v>
      </c>
    </row>
    <row r="1067" spans="1:10" x14ac:dyDescent="0.25">
      <c r="A1067" s="362">
        <v>5</v>
      </c>
      <c r="B1067" s="364">
        <v>44035</v>
      </c>
      <c r="C1067" s="362" t="s">
        <v>86</v>
      </c>
      <c r="D1067" s="560">
        <v>70506364</v>
      </c>
      <c r="E1067" s="560">
        <v>235107975</v>
      </c>
      <c r="F1067" s="560">
        <v>305614300</v>
      </c>
      <c r="G1067" s="560">
        <f t="shared" si="26"/>
        <v>39</v>
      </c>
      <c r="H1067" s="560"/>
      <c r="I1067" s="560"/>
      <c r="J1067" s="560">
        <f t="shared" si="27"/>
        <v>0</v>
      </c>
    </row>
    <row r="1068" spans="1:10" x14ac:dyDescent="0.25">
      <c r="A1068" s="362">
        <v>6</v>
      </c>
      <c r="B1068" s="364">
        <v>44035</v>
      </c>
      <c r="C1068" s="362" t="s">
        <v>89</v>
      </c>
      <c r="D1068" s="560">
        <v>142970571</v>
      </c>
      <c r="E1068" s="560">
        <v>3987629</v>
      </c>
      <c r="F1068" s="560">
        <v>146958200</v>
      </c>
      <c r="G1068" s="560">
        <f t="shared" si="26"/>
        <v>0</v>
      </c>
      <c r="H1068" s="560">
        <v>6572794</v>
      </c>
      <c r="I1068" s="560">
        <v>6572794</v>
      </c>
      <c r="J1068" s="560">
        <f t="shared" si="27"/>
        <v>0</v>
      </c>
    </row>
    <row r="1069" spans="1:10" x14ac:dyDescent="0.25">
      <c r="A1069" s="362">
        <v>7</v>
      </c>
      <c r="B1069" s="364">
        <v>44035</v>
      </c>
      <c r="C1069" s="362" t="s">
        <v>4751</v>
      </c>
      <c r="D1069" s="560">
        <v>157003510</v>
      </c>
      <c r="E1069" s="560">
        <v>10756890</v>
      </c>
      <c r="F1069" s="560">
        <v>167760400</v>
      </c>
      <c r="G1069" s="560">
        <f t="shared" si="26"/>
        <v>0</v>
      </c>
      <c r="H1069" s="560">
        <v>5387446</v>
      </c>
      <c r="I1069" s="560"/>
      <c r="J1069" s="560">
        <f t="shared" si="27"/>
        <v>5387446</v>
      </c>
    </row>
    <row r="1070" spans="1:10" x14ac:dyDescent="0.25">
      <c r="A1070" s="362">
        <v>8</v>
      </c>
      <c r="B1070" s="364">
        <v>44035</v>
      </c>
      <c r="C1070" s="362" t="s">
        <v>84</v>
      </c>
      <c r="D1070" s="560">
        <v>146975940</v>
      </c>
      <c r="E1070" s="560">
        <v>12341791</v>
      </c>
      <c r="F1070" s="560">
        <v>159317500</v>
      </c>
      <c r="G1070" s="560">
        <f t="shared" si="26"/>
        <v>231</v>
      </c>
      <c r="H1070" s="560">
        <v>3934201</v>
      </c>
      <c r="I1070" s="560">
        <v>3934201</v>
      </c>
      <c r="J1070" s="560">
        <f t="shared" si="27"/>
        <v>0</v>
      </c>
    </row>
    <row r="1071" spans="1:10" x14ac:dyDescent="0.25">
      <c r="A1071" s="362">
        <v>9</v>
      </c>
      <c r="B1071" s="364">
        <v>44035</v>
      </c>
      <c r="C1071" s="362" t="s">
        <v>81</v>
      </c>
      <c r="D1071" s="560">
        <v>145648253</v>
      </c>
      <c r="E1071" s="560">
        <v>10427550</v>
      </c>
      <c r="F1071" s="560">
        <v>156075800</v>
      </c>
      <c r="G1071" s="560">
        <f t="shared" si="26"/>
        <v>3</v>
      </c>
      <c r="H1071" s="560">
        <v>12607128</v>
      </c>
      <c r="I1071" s="560"/>
      <c r="J1071" s="560">
        <f t="shared" si="27"/>
        <v>12607128</v>
      </c>
    </row>
    <row r="1072" spans="1:10" x14ac:dyDescent="0.25">
      <c r="A1072" s="362">
        <v>10</v>
      </c>
      <c r="B1072" s="364">
        <v>44035</v>
      </c>
      <c r="C1072" s="362" t="s">
        <v>79</v>
      </c>
      <c r="D1072" s="560">
        <v>61370056</v>
      </c>
      <c r="E1072" s="560">
        <v>2697898</v>
      </c>
      <c r="F1072" s="560">
        <v>64068000</v>
      </c>
      <c r="G1072" s="560">
        <f t="shared" si="26"/>
        <v>-46</v>
      </c>
      <c r="H1072" s="560">
        <v>1461516</v>
      </c>
      <c r="I1072" s="560">
        <v>1461516</v>
      </c>
      <c r="J1072" s="560">
        <f t="shared" si="27"/>
        <v>0</v>
      </c>
    </row>
    <row r="1073" spans="1:10" x14ac:dyDescent="0.25">
      <c r="A1073" s="362">
        <v>11</v>
      </c>
      <c r="B1073" s="364">
        <v>44035</v>
      </c>
      <c r="C1073" s="362" t="s">
        <v>82</v>
      </c>
      <c r="D1073" s="560">
        <v>103952979</v>
      </c>
      <c r="E1073" s="560"/>
      <c r="F1073" s="560">
        <v>103953000</v>
      </c>
      <c r="G1073" s="560">
        <f t="shared" si="26"/>
        <v>-21</v>
      </c>
      <c r="H1073" s="560">
        <v>4479252</v>
      </c>
      <c r="I1073" s="560">
        <v>4479252</v>
      </c>
      <c r="J1073" s="560">
        <f t="shared" si="27"/>
        <v>0</v>
      </c>
    </row>
    <row r="1074" spans="1:10" x14ac:dyDescent="0.25">
      <c r="A1074" s="362">
        <v>12</v>
      </c>
      <c r="B1074" s="364">
        <v>44035</v>
      </c>
      <c r="C1074" s="362" t="s">
        <v>78</v>
      </c>
      <c r="D1074" s="560">
        <v>69664400</v>
      </c>
      <c r="E1074" s="560">
        <v>1947000</v>
      </c>
      <c r="F1074" s="560">
        <v>71611400</v>
      </c>
      <c r="G1074" s="560">
        <f t="shared" si="26"/>
        <v>0</v>
      </c>
      <c r="H1074" s="560">
        <v>2751045</v>
      </c>
      <c r="I1074" s="560">
        <v>2751045</v>
      </c>
      <c r="J1074" s="560">
        <f t="shared" si="27"/>
        <v>0</v>
      </c>
    </row>
    <row r="1075" spans="1:10" x14ac:dyDescent="0.25">
      <c r="A1075" s="362">
        <v>13</v>
      </c>
      <c r="B1075" s="364">
        <v>44035</v>
      </c>
      <c r="C1075" s="362" t="s">
        <v>85</v>
      </c>
      <c r="D1075" s="560">
        <v>28535300</v>
      </c>
      <c r="E1075" s="560"/>
      <c r="F1075" s="560">
        <v>28535300</v>
      </c>
      <c r="G1075" s="560">
        <f t="shared" si="26"/>
        <v>0</v>
      </c>
      <c r="H1075" s="560"/>
      <c r="I1075" s="560"/>
      <c r="J1075" s="560">
        <f t="shared" si="27"/>
        <v>0</v>
      </c>
    </row>
    <row r="1076" spans="1:10" x14ac:dyDescent="0.25">
      <c r="A1076" s="362">
        <v>14</v>
      </c>
      <c r="B1076" s="364">
        <v>44035</v>
      </c>
      <c r="C1076" s="362" t="s">
        <v>166</v>
      </c>
      <c r="D1076" s="560">
        <v>79596109</v>
      </c>
      <c r="E1076" s="560"/>
      <c r="F1076" s="560">
        <v>79596100</v>
      </c>
      <c r="G1076" s="560">
        <f t="shared" si="26"/>
        <v>9</v>
      </c>
      <c r="H1076" s="560"/>
      <c r="I1076" s="560"/>
      <c r="J1076" s="560">
        <f t="shared" si="27"/>
        <v>0</v>
      </c>
    </row>
    <row r="1077" spans="1:10" x14ac:dyDescent="0.25">
      <c r="A1077" s="362">
        <v>15</v>
      </c>
      <c r="B1077" s="364">
        <v>44035</v>
      </c>
      <c r="C1077" s="362" t="s">
        <v>3435</v>
      </c>
      <c r="D1077" s="560"/>
      <c r="E1077" s="560"/>
      <c r="F1077" s="560">
        <v>48792300</v>
      </c>
      <c r="G1077" s="560">
        <f t="shared" si="26"/>
        <v>-48792300</v>
      </c>
      <c r="H1077" s="560"/>
      <c r="I1077" s="560"/>
      <c r="J1077" s="560">
        <f t="shared" si="27"/>
        <v>0</v>
      </c>
    </row>
    <row r="1078" spans="1:10" x14ac:dyDescent="0.25">
      <c r="A1078" s="530"/>
      <c r="B1078" s="589"/>
      <c r="C1078" s="530"/>
      <c r="D1078" s="562"/>
      <c r="E1078" s="562"/>
      <c r="F1078" s="562"/>
      <c r="G1078" s="562">
        <f t="shared" si="26"/>
        <v>0</v>
      </c>
      <c r="H1078" s="562"/>
      <c r="I1078" s="562"/>
      <c r="J1078" s="562">
        <f t="shared" si="27"/>
        <v>0</v>
      </c>
    </row>
    <row r="1079" spans="1:10" x14ac:dyDescent="0.25">
      <c r="A1079" s="362">
        <v>1</v>
      </c>
      <c r="B1079" s="364">
        <v>44036</v>
      </c>
      <c r="C1079" s="362" t="s">
        <v>80</v>
      </c>
      <c r="D1079" s="560">
        <v>263345122</v>
      </c>
      <c r="E1079" s="560">
        <v>64109925</v>
      </c>
      <c r="F1079" s="560">
        <v>327454000</v>
      </c>
      <c r="G1079" s="560">
        <f t="shared" si="26"/>
        <v>1047</v>
      </c>
      <c r="H1079" s="560">
        <v>5398109</v>
      </c>
      <c r="I1079" s="560">
        <v>5398109</v>
      </c>
      <c r="J1079" s="560">
        <f t="shared" si="27"/>
        <v>0</v>
      </c>
    </row>
    <row r="1080" spans="1:10" x14ac:dyDescent="0.25">
      <c r="A1080" s="362">
        <v>2</v>
      </c>
      <c r="B1080" s="364">
        <v>44036</v>
      </c>
      <c r="C1080" s="362" t="s">
        <v>83</v>
      </c>
      <c r="D1080" s="560">
        <v>351707050</v>
      </c>
      <c r="E1080" s="560">
        <v>55947431</v>
      </c>
      <c r="F1080" s="560">
        <v>407619400</v>
      </c>
      <c r="G1080" s="560">
        <f t="shared" si="26"/>
        <v>35081</v>
      </c>
      <c r="H1080" s="560">
        <v>174984</v>
      </c>
      <c r="I1080" s="560"/>
      <c r="J1080" s="560">
        <f t="shared" si="27"/>
        <v>174984</v>
      </c>
    </row>
    <row r="1081" spans="1:10" x14ac:dyDescent="0.25">
      <c r="A1081" s="362">
        <v>3</v>
      </c>
      <c r="B1081" s="364">
        <v>44036</v>
      </c>
      <c r="C1081" s="362" t="s">
        <v>88</v>
      </c>
      <c r="D1081" s="560">
        <v>112201397</v>
      </c>
      <c r="E1081" s="560">
        <v>70305709</v>
      </c>
      <c r="F1081" s="560">
        <v>182507200</v>
      </c>
      <c r="G1081" s="560">
        <f t="shared" si="26"/>
        <v>-94</v>
      </c>
      <c r="H1081" s="560">
        <v>2029643</v>
      </c>
      <c r="I1081" s="560"/>
      <c r="J1081" s="560">
        <f t="shared" si="27"/>
        <v>2029643</v>
      </c>
    </row>
    <row r="1082" spans="1:10" x14ac:dyDescent="0.25">
      <c r="A1082" s="362">
        <v>4</v>
      </c>
      <c r="B1082" s="364">
        <v>44036</v>
      </c>
      <c r="C1082" s="362" t="s">
        <v>146</v>
      </c>
      <c r="D1082" s="560">
        <v>60460859</v>
      </c>
      <c r="E1082" s="560">
        <v>96843637</v>
      </c>
      <c r="F1082" s="560">
        <v>157304600</v>
      </c>
      <c r="G1082" s="560">
        <f t="shared" si="26"/>
        <v>-104</v>
      </c>
      <c r="H1082" s="560">
        <v>864435</v>
      </c>
      <c r="I1082" s="560">
        <v>864435</v>
      </c>
      <c r="J1082" s="560">
        <f t="shared" si="27"/>
        <v>0</v>
      </c>
    </row>
    <row r="1083" spans="1:10" x14ac:dyDescent="0.25">
      <c r="A1083" s="362">
        <v>5</v>
      </c>
      <c r="B1083" s="364">
        <v>44036</v>
      </c>
      <c r="C1083" s="362" t="s">
        <v>86</v>
      </c>
      <c r="D1083" s="560">
        <v>30150447</v>
      </c>
      <c r="E1083" s="560">
        <v>83048224</v>
      </c>
      <c r="F1083" s="560">
        <v>113198700</v>
      </c>
      <c r="G1083" s="560">
        <f t="shared" si="26"/>
        <v>-29</v>
      </c>
      <c r="H1083" s="560">
        <v>785767</v>
      </c>
      <c r="I1083" s="560">
        <v>785767</v>
      </c>
      <c r="J1083" s="560">
        <f t="shared" si="27"/>
        <v>0</v>
      </c>
    </row>
    <row r="1084" spans="1:10" x14ac:dyDescent="0.25">
      <c r="A1084" s="362">
        <v>6</v>
      </c>
      <c r="B1084" s="364">
        <v>44036</v>
      </c>
      <c r="C1084" s="362" t="s">
        <v>89</v>
      </c>
      <c r="D1084" s="560">
        <v>133146500</v>
      </c>
      <c r="E1084" s="560">
        <v>2818700</v>
      </c>
      <c r="F1084" s="560">
        <v>135965200</v>
      </c>
      <c r="G1084" s="560">
        <f t="shared" si="26"/>
        <v>0</v>
      </c>
      <c r="H1084" s="560">
        <v>6079294</v>
      </c>
      <c r="I1084" s="560"/>
      <c r="J1084" s="560">
        <f t="shared" si="27"/>
        <v>6079294</v>
      </c>
    </row>
    <row r="1085" spans="1:10" x14ac:dyDescent="0.25">
      <c r="A1085" s="362">
        <v>7</v>
      </c>
      <c r="B1085" s="364">
        <v>44036</v>
      </c>
      <c r="C1085" s="362" t="s">
        <v>4751</v>
      </c>
      <c r="D1085" s="560">
        <v>254520438</v>
      </c>
      <c r="E1085" s="560">
        <v>8017962</v>
      </c>
      <c r="F1085" s="560">
        <v>262538400</v>
      </c>
      <c r="G1085" s="560">
        <f t="shared" si="26"/>
        <v>0</v>
      </c>
      <c r="H1085" s="560">
        <v>3283446</v>
      </c>
      <c r="I1085" s="560">
        <v>5387446</v>
      </c>
      <c r="J1085" s="560">
        <f t="shared" si="27"/>
        <v>-2104000</v>
      </c>
    </row>
    <row r="1086" spans="1:10" x14ac:dyDescent="0.25">
      <c r="A1086" s="362">
        <v>8</v>
      </c>
      <c r="B1086" s="364">
        <v>44036</v>
      </c>
      <c r="C1086" s="362" t="s">
        <v>84</v>
      </c>
      <c r="D1086" s="560">
        <v>125929817</v>
      </c>
      <c r="E1086" s="560">
        <v>28130041</v>
      </c>
      <c r="F1086" s="560">
        <v>154059900</v>
      </c>
      <c r="G1086" s="560">
        <f t="shared" si="26"/>
        <v>-42</v>
      </c>
      <c r="H1086" s="560">
        <v>3934201</v>
      </c>
      <c r="I1086" s="560"/>
      <c r="J1086" s="560">
        <f t="shared" si="27"/>
        <v>3934201</v>
      </c>
    </row>
    <row r="1087" spans="1:10" x14ac:dyDescent="0.25">
      <c r="A1087" s="362">
        <v>9</v>
      </c>
      <c r="B1087" s="364">
        <v>44036</v>
      </c>
      <c r="C1087" s="362" t="s">
        <v>81</v>
      </c>
      <c r="D1087" s="560">
        <v>73475813</v>
      </c>
      <c r="E1087" s="560">
        <v>6355853</v>
      </c>
      <c r="F1087" s="560">
        <v>79831700</v>
      </c>
      <c r="G1087" s="560">
        <f t="shared" si="26"/>
        <v>-34</v>
      </c>
      <c r="H1087" s="560">
        <v>5300820</v>
      </c>
      <c r="I1087" s="560">
        <v>5300820</v>
      </c>
      <c r="J1087" s="560">
        <f t="shared" si="27"/>
        <v>0</v>
      </c>
    </row>
    <row r="1088" spans="1:10" x14ac:dyDescent="0.25">
      <c r="A1088" s="362">
        <v>10</v>
      </c>
      <c r="B1088" s="364">
        <v>44036</v>
      </c>
      <c r="C1088" s="362" t="s">
        <v>79</v>
      </c>
      <c r="D1088" s="560">
        <v>48177919</v>
      </c>
      <c r="E1088" s="560">
        <v>34304</v>
      </c>
      <c r="F1088" s="560">
        <v>48212300</v>
      </c>
      <c r="G1088" s="560">
        <f t="shared" si="26"/>
        <v>-77</v>
      </c>
      <c r="H1088" s="560">
        <v>1451516</v>
      </c>
      <c r="I1088" s="560"/>
      <c r="J1088" s="560">
        <f t="shared" si="27"/>
        <v>1451516</v>
      </c>
    </row>
    <row r="1089" spans="1:10" x14ac:dyDescent="0.25">
      <c r="A1089" s="362">
        <v>11</v>
      </c>
      <c r="B1089" s="364">
        <v>44036</v>
      </c>
      <c r="C1089" s="362" t="s">
        <v>82</v>
      </c>
      <c r="D1089" s="560">
        <v>79132455</v>
      </c>
      <c r="E1089" s="560"/>
      <c r="F1089" s="560">
        <v>79132500</v>
      </c>
      <c r="G1089" s="560">
        <f t="shared" si="26"/>
        <v>-45</v>
      </c>
      <c r="H1089" s="560">
        <v>4479252</v>
      </c>
      <c r="I1089" s="560"/>
      <c r="J1089" s="560">
        <f t="shared" si="27"/>
        <v>4479252</v>
      </c>
    </row>
    <row r="1090" spans="1:10" x14ac:dyDescent="0.25">
      <c r="A1090" s="362">
        <v>12</v>
      </c>
      <c r="B1090" s="364">
        <v>44036</v>
      </c>
      <c r="C1090" s="362" t="s">
        <v>78</v>
      </c>
      <c r="D1090" s="560">
        <v>79468277</v>
      </c>
      <c r="E1090" s="560">
        <v>2142123</v>
      </c>
      <c r="F1090" s="560">
        <v>81610400</v>
      </c>
      <c r="G1090" s="560">
        <f t="shared" si="26"/>
        <v>0</v>
      </c>
      <c r="H1090" s="560">
        <v>2514045</v>
      </c>
      <c r="I1090" s="560"/>
      <c r="J1090" s="560">
        <f t="shared" si="27"/>
        <v>2514045</v>
      </c>
    </row>
    <row r="1091" spans="1:10" x14ac:dyDescent="0.25">
      <c r="A1091" s="362">
        <v>13</v>
      </c>
      <c r="B1091" s="364">
        <v>44036</v>
      </c>
      <c r="C1091" s="362" t="s">
        <v>85</v>
      </c>
      <c r="D1091" s="560">
        <v>22060800</v>
      </c>
      <c r="E1091" s="560"/>
      <c r="F1091" s="560">
        <v>22060800</v>
      </c>
      <c r="G1091" s="560">
        <f t="shared" si="26"/>
        <v>0</v>
      </c>
      <c r="H1091" s="560"/>
      <c r="I1091" s="560"/>
      <c r="J1091" s="560">
        <f t="shared" si="27"/>
        <v>0</v>
      </c>
    </row>
    <row r="1092" spans="1:10" x14ac:dyDescent="0.25">
      <c r="A1092" s="362">
        <v>14</v>
      </c>
      <c r="B1092" s="364">
        <v>44036</v>
      </c>
      <c r="C1092" s="362" t="s">
        <v>166</v>
      </c>
      <c r="D1092" s="560">
        <v>35083320</v>
      </c>
      <c r="E1092" s="560"/>
      <c r="F1092" s="560">
        <v>35083400</v>
      </c>
      <c r="G1092" s="560">
        <f t="shared" si="26"/>
        <v>-80</v>
      </c>
      <c r="H1092" s="560"/>
      <c r="I1092" s="560"/>
      <c r="J1092" s="560">
        <f t="shared" si="27"/>
        <v>0</v>
      </c>
    </row>
    <row r="1093" spans="1:10" x14ac:dyDescent="0.25">
      <c r="A1093" s="362">
        <v>15</v>
      </c>
      <c r="B1093" s="364">
        <v>44036</v>
      </c>
      <c r="C1093" s="362" t="s">
        <v>3435</v>
      </c>
      <c r="D1093" s="560"/>
      <c r="E1093" s="560"/>
      <c r="F1093" s="560">
        <v>64946200</v>
      </c>
      <c r="G1093" s="560">
        <f t="shared" si="26"/>
        <v>-64946200</v>
      </c>
      <c r="H1093" s="560"/>
      <c r="I1093" s="560"/>
      <c r="J1093" s="560">
        <f t="shared" si="27"/>
        <v>0</v>
      </c>
    </row>
    <row r="1094" spans="1:10" x14ac:dyDescent="0.25">
      <c r="A1094" s="530"/>
      <c r="B1094" s="589"/>
      <c r="C1094" s="530"/>
      <c r="D1094" s="562"/>
      <c r="E1094" s="562"/>
      <c r="F1094" s="562"/>
      <c r="G1094" s="562">
        <f t="shared" si="26"/>
        <v>0</v>
      </c>
      <c r="H1094" s="562"/>
      <c r="I1094" s="562"/>
      <c r="J1094" s="562"/>
    </row>
    <row r="1095" spans="1:10" x14ac:dyDescent="0.25">
      <c r="A1095" s="362">
        <v>1</v>
      </c>
      <c r="B1095" s="364">
        <v>44037</v>
      </c>
      <c r="C1095" s="362" t="s">
        <v>80</v>
      </c>
      <c r="D1095" s="560">
        <v>316665103</v>
      </c>
      <c r="E1095" s="560"/>
      <c r="F1095" s="560">
        <v>316665200</v>
      </c>
      <c r="G1095" s="560">
        <f t="shared" ref="G1095:G1158" si="28">D1095+E1095-F1095</f>
        <v>-97</v>
      </c>
      <c r="H1095" s="560">
        <v>5398109</v>
      </c>
      <c r="I1095" s="560"/>
      <c r="J1095" s="560"/>
    </row>
    <row r="1096" spans="1:10" x14ac:dyDescent="0.25">
      <c r="A1096" s="362">
        <v>2</v>
      </c>
      <c r="B1096" s="364">
        <v>44037</v>
      </c>
      <c r="C1096" s="362" t="s">
        <v>83</v>
      </c>
      <c r="D1096" s="560">
        <v>348703683</v>
      </c>
      <c r="E1096" s="560">
        <v>209957033</v>
      </c>
      <c r="F1096" s="560">
        <v>558660700</v>
      </c>
      <c r="G1096" s="560">
        <f t="shared" si="28"/>
        <v>16</v>
      </c>
      <c r="H1096" s="560"/>
      <c r="I1096" s="560"/>
      <c r="J1096" s="560"/>
    </row>
    <row r="1097" spans="1:10" x14ac:dyDescent="0.25">
      <c r="A1097" s="362">
        <v>3</v>
      </c>
      <c r="B1097" s="364">
        <v>44037</v>
      </c>
      <c r="C1097" s="362" t="s">
        <v>88</v>
      </c>
      <c r="D1097" s="560">
        <v>189114859</v>
      </c>
      <c r="E1097" s="560">
        <v>12036148</v>
      </c>
      <c r="F1097" s="560">
        <v>201151100</v>
      </c>
      <c r="G1097" s="560">
        <f t="shared" si="28"/>
        <v>-93</v>
      </c>
      <c r="H1097" s="560">
        <v>2029643</v>
      </c>
      <c r="I1097" s="560"/>
      <c r="J1097" s="560"/>
    </row>
    <row r="1098" spans="1:10" x14ac:dyDescent="0.25">
      <c r="A1098" s="362">
        <v>4</v>
      </c>
      <c r="B1098" s="364">
        <v>44037</v>
      </c>
      <c r="C1098" s="362" t="s">
        <v>146</v>
      </c>
      <c r="D1098" s="560">
        <v>85459420</v>
      </c>
      <c r="E1098" s="560">
        <v>79402146</v>
      </c>
      <c r="F1098" s="560">
        <v>164862100</v>
      </c>
      <c r="G1098" s="560">
        <f t="shared" si="28"/>
        <v>-534</v>
      </c>
      <c r="H1098" s="560">
        <v>864435</v>
      </c>
      <c r="I1098" s="560"/>
      <c r="J1098" s="560"/>
    </row>
    <row r="1099" spans="1:10" x14ac:dyDescent="0.25">
      <c r="A1099" s="362">
        <v>5</v>
      </c>
      <c r="B1099" s="364">
        <v>44037</v>
      </c>
      <c r="C1099" s="362" t="s">
        <v>86</v>
      </c>
      <c r="D1099" s="560">
        <v>60074387</v>
      </c>
      <c r="E1099" s="560">
        <v>67779048</v>
      </c>
      <c r="F1099" s="560">
        <v>127853400</v>
      </c>
      <c r="G1099" s="560">
        <f t="shared" si="28"/>
        <v>35</v>
      </c>
      <c r="H1099" s="560">
        <v>569167</v>
      </c>
      <c r="I1099" s="560"/>
      <c r="J1099" s="560"/>
    </row>
    <row r="1100" spans="1:10" x14ac:dyDescent="0.25">
      <c r="A1100" s="362">
        <v>6</v>
      </c>
      <c r="B1100" s="364">
        <v>44037</v>
      </c>
      <c r="C1100" s="362" t="s">
        <v>89</v>
      </c>
      <c r="D1100" s="560">
        <v>93660158</v>
      </c>
      <c r="E1100" s="560">
        <v>6140442</v>
      </c>
      <c r="F1100" s="560">
        <v>99800600</v>
      </c>
      <c r="G1100" s="560">
        <f t="shared" si="28"/>
        <v>0</v>
      </c>
      <c r="H1100" s="560">
        <v>5833294</v>
      </c>
      <c r="I1100" s="560"/>
      <c r="J1100" s="560"/>
    </row>
    <row r="1101" spans="1:10" x14ac:dyDescent="0.25">
      <c r="A1101" s="362">
        <v>7</v>
      </c>
      <c r="B1101" s="364">
        <v>44037</v>
      </c>
      <c r="C1101" s="362" t="s">
        <v>4751</v>
      </c>
      <c r="D1101" s="560">
        <v>191086451</v>
      </c>
      <c r="E1101" s="560">
        <v>9248549</v>
      </c>
      <c r="F1101" s="560">
        <v>200335000</v>
      </c>
      <c r="G1101" s="560">
        <f t="shared" si="28"/>
        <v>0</v>
      </c>
      <c r="H1101" s="560">
        <v>1705446</v>
      </c>
      <c r="I1101" s="560"/>
      <c r="J1101" s="560"/>
    </row>
    <row r="1102" spans="1:10" x14ac:dyDescent="0.25">
      <c r="A1102" s="362">
        <v>8</v>
      </c>
      <c r="B1102" s="364">
        <v>44037</v>
      </c>
      <c r="C1102" s="362" t="s">
        <v>84</v>
      </c>
      <c r="D1102" s="560">
        <v>134097373</v>
      </c>
      <c r="E1102" s="560">
        <v>25822031</v>
      </c>
      <c r="F1102" s="560">
        <v>159919500</v>
      </c>
      <c r="G1102" s="560">
        <f t="shared" si="28"/>
        <v>-96</v>
      </c>
      <c r="H1102" s="560">
        <v>3934201</v>
      </c>
      <c r="I1102" s="560"/>
      <c r="J1102" s="560"/>
    </row>
    <row r="1103" spans="1:10" x14ac:dyDescent="0.25">
      <c r="A1103" s="362">
        <v>9</v>
      </c>
      <c r="B1103" s="364">
        <v>44037</v>
      </c>
      <c r="C1103" s="362" t="s">
        <v>81</v>
      </c>
      <c r="D1103" s="560">
        <v>118131707</v>
      </c>
      <c r="E1103" s="560">
        <v>5660700</v>
      </c>
      <c r="F1103" s="560">
        <v>123792400</v>
      </c>
      <c r="G1103" s="560">
        <f t="shared" si="28"/>
        <v>7</v>
      </c>
      <c r="H1103" s="560">
        <v>4413070</v>
      </c>
      <c r="I1103" s="560"/>
      <c r="J1103" s="560"/>
    </row>
    <row r="1104" spans="1:10" x14ac:dyDescent="0.25">
      <c r="A1104" s="362">
        <v>10</v>
      </c>
      <c r="B1104" s="364">
        <v>44037</v>
      </c>
      <c r="C1104" s="362" t="s">
        <v>79</v>
      </c>
      <c r="D1104" s="560">
        <v>27240357</v>
      </c>
      <c r="E1104" s="560">
        <v>1781697</v>
      </c>
      <c r="F1104" s="560">
        <v>29022100</v>
      </c>
      <c r="G1104" s="560">
        <f t="shared" si="28"/>
        <v>-46</v>
      </c>
      <c r="H1104" s="560">
        <v>1128016</v>
      </c>
      <c r="I1104" s="560"/>
      <c r="J1104" s="560"/>
    </row>
    <row r="1105" spans="1:10" x14ac:dyDescent="0.25">
      <c r="A1105" s="362">
        <v>11</v>
      </c>
      <c r="B1105" s="364">
        <v>44037</v>
      </c>
      <c r="C1105" s="362" t="s">
        <v>82</v>
      </c>
      <c r="D1105" s="560">
        <v>155920931</v>
      </c>
      <c r="E1105" s="560">
        <v>2792200</v>
      </c>
      <c r="F1105" s="560">
        <v>158713200</v>
      </c>
      <c r="G1105" s="560">
        <f t="shared" si="28"/>
        <v>-69</v>
      </c>
      <c r="H1105" s="560">
        <v>4479252</v>
      </c>
      <c r="I1105" s="560"/>
      <c r="J1105" s="560"/>
    </row>
    <row r="1106" spans="1:10" x14ac:dyDescent="0.25">
      <c r="A1106" s="362">
        <v>12</v>
      </c>
      <c r="B1106" s="364">
        <v>44037</v>
      </c>
      <c r="C1106" s="362" t="s">
        <v>78</v>
      </c>
      <c r="D1106" s="560">
        <v>207368449</v>
      </c>
      <c r="E1106" s="560">
        <v>4169951</v>
      </c>
      <c r="F1106" s="560">
        <v>211538400</v>
      </c>
      <c r="G1106" s="560">
        <f t="shared" si="28"/>
        <v>0</v>
      </c>
      <c r="H1106" s="560">
        <v>2082145</v>
      </c>
      <c r="I1106" s="560"/>
      <c r="J1106" s="560"/>
    </row>
    <row r="1107" spans="1:10" x14ac:dyDescent="0.25">
      <c r="A1107" s="362">
        <v>13</v>
      </c>
      <c r="B1107" s="364">
        <v>44037</v>
      </c>
      <c r="C1107" s="362" t="s">
        <v>85</v>
      </c>
      <c r="D1107" s="560">
        <v>22309189</v>
      </c>
      <c r="E1107" s="560"/>
      <c r="F1107" s="560">
        <v>22309200</v>
      </c>
      <c r="G1107" s="560">
        <f t="shared" si="28"/>
        <v>-11</v>
      </c>
      <c r="H1107" s="560"/>
      <c r="I1107" s="560"/>
      <c r="J1107" s="560"/>
    </row>
    <row r="1108" spans="1:10" x14ac:dyDescent="0.25">
      <c r="A1108" s="362">
        <v>14</v>
      </c>
      <c r="B1108" s="364">
        <v>44037</v>
      </c>
      <c r="C1108" s="362" t="s">
        <v>166</v>
      </c>
      <c r="D1108" s="560"/>
      <c r="E1108" s="560"/>
      <c r="F1108" s="560"/>
      <c r="G1108" s="560">
        <f t="shared" si="28"/>
        <v>0</v>
      </c>
      <c r="H1108" s="560"/>
      <c r="I1108" s="560"/>
      <c r="J1108" s="560"/>
    </row>
    <row r="1109" spans="1:10" x14ac:dyDescent="0.25">
      <c r="A1109" s="362">
        <v>15</v>
      </c>
      <c r="B1109" s="364">
        <v>44037</v>
      </c>
      <c r="C1109" s="362" t="s">
        <v>3435</v>
      </c>
      <c r="D1109" s="560"/>
      <c r="E1109" s="560"/>
      <c r="F1109" s="560"/>
      <c r="G1109" s="560">
        <f t="shared" si="28"/>
        <v>0</v>
      </c>
      <c r="H1109" s="560"/>
      <c r="I1109" s="560"/>
      <c r="J1109" s="560"/>
    </row>
    <row r="1110" spans="1:10" x14ac:dyDescent="0.25">
      <c r="A1110" s="530"/>
      <c r="B1110" s="589"/>
      <c r="C1110" s="530"/>
      <c r="D1110" s="562"/>
      <c r="E1110" s="562"/>
      <c r="F1110" s="562"/>
      <c r="G1110" s="562">
        <f t="shared" si="28"/>
        <v>0</v>
      </c>
      <c r="H1110" s="562"/>
      <c r="I1110" s="562"/>
      <c r="J1110" s="562"/>
    </row>
    <row r="1111" spans="1:10" x14ac:dyDescent="0.25">
      <c r="A1111" s="362">
        <v>1</v>
      </c>
      <c r="B1111" s="364">
        <v>44039</v>
      </c>
      <c r="C1111" s="362" t="s">
        <v>80</v>
      </c>
      <c r="D1111" s="560">
        <v>247546415</v>
      </c>
      <c r="E1111" s="560">
        <v>89920940</v>
      </c>
      <c r="F1111" s="560">
        <v>337468500</v>
      </c>
      <c r="G1111" s="560">
        <f t="shared" si="28"/>
        <v>-1145</v>
      </c>
      <c r="H1111" s="560">
        <v>28000082</v>
      </c>
      <c r="I1111" s="560"/>
      <c r="J1111" s="560"/>
    </row>
    <row r="1112" spans="1:10" x14ac:dyDescent="0.25">
      <c r="A1112" s="362">
        <v>2</v>
      </c>
      <c r="B1112" s="364">
        <v>44039</v>
      </c>
      <c r="C1112" s="362" t="s">
        <v>83</v>
      </c>
      <c r="D1112" s="560">
        <v>249075385</v>
      </c>
      <c r="E1112" s="560">
        <v>27177714</v>
      </c>
      <c r="F1112" s="560">
        <v>276253600</v>
      </c>
      <c r="G1112" s="560">
        <f t="shared" si="28"/>
        <v>-501</v>
      </c>
      <c r="H1112" s="560">
        <v>12907332</v>
      </c>
      <c r="I1112" s="560"/>
      <c r="J1112" s="560"/>
    </row>
    <row r="1113" spans="1:10" x14ac:dyDescent="0.25">
      <c r="A1113" s="362"/>
      <c r="B1113" s="364">
        <v>44039</v>
      </c>
      <c r="C1113" s="362" t="s">
        <v>88</v>
      </c>
      <c r="D1113" s="560">
        <v>222861027</v>
      </c>
      <c r="E1113" s="560">
        <v>2794684</v>
      </c>
      <c r="F1113" s="560">
        <v>225655800</v>
      </c>
      <c r="G1113" s="560">
        <f t="shared" si="28"/>
        <v>-89</v>
      </c>
      <c r="H1113" s="560">
        <v>11991801</v>
      </c>
      <c r="I1113" s="560"/>
      <c r="J1113" s="560"/>
    </row>
    <row r="1114" spans="1:10" x14ac:dyDescent="0.25">
      <c r="A1114" s="362">
        <v>4</v>
      </c>
      <c r="B1114" s="364">
        <v>44039</v>
      </c>
      <c r="C1114" s="362" t="s">
        <v>146</v>
      </c>
      <c r="D1114" s="560">
        <v>80067379</v>
      </c>
      <c r="E1114" s="560">
        <v>174725729</v>
      </c>
      <c r="F1114" s="560">
        <v>254793200</v>
      </c>
      <c r="G1114" s="560">
        <f t="shared" si="28"/>
        <v>-92</v>
      </c>
      <c r="H1114" s="560">
        <v>14600070</v>
      </c>
      <c r="I1114" s="560"/>
      <c r="J1114" s="560"/>
    </row>
    <row r="1115" spans="1:10" x14ac:dyDescent="0.25">
      <c r="A1115" s="362">
        <v>5</v>
      </c>
      <c r="B1115" s="364">
        <v>44039</v>
      </c>
      <c r="C1115" s="362" t="s">
        <v>86</v>
      </c>
      <c r="D1115" s="560">
        <v>43719550</v>
      </c>
      <c r="E1115" s="560">
        <v>14260155</v>
      </c>
      <c r="F1115" s="560">
        <v>57980300</v>
      </c>
      <c r="G1115" s="560">
        <f t="shared" si="28"/>
        <v>-595</v>
      </c>
      <c r="H1115" s="560">
        <v>569167</v>
      </c>
      <c r="I1115" s="560"/>
      <c r="J1115" s="560"/>
    </row>
    <row r="1116" spans="1:10" x14ac:dyDescent="0.25">
      <c r="A1116" s="362">
        <v>6</v>
      </c>
      <c r="B1116" s="364">
        <v>44039</v>
      </c>
      <c r="C1116" s="362" t="s">
        <v>89</v>
      </c>
      <c r="D1116" s="560">
        <v>153180100</v>
      </c>
      <c r="E1116" s="560">
        <v>4983500</v>
      </c>
      <c r="F1116" s="560">
        <v>158163600</v>
      </c>
      <c r="G1116" s="560">
        <f t="shared" si="28"/>
        <v>0</v>
      </c>
      <c r="H1116" s="560">
        <v>5893294</v>
      </c>
      <c r="I1116" s="560"/>
      <c r="J1116" s="560"/>
    </row>
    <row r="1117" spans="1:10" x14ac:dyDescent="0.25">
      <c r="A1117" s="362">
        <v>7</v>
      </c>
      <c r="B1117" s="364">
        <v>44039</v>
      </c>
      <c r="C1117" s="362" t="s">
        <v>4751</v>
      </c>
      <c r="D1117" s="560">
        <v>194775884</v>
      </c>
      <c r="E1117" s="560">
        <v>7635616</v>
      </c>
      <c r="F1117" s="560">
        <v>202411500</v>
      </c>
      <c r="G1117" s="560">
        <f t="shared" si="28"/>
        <v>0</v>
      </c>
      <c r="H1117" s="560">
        <v>938346</v>
      </c>
      <c r="I1117" s="560"/>
      <c r="J1117" s="560"/>
    </row>
    <row r="1118" spans="1:10" x14ac:dyDescent="0.25">
      <c r="A1118" s="362">
        <v>8</v>
      </c>
      <c r="B1118" s="364">
        <v>44039</v>
      </c>
      <c r="C1118" s="362" t="s">
        <v>84</v>
      </c>
      <c r="D1118" s="560">
        <v>229286248</v>
      </c>
      <c r="E1118" s="560">
        <v>6544498</v>
      </c>
      <c r="F1118" s="560">
        <v>235829100</v>
      </c>
      <c r="G1118" s="560">
        <f t="shared" si="28"/>
        <v>1646</v>
      </c>
      <c r="H1118" s="560">
        <v>3934201</v>
      </c>
      <c r="I1118" s="560"/>
      <c r="J1118" s="560"/>
    </row>
    <row r="1119" spans="1:10" x14ac:dyDescent="0.25">
      <c r="A1119" s="362">
        <v>9</v>
      </c>
      <c r="B1119" s="364">
        <v>44039</v>
      </c>
      <c r="C1119" s="362" t="s">
        <v>81</v>
      </c>
      <c r="D1119" s="560">
        <v>86913851</v>
      </c>
      <c r="E1119" s="560">
        <v>28629977</v>
      </c>
      <c r="F1119" s="560">
        <v>115543900</v>
      </c>
      <c r="G1119" s="560">
        <f t="shared" si="28"/>
        <v>-72</v>
      </c>
      <c r="H1119" s="560">
        <v>3321170</v>
      </c>
      <c r="I1119" s="560"/>
      <c r="J1119" s="560"/>
    </row>
    <row r="1120" spans="1:10" x14ac:dyDescent="0.25">
      <c r="A1120" s="362">
        <v>10</v>
      </c>
      <c r="B1120" s="364">
        <v>44039</v>
      </c>
      <c r="C1120" s="362" t="s">
        <v>79</v>
      </c>
      <c r="D1120" s="560">
        <v>36573604</v>
      </c>
      <c r="E1120" s="560">
        <v>1314594</v>
      </c>
      <c r="F1120" s="560">
        <v>37888200</v>
      </c>
      <c r="G1120" s="560">
        <f t="shared" si="28"/>
        <v>-2</v>
      </c>
      <c r="H1120" s="560">
        <v>1106016</v>
      </c>
      <c r="I1120" s="560"/>
      <c r="J1120" s="560"/>
    </row>
    <row r="1121" spans="1:10" x14ac:dyDescent="0.25">
      <c r="A1121" s="362">
        <v>11</v>
      </c>
      <c r="B1121" s="364">
        <v>44039</v>
      </c>
      <c r="C1121" s="362" t="s">
        <v>82</v>
      </c>
      <c r="D1121" s="560">
        <v>30611517</v>
      </c>
      <c r="E1121" s="560">
        <v>2266865</v>
      </c>
      <c r="F1121" s="560">
        <v>33670600</v>
      </c>
      <c r="G1121" s="560">
        <f t="shared" si="28"/>
        <v>-792218</v>
      </c>
      <c r="H1121" s="560">
        <v>2895352</v>
      </c>
      <c r="I1121" s="560"/>
      <c r="J1121" s="560"/>
    </row>
    <row r="1122" spans="1:10" x14ac:dyDescent="0.25">
      <c r="A1122" s="362">
        <v>12</v>
      </c>
      <c r="B1122" s="364">
        <v>44039</v>
      </c>
      <c r="C1122" s="362" t="s">
        <v>78</v>
      </c>
      <c r="D1122" s="560">
        <v>102824857</v>
      </c>
      <c r="E1122" s="560">
        <v>1497143</v>
      </c>
      <c r="F1122" s="560">
        <v>104322000</v>
      </c>
      <c r="G1122" s="560">
        <f t="shared" si="28"/>
        <v>0</v>
      </c>
      <c r="H1122" s="560">
        <v>361680</v>
      </c>
      <c r="I1122" s="560"/>
      <c r="J1122" s="560"/>
    </row>
    <row r="1123" spans="1:10" x14ac:dyDescent="0.25">
      <c r="A1123" s="362">
        <v>13</v>
      </c>
      <c r="B1123" s="364">
        <v>44039</v>
      </c>
      <c r="C1123" s="362" t="s">
        <v>85</v>
      </c>
      <c r="D1123" s="560">
        <v>51233900</v>
      </c>
      <c r="E1123" s="560"/>
      <c r="F1123" s="560">
        <v>51233900</v>
      </c>
      <c r="G1123" s="560">
        <f t="shared" si="28"/>
        <v>0</v>
      </c>
      <c r="H1123" s="560"/>
      <c r="I1123" s="560"/>
      <c r="J1123" s="560"/>
    </row>
    <row r="1124" spans="1:10" x14ac:dyDescent="0.25">
      <c r="A1124" s="362">
        <v>14</v>
      </c>
      <c r="B1124" s="364">
        <v>44039</v>
      </c>
      <c r="C1124" s="362" t="s">
        <v>166</v>
      </c>
      <c r="D1124" s="560">
        <v>42452215</v>
      </c>
      <c r="E1124" s="560"/>
      <c r="F1124" s="560">
        <v>42452200</v>
      </c>
      <c r="G1124" s="560">
        <f t="shared" si="28"/>
        <v>15</v>
      </c>
      <c r="H1124" s="560"/>
      <c r="I1124" s="560"/>
      <c r="J1124" s="560"/>
    </row>
    <row r="1125" spans="1:10" x14ac:dyDescent="0.25">
      <c r="A1125" s="362">
        <v>15</v>
      </c>
      <c r="B1125" s="364">
        <v>44039</v>
      </c>
      <c r="C1125" s="362" t="s">
        <v>3435</v>
      </c>
      <c r="D1125" s="560"/>
      <c r="E1125" s="560"/>
      <c r="F1125" s="560">
        <v>22618700</v>
      </c>
      <c r="G1125" s="560">
        <f t="shared" si="28"/>
        <v>-22618700</v>
      </c>
      <c r="H1125" s="560"/>
      <c r="I1125" s="560"/>
      <c r="J1125" s="560"/>
    </row>
    <row r="1126" spans="1:10" x14ac:dyDescent="0.25">
      <c r="A1126" s="530"/>
      <c r="B1126" s="589"/>
      <c r="C1126" s="530"/>
      <c r="D1126" s="562"/>
      <c r="E1126" s="562"/>
      <c r="F1126" s="562"/>
      <c r="G1126" s="562">
        <f t="shared" si="28"/>
        <v>0</v>
      </c>
      <c r="H1126" s="562"/>
      <c r="I1126" s="562"/>
      <c r="J1126" s="562"/>
    </row>
    <row r="1127" spans="1:10" x14ac:dyDescent="0.25">
      <c r="A1127" s="362">
        <v>1</v>
      </c>
      <c r="B1127" s="364">
        <v>44040</v>
      </c>
      <c r="C1127" s="362" t="s">
        <v>80</v>
      </c>
      <c r="D1127" s="560">
        <v>207492584</v>
      </c>
      <c r="E1127" s="560"/>
      <c r="F1127" s="560">
        <v>207351600</v>
      </c>
      <c r="G1127" s="560">
        <f t="shared" si="28"/>
        <v>140984</v>
      </c>
      <c r="H1127" s="560">
        <v>20317902</v>
      </c>
      <c r="I1127" s="560"/>
      <c r="J1127" s="560"/>
    </row>
    <row r="1128" spans="1:10" x14ac:dyDescent="0.25">
      <c r="A1128" s="362">
        <v>2</v>
      </c>
      <c r="B1128" s="364">
        <v>44040</v>
      </c>
      <c r="C1128" s="362" t="s">
        <v>83</v>
      </c>
      <c r="D1128" s="560">
        <v>222802980</v>
      </c>
      <c r="E1128" s="560">
        <v>11838362</v>
      </c>
      <c r="F1128" s="560">
        <v>234641400</v>
      </c>
      <c r="G1128" s="560">
        <f t="shared" si="28"/>
        <v>-58</v>
      </c>
      <c r="H1128" s="560">
        <v>8178577</v>
      </c>
      <c r="I1128" s="560"/>
      <c r="J1128" s="560"/>
    </row>
    <row r="1129" spans="1:10" x14ac:dyDescent="0.25">
      <c r="A1129" s="362">
        <v>3</v>
      </c>
      <c r="B1129" s="364">
        <v>44040</v>
      </c>
      <c r="C1129" s="362" t="s">
        <v>88</v>
      </c>
      <c r="D1129" s="560">
        <v>262456525</v>
      </c>
      <c r="E1129" s="560">
        <v>14643573</v>
      </c>
      <c r="F1129" s="560">
        <v>277100100</v>
      </c>
      <c r="G1129" s="560">
        <f t="shared" si="28"/>
        <v>-2</v>
      </c>
      <c r="H1129" s="560">
        <v>7829434</v>
      </c>
      <c r="I1129" s="560"/>
      <c r="J1129" s="560"/>
    </row>
    <row r="1130" spans="1:10" x14ac:dyDescent="0.25">
      <c r="A1130" s="362">
        <v>4</v>
      </c>
      <c r="B1130" s="364">
        <v>44040</v>
      </c>
      <c r="C1130" s="362" t="s">
        <v>146</v>
      </c>
      <c r="D1130" s="560">
        <v>111151525</v>
      </c>
      <c r="E1130" s="560">
        <v>92257147</v>
      </c>
      <c r="F1130" s="560">
        <v>203408700</v>
      </c>
      <c r="G1130" s="560">
        <f t="shared" si="28"/>
        <v>-28</v>
      </c>
      <c r="H1130" s="560">
        <v>13914070</v>
      </c>
      <c r="I1130" s="560"/>
      <c r="J1130" s="560"/>
    </row>
    <row r="1131" spans="1:10" x14ac:dyDescent="0.25">
      <c r="A1131" s="362">
        <v>5</v>
      </c>
      <c r="B1131" s="364">
        <v>44040</v>
      </c>
      <c r="C1131" s="362" t="s">
        <v>86</v>
      </c>
      <c r="D1131" s="560">
        <v>65696946</v>
      </c>
      <c r="E1131" s="560">
        <v>10321659</v>
      </c>
      <c r="F1131" s="560">
        <v>76018600</v>
      </c>
      <c r="G1131" s="560">
        <f t="shared" si="28"/>
        <v>5</v>
      </c>
      <c r="H1131" s="560">
        <v>6731581</v>
      </c>
      <c r="I1131" s="560"/>
      <c r="J1131" s="560"/>
    </row>
    <row r="1132" spans="1:10" x14ac:dyDescent="0.25">
      <c r="A1132" s="362">
        <v>6</v>
      </c>
      <c r="B1132" s="364">
        <v>44040</v>
      </c>
      <c r="C1132" s="362" t="s">
        <v>89</v>
      </c>
      <c r="D1132" s="560">
        <v>172682652</v>
      </c>
      <c r="E1132" s="560">
        <v>5140848</v>
      </c>
      <c r="F1132" s="560">
        <v>177823500</v>
      </c>
      <c r="G1132" s="560">
        <f t="shared" si="28"/>
        <v>0</v>
      </c>
      <c r="H1132" s="560">
        <v>8616645</v>
      </c>
      <c r="I1132" s="560"/>
      <c r="J1132" s="560"/>
    </row>
    <row r="1133" spans="1:10" x14ac:dyDescent="0.25">
      <c r="A1133" s="362">
        <v>7</v>
      </c>
      <c r="B1133" s="364">
        <v>44040</v>
      </c>
      <c r="C1133" s="362" t="s">
        <v>4751</v>
      </c>
      <c r="D1133" s="560">
        <v>184696207</v>
      </c>
      <c r="E1133" s="560">
        <v>15273993</v>
      </c>
      <c r="F1133" s="560">
        <v>199970200</v>
      </c>
      <c r="G1133" s="560">
        <f t="shared" si="28"/>
        <v>0</v>
      </c>
      <c r="H1133" s="560">
        <v>12450908</v>
      </c>
      <c r="I1133" s="560"/>
      <c r="J1133" s="560"/>
    </row>
    <row r="1134" spans="1:10" x14ac:dyDescent="0.25">
      <c r="A1134" s="362">
        <v>8</v>
      </c>
      <c r="B1134" s="364">
        <v>44040</v>
      </c>
      <c r="C1134" s="362" t="s">
        <v>84</v>
      </c>
      <c r="D1134" s="560">
        <v>191619656</v>
      </c>
      <c r="E1134" s="560">
        <v>14823889</v>
      </c>
      <c r="F1134" s="560">
        <v>206443600</v>
      </c>
      <c r="G1134" s="560">
        <f t="shared" si="28"/>
        <v>-55</v>
      </c>
      <c r="H1134" s="560">
        <v>24037165</v>
      </c>
      <c r="I1134" s="560"/>
      <c r="J1134" s="560"/>
    </row>
    <row r="1135" spans="1:10" x14ac:dyDescent="0.25">
      <c r="A1135" s="362">
        <v>9</v>
      </c>
      <c r="B1135" s="364">
        <v>44040</v>
      </c>
      <c r="C1135" s="362" t="s">
        <v>81</v>
      </c>
      <c r="D1135" s="560">
        <v>87118073</v>
      </c>
      <c r="E1135" s="560">
        <v>12068808</v>
      </c>
      <c r="F1135" s="560">
        <v>99186900</v>
      </c>
      <c r="G1135" s="560">
        <f t="shared" si="28"/>
        <v>-19</v>
      </c>
      <c r="H1135" s="560">
        <v>15039478</v>
      </c>
      <c r="I1135" s="560"/>
      <c r="J1135" s="560"/>
    </row>
    <row r="1136" spans="1:10" x14ac:dyDescent="0.25">
      <c r="A1136" s="362">
        <v>10</v>
      </c>
      <c r="B1136" s="364">
        <v>44040</v>
      </c>
      <c r="C1136" s="362" t="s">
        <v>79</v>
      </c>
      <c r="D1136" s="560">
        <v>85473281</v>
      </c>
      <c r="E1136" s="560">
        <v>704444</v>
      </c>
      <c r="F1136" s="560">
        <v>86177800</v>
      </c>
      <c r="G1136" s="560">
        <f t="shared" si="28"/>
        <v>-75</v>
      </c>
      <c r="H1136" s="560">
        <v>3872666</v>
      </c>
      <c r="I1136" s="560"/>
      <c r="J1136" s="560"/>
    </row>
    <row r="1137" spans="1:10" x14ac:dyDescent="0.25">
      <c r="A1137" s="362">
        <v>11</v>
      </c>
      <c r="B1137" s="364">
        <v>44040</v>
      </c>
      <c r="C1137" s="362" t="s">
        <v>82</v>
      </c>
      <c r="D1137" s="560">
        <v>52285931</v>
      </c>
      <c r="E1137" s="560">
        <v>5844500</v>
      </c>
      <c r="F1137" s="560">
        <v>58130500</v>
      </c>
      <c r="G1137" s="560">
        <f t="shared" si="28"/>
        <v>-69</v>
      </c>
      <c r="H1137" s="560">
        <v>6970246</v>
      </c>
      <c r="I1137" s="560"/>
      <c r="J1137" s="560"/>
    </row>
    <row r="1138" spans="1:10" x14ac:dyDescent="0.25">
      <c r="A1138" s="362">
        <v>12</v>
      </c>
      <c r="B1138" s="364">
        <v>44040</v>
      </c>
      <c r="C1138" s="362" t="s">
        <v>78</v>
      </c>
      <c r="D1138" s="560">
        <v>50938279</v>
      </c>
      <c r="E1138" s="560">
        <v>9319321</v>
      </c>
      <c r="F1138" s="560">
        <v>60257600</v>
      </c>
      <c r="G1138" s="560">
        <f t="shared" si="28"/>
        <v>0</v>
      </c>
      <c r="H1138" s="560">
        <v>8567014</v>
      </c>
      <c r="I1138" s="560"/>
      <c r="J1138" s="560"/>
    </row>
    <row r="1139" spans="1:10" x14ac:dyDescent="0.25">
      <c r="A1139" s="362">
        <v>13</v>
      </c>
      <c r="B1139" s="364">
        <v>44040</v>
      </c>
      <c r="C1139" s="362" t="s">
        <v>85</v>
      </c>
      <c r="D1139" s="560">
        <v>42795800</v>
      </c>
      <c r="E1139" s="560"/>
      <c r="F1139" s="560">
        <v>42795800</v>
      </c>
      <c r="G1139" s="560">
        <f t="shared" si="28"/>
        <v>0</v>
      </c>
      <c r="H1139" s="560"/>
      <c r="I1139" s="560"/>
      <c r="J1139" s="560"/>
    </row>
    <row r="1140" spans="1:10" x14ac:dyDescent="0.25">
      <c r="A1140" s="362">
        <v>14</v>
      </c>
      <c r="B1140" s="364">
        <v>44040</v>
      </c>
      <c r="C1140" s="362" t="s">
        <v>166</v>
      </c>
      <c r="D1140" s="560">
        <v>67092987</v>
      </c>
      <c r="E1140" s="560"/>
      <c r="F1140" s="560">
        <v>67093000</v>
      </c>
      <c r="G1140" s="560">
        <f t="shared" si="28"/>
        <v>-13</v>
      </c>
      <c r="H1140" s="560"/>
      <c r="I1140" s="560"/>
      <c r="J1140" s="560"/>
    </row>
    <row r="1141" spans="1:10" x14ac:dyDescent="0.25">
      <c r="A1141" s="362">
        <v>15</v>
      </c>
      <c r="B1141" s="364">
        <v>44040</v>
      </c>
      <c r="C1141" s="362" t="s">
        <v>3435</v>
      </c>
      <c r="D1141" s="560"/>
      <c r="E1141" s="560"/>
      <c r="F1141" s="560">
        <v>199831400</v>
      </c>
      <c r="G1141" s="560">
        <f t="shared" si="28"/>
        <v>-199831400</v>
      </c>
      <c r="H1141" s="560"/>
      <c r="I1141" s="560"/>
      <c r="J1141" s="560"/>
    </row>
    <row r="1142" spans="1:10" x14ac:dyDescent="0.25">
      <c r="A1142" s="530"/>
      <c r="B1142" s="589"/>
      <c r="C1142" s="530"/>
      <c r="D1142" s="562"/>
      <c r="E1142" s="562"/>
      <c r="F1142" s="562"/>
      <c r="G1142" s="560">
        <f t="shared" si="28"/>
        <v>0</v>
      </c>
      <c r="H1142" s="562"/>
      <c r="I1142" s="562"/>
      <c r="J1142" s="562"/>
    </row>
    <row r="1143" spans="1:10" x14ac:dyDescent="0.25">
      <c r="A1143" s="362">
        <v>1</v>
      </c>
      <c r="B1143" s="364">
        <v>44041</v>
      </c>
      <c r="C1143" s="362" t="s">
        <v>80</v>
      </c>
      <c r="D1143" s="560">
        <v>246614719</v>
      </c>
      <c r="E1143" s="560">
        <v>59557500</v>
      </c>
      <c r="F1143" s="560">
        <v>306330500</v>
      </c>
      <c r="G1143" s="560">
        <f t="shared" si="28"/>
        <v>-158281</v>
      </c>
      <c r="H1143" s="560">
        <v>20317902</v>
      </c>
      <c r="I1143" s="560"/>
      <c r="J1143" s="560"/>
    </row>
    <row r="1144" spans="1:10" x14ac:dyDescent="0.25">
      <c r="A1144" s="362">
        <v>2</v>
      </c>
      <c r="B1144" s="364">
        <v>44041</v>
      </c>
      <c r="C1144" s="362" t="s">
        <v>83</v>
      </c>
      <c r="D1144" s="560">
        <v>266094164</v>
      </c>
      <c r="E1144" s="560">
        <v>36389176</v>
      </c>
      <c r="F1144" s="560">
        <v>302283300</v>
      </c>
      <c r="G1144" s="560">
        <f t="shared" si="28"/>
        <v>200040</v>
      </c>
      <c r="H1144" s="560">
        <v>8178577</v>
      </c>
      <c r="I1144" s="560"/>
      <c r="J1144" s="560"/>
    </row>
    <row r="1145" spans="1:10" x14ac:dyDescent="0.25">
      <c r="A1145" s="362">
        <v>3</v>
      </c>
      <c r="B1145" s="364">
        <v>44041</v>
      </c>
      <c r="C1145" s="362" t="s">
        <v>88</v>
      </c>
      <c r="D1145" s="560">
        <v>251608609</v>
      </c>
      <c r="E1145" s="560">
        <v>6801301</v>
      </c>
      <c r="F1145" s="560">
        <v>258410000</v>
      </c>
      <c r="G1145" s="560">
        <f t="shared" si="28"/>
        <v>-90</v>
      </c>
      <c r="H1145" s="560">
        <v>2705220</v>
      </c>
      <c r="I1145" s="560"/>
      <c r="J1145" s="560"/>
    </row>
    <row r="1146" spans="1:10" x14ac:dyDescent="0.25">
      <c r="A1146" s="362">
        <v>4</v>
      </c>
      <c r="B1146" s="364">
        <v>44041</v>
      </c>
      <c r="C1146" s="362" t="s">
        <v>146</v>
      </c>
      <c r="D1146" s="560">
        <v>84810322</v>
      </c>
      <c r="E1146" s="560">
        <v>87179583</v>
      </c>
      <c r="F1146" s="560">
        <v>171990000</v>
      </c>
      <c r="G1146" s="560">
        <f t="shared" si="28"/>
        <v>-95</v>
      </c>
      <c r="H1146" s="560">
        <v>11318970</v>
      </c>
      <c r="I1146" s="560"/>
      <c r="J1146" s="560"/>
    </row>
    <row r="1147" spans="1:10" x14ac:dyDescent="0.25">
      <c r="A1147" s="362">
        <v>5</v>
      </c>
      <c r="B1147" s="364">
        <v>44041</v>
      </c>
      <c r="C1147" s="362" t="s">
        <v>86</v>
      </c>
      <c r="D1147" s="560">
        <v>88383757</v>
      </c>
      <c r="E1147" s="560">
        <v>18760002</v>
      </c>
      <c r="F1147" s="560">
        <v>107143700</v>
      </c>
      <c r="G1147" s="560">
        <f t="shared" si="28"/>
        <v>59</v>
      </c>
      <c r="H1147" s="560">
        <v>3919217</v>
      </c>
      <c r="I1147" s="560"/>
      <c r="J1147" s="560"/>
    </row>
    <row r="1148" spans="1:10" x14ac:dyDescent="0.25">
      <c r="A1148" s="362">
        <v>6</v>
      </c>
      <c r="B1148" s="364">
        <v>44041</v>
      </c>
      <c r="C1148" s="362" t="s">
        <v>89</v>
      </c>
      <c r="D1148" s="560">
        <v>164693800</v>
      </c>
      <c r="E1148" s="560">
        <v>2488200</v>
      </c>
      <c r="F1148" s="560">
        <v>167182000</v>
      </c>
      <c r="G1148" s="560">
        <f t="shared" si="28"/>
        <v>0</v>
      </c>
      <c r="H1148" s="560">
        <v>7822643</v>
      </c>
      <c r="I1148" s="560"/>
      <c r="J1148" s="560"/>
    </row>
    <row r="1149" spans="1:10" x14ac:dyDescent="0.25">
      <c r="A1149" s="362">
        <v>7</v>
      </c>
      <c r="B1149" s="364">
        <v>44041</v>
      </c>
      <c r="C1149" s="362" t="s">
        <v>4751</v>
      </c>
      <c r="D1149" s="560">
        <v>187491372</v>
      </c>
      <c r="E1149" s="560">
        <v>4570328</v>
      </c>
      <c r="F1149" s="560">
        <v>192061700</v>
      </c>
      <c r="G1149" s="560">
        <f t="shared" si="28"/>
        <v>0</v>
      </c>
      <c r="H1149" s="560">
        <v>5384441</v>
      </c>
      <c r="I1149" s="560"/>
      <c r="J1149" s="560"/>
    </row>
    <row r="1150" spans="1:10" x14ac:dyDescent="0.25">
      <c r="A1150" s="362">
        <v>8</v>
      </c>
      <c r="B1150" s="364">
        <v>44041</v>
      </c>
      <c r="C1150" s="362" t="s">
        <v>84</v>
      </c>
      <c r="D1150" s="560">
        <v>294161968</v>
      </c>
      <c r="E1150" s="560">
        <v>9632811</v>
      </c>
      <c r="F1150" s="560">
        <v>309487200</v>
      </c>
      <c r="G1150" s="560">
        <f t="shared" si="28"/>
        <v>-5692421</v>
      </c>
      <c r="H1150" s="560">
        <v>17451800</v>
      </c>
      <c r="I1150" s="560"/>
      <c r="J1150" s="560"/>
    </row>
    <row r="1151" spans="1:10" x14ac:dyDescent="0.25">
      <c r="A1151" s="362">
        <v>9</v>
      </c>
      <c r="B1151" s="364">
        <v>44041</v>
      </c>
      <c r="C1151" s="362" t="s">
        <v>81</v>
      </c>
      <c r="D1151" s="560">
        <v>107624935</v>
      </c>
      <c r="E1151" s="560">
        <v>7551682</v>
      </c>
      <c r="F1151" s="560">
        <v>115176700</v>
      </c>
      <c r="G1151" s="560">
        <f t="shared" si="28"/>
        <v>-83</v>
      </c>
      <c r="H1151" s="560">
        <v>12856178</v>
      </c>
      <c r="I1151" s="560"/>
      <c r="J1151" s="560"/>
    </row>
    <row r="1152" spans="1:10" x14ac:dyDescent="0.25">
      <c r="A1152" s="362">
        <v>10</v>
      </c>
      <c r="B1152" s="364">
        <v>44041</v>
      </c>
      <c r="C1152" s="362" t="s">
        <v>79</v>
      </c>
      <c r="D1152" s="560">
        <v>75807036</v>
      </c>
      <c r="E1152" s="560">
        <v>1061842</v>
      </c>
      <c r="F1152" s="560">
        <v>76868900</v>
      </c>
      <c r="G1152" s="560">
        <f t="shared" si="28"/>
        <v>-22</v>
      </c>
      <c r="H1152" s="560">
        <v>2589866</v>
      </c>
      <c r="I1152" s="560">
        <v>2589866</v>
      </c>
      <c r="J1152" s="560"/>
    </row>
    <row r="1153" spans="1:10" x14ac:dyDescent="0.25">
      <c r="A1153" s="362">
        <v>11</v>
      </c>
      <c r="B1153" s="364">
        <v>44041</v>
      </c>
      <c r="C1153" s="362" t="s">
        <v>82</v>
      </c>
      <c r="D1153" s="560">
        <v>103520858</v>
      </c>
      <c r="E1153" s="560"/>
      <c r="F1153" s="560">
        <v>103521000</v>
      </c>
      <c r="G1153" s="560">
        <f t="shared" si="28"/>
        <v>-142</v>
      </c>
      <c r="H1153" s="560">
        <v>4422648</v>
      </c>
      <c r="I1153" s="560">
        <v>4422648</v>
      </c>
      <c r="J1153" s="560"/>
    </row>
    <row r="1154" spans="1:10" x14ac:dyDescent="0.25">
      <c r="A1154" s="362">
        <v>12</v>
      </c>
      <c r="B1154" s="364">
        <v>44041</v>
      </c>
      <c r="C1154" s="362" t="s">
        <v>78</v>
      </c>
      <c r="D1154" s="560">
        <v>104927247</v>
      </c>
      <c r="E1154" s="560">
        <v>6088553</v>
      </c>
      <c r="F1154" s="560">
        <v>111015800</v>
      </c>
      <c r="G1154" s="560">
        <f t="shared" si="28"/>
        <v>0</v>
      </c>
      <c r="H1154" s="560">
        <v>6866864</v>
      </c>
      <c r="I1154" s="560"/>
      <c r="J1154" s="560"/>
    </row>
    <row r="1155" spans="1:10" x14ac:dyDescent="0.25">
      <c r="A1155" s="362">
        <v>13</v>
      </c>
      <c r="B1155" s="364">
        <v>44041</v>
      </c>
      <c r="C1155" s="362" t="s">
        <v>85</v>
      </c>
      <c r="D1155" s="560">
        <v>40197300</v>
      </c>
      <c r="E1155" s="560"/>
      <c r="F1155" s="560">
        <v>40197300</v>
      </c>
      <c r="G1155" s="560">
        <f t="shared" si="28"/>
        <v>0</v>
      </c>
      <c r="H1155" s="560"/>
      <c r="I1155" s="560"/>
      <c r="J1155" s="560"/>
    </row>
    <row r="1156" spans="1:10" x14ac:dyDescent="0.25">
      <c r="A1156" s="362">
        <v>14</v>
      </c>
      <c r="B1156" s="364">
        <v>44041</v>
      </c>
      <c r="C1156" s="362" t="s">
        <v>166</v>
      </c>
      <c r="D1156" s="560">
        <v>53513073</v>
      </c>
      <c r="E1156" s="560"/>
      <c r="F1156" s="560">
        <v>53513000</v>
      </c>
      <c r="G1156" s="560">
        <f t="shared" si="28"/>
        <v>73</v>
      </c>
      <c r="H1156" s="560"/>
      <c r="I1156" s="560"/>
      <c r="J1156" s="560"/>
    </row>
    <row r="1157" spans="1:10" x14ac:dyDescent="0.25">
      <c r="A1157" s="362">
        <v>15</v>
      </c>
      <c r="B1157" s="364">
        <v>44041</v>
      </c>
      <c r="C1157" s="362" t="s">
        <v>3435</v>
      </c>
      <c r="D1157" s="560"/>
      <c r="E1157" s="560"/>
      <c r="F1157" s="560">
        <v>55819200</v>
      </c>
      <c r="G1157" s="560">
        <f t="shared" si="28"/>
        <v>-55819200</v>
      </c>
      <c r="H1157" s="560"/>
      <c r="I1157" s="560"/>
      <c r="J1157" s="560"/>
    </row>
    <row r="1158" spans="1:10" x14ac:dyDescent="0.25">
      <c r="A1158" s="530"/>
      <c r="B1158" s="589"/>
      <c r="C1158" s="530"/>
      <c r="D1158" s="562"/>
      <c r="E1158" s="562"/>
      <c r="F1158" s="562"/>
      <c r="G1158" s="562">
        <f t="shared" si="28"/>
        <v>0</v>
      </c>
      <c r="H1158" s="562"/>
      <c r="I1158" s="562"/>
      <c r="J1158" s="562"/>
    </row>
    <row r="1159" spans="1:10" x14ac:dyDescent="0.25">
      <c r="A1159" s="362">
        <v>1</v>
      </c>
      <c r="B1159" s="364">
        <v>44042</v>
      </c>
      <c r="C1159" s="362" t="s">
        <v>80</v>
      </c>
      <c r="D1159" s="560">
        <v>257787938</v>
      </c>
      <c r="E1159" s="560"/>
      <c r="F1159" s="560">
        <v>257786500</v>
      </c>
      <c r="G1159" s="560">
        <f t="shared" ref="G1159:G1172" si="29">D1159+E1159-F1159</f>
        <v>1438</v>
      </c>
      <c r="H1159" s="560">
        <v>7349873</v>
      </c>
      <c r="I1159" s="560">
        <v>7349873</v>
      </c>
      <c r="J1159" s="560"/>
    </row>
    <row r="1160" spans="1:10" x14ac:dyDescent="0.25">
      <c r="A1160" s="362">
        <v>2</v>
      </c>
      <c r="B1160" s="364">
        <v>44042</v>
      </c>
      <c r="C1160" s="362" t="s">
        <v>83</v>
      </c>
      <c r="D1160" s="560">
        <v>324087526</v>
      </c>
      <c r="E1160" s="560">
        <v>19585350</v>
      </c>
      <c r="F1160" s="560">
        <v>343327600</v>
      </c>
      <c r="G1160" s="560">
        <f t="shared" si="29"/>
        <v>345276</v>
      </c>
      <c r="H1160" s="560">
        <v>8178577</v>
      </c>
      <c r="I1160" s="560">
        <v>6094478</v>
      </c>
      <c r="J1160" s="560"/>
    </row>
    <row r="1161" spans="1:10" x14ac:dyDescent="0.25">
      <c r="A1161" s="362">
        <v>3</v>
      </c>
      <c r="B1161" s="364">
        <v>44042</v>
      </c>
      <c r="C1161" s="362" t="s">
        <v>88</v>
      </c>
      <c r="D1161" s="560">
        <v>189275077</v>
      </c>
      <c r="E1161" s="560">
        <v>92813197</v>
      </c>
      <c r="F1161" s="560">
        <v>282088300</v>
      </c>
      <c r="G1161" s="560">
        <f t="shared" si="29"/>
        <v>-26</v>
      </c>
      <c r="H1161" s="560">
        <v>2008231</v>
      </c>
      <c r="I1161" s="560">
        <v>2008234</v>
      </c>
      <c r="J1161" s="560"/>
    </row>
    <row r="1162" spans="1:10" x14ac:dyDescent="0.25">
      <c r="A1162" s="362">
        <v>4</v>
      </c>
      <c r="B1162" s="364">
        <v>44042</v>
      </c>
      <c r="C1162" s="362" t="s">
        <v>146</v>
      </c>
      <c r="D1162" s="560">
        <v>87586573</v>
      </c>
      <c r="E1162" s="560">
        <v>122112079</v>
      </c>
      <c r="F1162" s="560">
        <v>209748900</v>
      </c>
      <c r="G1162" s="560">
        <f t="shared" si="29"/>
        <v>-50248</v>
      </c>
      <c r="H1162" s="560">
        <v>2795105</v>
      </c>
      <c r="I1162" s="560">
        <v>2795105</v>
      </c>
      <c r="J1162" s="560"/>
    </row>
    <row r="1163" spans="1:10" x14ac:dyDescent="0.25">
      <c r="A1163" s="362">
        <v>5</v>
      </c>
      <c r="B1163" s="364">
        <v>44042</v>
      </c>
      <c r="C1163" s="362" t="s">
        <v>86</v>
      </c>
      <c r="D1163" s="560">
        <v>127478585</v>
      </c>
      <c r="E1163" s="560">
        <v>44863296</v>
      </c>
      <c r="F1163" s="560">
        <v>172341700</v>
      </c>
      <c r="G1163" s="560">
        <f t="shared" si="29"/>
        <v>181</v>
      </c>
      <c r="H1163" s="560">
        <v>3919217</v>
      </c>
      <c r="I1163" s="560">
        <v>3919217</v>
      </c>
      <c r="J1163" s="560"/>
    </row>
    <row r="1164" spans="1:10" x14ac:dyDescent="0.25">
      <c r="A1164" s="362">
        <v>6</v>
      </c>
      <c r="B1164" s="364">
        <v>44042</v>
      </c>
      <c r="C1164" s="362" t="s">
        <v>89</v>
      </c>
      <c r="D1164" s="560">
        <v>161534434</v>
      </c>
      <c r="E1164" s="560">
        <v>2676266</v>
      </c>
      <c r="F1164" s="560">
        <v>164210700</v>
      </c>
      <c r="G1164" s="560">
        <f t="shared" si="29"/>
        <v>0</v>
      </c>
      <c r="H1164" s="560">
        <v>4044689</v>
      </c>
      <c r="I1164" s="560">
        <v>4044689</v>
      </c>
      <c r="J1164" s="560"/>
    </row>
    <row r="1165" spans="1:10" x14ac:dyDescent="0.25">
      <c r="A1165" s="362">
        <v>7</v>
      </c>
      <c r="B1165" s="364">
        <v>44042</v>
      </c>
      <c r="C1165" s="362" t="s">
        <v>4751</v>
      </c>
      <c r="D1165" s="560">
        <v>245715407</v>
      </c>
      <c r="E1165" s="560">
        <v>11453493</v>
      </c>
      <c r="F1165" s="560">
        <v>257168900</v>
      </c>
      <c r="G1165" s="560">
        <f t="shared" si="29"/>
        <v>0</v>
      </c>
      <c r="H1165" s="560">
        <v>4390455</v>
      </c>
      <c r="I1165" s="560">
        <v>4390455</v>
      </c>
      <c r="J1165" s="560"/>
    </row>
    <row r="1166" spans="1:10" x14ac:dyDescent="0.25">
      <c r="A1166" s="362">
        <v>8</v>
      </c>
      <c r="B1166" s="364">
        <v>44042</v>
      </c>
      <c r="C1166" s="362" t="s">
        <v>84</v>
      </c>
      <c r="D1166" s="560">
        <v>248132168</v>
      </c>
      <c r="E1166" s="560">
        <v>8843785</v>
      </c>
      <c r="F1166" s="560">
        <v>256975900</v>
      </c>
      <c r="G1166" s="560">
        <f t="shared" si="29"/>
        <v>53</v>
      </c>
      <c r="H1166" s="560">
        <v>3665048</v>
      </c>
      <c r="I1166" s="560">
        <v>3665048</v>
      </c>
      <c r="J1166" s="560"/>
    </row>
    <row r="1167" spans="1:10" x14ac:dyDescent="0.25">
      <c r="A1167" s="362">
        <v>9</v>
      </c>
      <c r="B1167" s="364">
        <v>44042</v>
      </c>
      <c r="C1167" s="362" t="s">
        <v>81</v>
      </c>
      <c r="D1167" s="560">
        <v>172167746</v>
      </c>
      <c r="E1167" s="560">
        <v>12350968</v>
      </c>
      <c r="F1167" s="560">
        <v>184518800</v>
      </c>
      <c r="G1167" s="560">
        <f t="shared" si="29"/>
        <v>-86</v>
      </c>
      <c r="H1167" s="560">
        <v>8256280</v>
      </c>
      <c r="I1167" s="560">
        <v>8256280</v>
      </c>
      <c r="J1167" s="560"/>
    </row>
    <row r="1168" spans="1:10" x14ac:dyDescent="0.25">
      <c r="A1168" s="362">
        <v>10</v>
      </c>
      <c r="B1168" s="364">
        <v>44042</v>
      </c>
      <c r="C1168" s="362" t="s">
        <v>79</v>
      </c>
      <c r="D1168" s="560">
        <v>85522430</v>
      </c>
      <c r="E1168" s="560">
        <v>2927865</v>
      </c>
      <c r="F1168" s="560">
        <v>88450300</v>
      </c>
      <c r="G1168" s="560">
        <f t="shared" si="29"/>
        <v>-5</v>
      </c>
      <c r="H1168" s="560">
        <v>2589866</v>
      </c>
      <c r="I1168" s="560"/>
      <c r="J1168" s="560"/>
    </row>
    <row r="1169" spans="1:10" x14ac:dyDescent="0.25">
      <c r="A1169" s="362">
        <v>11</v>
      </c>
      <c r="B1169" s="364">
        <v>44042</v>
      </c>
      <c r="C1169" s="362" t="s">
        <v>82</v>
      </c>
      <c r="D1169" s="560">
        <v>99181801</v>
      </c>
      <c r="E1169" s="560">
        <v>2488800</v>
      </c>
      <c r="F1169" s="560">
        <v>101670700</v>
      </c>
      <c r="G1169" s="560">
        <f t="shared" si="29"/>
        <v>-99</v>
      </c>
      <c r="H1169" s="560">
        <v>11422648</v>
      </c>
      <c r="I1169" s="560"/>
      <c r="J1169" s="560"/>
    </row>
    <row r="1170" spans="1:10" x14ac:dyDescent="0.25">
      <c r="A1170" s="362">
        <v>12</v>
      </c>
      <c r="B1170" s="364">
        <v>44042</v>
      </c>
      <c r="C1170" s="362" t="s">
        <v>78</v>
      </c>
      <c r="D1170" s="560">
        <v>176563039</v>
      </c>
      <c r="E1170" s="560">
        <v>6519861</v>
      </c>
      <c r="F1170" s="560">
        <v>183082900</v>
      </c>
      <c r="G1170" s="560">
        <f t="shared" si="29"/>
        <v>0</v>
      </c>
      <c r="H1170" s="560">
        <v>3561826</v>
      </c>
      <c r="I1170" s="560">
        <v>3567826</v>
      </c>
      <c r="J1170" s="560"/>
    </row>
    <row r="1171" spans="1:10" x14ac:dyDescent="0.25">
      <c r="A1171" s="362">
        <v>13</v>
      </c>
      <c r="B1171" s="364">
        <v>44042</v>
      </c>
      <c r="C1171" s="362" t="s">
        <v>85</v>
      </c>
      <c r="D1171" s="560">
        <v>34063300</v>
      </c>
      <c r="E1171" s="560"/>
      <c r="F1171" s="560">
        <v>34063300</v>
      </c>
      <c r="G1171" s="560">
        <f t="shared" si="29"/>
        <v>0</v>
      </c>
      <c r="H1171" s="560"/>
      <c r="I1171" s="560"/>
      <c r="J1171" s="560"/>
    </row>
    <row r="1172" spans="1:10" x14ac:dyDescent="0.25">
      <c r="A1172" s="362">
        <v>14</v>
      </c>
      <c r="B1172" s="364">
        <v>44042</v>
      </c>
      <c r="C1172" s="362" t="s">
        <v>166</v>
      </c>
      <c r="D1172" s="560"/>
      <c r="E1172" s="560"/>
      <c r="F1172" s="560"/>
      <c r="G1172" s="560">
        <f t="shared" si="29"/>
        <v>0</v>
      </c>
      <c r="H1172" s="560"/>
      <c r="I1172" s="560"/>
      <c r="J1172" s="560"/>
    </row>
    <row r="1173" spans="1:10" x14ac:dyDescent="0.25">
      <c r="A1173" s="362">
        <v>15</v>
      </c>
      <c r="B1173" s="364">
        <v>44042</v>
      </c>
      <c r="C1173" s="362" t="s">
        <v>3435</v>
      </c>
      <c r="D1173" s="560"/>
      <c r="E1173" s="560"/>
      <c r="F1173" s="560"/>
      <c r="G1173" s="560"/>
      <c r="H1173" s="560"/>
      <c r="I1173" s="560"/>
      <c r="J1173" s="560"/>
    </row>
    <row r="1174" spans="1:10" x14ac:dyDescent="0.25">
      <c r="A1174" s="530"/>
      <c r="B1174" s="530"/>
      <c r="C1174" s="530"/>
      <c r="D1174" s="562"/>
      <c r="E1174" s="562"/>
      <c r="F1174" s="562"/>
      <c r="G1174" s="562"/>
      <c r="H1174" s="562"/>
      <c r="I1174" s="562"/>
      <c r="J1174" s="562"/>
    </row>
    <row r="1175" spans="1:10" x14ac:dyDescent="0.25">
      <c r="A1175" s="362">
        <v>1</v>
      </c>
      <c r="B1175" s="364">
        <v>44044</v>
      </c>
      <c r="C1175" s="362" t="s">
        <v>80</v>
      </c>
      <c r="D1175" s="560">
        <v>179677648</v>
      </c>
      <c r="E1175" s="560">
        <v>22791952</v>
      </c>
      <c r="F1175" s="560"/>
      <c r="G1175" s="560"/>
      <c r="H1175" s="560"/>
      <c r="I1175" s="560"/>
      <c r="J1175" s="560"/>
    </row>
    <row r="1176" spans="1:10" x14ac:dyDescent="0.25">
      <c r="A1176" s="362">
        <v>2</v>
      </c>
      <c r="B1176" s="364">
        <v>44044</v>
      </c>
      <c r="C1176" s="362" t="s">
        <v>83</v>
      </c>
      <c r="D1176" s="560">
        <v>220775636</v>
      </c>
      <c r="E1176" s="560">
        <v>41827532</v>
      </c>
      <c r="F1176" s="560"/>
      <c r="G1176" s="560"/>
      <c r="H1176" s="560"/>
      <c r="I1176" s="560"/>
      <c r="J1176" s="560"/>
    </row>
    <row r="1177" spans="1:10" x14ac:dyDescent="0.25">
      <c r="A1177" s="362">
        <v>3</v>
      </c>
      <c r="B1177" s="364">
        <v>44044</v>
      </c>
      <c r="C1177" s="362" t="s">
        <v>88</v>
      </c>
      <c r="D1177" s="560">
        <v>247422692</v>
      </c>
      <c r="E1177" s="560">
        <v>39840602</v>
      </c>
      <c r="F1177" s="560"/>
      <c r="G1177" s="560"/>
      <c r="H1177" s="560"/>
      <c r="I1177" s="560"/>
      <c r="J1177" s="560"/>
    </row>
    <row r="1178" spans="1:10" x14ac:dyDescent="0.25">
      <c r="A1178" s="362">
        <v>4</v>
      </c>
      <c r="B1178" s="364">
        <v>44044</v>
      </c>
      <c r="C1178" s="362" t="s">
        <v>146</v>
      </c>
      <c r="D1178" s="560">
        <v>47755215</v>
      </c>
      <c r="E1178" s="560">
        <v>85005572</v>
      </c>
      <c r="F1178" s="560"/>
      <c r="G1178" s="560"/>
      <c r="H1178" s="560"/>
      <c r="I1178" s="560"/>
      <c r="J1178" s="560"/>
    </row>
    <row r="1179" spans="1:10" x14ac:dyDescent="0.25">
      <c r="A1179" s="362">
        <v>5</v>
      </c>
      <c r="B1179" s="364">
        <v>44044</v>
      </c>
      <c r="C1179" s="362" t="s">
        <v>86</v>
      </c>
      <c r="D1179" s="560">
        <v>68303102</v>
      </c>
      <c r="E1179" s="560">
        <v>3162898</v>
      </c>
      <c r="F1179" s="560"/>
      <c r="G1179" s="560"/>
      <c r="H1179" s="560"/>
      <c r="I1179" s="560"/>
      <c r="J1179" s="560"/>
    </row>
    <row r="1180" spans="1:10" x14ac:dyDescent="0.25">
      <c r="A1180" s="362">
        <v>6</v>
      </c>
      <c r="B1180" s="364">
        <v>44044</v>
      </c>
      <c r="C1180" s="362" t="s">
        <v>89</v>
      </c>
      <c r="D1180" s="560">
        <v>136202654</v>
      </c>
      <c r="E1180" s="560">
        <v>4270850</v>
      </c>
      <c r="F1180" s="560"/>
      <c r="G1180" s="560"/>
      <c r="H1180" s="560"/>
      <c r="I1180" s="560"/>
      <c r="J1180" s="560"/>
    </row>
    <row r="1181" spans="1:10" x14ac:dyDescent="0.25">
      <c r="A1181" s="362">
        <v>7</v>
      </c>
      <c r="B1181" s="364">
        <v>44044</v>
      </c>
      <c r="C1181" s="362" t="s">
        <v>4751</v>
      </c>
      <c r="D1181" s="560">
        <v>212804050</v>
      </c>
      <c r="E1181" s="560">
        <v>9277350</v>
      </c>
      <c r="F1181" s="560"/>
      <c r="G1181" s="560"/>
      <c r="H1181" s="560"/>
      <c r="I1181" s="560"/>
      <c r="J1181" s="560"/>
    </row>
    <row r="1182" spans="1:10" x14ac:dyDescent="0.25">
      <c r="A1182" s="362">
        <v>8</v>
      </c>
      <c r="B1182" s="364">
        <v>44044</v>
      </c>
      <c r="C1182" s="362" t="s">
        <v>84</v>
      </c>
      <c r="D1182" s="560">
        <v>188265719</v>
      </c>
      <c r="E1182" s="560">
        <v>48597893</v>
      </c>
      <c r="F1182" s="560"/>
      <c r="G1182" s="560"/>
      <c r="H1182" s="560"/>
      <c r="I1182" s="560"/>
      <c r="J1182" s="560"/>
    </row>
    <row r="1183" spans="1:10" x14ac:dyDescent="0.25">
      <c r="A1183" s="362">
        <v>9</v>
      </c>
      <c r="B1183" s="364">
        <v>44044</v>
      </c>
      <c r="C1183" s="362" t="s">
        <v>81</v>
      </c>
      <c r="D1183" s="560">
        <v>110137535</v>
      </c>
      <c r="E1183" s="560">
        <v>16732515</v>
      </c>
      <c r="F1183" s="560"/>
      <c r="G1183" s="560"/>
      <c r="H1183" s="560"/>
      <c r="I1183" s="560"/>
      <c r="J1183" s="560"/>
    </row>
    <row r="1184" spans="1:10" x14ac:dyDescent="0.25">
      <c r="A1184" s="362">
        <v>10</v>
      </c>
      <c r="B1184" s="364">
        <v>44044</v>
      </c>
      <c r="C1184" s="362" t="s">
        <v>79</v>
      </c>
      <c r="D1184" s="560">
        <v>59985852</v>
      </c>
      <c r="E1184" s="560">
        <v>2994944</v>
      </c>
      <c r="F1184" s="560"/>
      <c r="G1184" s="560"/>
      <c r="H1184" s="560"/>
      <c r="I1184" s="560"/>
      <c r="J1184" s="560"/>
    </row>
    <row r="1185" spans="1:10" x14ac:dyDescent="0.25">
      <c r="A1185" s="362">
        <v>11</v>
      </c>
      <c r="B1185" s="364">
        <v>44044</v>
      </c>
      <c r="C1185" s="362" t="s">
        <v>82</v>
      </c>
      <c r="D1185" s="560">
        <v>23809612</v>
      </c>
      <c r="E1185" s="560"/>
      <c r="F1185" s="560"/>
      <c r="G1185" s="560"/>
      <c r="H1185" s="560"/>
      <c r="I1185" s="560"/>
      <c r="J1185" s="560"/>
    </row>
    <row r="1186" spans="1:10" x14ac:dyDescent="0.25">
      <c r="A1186" s="362">
        <v>12</v>
      </c>
      <c r="B1186" s="364">
        <v>44044</v>
      </c>
      <c r="C1186" s="362" t="s">
        <v>78</v>
      </c>
      <c r="D1186" s="560">
        <v>113029570</v>
      </c>
      <c r="E1186" s="560">
        <v>5952430</v>
      </c>
      <c r="F1186" s="560"/>
      <c r="G1186" s="560"/>
      <c r="H1186" s="560"/>
      <c r="I1186" s="560"/>
      <c r="J1186" s="560"/>
    </row>
    <row r="1187" spans="1:10" x14ac:dyDescent="0.25">
      <c r="A1187" s="362">
        <v>13</v>
      </c>
      <c r="B1187" s="364">
        <v>44044</v>
      </c>
      <c r="C1187" s="362" t="s">
        <v>85</v>
      </c>
      <c r="D1187" s="560">
        <v>29287900</v>
      </c>
      <c r="E1187" s="560"/>
      <c r="F1187" s="560"/>
      <c r="G1187" s="560"/>
      <c r="H1187" s="560"/>
      <c r="I1187" s="560"/>
      <c r="J1187" s="560"/>
    </row>
    <row r="1188" spans="1:10" x14ac:dyDescent="0.25">
      <c r="A1188" s="362">
        <v>14</v>
      </c>
      <c r="B1188" s="364">
        <v>44044</v>
      </c>
      <c r="C1188" s="362" t="s">
        <v>166</v>
      </c>
      <c r="D1188" s="560"/>
      <c r="E1188" s="560"/>
      <c r="F1188" s="560"/>
      <c r="G1188" s="560"/>
      <c r="H1188" s="560"/>
      <c r="I1188" s="560"/>
      <c r="J1188" s="560"/>
    </row>
    <row r="1189" spans="1:10" x14ac:dyDescent="0.25">
      <c r="A1189" s="362">
        <v>15</v>
      </c>
      <c r="B1189" s="364">
        <v>44044</v>
      </c>
      <c r="C1189" s="362" t="s">
        <v>3435</v>
      </c>
      <c r="D1189" s="560"/>
      <c r="E1189" s="560"/>
      <c r="F1189" s="560"/>
      <c r="G1189" s="560"/>
      <c r="H1189" s="560"/>
      <c r="I1189" s="560"/>
      <c r="J1189" s="560"/>
    </row>
    <row r="1190" spans="1:10" x14ac:dyDescent="0.25">
      <c r="A1190" s="530"/>
      <c r="B1190" s="530"/>
      <c r="C1190" s="530"/>
      <c r="D1190" s="562"/>
      <c r="E1190" s="562"/>
      <c r="F1190" s="562"/>
      <c r="G1190" s="562"/>
      <c r="H1190" s="562"/>
      <c r="I1190" s="562"/>
      <c r="J1190" s="562"/>
    </row>
    <row r="1191" spans="1:10" x14ac:dyDescent="0.25">
      <c r="A1191" s="362">
        <v>1</v>
      </c>
      <c r="B1191" s="609">
        <v>44046</v>
      </c>
      <c r="C1191" s="362" t="s">
        <v>80</v>
      </c>
      <c r="D1191" s="560"/>
      <c r="E1191" s="560"/>
      <c r="F1191" s="560"/>
      <c r="G1191" s="560"/>
      <c r="H1191" s="560"/>
      <c r="I1191" s="560"/>
      <c r="J1191" s="560"/>
    </row>
    <row r="1192" spans="1:10" x14ac:dyDescent="0.25">
      <c r="A1192" s="362">
        <v>2</v>
      </c>
      <c r="B1192" s="609">
        <v>44046</v>
      </c>
      <c r="C1192" s="362" t="s">
        <v>83</v>
      </c>
      <c r="D1192" s="560"/>
      <c r="E1192" s="560"/>
      <c r="F1192" s="560"/>
      <c r="G1192" s="560"/>
      <c r="H1192" s="560"/>
      <c r="I1192" s="560"/>
      <c r="J1192" s="560"/>
    </row>
    <row r="1193" spans="1:10" x14ac:dyDescent="0.25">
      <c r="A1193" s="362">
        <v>3</v>
      </c>
      <c r="B1193" s="609">
        <v>44046</v>
      </c>
      <c r="C1193" s="362" t="s">
        <v>88</v>
      </c>
      <c r="D1193" s="560"/>
      <c r="E1193" s="560"/>
      <c r="F1193" s="560"/>
      <c r="G1193" s="560"/>
      <c r="H1193" s="560"/>
      <c r="I1193" s="560"/>
      <c r="J1193" s="560"/>
    </row>
    <row r="1194" spans="1:10" x14ac:dyDescent="0.25">
      <c r="A1194" s="362">
        <v>4</v>
      </c>
      <c r="B1194" s="609">
        <v>44046</v>
      </c>
      <c r="C1194" s="362" t="s">
        <v>146</v>
      </c>
      <c r="D1194" s="560"/>
      <c r="E1194" s="560"/>
      <c r="F1194" s="560"/>
      <c r="G1194" s="560"/>
      <c r="H1194" s="560"/>
      <c r="I1194" s="560"/>
      <c r="J1194" s="560"/>
    </row>
    <row r="1195" spans="1:10" x14ac:dyDescent="0.25">
      <c r="A1195" s="362">
        <v>5</v>
      </c>
      <c r="B1195" s="609">
        <v>44046</v>
      </c>
      <c r="C1195" s="362" t="s">
        <v>86</v>
      </c>
      <c r="D1195" s="560"/>
      <c r="E1195" s="560"/>
      <c r="F1195" s="560"/>
      <c r="G1195" s="560"/>
      <c r="H1195" s="560"/>
      <c r="I1195" s="560"/>
      <c r="J1195" s="560"/>
    </row>
    <row r="1196" spans="1:10" x14ac:dyDescent="0.25">
      <c r="A1196" s="362">
        <v>6</v>
      </c>
      <c r="B1196" s="609">
        <v>44046</v>
      </c>
      <c r="C1196" s="362" t="s">
        <v>89</v>
      </c>
      <c r="D1196" s="560"/>
      <c r="E1196" s="560"/>
      <c r="F1196" s="560"/>
      <c r="G1196" s="560"/>
      <c r="H1196" s="560"/>
      <c r="I1196" s="560"/>
      <c r="J1196" s="560"/>
    </row>
    <row r="1197" spans="1:10" x14ac:dyDescent="0.25">
      <c r="A1197" s="362">
        <v>7</v>
      </c>
      <c r="B1197" s="609">
        <v>44046</v>
      </c>
      <c r="C1197" s="362" t="s">
        <v>4751</v>
      </c>
      <c r="D1197" s="560"/>
      <c r="E1197" s="560"/>
      <c r="F1197" s="560"/>
      <c r="G1197" s="560"/>
      <c r="H1197" s="560"/>
      <c r="I1197" s="560"/>
      <c r="J1197" s="560"/>
    </row>
    <row r="1198" spans="1:10" x14ac:dyDescent="0.25">
      <c r="A1198" s="362">
        <v>8</v>
      </c>
      <c r="B1198" s="609">
        <v>44046</v>
      </c>
      <c r="C1198" s="362" t="s">
        <v>84</v>
      </c>
      <c r="D1198" s="560"/>
      <c r="E1198" s="560"/>
      <c r="F1198" s="560"/>
      <c r="G1198" s="560"/>
      <c r="H1198" s="560"/>
      <c r="I1198" s="560"/>
      <c r="J1198" s="560"/>
    </row>
    <row r="1199" spans="1:10" x14ac:dyDescent="0.25">
      <c r="A1199" s="362">
        <v>9</v>
      </c>
      <c r="B1199" s="609">
        <v>44046</v>
      </c>
      <c r="C1199" s="362" t="s">
        <v>81</v>
      </c>
      <c r="D1199" s="560"/>
      <c r="E1199" s="560"/>
      <c r="F1199" s="560"/>
      <c r="G1199" s="560"/>
      <c r="H1199" s="560"/>
      <c r="I1199" s="560"/>
      <c r="J1199" s="560"/>
    </row>
    <row r="1200" spans="1:10" x14ac:dyDescent="0.25">
      <c r="A1200" s="362">
        <v>10</v>
      </c>
      <c r="B1200" s="609">
        <v>44046</v>
      </c>
      <c r="C1200" s="362" t="s">
        <v>79</v>
      </c>
      <c r="D1200" s="560"/>
      <c r="E1200" s="560"/>
      <c r="F1200" s="560"/>
      <c r="G1200" s="560"/>
      <c r="H1200" s="560"/>
      <c r="I1200" s="560"/>
      <c r="J1200" s="560"/>
    </row>
    <row r="1201" spans="1:10" x14ac:dyDescent="0.25">
      <c r="A1201" s="362">
        <v>11</v>
      </c>
      <c r="B1201" s="609">
        <v>44046</v>
      </c>
      <c r="C1201" s="362" t="s">
        <v>82</v>
      </c>
      <c r="D1201" s="560"/>
      <c r="E1201" s="560"/>
      <c r="F1201" s="560"/>
      <c r="G1201" s="560"/>
      <c r="H1201" s="560"/>
      <c r="I1201" s="560"/>
      <c r="J1201" s="560"/>
    </row>
    <row r="1202" spans="1:10" x14ac:dyDescent="0.25">
      <c r="A1202" s="362">
        <v>12</v>
      </c>
      <c r="B1202" s="609">
        <v>44046</v>
      </c>
      <c r="C1202" s="362" t="s">
        <v>78</v>
      </c>
      <c r="D1202" s="560"/>
      <c r="E1202" s="560"/>
      <c r="F1202" s="560"/>
      <c r="G1202" s="560"/>
      <c r="H1202" s="560"/>
      <c r="I1202" s="560"/>
      <c r="J1202" s="560"/>
    </row>
    <row r="1203" spans="1:10" x14ac:dyDescent="0.25">
      <c r="A1203" s="362">
        <v>13</v>
      </c>
      <c r="B1203" s="609">
        <v>44046</v>
      </c>
      <c r="C1203" s="362" t="s">
        <v>85</v>
      </c>
      <c r="D1203" s="560"/>
      <c r="E1203" s="560"/>
      <c r="F1203" s="560"/>
      <c r="G1203" s="560"/>
      <c r="H1203" s="560"/>
      <c r="I1203" s="560"/>
      <c r="J1203" s="560"/>
    </row>
    <row r="1204" spans="1:10" x14ac:dyDescent="0.25">
      <c r="A1204" s="362">
        <v>14</v>
      </c>
      <c r="B1204" s="609">
        <v>44046</v>
      </c>
      <c r="C1204" s="362" t="s">
        <v>166</v>
      </c>
      <c r="D1204" s="560"/>
      <c r="E1204" s="560"/>
      <c r="F1204" s="560"/>
      <c r="G1204" s="560"/>
      <c r="H1204" s="560"/>
      <c r="I1204" s="560"/>
      <c r="J1204" s="560"/>
    </row>
    <row r="1205" spans="1:10" x14ac:dyDescent="0.25">
      <c r="A1205" s="362">
        <v>15</v>
      </c>
      <c r="B1205" s="609">
        <v>44046</v>
      </c>
      <c r="C1205" s="362" t="s">
        <v>3435</v>
      </c>
      <c r="D1205" s="560"/>
      <c r="E1205" s="560"/>
      <c r="F1205" s="560"/>
      <c r="G1205" s="560"/>
      <c r="H1205" s="560"/>
      <c r="I1205" s="560"/>
      <c r="J1205" s="560"/>
    </row>
    <row r="1206" spans="1:10" x14ac:dyDescent="0.25">
      <c r="A1206" s="530"/>
      <c r="B1206" s="530"/>
      <c r="C1206" s="530"/>
      <c r="D1206" s="562"/>
      <c r="E1206" s="562"/>
      <c r="F1206" s="562"/>
      <c r="G1206" s="562"/>
      <c r="H1206" s="562"/>
      <c r="I1206" s="562"/>
      <c r="J1206" s="562"/>
    </row>
    <row r="1207" spans="1:10" x14ac:dyDescent="0.25">
      <c r="A1207" s="362">
        <v>1</v>
      </c>
      <c r="B1207" s="609">
        <v>44047</v>
      </c>
      <c r="C1207" s="362" t="s">
        <v>80</v>
      </c>
      <c r="D1207" s="560"/>
      <c r="E1207" s="560"/>
      <c r="F1207" s="560"/>
      <c r="G1207" s="560"/>
      <c r="H1207" s="560"/>
      <c r="I1207" s="560"/>
      <c r="J1207" s="560"/>
    </row>
    <row r="1208" spans="1:10" x14ac:dyDescent="0.25">
      <c r="A1208" s="362">
        <v>2</v>
      </c>
      <c r="B1208" s="609">
        <v>44047</v>
      </c>
      <c r="C1208" s="362" t="s">
        <v>83</v>
      </c>
      <c r="D1208" s="560"/>
      <c r="E1208" s="560"/>
      <c r="F1208" s="560"/>
      <c r="G1208" s="560"/>
      <c r="H1208" s="560"/>
      <c r="I1208" s="560"/>
      <c r="J1208" s="560"/>
    </row>
    <row r="1209" spans="1:10" x14ac:dyDescent="0.25">
      <c r="A1209" s="362">
        <v>3</v>
      </c>
      <c r="B1209" s="609">
        <v>44047</v>
      </c>
      <c r="C1209" s="362" t="s">
        <v>88</v>
      </c>
      <c r="D1209" s="560"/>
      <c r="E1209" s="560"/>
      <c r="F1209" s="560"/>
      <c r="G1209" s="560"/>
      <c r="H1209" s="560"/>
      <c r="I1209" s="560"/>
      <c r="J1209" s="560"/>
    </row>
    <row r="1210" spans="1:10" x14ac:dyDescent="0.25">
      <c r="A1210" s="362">
        <v>4</v>
      </c>
      <c r="B1210" s="609">
        <v>44047</v>
      </c>
      <c r="C1210" s="362" t="s">
        <v>146</v>
      </c>
      <c r="D1210" s="560"/>
      <c r="E1210" s="560"/>
      <c r="F1210" s="560"/>
      <c r="G1210" s="560"/>
      <c r="H1210" s="560"/>
      <c r="I1210" s="560"/>
      <c r="J1210" s="560"/>
    </row>
    <row r="1211" spans="1:10" x14ac:dyDescent="0.25">
      <c r="A1211" s="362">
        <v>5</v>
      </c>
      <c r="B1211" s="609">
        <v>44047</v>
      </c>
      <c r="C1211" s="362" t="s">
        <v>86</v>
      </c>
      <c r="D1211" s="560"/>
      <c r="E1211" s="560"/>
      <c r="F1211" s="560"/>
      <c r="G1211" s="560"/>
      <c r="H1211" s="560"/>
      <c r="I1211" s="560"/>
      <c r="J1211" s="560"/>
    </row>
    <row r="1212" spans="1:10" x14ac:dyDescent="0.25">
      <c r="A1212" s="362">
        <v>6</v>
      </c>
      <c r="B1212" s="609">
        <v>44047</v>
      </c>
      <c r="C1212" s="362" t="s">
        <v>89</v>
      </c>
      <c r="D1212" s="560"/>
      <c r="E1212" s="560"/>
      <c r="F1212" s="560"/>
      <c r="G1212" s="560"/>
      <c r="H1212" s="560"/>
      <c r="I1212" s="560"/>
      <c r="J1212" s="560"/>
    </row>
    <row r="1213" spans="1:10" x14ac:dyDescent="0.25">
      <c r="A1213" s="362">
        <v>7</v>
      </c>
      <c r="B1213" s="609">
        <v>44047</v>
      </c>
      <c r="C1213" s="362" t="s">
        <v>4751</v>
      </c>
      <c r="D1213" s="560"/>
      <c r="E1213" s="560"/>
      <c r="F1213" s="560"/>
      <c r="G1213" s="560"/>
      <c r="H1213" s="560"/>
      <c r="I1213" s="560"/>
      <c r="J1213" s="560"/>
    </row>
    <row r="1214" spans="1:10" x14ac:dyDescent="0.25">
      <c r="A1214" s="362">
        <v>8</v>
      </c>
      <c r="B1214" s="609">
        <v>44047</v>
      </c>
      <c r="C1214" s="362" t="s">
        <v>84</v>
      </c>
      <c r="D1214" s="560"/>
      <c r="E1214" s="560"/>
      <c r="F1214" s="560"/>
      <c r="G1214" s="560"/>
      <c r="H1214" s="560"/>
      <c r="I1214" s="560"/>
      <c r="J1214" s="560"/>
    </row>
    <row r="1215" spans="1:10" x14ac:dyDescent="0.25">
      <c r="A1215" s="362">
        <v>9</v>
      </c>
      <c r="B1215" s="609">
        <v>44047</v>
      </c>
      <c r="C1215" s="362" t="s">
        <v>81</v>
      </c>
      <c r="D1215" s="560"/>
      <c r="E1215" s="560"/>
      <c r="F1215" s="560"/>
      <c r="G1215" s="560"/>
      <c r="H1215" s="560"/>
      <c r="I1215" s="560"/>
      <c r="J1215" s="560"/>
    </row>
    <row r="1216" spans="1:10" x14ac:dyDescent="0.25">
      <c r="A1216" s="362">
        <v>10</v>
      </c>
      <c r="B1216" s="609">
        <v>44047</v>
      </c>
      <c r="C1216" s="362" t="s">
        <v>79</v>
      </c>
      <c r="D1216" s="560"/>
      <c r="E1216" s="560"/>
      <c r="F1216" s="560"/>
      <c r="G1216" s="560"/>
      <c r="H1216" s="560"/>
      <c r="I1216" s="560"/>
      <c r="J1216" s="560"/>
    </row>
    <row r="1217" spans="1:10" x14ac:dyDescent="0.25">
      <c r="A1217" s="362">
        <v>11</v>
      </c>
      <c r="B1217" s="609">
        <v>44047</v>
      </c>
      <c r="C1217" s="362" t="s">
        <v>82</v>
      </c>
      <c r="D1217" s="560"/>
      <c r="E1217" s="560"/>
      <c r="F1217" s="560"/>
      <c r="G1217" s="560"/>
      <c r="H1217" s="560"/>
      <c r="I1217" s="560"/>
      <c r="J1217" s="560"/>
    </row>
    <row r="1218" spans="1:10" x14ac:dyDescent="0.25">
      <c r="A1218" s="362">
        <v>12</v>
      </c>
      <c r="B1218" s="609">
        <v>44047</v>
      </c>
      <c r="C1218" s="362" t="s">
        <v>78</v>
      </c>
      <c r="D1218" s="560"/>
      <c r="E1218" s="560"/>
      <c r="F1218" s="560"/>
      <c r="G1218" s="560"/>
      <c r="H1218" s="560"/>
      <c r="I1218" s="560"/>
      <c r="J1218" s="560"/>
    </row>
    <row r="1219" spans="1:10" x14ac:dyDescent="0.25">
      <c r="A1219" s="362">
        <v>13</v>
      </c>
      <c r="B1219" s="609">
        <v>44047</v>
      </c>
      <c r="C1219" s="362" t="s">
        <v>85</v>
      </c>
      <c r="D1219" s="560"/>
      <c r="E1219" s="560"/>
      <c r="F1219" s="560"/>
      <c r="G1219" s="560"/>
      <c r="H1219" s="560"/>
      <c r="I1219" s="560"/>
      <c r="J1219" s="560"/>
    </row>
    <row r="1220" spans="1:10" x14ac:dyDescent="0.25">
      <c r="A1220" s="362">
        <v>14</v>
      </c>
      <c r="B1220" s="609">
        <v>44047</v>
      </c>
      <c r="C1220" s="362" t="s">
        <v>166</v>
      </c>
      <c r="D1220" s="560"/>
      <c r="E1220" s="560"/>
      <c r="F1220" s="560"/>
      <c r="G1220" s="560"/>
      <c r="H1220" s="560"/>
      <c r="I1220" s="560"/>
      <c r="J1220" s="560"/>
    </row>
    <row r="1221" spans="1:10" x14ac:dyDescent="0.25">
      <c r="A1221" s="362">
        <v>15</v>
      </c>
      <c r="B1221" s="609">
        <v>44047</v>
      </c>
      <c r="C1221" s="362" t="s">
        <v>3435</v>
      </c>
      <c r="D1221" s="560"/>
      <c r="E1221" s="560"/>
      <c r="F1221" s="560"/>
      <c r="G1221" s="560"/>
      <c r="H1221" s="560"/>
      <c r="I1221" s="560"/>
      <c r="J1221" s="560"/>
    </row>
    <row r="1222" spans="1:10" x14ac:dyDescent="0.25">
      <c r="A1222" s="530"/>
      <c r="B1222" s="530"/>
      <c r="C1222" s="530"/>
      <c r="D1222" s="562"/>
      <c r="E1222" s="562"/>
      <c r="F1222" s="562"/>
      <c r="G1222" s="562"/>
      <c r="H1222" s="562"/>
      <c r="I1222" s="562"/>
      <c r="J1222" s="562"/>
    </row>
    <row r="1223" spans="1:10" x14ac:dyDescent="0.25">
      <c r="A1223" s="362">
        <v>1</v>
      </c>
      <c r="B1223" s="609">
        <v>44048</v>
      </c>
      <c r="C1223" s="362" t="s">
        <v>80</v>
      </c>
      <c r="D1223" s="560"/>
      <c r="E1223" s="560"/>
      <c r="F1223" s="560"/>
      <c r="G1223" s="560"/>
      <c r="H1223" s="560"/>
      <c r="I1223" s="560"/>
      <c r="J1223" s="560"/>
    </row>
    <row r="1224" spans="1:10" x14ac:dyDescent="0.25">
      <c r="A1224" s="362">
        <v>2</v>
      </c>
      <c r="B1224" s="609">
        <v>44048</v>
      </c>
      <c r="C1224" s="362" t="s">
        <v>83</v>
      </c>
      <c r="D1224" s="560"/>
      <c r="E1224" s="560"/>
      <c r="F1224" s="560"/>
      <c r="G1224" s="560"/>
      <c r="H1224" s="560"/>
      <c r="I1224" s="560"/>
      <c r="J1224" s="560"/>
    </row>
    <row r="1225" spans="1:10" x14ac:dyDescent="0.25">
      <c r="A1225" s="362">
        <v>3</v>
      </c>
      <c r="B1225" s="609">
        <v>44048</v>
      </c>
      <c r="C1225" s="362" t="s">
        <v>88</v>
      </c>
      <c r="D1225" s="560"/>
      <c r="E1225" s="560"/>
      <c r="F1225" s="560"/>
      <c r="G1225" s="560"/>
      <c r="H1225" s="560"/>
      <c r="I1225" s="560"/>
      <c r="J1225" s="560"/>
    </row>
    <row r="1226" spans="1:10" x14ac:dyDescent="0.25">
      <c r="A1226" s="362">
        <v>4</v>
      </c>
      <c r="B1226" s="609">
        <v>44048</v>
      </c>
      <c r="C1226" s="362" t="s">
        <v>146</v>
      </c>
      <c r="D1226" s="560"/>
      <c r="E1226" s="560"/>
      <c r="F1226" s="560"/>
      <c r="G1226" s="560"/>
      <c r="H1226" s="560"/>
      <c r="I1226" s="560"/>
      <c r="J1226" s="560"/>
    </row>
    <row r="1227" spans="1:10" x14ac:dyDescent="0.25">
      <c r="A1227" s="362">
        <v>5</v>
      </c>
      <c r="B1227" s="609">
        <v>44048</v>
      </c>
      <c r="C1227" s="362" t="s">
        <v>86</v>
      </c>
      <c r="D1227" s="560"/>
      <c r="E1227" s="560"/>
      <c r="F1227" s="560"/>
      <c r="G1227" s="560"/>
      <c r="H1227" s="560"/>
      <c r="I1227" s="560"/>
      <c r="J1227" s="560"/>
    </row>
    <row r="1228" spans="1:10" x14ac:dyDescent="0.25">
      <c r="A1228" s="362">
        <v>6</v>
      </c>
      <c r="B1228" s="609">
        <v>44048</v>
      </c>
      <c r="C1228" s="362" t="s">
        <v>89</v>
      </c>
      <c r="D1228" s="560"/>
      <c r="E1228" s="560"/>
      <c r="F1228" s="560"/>
      <c r="G1228" s="560"/>
      <c r="H1228" s="560"/>
      <c r="I1228" s="560"/>
      <c r="J1228" s="560"/>
    </row>
    <row r="1229" spans="1:10" x14ac:dyDescent="0.25">
      <c r="A1229" s="362">
        <v>7</v>
      </c>
      <c r="B1229" s="609">
        <v>44048</v>
      </c>
      <c r="C1229" s="362" t="s">
        <v>4751</v>
      </c>
      <c r="D1229" s="560"/>
      <c r="E1229" s="560"/>
      <c r="F1229" s="560"/>
      <c r="G1229" s="560"/>
      <c r="H1229" s="560"/>
      <c r="I1229" s="560"/>
      <c r="J1229" s="560"/>
    </row>
    <row r="1230" spans="1:10" x14ac:dyDescent="0.25">
      <c r="A1230" s="362">
        <v>8</v>
      </c>
      <c r="B1230" s="609">
        <v>44048</v>
      </c>
      <c r="C1230" s="362" t="s">
        <v>84</v>
      </c>
      <c r="D1230" s="560"/>
      <c r="E1230" s="560"/>
      <c r="F1230" s="560"/>
      <c r="G1230" s="560"/>
      <c r="H1230" s="560"/>
      <c r="I1230" s="560"/>
      <c r="J1230" s="560"/>
    </row>
    <row r="1231" spans="1:10" x14ac:dyDescent="0.25">
      <c r="A1231" s="362">
        <v>9</v>
      </c>
      <c r="B1231" s="609">
        <v>44048</v>
      </c>
      <c r="C1231" s="362" t="s">
        <v>81</v>
      </c>
      <c r="D1231" s="560"/>
      <c r="E1231" s="560"/>
      <c r="F1231" s="560"/>
      <c r="G1231" s="560"/>
      <c r="H1231" s="560"/>
      <c r="I1231" s="560"/>
      <c r="J1231" s="560"/>
    </row>
    <row r="1232" spans="1:10" x14ac:dyDescent="0.25">
      <c r="A1232" s="362">
        <v>10</v>
      </c>
      <c r="B1232" s="609">
        <v>44048</v>
      </c>
      <c r="C1232" s="362" t="s">
        <v>79</v>
      </c>
      <c r="D1232" s="560"/>
      <c r="E1232" s="560"/>
      <c r="F1232" s="560"/>
      <c r="G1232" s="560"/>
      <c r="H1232" s="560"/>
      <c r="I1232" s="560"/>
      <c r="J1232" s="560"/>
    </row>
    <row r="1233" spans="1:10" x14ac:dyDescent="0.25">
      <c r="A1233" s="362">
        <v>11</v>
      </c>
      <c r="B1233" s="609">
        <v>44048</v>
      </c>
      <c r="C1233" s="362" t="s">
        <v>82</v>
      </c>
      <c r="D1233" s="560"/>
      <c r="E1233" s="560"/>
      <c r="F1233" s="560"/>
      <c r="G1233" s="560"/>
      <c r="H1233" s="560"/>
      <c r="I1233" s="560"/>
      <c r="J1233" s="560"/>
    </row>
    <row r="1234" spans="1:10" x14ac:dyDescent="0.25">
      <c r="A1234" s="362">
        <v>12</v>
      </c>
      <c r="B1234" s="609">
        <v>44048</v>
      </c>
      <c r="C1234" s="362" t="s">
        <v>78</v>
      </c>
      <c r="D1234" s="560"/>
      <c r="E1234" s="560"/>
      <c r="F1234" s="560"/>
      <c r="G1234" s="560"/>
      <c r="H1234" s="560"/>
      <c r="I1234" s="560"/>
      <c r="J1234" s="560"/>
    </row>
    <row r="1235" spans="1:10" x14ac:dyDescent="0.25">
      <c r="A1235" s="362">
        <v>13</v>
      </c>
      <c r="B1235" s="609">
        <v>44048</v>
      </c>
      <c r="C1235" s="362" t="s">
        <v>85</v>
      </c>
      <c r="D1235" s="560"/>
      <c r="E1235" s="560"/>
      <c r="F1235" s="560"/>
      <c r="G1235" s="560"/>
      <c r="H1235" s="560"/>
      <c r="I1235" s="560"/>
      <c r="J1235" s="560"/>
    </row>
    <row r="1236" spans="1:10" x14ac:dyDescent="0.25">
      <c r="A1236" s="362">
        <v>14</v>
      </c>
      <c r="B1236" s="609">
        <v>44048</v>
      </c>
      <c r="C1236" s="362" t="s">
        <v>166</v>
      </c>
      <c r="D1236" s="560"/>
      <c r="E1236" s="560"/>
      <c r="F1236" s="560"/>
      <c r="G1236" s="560"/>
      <c r="H1236" s="560"/>
      <c r="I1236" s="560"/>
      <c r="J1236" s="560"/>
    </row>
    <row r="1237" spans="1:10" x14ac:dyDescent="0.25">
      <c r="A1237" s="362">
        <v>15</v>
      </c>
      <c r="B1237" s="609">
        <v>44048</v>
      </c>
      <c r="C1237" s="362" t="s">
        <v>3435</v>
      </c>
      <c r="D1237" s="560"/>
      <c r="E1237" s="560"/>
      <c r="F1237" s="560"/>
      <c r="G1237" s="560"/>
      <c r="H1237" s="560"/>
      <c r="I1237" s="560"/>
      <c r="J1237" s="560"/>
    </row>
    <row r="1238" spans="1:10" x14ac:dyDescent="0.25">
      <c r="A1238" s="530"/>
      <c r="B1238" s="530"/>
      <c r="C1238" s="530"/>
      <c r="D1238" s="562"/>
      <c r="E1238" s="562"/>
      <c r="F1238" s="562"/>
      <c r="G1238" s="562"/>
      <c r="H1238" s="562"/>
      <c r="I1238" s="562"/>
      <c r="J1238" s="562"/>
    </row>
    <row r="1239" spans="1:10" x14ac:dyDescent="0.25">
      <c r="A1239" s="362">
        <v>1</v>
      </c>
      <c r="B1239" s="609">
        <v>44049</v>
      </c>
      <c r="C1239" s="362" t="s">
        <v>80</v>
      </c>
      <c r="D1239" s="560"/>
      <c r="E1239" s="560"/>
      <c r="F1239" s="560"/>
      <c r="G1239" s="560"/>
      <c r="H1239" s="560"/>
      <c r="I1239" s="560">
        <v>5764452</v>
      </c>
      <c r="J1239" s="560"/>
    </row>
    <row r="1240" spans="1:10" x14ac:dyDescent="0.25">
      <c r="A1240" s="362">
        <v>2</v>
      </c>
      <c r="B1240" s="609">
        <v>44049</v>
      </c>
      <c r="C1240" s="362" t="s">
        <v>83</v>
      </c>
      <c r="D1240" s="560"/>
      <c r="E1240" s="560"/>
      <c r="F1240" s="560"/>
      <c r="G1240" s="560"/>
      <c r="H1240" s="560"/>
      <c r="I1240" s="560">
        <v>3140867</v>
      </c>
      <c r="J1240" s="560"/>
    </row>
    <row r="1241" spans="1:10" x14ac:dyDescent="0.25">
      <c r="A1241" s="362">
        <v>3</v>
      </c>
      <c r="B1241" s="609">
        <v>44049</v>
      </c>
      <c r="C1241" s="362" t="s">
        <v>88</v>
      </c>
      <c r="D1241" s="560"/>
      <c r="E1241" s="560"/>
      <c r="F1241" s="560"/>
      <c r="G1241" s="560"/>
      <c r="H1241" s="560"/>
      <c r="I1241" s="560">
        <v>2116949</v>
      </c>
      <c r="J1241" s="560"/>
    </row>
    <row r="1242" spans="1:10" x14ac:dyDescent="0.25">
      <c r="A1242" s="362">
        <v>4</v>
      </c>
      <c r="B1242" s="609">
        <v>44049</v>
      </c>
      <c r="C1242" s="362" t="s">
        <v>146</v>
      </c>
      <c r="D1242" s="560"/>
      <c r="E1242" s="560"/>
      <c r="F1242" s="560"/>
      <c r="G1242" s="560"/>
      <c r="H1242" s="560"/>
      <c r="I1242" s="560"/>
      <c r="J1242" s="560"/>
    </row>
    <row r="1243" spans="1:10" x14ac:dyDescent="0.25">
      <c r="A1243" s="362">
        <v>5</v>
      </c>
      <c r="B1243" s="609">
        <v>44049</v>
      </c>
      <c r="C1243" s="362" t="s">
        <v>86</v>
      </c>
      <c r="D1243" s="560"/>
      <c r="E1243" s="560"/>
      <c r="F1243" s="560"/>
      <c r="G1243" s="560"/>
      <c r="H1243" s="560"/>
      <c r="I1243" s="560"/>
      <c r="J1243" s="560"/>
    </row>
    <row r="1244" spans="1:10" x14ac:dyDescent="0.25">
      <c r="A1244" s="362">
        <v>6</v>
      </c>
      <c r="B1244" s="609">
        <v>44049</v>
      </c>
      <c r="C1244" s="362" t="s">
        <v>89</v>
      </c>
      <c r="D1244" s="560"/>
      <c r="E1244" s="560"/>
      <c r="F1244" s="560"/>
      <c r="G1244" s="560"/>
      <c r="H1244" s="560"/>
      <c r="I1244" s="560"/>
      <c r="J1244" s="560"/>
    </row>
    <row r="1245" spans="1:10" x14ac:dyDescent="0.25">
      <c r="A1245" s="362">
        <v>7</v>
      </c>
      <c r="B1245" s="609">
        <v>44049</v>
      </c>
      <c r="C1245" s="362" t="s">
        <v>4751</v>
      </c>
      <c r="D1245" s="560"/>
      <c r="E1245" s="560"/>
      <c r="F1245" s="560"/>
      <c r="G1245" s="560"/>
      <c r="H1245" s="560"/>
      <c r="I1245" s="560"/>
      <c r="J1245" s="560"/>
    </row>
    <row r="1246" spans="1:10" x14ac:dyDescent="0.25">
      <c r="A1246" s="362">
        <v>8</v>
      </c>
      <c r="B1246" s="609">
        <v>44049</v>
      </c>
      <c r="C1246" s="362" t="s">
        <v>84</v>
      </c>
      <c r="D1246" s="560"/>
      <c r="E1246" s="560"/>
      <c r="F1246" s="560"/>
      <c r="G1246" s="560"/>
      <c r="H1246" s="560"/>
      <c r="I1246" s="560">
        <v>2292101</v>
      </c>
      <c r="J1246" s="560"/>
    </row>
    <row r="1247" spans="1:10" x14ac:dyDescent="0.25">
      <c r="A1247" s="362">
        <v>9</v>
      </c>
      <c r="B1247" s="609">
        <v>44049</v>
      </c>
      <c r="C1247" s="362" t="s">
        <v>81</v>
      </c>
      <c r="D1247" s="560"/>
      <c r="E1247" s="560"/>
      <c r="F1247" s="560"/>
      <c r="G1247" s="560"/>
      <c r="H1247" s="560"/>
      <c r="I1247" s="560"/>
      <c r="J1247" s="560"/>
    </row>
    <row r="1248" spans="1:10" x14ac:dyDescent="0.25">
      <c r="A1248" s="362">
        <v>10</v>
      </c>
      <c r="B1248" s="609">
        <v>44049</v>
      </c>
      <c r="C1248" s="362" t="s">
        <v>79</v>
      </c>
      <c r="D1248" s="560"/>
      <c r="E1248" s="560"/>
      <c r="F1248" s="560"/>
      <c r="G1248" s="560"/>
      <c r="H1248" s="560"/>
      <c r="I1248" s="560">
        <v>727613</v>
      </c>
      <c r="J1248" s="560"/>
    </row>
    <row r="1249" spans="1:10" x14ac:dyDescent="0.25">
      <c r="A1249" s="362">
        <v>11</v>
      </c>
      <c r="B1249" s="609">
        <v>44049</v>
      </c>
      <c r="C1249" s="362" t="s">
        <v>82</v>
      </c>
      <c r="D1249" s="560"/>
      <c r="E1249" s="560"/>
      <c r="F1249" s="560"/>
      <c r="G1249" s="560"/>
      <c r="H1249" s="560"/>
      <c r="I1249" s="560">
        <v>4372394</v>
      </c>
      <c r="J1249" s="560"/>
    </row>
    <row r="1250" spans="1:10" x14ac:dyDescent="0.25">
      <c r="A1250" s="362">
        <v>12</v>
      </c>
      <c r="B1250" s="609">
        <v>44049</v>
      </c>
      <c r="C1250" s="362" t="s">
        <v>78</v>
      </c>
      <c r="D1250" s="560"/>
      <c r="E1250" s="560"/>
      <c r="F1250" s="560"/>
      <c r="G1250" s="560"/>
      <c r="H1250" s="560"/>
      <c r="I1250" s="560">
        <v>2725875</v>
      </c>
      <c r="J1250" s="560"/>
    </row>
    <row r="1251" spans="1:10" x14ac:dyDescent="0.25">
      <c r="A1251" s="362">
        <v>13</v>
      </c>
      <c r="B1251" s="609">
        <v>44049</v>
      </c>
      <c r="C1251" s="362" t="s">
        <v>85</v>
      </c>
      <c r="D1251" s="560"/>
      <c r="E1251" s="560"/>
      <c r="F1251" s="560"/>
      <c r="G1251" s="560"/>
      <c r="H1251" s="560"/>
      <c r="I1251" s="560"/>
      <c r="J1251" s="560"/>
    </row>
    <row r="1252" spans="1:10" x14ac:dyDescent="0.25">
      <c r="A1252" s="362">
        <v>14</v>
      </c>
      <c r="B1252" s="609">
        <v>44049</v>
      </c>
      <c r="C1252" s="362" t="s">
        <v>166</v>
      </c>
      <c r="D1252" s="560"/>
      <c r="E1252" s="560"/>
      <c r="F1252" s="560"/>
      <c r="G1252" s="560"/>
      <c r="H1252" s="560"/>
      <c r="I1252" s="560"/>
      <c r="J1252" s="560"/>
    </row>
    <row r="1253" spans="1:10" x14ac:dyDescent="0.25">
      <c r="A1253" s="362">
        <v>15</v>
      </c>
      <c r="B1253" s="609">
        <v>44049</v>
      </c>
      <c r="C1253" s="362" t="s">
        <v>3435</v>
      </c>
      <c r="D1253" s="560"/>
      <c r="E1253" s="560"/>
      <c r="F1253" s="560"/>
      <c r="G1253" s="560"/>
      <c r="H1253" s="560"/>
      <c r="I1253" s="560"/>
      <c r="J1253" s="560"/>
    </row>
    <row r="1254" spans="1:10" x14ac:dyDescent="0.25">
      <c r="A1254" s="530"/>
      <c r="B1254" s="530"/>
      <c r="C1254" s="530"/>
      <c r="D1254" s="562"/>
      <c r="E1254" s="562"/>
      <c r="F1254" s="562"/>
      <c r="G1254" s="562"/>
      <c r="H1254" s="562"/>
      <c r="I1254" s="562"/>
      <c r="J1254" s="562"/>
    </row>
    <row r="1255" spans="1:10" x14ac:dyDescent="0.25">
      <c r="A1255" s="362">
        <v>1</v>
      </c>
      <c r="B1255" s="609">
        <v>44050</v>
      </c>
      <c r="C1255" s="362" t="s">
        <v>80</v>
      </c>
      <c r="D1255" s="560"/>
      <c r="E1255" s="560"/>
      <c r="F1255" s="560"/>
      <c r="G1255" s="560"/>
      <c r="H1255" s="560"/>
      <c r="I1255" s="560">
        <v>1909890</v>
      </c>
      <c r="J1255" s="560"/>
    </row>
    <row r="1256" spans="1:10" x14ac:dyDescent="0.25">
      <c r="A1256" s="362">
        <v>2</v>
      </c>
      <c r="B1256" s="609">
        <v>44050</v>
      </c>
      <c r="C1256" s="362" t="s">
        <v>83</v>
      </c>
      <c r="D1256" s="560"/>
      <c r="E1256" s="560"/>
      <c r="F1256" s="560"/>
      <c r="G1256" s="560"/>
      <c r="H1256" s="560"/>
      <c r="I1256" s="560"/>
      <c r="J1256" s="560"/>
    </row>
    <row r="1257" spans="1:10" x14ac:dyDescent="0.25">
      <c r="A1257" s="362">
        <v>3</v>
      </c>
      <c r="B1257" s="609">
        <v>44050</v>
      </c>
      <c r="C1257" s="362" t="s">
        <v>88</v>
      </c>
      <c r="D1257" s="560"/>
      <c r="E1257" s="560"/>
      <c r="F1257" s="560"/>
      <c r="G1257" s="560"/>
      <c r="H1257" s="560"/>
      <c r="I1257" s="560"/>
      <c r="J1257" s="560"/>
    </row>
    <row r="1258" spans="1:10" x14ac:dyDescent="0.25">
      <c r="A1258" s="362">
        <v>4</v>
      </c>
      <c r="B1258" s="609">
        <v>44050</v>
      </c>
      <c r="C1258" s="362" t="s">
        <v>146</v>
      </c>
      <c r="D1258" s="560"/>
      <c r="E1258" s="560"/>
      <c r="F1258" s="560"/>
      <c r="G1258" s="560"/>
      <c r="H1258" s="560"/>
      <c r="I1258" s="560">
        <v>1174621</v>
      </c>
      <c r="J1258" s="560"/>
    </row>
    <row r="1259" spans="1:10" x14ac:dyDescent="0.25">
      <c r="A1259" s="362">
        <v>5</v>
      </c>
      <c r="B1259" s="609">
        <v>44050</v>
      </c>
      <c r="C1259" s="362" t="s">
        <v>86</v>
      </c>
      <c r="D1259" s="560"/>
      <c r="E1259" s="560"/>
      <c r="F1259" s="560"/>
      <c r="G1259" s="560"/>
      <c r="H1259" s="560"/>
      <c r="I1259" s="560">
        <v>145397</v>
      </c>
      <c r="J1259" s="560"/>
    </row>
    <row r="1260" spans="1:10" x14ac:dyDescent="0.25">
      <c r="A1260" s="362">
        <v>6</v>
      </c>
      <c r="B1260" s="609">
        <v>44050</v>
      </c>
      <c r="C1260" s="362" t="s">
        <v>89</v>
      </c>
      <c r="D1260" s="560"/>
      <c r="E1260" s="560"/>
      <c r="F1260" s="560"/>
      <c r="G1260" s="560"/>
      <c r="H1260" s="560"/>
      <c r="I1260" s="560">
        <v>1448567</v>
      </c>
      <c r="J1260" s="560"/>
    </row>
    <row r="1261" spans="1:10" x14ac:dyDescent="0.25">
      <c r="A1261" s="362">
        <v>7</v>
      </c>
      <c r="B1261" s="609">
        <v>44050</v>
      </c>
      <c r="C1261" s="362" t="s">
        <v>4751</v>
      </c>
      <c r="D1261" s="560"/>
      <c r="E1261" s="560"/>
      <c r="F1261" s="560"/>
      <c r="G1261" s="560"/>
      <c r="H1261" s="560"/>
      <c r="I1261" s="560"/>
      <c r="J1261" s="560"/>
    </row>
    <row r="1262" spans="1:10" x14ac:dyDescent="0.25">
      <c r="A1262" s="362">
        <v>8</v>
      </c>
      <c r="B1262" s="609">
        <v>44050</v>
      </c>
      <c r="C1262" s="362" t="s">
        <v>84</v>
      </c>
      <c r="D1262" s="560"/>
      <c r="E1262" s="560"/>
      <c r="F1262" s="560"/>
      <c r="G1262" s="560"/>
      <c r="H1262" s="560"/>
      <c r="I1262" s="560"/>
      <c r="J1262" s="560"/>
    </row>
    <row r="1263" spans="1:10" x14ac:dyDescent="0.25">
      <c r="A1263" s="362">
        <v>9</v>
      </c>
      <c r="B1263" s="609">
        <v>44050</v>
      </c>
      <c r="C1263" s="362" t="s">
        <v>81</v>
      </c>
      <c r="D1263" s="560"/>
      <c r="E1263" s="560"/>
      <c r="F1263" s="560"/>
      <c r="G1263" s="560"/>
      <c r="H1263" s="560"/>
      <c r="I1263" s="560">
        <v>4092990</v>
      </c>
      <c r="J1263" s="560"/>
    </row>
    <row r="1264" spans="1:10" x14ac:dyDescent="0.25">
      <c r="A1264" s="362">
        <v>10</v>
      </c>
      <c r="B1264" s="609">
        <v>44050</v>
      </c>
      <c r="C1264" s="362" t="s">
        <v>79</v>
      </c>
      <c r="D1264" s="560"/>
      <c r="E1264" s="560"/>
      <c r="F1264" s="560"/>
      <c r="G1264" s="560"/>
      <c r="H1264" s="560"/>
      <c r="I1264" s="560"/>
      <c r="J1264" s="560"/>
    </row>
    <row r="1265" spans="1:10" x14ac:dyDescent="0.25">
      <c r="A1265" s="362">
        <v>11</v>
      </c>
      <c r="B1265" s="609">
        <v>44050</v>
      </c>
      <c r="C1265" s="362" t="s">
        <v>82</v>
      </c>
      <c r="D1265" s="560"/>
      <c r="E1265" s="560"/>
      <c r="F1265" s="560"/>
      <c r="G1265" s="560"/>
      <c r="H1265" s="560"/>
      <c r="I1265" s="560"/>
      <c r="J1265" s="560"/>
    </row>
    <row r="1266" spans="1:10" x14ac:dyDescent="0.25">
      <c r="A1266" s="362">
        <v>12</v>
      </c>
      <c r="B1266" s="609">
        <v>44050</v>
      </c>
      <c r="C1266" s="362" t="s">
        <v>78</v>
      </c>
      <c r="D1266" s="560"/>
      <c r="E1266" s="560"/>
      <c r="F1266" s="560"/>
      <c r="G1266" s="560"/>
      <c r="H1266" s="560"/>
      <c r="I1266" s="560"/>
      <c r="J1266" s="560"/>
    </row>
    <row r="1267" spans="1:10" x14ac:dyDescent="0.25">
      <c r="A1267" s="362">
        <v>13</v>
      </c>
      <c r="B1267" s="609">
        <v>44050</v>
      </c>
      <c r="C1267" s="362" t="s">
        <v>85</v>
      </c>
      <c r="D1267" s="560"/>
      <c r="E1267" s="560"/>
      <c r="F1267" s="560"/>
      <c r="G1267" s="560"/>
      <c r="H1267" s="560"/>
      <c r="I1267" s="560"/>
      <c r="J1267" s="560"/>
    </row>
    <row r="1268" spans="1:10" x14ac:dyDescent="0.25">
      <c r="A1268" s="362">
        <v>14</v>
      </c>
      <c r="B1268" s="609">
        <v>44050</v>
      </c>
      <c r="C1268" s="362" t="s">
        <v>166</v>
      </c>
      <c r="D1268" s="560"/>
      <c r="E1268" s="560"/>
      <c r="F1268" s="560"/>
      <c r="G1268" s="560"/>
      <c r="H1268" s="560"/>
      <c r="I1268" s="560"/>
      <c r="J1268" s="560"/>
    </row>
    <row r="1269" spans="1:10" x14ac:dyDescent="0.25">
      <c r="A1269" s="362">
        <v>15</v>
      </c>
      <c r="B1269" s="609">
        <v>44050</v>
      </c>
      <c r="C1269" s="362" t="s">
        <v>3435</v>
      </c>
      <c r="D1269" s="560"/>
      <c r="E1269" s="560"/>
      <c r="F1269" s="560"/>
      <c r="G1269" s="560"/>
      <c r="H1269" s="560"/>
      <c r="I1269" s="560"/>
      <c r="J1269" s="560"/>
    </row>
    <row r="1270" spans="1:10" x14ac:dyDescent="0.25">
      <c r="A1270" s="530"/>
      <c r="B1270" s="530"/>
      <c r="C1270" s="530"/>
      <c r="D1270" s="562"/>
      <c r="E1270" s="562"/>
      <c r="F1270" s="562"/>
      <c r="G1270" s="562"/>
      <c r="H1270" s="562"/>
      <c r="I1270" s="562"/>
      <c r="J1270" s="562"/>
    </row>
    <row r="1271" spans="1:10" x14ac:dyDescent="0.25">
      <c r="A1271" s="362">
        <v>1</v>
      </c>
      <c r="B1271" s="609">
        <v>44051</v>
      </c>
      <c r="C1271" s="362" t="s">
        <v>80</v>
      </c>
      <c r="D1271" s="560"/>
      <c r="E1271" s="560"/>
      <c r="F1271" s="560"/>
      <c r="G1271" s="560"/>
      <c r="H1271" s="560"/>
      <c r="I1271" s="560"/>
      <c r="J1271" s="560"/>
    </row>
    <row r="1272" spans="1:10" x14ac:dyDescent="0.25">
      <c r="A1272" s="362">
        <v>2</v>
      </c>
      <c r="B1272" s="609">
        <v>44051</v>
      </c>
      <c r="C1272" s="362" t="s">
        <v>83</v>
      </c>
      <c r="D1272" s="560"/>
      <c r="E1272" s="560"/>
      <c r="F1272" s="560"/>
      <c r="G1272" s="560"/>
      <c r="H1272" s="560"/>
      <c r="I1272" s="560"/>
      <c r="J1272" s="560"/>
    </row>
    <row r="1273" spans="1:10" x14ac:dyDescent="0.25">
      <c r="A1273" s="362">
        <v>3</v>
      </c>
      <c r="B1273" s="609">
        <v>44051</v>
      </c>
      <c r="C1273" s="362" t="s">
        <v>88</v>
      </c>
      <c r="D1273" s="560"/>
      <c r="E1273" s="560"/>
      <c r="F1273" s="560"/>
      <c r="G1273" s="560"/>
      <c r="H1273" s="560"/>
      <c r="I1273" s="560"/>
      <c r="J1273" s="560"/>
    </row>
    <row r="1274" spans="1:10" x14ac:dyDescent="0.25">
      <c r="A1274" s="362">
        <v>4</v>
      </c>
      <c r="B1274" s="609">
        <v>44051</v>
      </c>
      <c r="C1274" s="362" t="s">
        <v>146</v>
      </c>
      <c r="D1274" s="560"/>
      <c r="E1274" s="560"/>
      <c r="F1274" s="560"/>
      <c r="G1274" s="560"/>
      <c r="H1274" s="560"/>
      <c r="I1274" s="560"/>
      <c r="J1274" s="560"/>
    </row>
    <row r="1275" spans="1:10" x14ac:dyDescent="0.25">
      <c r="A1275" s="362">
        <v>5</v>
      </c>
      <c r="B1275" s="609">
        <v>44051</v>
      </c>
      <c r="C1275" s="362" t="s">
        <v>86</v>
      </c>
      <c r="D1275" s="560"/>
      <c r="E1275" s="560"/>
      <c r="F1275" s="560"/>
      <c r="G1275" s="560"/>
      <c r="H1275" s="560"/>
      <c r="I1275" s="560"/>
      <c r="J1275" s="560"/>
    </row>
    <row r="1276" spans="1:10" x14ac:dyDescent="0.25">
      <c r="A1276" s="362">
        <v>6</v>
      </c>
      <c r="B1276" s="609">
        <v>44051</v>
      </c>
      <c r="C1276" s="362" t="s">
        <v>89</v>
      </c>
      <c r="D1276" s="560"/>
      <c r="E1276" s="560"/>
      <c r="F1276" s="560"/>
      <c r="G1276" s="560"/>
      <c r="H1276" s="560"/>
      <c r="I1276" s="560"/>
      <c r="J1276" s="560"/>
    </row>
    <row r="1277" spans="1:10" x14ac:dyDescent="0.25">
      <c r="A1277" s="362">
        <v>7</v>
      </c>
      <c r="B1277" s="609">
        <v>44051</v>
      </c>
      <c r="C1277" s="362" t="s">
        <v>4751</v>
      </c>
      <c r="D1277" s="560"/>
      <c r="E1277" s="560"/>
      <c r="F1277" s="560"/>
      <c r="G1277" s="560"/>
      <c r="H1277" s="560"/>
      <c r="I1277" s="560"/>
      <c r="J1277" s="560"/>
    </row>
    <row r="1278" spans="1:10" x14ac:dyDescent="0.25">
      <c r="A1278" s="362">
        <v>8</v>
      </c>
      <c r="B1278" s="609">
        <v>44051</v>
      </c>
      <c r="C1278" s="362" t="s">
        <v>84</v>
      </c>
      <c r="D1278" s="560"/>
      <c r="E1278" s="560"/>
      <c r="F1278" s="560"/>
      <c r="G1278" s="560"/>
      <c r="H1278" s="560"/>
      <c r="I1278" s="560"/>
      <c r="J1278" s="560"/>
    </row>
    <row r="1279" spans="1:10" x14ac:dyDescent="0.25">
      <c r="A1279" s="362">
        <v>9</v>
      </c>
      <c r="B1279" s="609">
        <v>44051</v>
      </c>
      <c r="C1279" s="362" t="s">
        <v>81</v>
      </c>
      <c r="D1279" s="560"/>
      <c r="E1279" s="560"/>
      <c r="F1279" s="560"/>
      <c r="G1279" s="560"/>
      <c r="H1279" s="560"/>
      <c r="I1279" s="560"/>
      <c r="J1279" s="560"/>
    </row>
    <row r="1280" spans="1:10" x14ac:dyDescent="0.25">
      <c r="A1280" s="362">
        <v>10</v>
      </c>
      <c r="B1280" s="609">
        <v>44051</v>
      </c>
      <c r="C1280" s="362" t="s">
        <v>79</v>
      </c>
      <c r="D1280" s="560"/>
      <c r="E1280" s="560"/>
      <c r="F1280" s="560"/>
      <c r="G1280" s="560"/>
      <c r="H1280" s="560"/>
      <c r="I1280" s="560"/>
      <c r="J1280" s="560"/>
    </row>
    <row r="1281" spans="1:10" x14ac:dyDescent="0.25">
      <c r="A1281" s="362">
        <v>11</v>
      </c>
      <c r="B1281" s="609">
        <v>44051</v>
      </c>
      <c r="C1281" s="362" t="s">
        <v>82</v>
      </c>
      <c r="D1281" s="560"/>
      <c r="E1281" s="560"/>
      <c r="F1281" s="560"/>
      <c r="G1281" s="560"/>
      <c r="H1281" s="560"/>
      <c r="I1281" s="560"/>
      <c r="J1281" s="560"/>
    </row>
    <row r="1282" spans="1:10" x14ac:dyDescent="0.25">
      <c r="A1282" s="362">
        <v>12</v>
      </c>
      <c r="B1282" s="609">
        <v>44051</v>
      </c>
      <c r="C1282" s="362" t="s">
        <v>78</v>
      </c>
      <c r="D1282" s="560"/>
      <c r="E1282" s="560"/>
      <c r="F1282" s="560"/>
      <c r="G1282" s="560"/>
      <c r="H1282" s="560"/>
      <c r="I1282" s="560"/>
      <c r="J1282" s="560"/>
    </row>
    <row r="1283" spans="1:10" x14ac:dyDescent="0.25">
      <c r="A1283" s="362">
        <v>13</v>
      </c>
      <c r="B1283" s="609">
        <v>44051</v>
      </c>
      <c r="C1283" s="362" t="s">
        <v>85</v>
      </c>
      <c r="D1283" s="560"/>
      <c r="E1283" s="560"/>
      <c r="F1283" s="560"/>
      <c r="G1283" s="560"/>
      <c r="H1283" s="560"/>
      <c r="I1283" s="560"/>
      <c r="J1283" s="560"/>
    </row>
    <row r="1284" spans="1:10" x14ac:dyDescent="0.25">
      <c r="A1284" s="362">
        <v>14</v>
      </c>
      <c r="B1284" s="609">
        <v>44051</v>
      </c>
      <c r="C1284" s="362" t="s">
        <v>166</v>
      </c>
      <c r="D1284" s="560"/>
      <c r="E1284" s="560"/>
      <c r="F1284" s="560"/>
      <c r="G1284" s="560"/>
      <c r="H1284" s="560"/>
      <c r="I1284" s="560"/>
      <c r="J1284" s="560"/>
    </row>
    <row r="1285" spans="1:10" x14ac:dyDescent="0.25">
      <c r="A1285" s="362">
        <v>15</v>
      </c>
      <c r="B1285" s="609">
        <v>44051</v>
      </c>
      <c r="C1285" s="362" t="s">
        <v>3435</v>
      </c>
      <c r="D1285" s="560"/>
      <c r="E1285" s="560"/>
      <c r="F1285" s="560"/>
      <c r="G1285" s="560"/>
      <c r="H1285" s="560"/>
      <c r="I1285" s="560"/>
      <c r="J1285" s="560"/>
    </row>
    <row r="1286" spans="1:10" x14ac:dyDescent="0.25">
      <c r="A1286" s="530"/>
      <c r="B1286" s="530"/>
      <c r="C1286" s="530"/>
      <c r="D1286" s="562"/>
      <c r="E1286" s="562"/>
      <c r="F1286" s="562"/>
      <c r="G1286" s="562"/>
      <c r="H1286" s="562"/>
      <c r="I1286" s="562"/>
      <c r="J1286" s="562"/>
    </row>
    <row r="1287" spans="1:10" x14ac:dyDescent="0.25">
      <c r="A1287" s="362">
        <v>1</v>
      </c>
      <c r="B1287" s="609">
        <v>44053</v>
      </c>
      <c r="C1287" s="362" t="s">
        <v>80</v>
      </c>
      <c r="D1287" s="560"/>
      <c r="E1287" s="560"/>
      <c r="F1287" s="560"/>
      <c r="G1287" s="560"/>
      <c r="H1287" s="560"/>
      <c r="I1287" s="560"/>
      <c r="J1287" s="560"/>
    </row>
    <row r="1288" spans="1:10" x14ac:dyDescent="0.25">
      <c r="A1288" s="362">
        <v>2</v>
      </c>
      <c r="B1288" s="609">
        <v>44053</v>
      </c>
      <c r="C1288" s="362" t="s">
        <v>83</v>
      </c>
      <c r="D1288" s="560"/>
      <c r="E1288" s="560"/>
      <c r="F1288" s="560"/>
      <c r="G1288" s="560"/>
      <c r="H1288" s="560"/>
      <c r="I1288" s="560"/>
      <c r="J1288" s="560"/>
    </row>
    <row r="1289" spans="1:10" x14ac:dyDescent="0.25">
      <c r="A1289" s="362">
        <v>3</v>
      </c>
      <c r="B1289" s="609">
        <v>44053</v>
      </c>
      <c r="C1289" s="362" t="s">
        <v>88</v>
      </c>
      <c r="D1289" s="560"/>
      <c r="E1289" s="560"/>
      <c r="F1289" s="560"/>
      <c r="G1289" s="560"/>
      <c r="H1289" s="560"/>
      <c r="I1289" s="560"/>
      <c r="J1289" s="560"/>
    </row>
    <row r="1290" spans="1:10" x14ac:dyDescent="0.25">
      <c r="A1290" s="362">
        <v>4</v>
      </c>
      <c r="B1290" s="609">
        <v>44053</v>
      </c>
      <c r="C1290" s="362" t="s">
        <v>146</v>
      </c>
      <c r="D1290" s="560"/>
      <c r="E1290" s="560"/>
      <c r="F1290" s="560"/>
      <c r="G1290" s="560"/>
      <c r="H1290" s="560"/>
      <c r="I1290" s="560"/>
      <c r="J1290" s="560"/>
    </row>
    <row r="1291" spans="1:10" x14ac:dyDescent="0.25">
      <c r="A1291" s="362">
        <v>5</v>
      </c>
      <c r="B1291" s="609">
        <v>44053</v>
      </c>
      <c r="C1291" s="362" t="s">
        <v>86</v>
      </c>
      <c r="D1291" s="560"/>
      <c r="E1291" s="560"/>
      <c r="F1291" s="560"/>
      <c r="G1291" s="560"/>
      <c r="H1291" s="560"/>
      <c r="I1291" s="560"/>
      <c r="J1291" s="560"/>
    </row>
    <row r="1292" spans="1:10" x14ac:dyDescent="0.25">
      <c r="A1292" s="362">
        <v>6</v>
      </c>
      <c r="B1292" s="609">
        <v>44053</v>
      </c>
      <c r="C1292" s="362" t="s">
        <v>89</v>
      </c>
      <c r="D1292" s="560"/>
      <c r="E1292" s="560"/>
      <c r="F1292" s="560"/>
      <c r="G1292" s="560"/>
      <c r="H1292" s="560"/>
      <c r="I1292" s="560"/>
      <c r="J1292" s="560"/>
    </row>
    <row r="1293" spans="1:10" x14ac:dyDescent="0.25">
      <c r="A1293" s="362">
        <v>7</v>
      </c>
      <c r="B1293" s="609">
        <v>44053</v>
      </c>
      <c r="C1293" s="362" t="s">
        <v>4751</v>
      </c>
      <c r="D1293" s="560"/>
      <c r="E1293" s="560"/>
      <c r="F1293" s="560"/>
      <c r="G1293" s="560"/>
      <c r="H1293" s="560"/>
      <c r="I1293" s="560"/>
      <c r="J1293" s="560"/>
    </row>
    <row r="1294" spans="1:10" x14ac:dyDescent="0.25">
      <c r="A1294" s="362">
        <v>8</v>
      </c>
      <c r="B1294" s="609">
        <v>44053</v>
      </c>
      <c r="C1294" s="362" t="s">
        <v>84</v>
      </c>
      <c r="D1294" s="560"/>
      <c r="E1294" s="560"/>
      <c r="F1294" s="560"/>
      <c r="G1294" s="560"/>
      <c r="H1294" s="560"/>
      <c r="I1294" s="560"/>
      <c r="J1294" s="560"/>
    </row>
    <row r="1295" spans="1:10" x14ac:dyDescent="0.25">
      <c r="A1295" s="362">
        <v>9</v>
      </c>
      <c r="B1295" s="609">
        <v>44053</v>
      </c>
      <c r="C1295" s="362" t="s">
        <v>81</v>
      </c>
      <c r="D1295" s="560"/>
      <c r="E1295" s="560"/>
      <c r="F1295" s="560"/>
      <c r="G1295" s="560"/>
      <c r="H1295" s="560"/>
      <c r="I1295" s="560"/>
      <c r="J1295" s="560"/>
    </row>
    <row r="1296" spans="1:10" x14ac:dyDescent="0.25">
      <c r="A1296" s="362">
        <v>10</v>
      </c>
      <c r="B1296" s="609">
        <v>44053</v>
      </c>
      <c r="C1296" s="362" t="s">
        <v>79</v>
      </c>
      <c r="D1296" s="560"/>
      <c r="E1296" s="560"/>
      <c r="F1296" s="560"/>
      <c r="G1296" s="560"/>
      <c r="H1296" s="560"/>
      <c r="I1296" s="560"/>
      <c r="J1296" s="560"/>
    </row>
    <row r="1297" spans="1:10" x14ac:dyDescent="0.25">
      <c r="A1297" s="362">
        <v>11</v>
      </c>
      <c r="B1297" s="609">
        <v>44053</v>
      </c>
      <c r="C1297" s="362" t="s">
        <v>82</v>
      </c>
      <c r="D1297" s="560"/>
      <c r="E1297" s="560"/>
      <c r="F1297" s="560"/>
      <c r="G1297" s="560"/>
      <c r="H1297" s="560"/>
      <c r="I1297" s="560"/>
      <c r="J1297" s="560"/>
    </row>
    <row r="1298" spans="1:10" x14ac:dyDescent="0.25">
      <c r="A1298" s="362">
        <v>12</v>
      </c>
      <c r="B1298" s="609">
        <v>44053</v>
      </c>
      <c r="C1298" s="362" t="s">
        <v>78</v>
      </c>
      <c r="D1298" s="560"/>
      <c r="E1298" s="560"/>
      <c r="F1298" s="560"/>
      <c r="G1298" s="560"/>
      <c r="H1298" s="560"/>
      <c r="I1298" s="560"/>
      <c r="J1298" s="560"/>
    </row>
    <row r="1299" spans="1:10" x14ac:dyDescent="0.25">
      <c r="A1299" s="362">
        <v>13</v>
      </c>
      <c r="B1299" s="609">
        <v>44053</v>
      </c>
      <c r="C1299" s="362" t="s">
        <v>85</v>
      </c>
      <c r="D1299" s="560"/>
      <c r="E1299" s="560"/>
      <c r="F1299" s="560"/>
      <c r="G1299" s="560"/>
      <c r="H1299" s="560"/>
      <c r="I1299" s="560"/>
      <c r="J1299" s="560"/>
    </row>
    <row r="1300" spans="1:10" x14ac:dyDescent="0.25">
      <c r="A1300" s="362">
        <v>14</v>
      </c>
      <c r="B1300" s="609">
        <v>44053</v>
      </c>
      <c r="C1300" s="362" t="s">
        <v>166</v>
      </c>
      <c r="D1300" s="560"/>
      <c r="E1300" s="560"/>
      <c r="F1300" s="560"/>
      <c r="G1300" s="560"/>
      <c r="H1300" s="560"/>
      <c r="I1300" s="560"/>
      <c r="J1300" s="560"/>
    </row>
    <row r="1301" spans="1:10" x14ac:dyDescent="0.25">
      <c r="A1301" s="362">
        <v>15</v>
      </c>
      <c r="B1301" s="609">
        <v>44053</v>
      </c>
      <c r="C1301" s="362" t="s">
        <v>3435</v>
      </c>
      <c r="D1301" s="560"/>
      <c r="E1301" s="560"/>
      <c r="F1301" s="560"/>
      <c r="G1301" s="560"/>
      <c r="H1301" s="560"/>
      <c r="I1301" s="560"/>
      <c r="J1301" s="560"/>
    </row>
    <row r="1302" spans="1:10" x14ac:dyDescent="0.25">
      <c r="A1302" s="530"/>
      <c r="B1302" s="530"/>
      <c r="C1302" s="530"/>
      <c r="D1302" s="562"/>
      <c r="E1302" s="562"/>
      <c r="F1302" s="562"/>
      <c r="G1302" s="562"/>
      <c r="H1302" s="562"/>
      <c r="I1302" s="562"/>
      <c r="J1302" s="562"/>
    </row>
    <row r="1303" spans="1:10" x14ac:dyDescent="0.25">
      <c r="A1303" s="362">
        <v>1</v>
      </c>
      <c r="B1303" s="609">
        <v>44054</v>
      </c>
      <c r="C1303" s="362" t="s">
        <v>80</v>
      </c>
      <c r="D1303" s="560"/>
      <c r="E1303" s="560"/>
      <c r="F1303" s="560"/>
      <c r="G1303" s="560"/>
      <c r="H1303" s="560"/>
      <c r="I1303" s="560"/>
      <c r="J1303" s="560"/>
    </row>
    <row r="1304" spans="1:10" x14ac:dyDescent="0.25">
      <c r="A1304" s="362">
        <v>2</v>
      </c>
      <c r="B1304" s="609">
        <v>44054</v>
      </c>
      <c r="C1304" s="362" t="s">
        <v>83</v>
      </c>
      <c r="D1304" s="560"/>
      <c r="E1304" s="560"/>
      <c r="F1304" s="560"/>
      <c r="G1304" s="560"/>
      <c r="H1304" s="560"/>
      <c r="I1304" s="560"/>
      <c r="J1304" s="560"/>
    </row>
    <row r="1305" spans="1:10" x14ac:dyDescent="0.25">
      <c r="A1305" s="362">
        <v>3</v>
      </c>
      <c r="B1305" s="609">
        <v>44054</v>
      </c>
      <c r="C1305" s="362" t="s">
        <v>88</v>
      </c>
      <c r="D1305" s="560"/>
      <c r="E1305" s="560"/>
      <c r="F1305" s="560"/>
      <c r="G1305" s="560"/>
      <c r="H1305" s="560"/>
      <c r="I1305" s="560"/>
      <c r="J1305" s="560"/>
    </row>
    <row r="1306" spans="1:10" x14ac:dyDescent="0.25">
      <c r="A1306" s="362">
        <v>4</v>
      </c>
      <c r="B1306" s="609">
        <v>44054</v>
      </c>
      <c r="C1306" s="362" t="s">
        <v>146</v>
      </c>
      <c r="D1306" s="560"/>
      <c r="E1306" s="560"/>
      <c r="F1306" s="560"/>
      <c r="G1306" s="560"/>
      <c r="H1306" s="560"/>
      <c r="I1306" s="560"/>
      <c r="J1306" s="560"/>
    </row>
    <row r="1307" spans="1:10" x14ac:dyDescent="0.25">
      <c r="A1307" s="362">
        <v>5</v>
      </c>
      <c r="B1307" s="609">
        <v>44054</v>
      </c>
      <c r="C1307" s="362" t="s">
        <v>86</v>
      </c>
      <c r="D1307" s="560"/>
      <c r="E1307" s="560"/>
      <c r="F1307" s="560"/>
      <c r="G1307" s="560"/>
      <c r="H1307" s="560"/>
      <c r="I1307" s="560"/>
      <c r="J1307" s="560"/>
    </row>
    <row r="1308" spans="1:10" x14ac:dyDescent="0.25">
      <c r="A1308" s="362">
        <v>6</v>
      </c>
      <c r="B1308" s="609">
        <v>44054</v>
      </c>
      <c r="C1308" s="362" t="s">
        <v>89</v>
      </c>
      <c r="D1308" s="560"/>
      <c r="E1308" s="560"/>
      <c r="F1308" s="560"/>
      <c r="G1308" s="560"/>
      <c r="H1308" s="560"/>
      <c r="I1308" s="560"/>
      <c r="J1308" s="560"/>
    </row>
    <row r="1309" spans="1:10" x14ac:dyDescent="0.25">
      <c r="A1309" s="362">
        <v>7</v>
      </c>
      <c r="B1309" s="609">
        <v>44054</v>
      </c>
      <c r="C1309" s="362" t="s">
        <v>4751</v>
      </c>
      <c r="D1309" s="560"/>
      <c r="E1309" s="560"/>
      <c r="F1309" s="560"/>
      <c r="G1309" s="560"/>
      <c r="H1309" s="560"/>
      <c r="I1309" s="560"/>
      <c r="J1309" s="560"/>
    </row>
    <row r="1310" spans="1:10" x14ac:dyDescent="0.25">
      <c r="A1310" s="362">
        <v>8</v>
      </c>
      <c r="B1310" s="609">
        <v>44054</v>
      </c>
      <c r="C1310" s="362" t="s">
        <v>84</v>
      </c>
      <c r="D1310" s="560"/>
      <c r="E1310" s="560"/>
      <c r="F1310" s="560"/>
      <c r="G1310" s="560"/>
      <c r="H1310" s="560"/>
      <c r="I1310" s="560"/>
      <c r="J1310" s="560"/>
    </row>
    <row r="1311" spans="1:10" x14ac:dyDescent="0.25">
      <c r="A1311" s="362">
        <v>9</v>
      </c>
      <c r="B1311" s="609">
        <v>44054</v>
      </c>
      <c r="C1311" s="362" t="s">
        <v>81</v>
      </c>
      <c r="D1311" s="560"/>
      <c r="E1311" s="560"/>
      <c r="F1311" s="560"/>
      <c r="G1311" s="560"/>
      <c r="H1311" s="560"/>
      <c r="I1311" s="560"/>
      <c r="J1311" s="560"/>
    </row>
    <row r="1312" spans="1:10" x14ac:dyDescent="0.25">
      <c r="A1312" s="362">
        <v>10</v>
      </c>
      <c r="B1312" s="609">
        <v>44054</v>
      </c>
      <c r="C1312" s="362" t="s">
        <v>79</v>
      </c>
      <c r="D1312" s="560"/>
      <c r="E1312" s="560"/>
      <c r="F1312" s="560"/>
      <c r="G1312" s="560"/>
      <c r="H1312" s="560"/>
      <c r="I1312" s="560"/>
      <c r="J1312" s="560"/>
    </row>
    <row r="1313" spans="1:10" x14ac:dyDescent="0.25">
      <c r="A1313" s="362">
        <v>11</v>
      </c>
      <c r="B1313" s="609">
        <v>44054</v>
      </c>
      <c r="C1313" s="362" t="s">
        <v>82</v>
      </c>
      <c r="D1313" s="560"/>
      <c r="E1313" s="560"/>
      <c r="F1313" s="560"/>
      <c r="G1313" s="560"/>
      <c r="H1313" s="560"/>
      <c r="I1313" s="560"/>
      <c r="J1313" s="560"/>
    </row>
    <row r="1314" spans="1:10" x14ac:dyDescent="0.25">
      <c r="A1314" s="362">
        <v>12</v>
      </c>
      <c r="B1314" s="609">
        <v>44054</v>
      </c>
      <c r="C1314" s="362" t="s">
        <v>78</v>
      </c>
      <c r="D1314" s="560"/>
      <c r="E1314" s="560"/>
      <c r="F1314" s="560"/>
      <c r="G1314" s="560"/>
      <c r="H1314" s="560"/>
      <c r="I1314" s="560"/>
      <c r="J1314" s="560"/>
    </row>
    <row r="1315" spans="1:10" x14ac:dyDescent="0.25">
      <c r="A1315" s="362">
        <v>13</v>
      </c>
      <c r="B1315" s="609">
        <v>44054</v>
      </c>
      <c r="C1315" s="362" t="s">
        <v>85</v>
      </c>
      <c r="D1315" s="560"/>
      <c r="E1315" s="560"/>
      <c r="F1315" s="560"/>
      <c r="G1315" s="560"/>
      <c r="H1315" s="560"/>
      <c r="I1315" s="560"/>
      <c r="J1315" s="560"/>
    </row>
    <row r="1316" spans="1:10" x14ac:dyDescent="0.25">
      <c r="A1316" s="362">
        <v>14</v>
      </c>
      <c r="B1316" s="609">
        <v>44054</v>
      </c>
      <c r="C1316" s="362" t="s">
        <v>166</v>
      </c>
      <c r="D1316" s="560"/>
      <c r="E1316" s="560"/>
      <c r="F1316" s="560"/>
      <c r="G1316" s="560"/>
      <c r="H1316" s="560"/>
      <c r="I1316" s="560"/>
      <c r="J1316" s="560"/>
    </row>
    <row r="1317" spans="1:10" x14ac:dyDescent="0.25">
      <c r="A1317" s="362">
        <v>15</v>
      </c>
      <c r="B1317" s="609">
        <v>44054</v>
      </c>
      <c r="C1317" s="362" t="s">
        <v>3435</v>
      </c>
      <c r="D1317" s="560"/>
      <c r="E1317" s="560"/>
      <c r="F1317" s="560"/>
      <c r="G1317" s="560"/>
      <c r="H1317" s="560"/>
      <c r="I1317" s="560"/>
      <c r="J1317" s="560"/>
    </row>
    <row r="1318" spans="1:10" x14ac:dyDescent="0.25">
      <c r="A1318" s="530"/>
      <c r="B1318" s="530"/>
      <c r="C1318" s="530"/>
      <c r="D1318" s="562"/>
      <c r="E1318" s="562"/>
      <c r="F1318" s="562"/>
      <c r="G1318" s="562"/>
      <c r="H1318" s="562"/>
      <c r="I1318" s="562"/>
      <c r="J1318" s="562"/>
    </row>
    <row r="1319" spans="1:10" x14ac:dyDescent="0.25">
      <c r="A1319" s="362">
        <v>1</v>
      </c>
      <c r="B1319" s="609">
        <v>44055</v>
      </c>
      <c r="C1319" s="362" t="s">
        <v>80</v>
      </c>
      <c r="D1319" s="560"/>
      <c r="E1319" s="560"/>
      <c r="F1319" s="560"/>
      <c r="G1319" s="560"/>
      <c r="H1319" s="560"/>
      <c r="I1319" s="560"/>
      <c r="J1319" s="560"/>
    </row>
    <row r="1320" spans="1:10" x14ac:dyDescent="0.25">
      <c r="A1320" s="362">
        <v>2</v>
      </c>
      <c r="B1320" s="609">
        <v>44055</v>
      </c>
      <c r="C1320" s="362" t="s">
        <v>83</v>
      </c>
      <c r="D1320" s="560"/>
      <c r="E1320" s="560"/>
      <c r="F1320" s="560"/>
      <c r="G1320" s="560"/>
      <c r="H1320" s="560"/>
      <c r="I1320" s="560"/>
      <c r="J1320" s="560"/>
    </row>
    <row r="1321" spans="1:10" x14ac:dyDescent="0.25">
      <c r="A1321" s="362">
        <v>3</v>
      </c>
      <c r="B1321" s="609">
        <v>44055</v>
      </c>
      <c r="C1321" s="362" t="s">
        <v>88</v>
      </c>
      <c r="D1321" s="560"/>
      <c r="E1321" s="560"/>
      <c r="F1321" s="560"/>
      <c r="G1321" s="560"/>
      <c r="H1321" s="560"/>
      <c r="I1321" s="560"/>
      <c r="J1321" s="560"/>
    </row>
    <row r="1322" spans="1:10" x14ac:dyDescent="0.25">
      <c r="A1322" s="362">
        <v>4</v>
      </c>
      <c r="B1322" s="609">
        <v>44055</v>
      </c>
      <c r="C1322" s="362" t="s">
        <v>146</v>
      </c>
      <c r="D1322" s="560"/>
      <c r="E1322" s="560"/>
      <c r="F1322" s="560"/>
      <c r="G1322" s="560"/>
      <c r="H1322" s="560"/>
      <c r="I1322" s="560"/>
      <c r="J1322" s="560"/>
    </row>
    <row r="1323" spans="1:10" x14ac:dyDescent="0.25">
      <c r="A1323" s="362">
        <v>5</v>
      </c>
      <c r="B1323" s="609">
        <v>44055</v>
      </c>
      <c r="C1323" s="362" t="s">
        <v>86</v>
      </c>
      <c r="D1323" s="560"/>
      <c r="E1323" s="560"/>
      <c r="F1323" s="560"/>
      <c r="G1323" s="560"/>
      <c r="H1323" s="560"/>
      <c r="I1323" s="560"/>
      <c r="J1323" s="560"/>
    </row>
    <row r="1324" spans="1:10" x14ac:dyDescent="0.25">
      <c r="A1324" s="362">
        <v>6</v>
      </c>
      <c r="B1324" s="609">
        <v>44055</v>
      </c>
      <c r="C1324" s="362" t="s">
        <v>89</v>
      </c>
      <c r="D1324" s="560"/>
      <c r="E1324" s="560"/>
      <c r="F1324" s="560"/>
      <c r="G1324" s="560"/>
      <c r="H1324" s="560"/>
      <c r="I1324" s="560"/>
      <c r="J1324" s="560"/>
    </row>
    <row r="1325" spans="1:10" x14ac:dyDescent="0.25">
      <c r="A1325" s="362">
        <v>7</v>
      </c>
      <c r="B1325" s="609">
        <v>44055</v>
      </c>
      <c r="C1325" s="362" t="s">
        <v>4751</v>
      </c>
      <c r="D1325" s="560"/>
      <c r="E1325" s="560"/>
      <c r="F1325" s="560"/>
      <c r="G1325" s="560"/>
      <c r="H1325" s="560"/>
      <c r="I1325" s="560"/>
      <c r="J1325" s="560"/>
    </row>
    <row r="1326" spans="1:10" x14ac:dyDescent="0.25">
      <c r="A1326" s="362">
        <v>8</v>
      </c>
      <c r="B1326" s="609">
        <v>44055</v>
      </c>
      <c r="C1326" s="362" t="s">
        <v>84</v>
      </c>
      <c r="D1326" s="560"/>
      <c r="E1326" s="560"/>
      <c r="F1326" s="560"/>
      <c r="G1326" s="560"/>
      <c r="H1326" s="560"/>
      <c r="I1326" s="560"/>
      <c r="J1326" s="560"/>
    </row>
    <row r="1327" spans="1:10" x14ac:dyDescent="0.25">
      <c r="A1327" s="362">
        <v>9</v>
      </c>
      <c r="B1327" s="609">
        <v>44055</v>
      </c>
      <c r="C1327" s="362" t="s">
        <v>81</v>
      </c>
      <c r="D1327" s="560"/>
      <c r="E1327" s="560"/>
      <c r="F1327" s="560"/>
      <c r="G1327" s="560"/>
      <c r="H1327" s="560"/>
      <c r="I1327" s="560"/>
      <c r="J1327" s="560"/>
    </row>
    <row r="1328" spans="1:10" x14ac:dyDescent="0.25">
      <c r="A1328" s="362">
        <v>10</v>
      </c>
      <c r="B1328" s="609">
        <v>44055</v>
      </c>
      <c r="C1328" s="362" t="s">
        <v>79</v>
      </c>
      <c r="D1328" s="560"/>
      <c r="E1328" s="560"/>
      <c r="F1328" s="560"/>
      <c r="G1328" s="560"/>
      <c r="H1328" s="560"/>
      <c r="I1328" s="560"/>
      <c r="J1328" s="560"/>
    </row>
    <row r="1329" spans="1:10" x14ac:dyDescent="0.25">
      <c r="A1329" s="362">
        <v>11</v>
      </c>
      <c r="B1329" s="609">
        <v>44055</v>
      </c>
      <c r="C1329" s="362" t="s">
        <v>82</v>
      </c>
      <c r="D1329" s="560"/>
      <c r="E1329" s="560"/>
      <c r="F1329" s="560"/>
      <c r="G1329" s="560"/>
      <c r="H1329" s="560"/>
      <c r="I1329" s="560"/>
      <c r="J1329" s="560"/>
    </row>
    <row r="1330" spans="1:10" x14ac:dyDescent="0.25">
      <c r="A1330" s="362">
        <v>12</v>
      </c>
      <c r="B1330" s="609">
        <v>44055</v>
      </c>
      <c r="C1330" s="362" t="s">
        <v>78</v>
      </c>
      <c r="D1330" s="560"/>
      <c r="E1330" s="560"/>
      <c r="F1330" s="560"/>
      <c r="G1330" s="560"/>
      <c r="H1330" s="560"/>
      <c r="I1330" s="560"/>
      <c r="J1330" s="560"/>
    </row>
    <row r="1331" spans="1:10" x14ac:dyDescent="0.25">
      <c r="A1331" s="362">
        <v>13</v>
      </c>
      <c r="B1331" s="609">
        <v>44055</v>
      </c>
      <c r="C1331" s="362" t="s">
        <v>85</v>
      </c>
      <c r="D1331" s="560"/>
      <c r="E1331" s="560"/>
      <c r="F1331" s="560"/>
      <c r="G1331" s="560"/>
      <c r="H1331" s="560"/>
      <c r="I1331" s="560"/>
      <c r="J1331" s="560"/>
    </row>
    <row r="1332" spans="1:10" x14ac:dyDescent="0.25">
      <c r="A1332" s="362">
        <v>14</v>
      </c>
      <c r="B1332" s="609">
        <v>44055</v>
      </c>
      <c r="C1332" s="362" t="s">
        <v>166</v>
      </c>
      <c r="D1332" s="560"/>
      <c r="E1332" s="560"/>
      <c r="F1332" s="560"/>
      <c r="G1332" s="560"/>
      <c r="H1332" s="560"/>
      <c r="I1332" s="560"/>
      <c r="J1332" s="560"/>
    </row>
    <row r="1333" spans="1:10" x14ac:dyDescent="0.25">
      <c r="A1333" s="362">
        <v>15</v>
      </c>
      <c r="B1333" s="609">
        <v>44055</v>
      </c>
      <c r="C1333" s="362" t="s">
        <v>3435</v>
      </c>
      <c r="D1333" s="560"/>
      <c r="E1333" s="560"/>
      <c r="F1333" s="560"/>
      <c r="G1333" s="560"/>
      <c r="H1333" s="560"/>
      <c r="I1333" s="560"/>
      <c r="J1333" s="560"/>
    </row>
    <row r="1334" spans="1:10" x14ac:dyDescent="0.25">
      <c r="A1334" s="530"/>
      <c r="B1334" s="530"/>
      <c r="C1334" s="530"/>
      <c r="D1334" s="562"/>
      <c r="E1334" s="562"/>
      <c r="F1334" s="562"/>
      <c r="G1334" s="562"/>
      <c r="H1334" s="562"/>
      <c r="I1334" s="562"/>
      <c r="J1334" s="562"/>
    </row>
    <row r="1335" spans="1:10" x14ac:dyDescent="0.25">
      <c r="A1335" s="362">
        <v>1</v>
      </c>
      <c r="B1335" s="609">
        <v>44056</v>
      </c>
      <c r="C1335" s="362" t="s">
        <v>80</v>
      </c>
      <c r="D1335" s="560"/>
      <c r="E1335" s="560"/>
      <c r="F1335" s="560"/>
      <c r="G1335" s="560"/>
      <c r="H1335" s="560"/>
      <c r="I1335" s="560"/>
      <c r="J1335" s="560"/>
    </row>
    <row r="1336" spans="1:10" x14ac:dyDescent="0.25">
      <c r="A1336" s="362">
        <v>2</v>
      </c>
      <c r="B1336" s="609">
        <v>44056</v>
      </c>
      <c r="C1336" s="362" t="s">
        <v>83</v>
      </c>
      <c r="D1336" s="560"/>
      <c r="E1336" s="560"/>
      <c r="F1336" s="560"/>
      <c r="G1336" s="560"/>
      <c r="H1336" s="560"/>
      <c r="I1336" s="560"/>
      <c r="J1336" s="560"/>
    </row>
    <row r="1337" spans="1:10" x14ac:dyDescent="0.25">
      <c r="A1337" s="362">
        <v>3</v>
      </c>
      <c r="B1337" s="609">
        <v>44056</v>
      </c>
      <c r="C1337" s="362" t="s">
        <v>88</v>
      </c>
      <c r="D1337" s="560"/>
      <c r="E1337" s="560"/>
      <c r="F1337" s="560"/>
      <c r="G1337" s="560"/>
      <c r="H1337" s="560"/>
      <c r="I1337" s="560"/>
      <c r="J1337" s="560"/>
    </row>
    <row r="1338" spans="1:10" x14ac:dyDescent="0.25">
      <c r="A1338" s="362">
        <v>4</v>
      </c>
      <c r="B1338" s="609">
        <v>44056</v>
      </c>
      <c r="C1338" s="362" t="s">
        <v>146</v>
      </c>
      <c r="D1338" s="560"/>
      <c r="E1338" s="560"/>
      <c r="F1338" s="560"/>
      <c r="G1338" s="560"/>
      <c r="H1338" s="560"/>
      <c r="I1338" s="560"/>
      <c r="J1338" s="560"/>
    </row>
    <row r="1339" spans="1:10" x14ac:dyDescent="0.25">
      <c r="A1339" s="362">
        <v>5</v>
      </c>
      <c r="B1339" s="609">
        <v>44056</v>
      </c>
      <c r="C1339" s="362" t="s">
        <v>86</v>
      </c>
      <c r="D1339" s="560"/>
      <c r="E1339" s="560"/>
      <c r="F1339" s="560"/>
      <c r="G1339" s="560"/>
      <c r="H1339" s="560"/>
      <c r="I1339" s="560"/>
      <c r="J1339" s="560"/>
    </row>
    <row r="1340" spans="1:10" x14ac:dyDescent="0.25">
      <c r="A1340" s="362">
        <v>6</v>
      </c>
      <c r="B1340" s="609">
        <v>44056</v>
      </c>
      <c r="C1340" s="362" t="s">
        <v>89</v>
      </c>
      <c r="D1340" s="560"/>
      <c r="E1340" s="560"/>
      <c r="F1340" s="560"/>
      <c r="G1340" s="560"/>
      <c r="H1340" s="560"/>
      <c r="I1340" s="560"/>
      <c r="J1340" s="560"/>
    </row>
    <row r="1341" spans="1:10" x14ac:dyDescent="0.25">
      <c r="A1341" s="362">
        <v>7</v>
      </c>
      <c r="B1341" s="609">
        <v>44056</v>
      </c>
      <c r="C1341" s="362" t="s">
        <v>4751</v>
      </c>
      <c r="D1341" s="560"/>
      <c r="E1341" s="560"/>
      <c r="F1341" s="560"/>
      <c r="G1341" s="560"/>
      <c r="H1341" s="560"/>
      <c r="I1341" s="560"/>
      <c r="J1341" s="560"/>
    </row>
    <row r="1342" spans="1:10" x14ac:dyDescent="0.25">
      <c r="A1342" s="362">
        <v>8</v>
      </c>
      <c r="B1342" s="609">
        <v>44056</v>
      </c>
      <c r="C1342" s="362" t="s">
        <v>84</v>
      </c>
      <c r="D1342" s="560"/>
      <c r="E1342" s="560"/>
      <c r="F1342" s="560"/>
      <c r="G1342" s="560"/>
      <c r="H1342" s="560"/>
      <c r="I1342" s="560"/>
      <c r="J1342" s="560"/>
    </row>
    <row r="1343" spans="1:10" x14ac:dyDescent="0.25">
      <c r="A1343" s="362">
        <v>9</v>
      </c>
      <c r="B1343" s="609">
        <v>44056</v>
      </c>
      <c r="C1343" s="362" t="s">
        <v>81</v>
      </c>
      <c r="D1343" s="560"/>
      <c r="E1343" s="560"/>
      <c r="F1343" s="560"/>
      <c r="G1343" s="560"/>
      <c r="H1343" s="560"/>
      <c r="I1343" s="560"/>
      <c r="J1343" s="560"/>
    </row>
    <row r="1344" spans="1:10" x14ac:dyDescent="0.25">
      <c r="A1344" s="362">
        <v>10</v>
      </c>
      <c r="B1344" s="609">
        <v>44056</v>
      </c>
      <c r="C1344" s="362" t="s">
        <v>79</v>
      </c>
      <c r="D1344" s="560"/>
      <c r="E1344" s="560"/>
      <c r="F1344" s="560"/>
      <c r="G1344" s="560"/>
      <c r="H1344" s="560"/>
      <c r="I1344" s="560"/>
      <c r="J1344" s="560"/>
    </row>
    <row r="1345" spans="1:10" x14ac:dyDescent="0.25">
      <c r="A1345" s="362">
        <v>11</v>
      </c>
      <c r="B1345" s="609">
        <v>44056</v>
      </c>
      <c r="C1345" s="362" t="s">
        <v>82</v>
      </c>
      <c r="D1345" s="560"/>
      <c r="E1345" s="560"/>
      <c r="F1345" s="560"/>
      <c r="G1345" s="560"/>
      <c r="H1345" s="560"/>
      <c r="I1345" s="560"/>
      <c r="J1345" s="560"/>
    </row>
    <row r="1346" spans="1:10" x14ac:dyDescent="0.25">
      <c r="A1346" s="362">
        <v>12</v>
      </c>
      <c r="B1346" s="609">
        <v>44056</v>
      </c>
      <c r="C1346" s="362" t="s">
        <v>78</v>
      </c>
      <c r="D1346" s="560"/>
      <c r="E1346" s="560"/>
      <c r="F1346" s="560"/>
      <c r="G1346" s="560"/>
      <c r="H1346" s="560"/>
      <c r="I1346" s="560"/>
      <c r="J1346" s="560"/>
    </row>
    <row r="1347" spans="1:10" x14ac:dyDescent="0.25">
      <c r="A1347" s="362">
        <v>13</v>
      </c>
      <c r="B1347" s="609">
        <v>44056</v>
      </c>
      <c r="C1347" s="362" t="s">
        <v>85</v>
      </c>
      <c r="D1347" s="560"/>
      <c r="E1347" s="560"/>
      <c r="F1347" s="560"/>
      <c r="G1347" s="560"/>
      <c r="H1347" s="560"/>
      <c r="I1347" s="560"/>
      <c r="J1347" s="560"/>
    </row>
    <row r="1348" spans="1:10" x14ac:dyDescent="0.25">
      <c r="A1348" s="362">
        <v>14</v>
      </c>
      <c r="B1348" s="609">
        <v>44056</v>
      </c>
      <c r="C1348" s="362" t="s">
        <v>166</v>
      </c>
      <c r="D1348" s="560"/>
      <c r="E1348" s="560"/>
      <c r="F1348" s="560"/>
      <c r="G1348" s="560"/>
      <c r="H1348" s="560"/>
      <c r="I1348" s="560"/>
      <c r="J1348" s="560"/>
    </row>
    <row r="1349" spans="1:10" x14ac:dyDescent="0.25">
      <c r="A1349" s="362">
        <v>15</v>
      </c>
      <c r="B1349" s="609">
        <v>44056</v>
      </c>
      <c r="C1349" s="362" t="s">
        <v>3435</v>
      </c>
      <c r="D1349" s="560"/>
      <c r="E1349" s="560"/>
      <c r="F1349" s="560"/>
      <c r="G1349" s="560"/>
      <c r="H1349" s="560"/>
      <c r="I1349" s="560"/>
      <c r="J1349" s="560"/>
    </row>
    <row r="1350" spans="1:10" x14ac:dyDescent="0.25">
      <c r="A1350" s="530"/>
      <c r="B1350" s="530"/>
      <c r="C1350" s="530"/>
      <c r="D1350" s="562"/>
      <c r="E1350" s="562"/>
      <c r="F1350" s="562"/>
      <c r="G1350" s="562"/>
      <c r="H1350" s="562"/>
      <c r="I1350" s="562"/>
      <c r="J1350" s="562"/>
    </row>
    <row r="1351" spans="1:10" x14ac:dyDescent="0.25">
      <c r="A1351" s="362">
        <v>1</v>
      </c>
      <c r="B1351" s="609">
        <v>44057</v>
      </c>
      <c r="C1351" s="362" t="s">
        <v>80</v>
      </c>
      <c r="D1351" s="560"/>
      <c r="E1351" s="560"/>
      <c r="F1351" s="560"/>
      <c r="G1351" s="560"/>
      <c r="H1351" s="560"/>
      <c r="I1351" s="560"/>
      <c r="J1351" s="560"/>
    </row>
    <row r="1352" spans="1:10" x14ac:dyDescent="0.25">
      <c r="A1352" s="362">
        <v>2</v>
      </c>
      <c r="B1352" s="609">
        <v>44057</v>
      </c>
      <c r="C1352" s="362" t="s">
        <v>83</v>
      </c>
      <c r="D1352" s="560"/>
      <c r="E1352" s="560"/>
      <c r="F1352" s="560"/>
      <c r="G1352" s="560"/>
      <c r="H1352" s="560"/>
      <c r="I1352" s="560"/>
      <c r="J1352" s="560"/>
    </row>
    <row r="1353" spans="1:10" x14ac:dyDescent="0.25">
      <c r="A1353" s="362">
        <v>3</v>
      </c>
      <c r="B1353" s="609">
        <v>44057</v>
      </c>
      <c r="C1353" s="362" t="s">
        <v>88</v>
      </c>
      <c r="D1353" s="560"/>
      <c r="E1353" s="560"/>
      <c r="F1353" s="560"/>
      <c r="G1353" s="560"/>
      <c r="H1353" s="560"/>
      <c r="I1353" s="560"/>
      <c r="J1353" s="560"/>
    </row>
    <row r="1354" spans="1:10" x14ac:dyDescent="0.25">
      <c r="A1354" s="362">
        <v>4</v>
      </c>
      <c r="B1354" s="609">
        <v>44057</v>
      </c>
      <c r="C1354" s="362" t="s">
        <v>146</v>
      </c>
      <c r="D1354" s="560"/>
      <c r="E1354" s="560"/>
      <c r="F1354" s="560"/>
      <c r="G1354" s="560"/>
      <c r="H1354" s="560"/>
      <c r="I1354" s="560"/>
      <c r="J1354" s="560"/>
    </row>
    <row r="1355" spans="1:10" x14ac:dyDescent="0.25">
      <c r="A1355" s="362">
        <v>5</v>
      </c>
      <c r="B1355" s="609">
        <v>44057</v>
      </c>
      <c r="C1355" s="362" t="s">
        <v>86</v>
      </c>
      <c r="D1355" s="560"/>
      <c r="E1355" s="560"/>
      <c r="F1355" s="560"/>
      <c r="G1355" s="560"/>
      <c r="H1355" s="560"/>
      <c r="I1355" s="560"/>
      <c r="J1355" s="560"/>
    </row>
    <row r="1356" spans="1:10" x14ac:dyDescent="0.25">
      <c r="A1356" s="362">
        <v>6</v>
      </c>
      <c r="B1356" s="609">
        <v>44057</v>
      </c>
      <c r="C1356" s="362" t="s">
        <v>89</v>
      </c>
      <c r="D1356" s="560"/>
      <c r="E1356" s="560"/>
      <c r="F1356" s="560"/>
      <c r="G1356" s="560"/>
      <c r="H1356" s="560"/>
      <c r="I1356" s="560"/>
      <c r="J1356" s="560"/>
    </row>
    <row r="1357" spans="1:10" x14ac:dyDescent="0.25">
      <c r="A1357" s="362">
        <v>7</v>
      </c>
      <c r="B1357" s="609">
        <v>44057</v>
      </c>
      <c r="C1357" s="362" t="s">
        <v>4751</v>
      </c>
      <c r="D1357" s="560"/>
      <c r="E1357" s="560"/>
      <c r="F1357" s="560"/>
      <c r="G1357" s="560"/>
      <c r="H1357" s="560"/>
      <c r="I1357" s="560"/>
      <c r="J1357" s="560"/>
    </row>
    <row r="1358" spans="1:10" x14ac:dyDescent="0.25">
      <c r="A1358" s="362">
        <v>8</v>
      </c>
      <c r="B1358" s="609">
        <v>44057</v>
      </c>
      <c r="C1358" s="362" t="s">
        <v>84</v>
      </c>
      <c r="D1358" s="560"/>
      <c r="E1358" s="560"/>
      <c r="F1358" s="560"/>
      <c r="G1358" s="560"/>
      <c r="H1358" s="560"/>
      <c r="I1358" s="560"/>
      <c r="J1358" s="560"/>
    </row>
    <row r="1359" spans="1:10" x14ac:dyDescent="0.25">
      <c r="A1359" s="362">
        <v>9</v>
      </c>
      <c r="B1359" s="609">
        <v>44057</v>
      </c>
      <c r="C1359" s="362" t="s">
        <v>81</v>
      </c>
      <c r="D1359" s="560"/>
      <c r="E1359" s="560"/>
      <c r="F1359" s="560"/>
      <c r="G1359" s="560"/>
      <c r="H1359" s="560"/>
      <c r="I1359" s="560"/>
      <c r="J1359" s="560"/>
    </row>
    <row r="1360" spans="1:10" x14ac:dyDescent="0.25">
      <c r="A1360" s="362">
        <v>10</v>
      </c>
      <c r="B1360" s="609">
        <v>44057</v>
      </c>
      <c r="C1360" s="362" t="s">
        <v>79</v>
      </c>
      <c r="D1360" s="560"/>
      <c r="E1360" s="560"/>
      <c r="F1360" s="560"/>
      <c r="G1360" s="560"/>
      <c r="H1360" s="560"/>
      <c r="I1360" s="560"/>
      <c r="J1360" s="560"/>
    </row>
    <row r="1361" spans="1:10" x14ac:dyDescent="0.25">
      <c r="A1361" s="362">
        <v>11</v>
      </c>
      <c r="B1361" s="609">
        <v>44057</v>
      </c>
      <c r="C1361" s="362" t="s">
        <v>82</v>
      </c>
      <c r="D1361" s="560"/>
      <c r="E1361" s="560"/>
      <c r="F1361" s="560"/>
      <c r="G1361" s="560"/>
      <c r="H1361" s="560"/>
      <c r="I1361" s="560"/>
      <c r="J1361" s="560"/>
    </row>
    <row r="1362" spans="1:10" x14ac:dyDescent="0.25">
      <c r="A1362" s="362">
        <v>12</v>
      </c>
      <c r="B1362" s="609">
        <v>44057</v>
      </c>
      <c r="C1362" s="362" t="s">
        <v>78</v>
      </c>
      <c r="D1362" s="560"/>
      <c r="E1362" s="560"/>
      <c r="F1362" s="560"/>
      <c r="G1362" s="560"/>
      <c r="H1362" s="560"/>
      <c r="I1362" s="560"/>
      <c r="J1362" s="560"/>
    </row>
    <row r="1363" spans="1:10" x14ac:dyDescent="0.25">
      <c r="A1363" s="362">
        <v>13</v>
      </c>
      <c r="B1363" s="609">
        <v>44057</v>
      </c>
      <c r="C1363" s="362" t="s">
        <v>85</v>
      </c>
      <c r="D1363" s="560"/>
      <c r="E1363" s="560"/>
      <c r="F1363" s="560"/>
      <c r="G1363" s="560"/>
      <c r="H1363" s="560"/>
      <c r="I1363" s="560"/>
      <c r="J1363" s="560"/>
    </row>
    <row r="1364" spans="1:10" x14ac:dyDescent="0.25">
      <c r="A1364" s="362">
        <v>14</v>
      </c>
      <c r="B1364" s="609">
        <v>44057</v>
      </c>
      <c r="C1364" s="362" t="s">
        <v>166</v>
      </c>
      <c r="D1364" s="560"/>
      <c r="E1364" s="560"/>
      <c r="F1364" s="560"/>
      <c r="G1364" s="560"/>
      <c r="H1364" s="560"/>
      <c r="I1364" s="560"/>
      <c r="J1364" s="560"/>
    </row>
    <row r="1365" spans="1:10" x14ac:dyDescent="0.25">
      <c r="A1365" s="362">
        <v>15</v>
      </c>
      <c r="B1365" s="609">
        <v>44057</v>
      </c>
      <c r="C1365" s="362" t="s">
        <v>3435</v>
      </c>
      <c r="D1365" s="560"/>
      <c r="E1365" s="560"/>
      <c r="F1365" s="560"/>
      <c r="G1365" s="560"/>
      <c r="H1365" s="560"/>
      <c r="I1365" s="560"/>
      <c r="J1365" s="560"/>
    </row>
    <row r="1366" spans="1:10" x14ac:dyDescent="0.25">
      <c r="A1366" s="530"/>
      <c r="B1366" s="530"/>
      <c r="C1366" s="530"/>
      <c r="D1366" s="562"/>
      <c r="E1366" s="562"/>
      <c r="F1366" s="562"/>
      <c r="G1366" s="562"/>
      <c r="H1366" s="562"/>
      <c r="I1366" s="562"/>
      <c r="J1366" s="562"/>
    </row>
    <row r="1367" spans="1:10" x14ac:dyDescent="0.25">
      <c r="A1367" s="362">
        <v>1</v>
      </c>
      <c r="B1367" s="609">
        <v>44058</v>
      </c>
      <c r="C1367" s="362" t="s">
        <v>80</v>
      </c>
      <c r="D1367" s="560"/>
      <c r="E1367" s="560"/>
      <c r="F1367" s="560"/>
      <c r="G1367" s="560"/>
      <c r="H1367" s="560"/>
      <c r="I1367" s="560"/>
      <c r="J1367" s="560"/>
    </row>
    <row r="1368" spans="1:10" x14ac:dyDescent="0.25">
      <c r="A1368" s="362">
        <v>2</v>
      </c>
      <c r="B1368" s="609">
        <v>44058</v>
      </c>
      <c r="C1368" s="362" t="s">
        <v>83</v>
      </c>
      <c r="D1368" s="560"/>
      <c r="E1368" s="560"/>
      <c r="F1368" s="560"/>
      <c r="G1368" s="560"/>
      <c r="H1368" s="560"/>
      <c r="I1368" s="560"/>
      <c r="J1368" s="560"/>
    </row>
    <row r="1369" spans="1:10" x14ac:dyDescent="0.25">
      <c r="A1369" s="362">
        <v>3</v>
      </c>
      <c r="B1369" s="609">
        <v>44058</v>
      </c>
      <c r="C1369" s="362" t="s">
        <v>88</v>
      </c>
      <c r="D1369" s="560"/>
      <c r="E1369" s="560"/>
      <c r="F1369" s="560"/>
      <c r="G1369" s="560"/>
      <c r="H1369" s="560"/>
      <c r="I1369" s="560"/>
      <c r="J1369" s="560"/>
    </row>
    <row r="1370" spans="1:10" x14ac:dyDescent="0.25">
      <c r="A1370" s="362">
        <v>4</v>
      </c>
      <c r="B1370" s="609">
        <v>44058</v>
      </c>
      <c r="C1370" s="362" t="s">
        <v>146</v>
      </c>
      <c r="D1370" s="560"/>
      <c r="E1370" s="560"/>
      <c r="F1370" s="560"/>
      <c r="G1370" s="560"/>
      <c r="H1370" s="560"/>
      <c r="I1370" s="560"/>
      <c r="J1370" s="560"/>
    </row>
    <row r="1371" spans="1:10" x14ac:dyDescent="0.25">
      <c r="A1371" s="362">
        <v>5</v>
      </c>
      <c r="B1371" s="609">
        <v>44058</v>
      </c>
      <c r="C1371" s="362" t="s">
        <v>86</v>
      </c>
      <c r="D1371" s="560"/>
      <c r="E1371" s="560"/>
      <c r="F1371" s="560"/>
      <c r="G1371" s="560"/>
      <c r="H1371" s="560"/>
      <c r="I1371" s="560"/>
      <c r="J1371" s="560"/>
    </row>
    <row r="1372" spans="1:10" x14ac:dyDescent="0.25">
      <c r="A1372" s="362">
        <v>6</v>
      </c>
      <c r="B1372" s="609">
        <v>44058</v>
      </c>
      <c r="C1372" s="362" t="s">
        <v>89</v>
      </c>
      <c r="D1372" s="560"/>
      <c r="E1372" s="560"/>
      <c r="F1372" s="560"/>
      <c r="G1372" s="560"/>
      <c r="H1372" s="560"/>
      <c r="I1372" s="560"/>
      <c r="J1372" s="560"/>
    </row>
    <row r="1373" spans="1:10" x14ac:dyDescent="0.25">
      <c r="A1373" s="362">
        <v>7</v>
      </c>
      <c r="B1373" s="609">
        <v>44058</v>
      </c>
      <c r="C1373" s="362" t="s">
        <v>4751</v>
      </c>
      <c r="D1373" s="560"/>
      <c r="E1373" s="560"/>
      <c r="F1373" s="560"/>
      <c r="G1373" s="560"/>
      <c r="H1373" s="560"/>
      <c r="I1373" s="560"/>
      <c r="J1373" s="560"/>
    </row>
    <row r="1374" spans="1:10" x14ac:dyDescent="0.25">
      <c r="A1374" s="362">
        <v>8</v>
      </c>
      <c r="B1374" s="609">
        <v>44058</v>
      </c>
      <c r="C1374" s="362" t="s">
        <v>84</v>
      </c>
      <c r="D1374" s="560"/>
      <c r="E1374" s="560"/>
      <c r="F1374" s="560"/>
      <c r="G1374" s="560"/>
      <c r="H1374" s="560"/>
      <c r="I1374" s="560"/>
      <c r="J1374" s="560"/>
    </row>
    <row r="1375" spans="1:10" x14ac:dyDescent="0.25">
      <c r="A1375" s="362">
        <v>9</v>
      </c>
      <c r="B1375" s="609">
        <v>44058</v>
      </c>
      <c r="C1375" s="362" t="s">
        <v>81</v>
      </c>
      <c r="D1375" s="560"/>
      <c r="E1375" s="560"/>
      <c r="F1375" s="560"/>
      <c r="G1375" s="560"/>
      <c r="H1375" s="560"/>
      <c r="I1375" s="560"/>
      <c r="J1375" s="560"/>
    </row>
    <row r="1376" spans="1:10" x14ac:dyDescent="0.25">
      <c r="A1376" s="362">
        <v>10</v>
      </c>
      <c r="B1376" s="609">
        <v>44058</v>
      </c>
      <c r="C1376" s="362" t="s">
        <v>79</v>
      </c>
      <c r="D1376" s="560"/>
      <c r="E1376" s="560"/>
      <c r="F1376" s="560"/>
      <c r="G1376" s="560"/>
      <c r="H1376" s="560"/>
      <c r="I1376" s="560"/>
      <c r="J1376" s="560"/>
    </row>
    <row r="1377" spans="1:10" x14ac:dyDescent="0.25">
      <c r="A1377" s="362">
        <v>11</v>
      </c>
      <c r="B1377" s="609">
        <v>44058</v>
      </c>
      <c r="C1377" s="362" t="s">
        <v>82</v>
      </c>
      <c r="D1377" s="560"/>
      <c r="E1377" s="560"/>
      <c r="F1377" s="560"/>
      <c r="G1377" s="560"/>
      <c r="H1377" s="560"/>
      <c r="I1377" s="560"/>
      <c r="J1377" s="560"/>
    </row>
    <row r="1378" spans="1:10" x14ac:dyDescent="0.25">
      <c r="A1378" s="362">
        <v>12</v>
      </c>
      <c r="B1378" s="609">
        <v>44058</v>
      </c>
      <c r="C1378" s="362" t="s">
        <v>78</v>
      </c>
      <c r="D1378" s="560"/>
      <c r="E1378" s="560"/>
      <c r="F1378" s="560"/>
      <c r="G1378" s="560"/>
      <c r="H1378" s="560"/>
      <c r="I1378" s="560"/>
      <c r="J1378" s="560"/>
    </row>
    <row r="1379" spans="1:10" x14ac:dyDescent="0.25">
      <c r="A1379" s="362">
        <v>13</v>
      </c>
      <c r="B1379" s="609">
        <v>44058</v>
      </c>
      <c r="C1379" s="362" t="s">
        <v>85</v>
      </c>
      <c r="D1379" s="560"/>
      <c r="E1379" s="560"/>
      <c r="F1379" s="560"/>
      <c r="G1379" s="560"/>
      <c r="H1379" s="560"/>
      <c r="I1379" s="560"/>
      <c r="J1379" s="560"/>
    </row>
    <row r="1380" spans="1:10" x14ac:dyDescent="0.25">
      <c r="A1380" s="362">
        <v>14</v>
      </c>
      <c r="B1380" s="609">
        <v>44058</v>
      </c>
      <c r="C1380" s="362" t="s">
        <v>166</v>
      </c>
      <c r="D1380" s="560"/>
      <c r="E1380" s="560"/>
      <c r="F1380" s="560"/>
      <c r="G1380" s="560"/>
      <c r="H1380" s="560"/>
      <c r="I1380" s="560"/>
      <c r="J1380" s="560"/>
    </row>
    <row r="1381" spans="1:10" x14ac:dyDescent="0.25">
      <c r="A1381" s="362">
        <v>15</v>
      </c>
      <c r="B1381" s="609">
        <v>44058</v>
      </c>
      <c r="C1381" s="362" t="s">
        <v>3435</v>
      </c>
      <c r="D1381" s="560"/>
      <c r="E1381" s="560"/>
      <c r="F1381" s="560"/>
      <c r="G1381" s="560"/>
      <c r="H1381" s="560"/>
      <c r="I1381" s="560"/>
      <c r="J1381" s="560"/>
    </row>
    <row r="1382" spans="1:10" x14ac:dyDescent="0.25">
      <c r="A1382" s="530"/>
      <c r="B1382" s="530"/>
      <c r="C1382" s="530"/>
      <c r="D1382" s="562"/>
      <c r="E1382" s="562"/>
      <c r="F1382" s="562"/>
      <c r="G1382" s="562"/>
      <c r="H1382" s="562"/>
      <c r="I1382" s="562"/>
      <c r="J1382" s="562"/>
    </row>
    <row r="1383" spans="1:10" x14ac:dyDescent="0.25">
      <c r="A1383" s="362">
        <v>1</v>
      </c>
      <c r="B1383" s="609">
        <v>44060</v>
      </c>
      <c r="C1383" s="362" t="s">
        <v>80</v>
      </c>
      <c r="D1383" s="560"/>
      <c r="E1383" s="560"/>
      <c r="F1383" s="560"/>
      <c r="G1383" s="560"/>
      <c r="H1383" s="560"/>
      <c r="I1383" s="560"/>
      <c r="J1383" s="560"/>
    </row>
    <row r="1384" spans="1:10" x14ac:dyDescent="0.25">
      <c r="A1384" s="362">
        <v>2</v>
      </c>
      <c r="B1384" s="609">
        <v>44060</v>
      </c>
      <c r="C1384" s="362" t="s">
        <v>83</v>
      </c>
      <c r="D1384" s="560"/>
      <c r="E1384" s="560"/>
      <c r="F1384" s="560"/>
      <c r="G1384" s="560"/>
      <c r="H1384" s="560"/>
      <c r="I1384" s="560"/>
      <c r="J1384" s="560"/>
    </row>
    <row r="1385" spans="1:10" x14ac:dyDescent="0.25">
      <c r="A1385" s="362">
        <v>3</v>
      </c>
      <c r="B1385" s="609">
        <v>44060</v>
      </c>
      <c r="C1385" s="362" t="s">
        <v>88</v>
      </c>
      <c r="D1385" s="560"/>
      <c r="E1385" s="560"/>
      <c r="F1385" s="560"/>
      <c r="G1385" s="560"/>
      <c r="H1385" s="560"/>
      <c r="I1385" s="560"/>
      <c r="J1385" s="560"/>
    </row>
    <row r="1386" spans="1:10" x14ac:dyDescent="0.25">
      <c r="A1386" s="362">
        <v>4</v>
      </c>
      <c r="B1386" s="609">
        <v>44060</v>
      </c>
      <c r="C1386" s="362" t="s">
        <v>146</v>
      </c>
      <c r="D1386" s="560"/>
      <c r="E1386" s="560"/>
      <c r="F1386" s="560"/>
      <c r="G1386" s="560"/>
      <c r="H1386" s="560"/>
      <c r="I1386" s="560"/>
      <c r="J1386" s="560"/>
    </row>
    <row r="1387" spans="1:10" x14ac:dyDescent="0.25">
      <c r="A1387" s="362">
        <v>5</v>
      </c>
      <c r="B1387" s="609">
        <v>44060</v>
      </c>
      <c r="C1387" s="362" t="s">
        <v>86</v>
      </c>
      <c r="D1387" s="560"/>
      <c r="E1387" s="560"/>
      <c r="F1387" s="560"/>
      <c r="G1387" s="560"/>
      <c r="H1387" s="560"/>
      <c r="I1387" s="560"/>
      <c r="J1387" s="560"/>
    </row>
    <row r="1388" spans="1:10" x14ac:dyDescent="0.25">
      <c r="A1388" s="362">
        <v>6</v>
      </c>
      <c r="B1388" s="609">
        <v>44060</v>
      </c>
      <c r="C1388" s="362" t="s">
        <v>89</v>
      </c>
      <c r="D1388" s="560"/>
      <c r="E1388" s="560"/>
      <c r="F1388" s="560"/>
      <c r="G1388" s="560"/>
      <c r="H1388" s="560"/>
      <c r="I1388" s="560"/>
      <c r="J1388" s="560"/>
    </row>
    <row r="1389" spans="1:10" x14ac:dyDescent="0.25">
      <c r="A1389" s="362">
        <v>7</v>
      </c>
      <c r="B1389" s="609">
        <v>44060</v>
      </c>
      <c r="C1389" s="362" t="s">
        <v>4751</v>
      </c>
      <c r="D1389" s="560"/>
      <c r="E1389" s="560"/>
      <c r="F1389" s="560"/>
      <c r="G1389" s="560"/>
      <c r="H1389" s="560"/>
      <c r="I1389" s="560"/>
      <c r="J1389" s="560"/>
    </row>
    <row r="1390" spans="1:10" x14ac:dyDescent="0.25">
      <c r="A1390" s="362">
        <v>8</v>
      </c>
      <c r="B1390" s="609">
        <v>44060</v>
      </c>
      <c r="C1390" s="362" t="s">
        <v>84</v>
      </c>
      <c r="D1390" s="560"/>
      <c r="E1390" s="560"/>
      <c r="F1390" s="560"/>
      <c r="G1390" s="560"/>
      <c r="H1390" s="560"/>
      <c r="I1390" s="560"/>
      <c r="J1390" s="560"/>
    </row>
    <row r="1391" spans="1:10" x14ac:dyDescent="0.25">
      <c r="A1391" s="362">
        <v>9</v>
      </c>
      <c r="B1391" s="609">
        <v>44060</v>
      </c>
      <c r="C1391" s="362" t="s">
        <v>81</v>
      </c>
      <c r="D1391" s="560"/>
      <c r="E1391" s="560"/>
      <c r="F1391" s="560"/>
      <c r="G1391" s="560"/>
      <c r="H1391" s="560"/>
      <c r="I1391" s="560"/>
      <c r="J1391" s="560"/>
    </row>
    <row r="1392" spans="1:10" x14ac:dyDescent="0.25">
      <c r="A1392" s="362">
        <v>10</v>
      </c>
      <c r="B1392" s="609">
        <v>44060</v>
      </c>
      <c r="C1392" s="362" t="s">
        <v>79</v>
      </c>
      <c r="D1392" s="560"/>
      <c r="E1392" s="560"/>
      <c r="F1392" s="560"/>
      <c r="G1392" s="560"/>
      <c r="H1392" s="560"/>
      <c r="I1392" s="560"/>
      <c r="J1392" s="560"/>
    </row>
    <row r="1393" spans="1:10" x14ac:dyDescent="0.25">
      <c r="A1393" s="362">
        <v>11</v>
      </c>
      <c r="B1393" s="609">
        <v>44060</v>
      </c>
      <c r="C1393" s="362" t="s">
        <v>82</v>
      </c>
      <c r="D1393" s="560"/>
      <c r="E1393" s="560"/>
      <c r="F1393" s="560"/>
      <c r="G1393" s="560"/>
      <c r="H1393" s="560"/>
      <c r="I1393" s="560"/>
      <c r="J1393" s="560"/>
    </row>
    <row r="1394" spans="1:10" x14ac:dyDescent="0.25">
      <c r="A1394" s="362">
        <v>12</v>
      </c>
      <c r="B1394" s="609">
        <v>44060</v>
      </c>
      <c r="C1394" s="362" t="s">
        <v>78</v>
      </c>
      <c r="D1394" s="560"/>
      <c r="E1394" s="560"/>
      <c r="F1394" s="560"/>
      <c r="G1394" s="560"/>
      <c r="H1394" s="560"/>
      <c r="I1394" s="560"/>
      <c r="J1394" s="560"/>
    </row>
    <row r="1395" spans="1:10" x14ac:dyDescent="0.25">
      <c r="A1395" s="362">
        <v>13</v>
      </c>
      <c r="B1395" s="609">
        <v>44060</v>
      </c>
      <c r="C1395" s="362" t="s">
        <v>85</v>
      </c>
      <c r="D1395" s="560"/>
      <c r="E1395" s="560"/>
      <c r="F1395" s="560"/>
      <c r="G1395" s="560"/>
      <c r="H1395" s="560"/>
      <c r="I1395" s="560"/>
      <c r="J1395" s="560"/>
    </row>
    <row r="1396" spans="1:10" x14ac:dyDescent="0.25">
      <c r="A1396" s="362">
        <v>14</v>
      </c>
      <c r="B1396" s="609">
        <v>44060</v>
      </c>
      <c r="C1396" s="362" t="s">
        <v>166</v>
      </c>
      <c r="D1396" s="560"/>
      <c r="E1396" s="560"/>
      <c r="F1396" s="560"/>
      <c r="G1396" s="560"/>
      <c r="H1396" s="560"/>
      <c r="I1396" s="560"/>
      <c r="J1396" s="560"/>
    </row>
    <row r="1397" spans="1:10" x14ac:dyDescent="0.25">
      <c r="A1397" s="362">
        <v>15</v>
      </c>
      <c r="B1397" s="609">
        <v>44060</v>
      </c>
      <c r="C1397" s="362" t="s">
        <v>3435</v>
      </c>
      <c r="D1397" s="560"/>
      <c r="E1397" s="560"/>
      <c r="F1397" s="560"/>
      <c r="G1397" s="560"/>
      <c r="H1397" s="560"/>
      <c r="I1397" s="560"/>
      <c r="J1397" s="560"/>
    </row>
    <row r="1398" spans="1:10" x14ac:dyDescent="0.25">
      <c r="A1398" s="530"/>
      <c r="B1398" s="530"/>
      <c r="C1398" s="530"/>
      <c r="D1398" s="562"/>
      <c r="E1398" s="562"/>
      <c r="F1398" s="562"/>
      <c r="G1398" s="562"/>
      <c r="H1398" s="562"/>
      <c r="I1398" s="562"/>
      <c r="J1398" s="562"/>
    </row>
    <row r="1399" spans="1:10" x14ac:dyDescent="0.25">
      <c r="A1399" s="362">
        <v>1</v>
      </c>
      <c r="B1399" s="609">
        <v>44061</v>
      </c>
      <c r="C1399" s="362" t="s">
        <v>80</v>
      </c>
      <c r="D1399" s="560"/>
      <c r="E1399" s="560"/>
      <c r="F1399" s="560"/>
      <c r="G1399" s="560"/>
      <c r="H1399" s="560"/>
      <c r="I1399" s="560"/>
      <c r="J1399" s="560"/>
    </row>
    <row r="1400" spans="1:10" x14ac:dyDescent="0.25">
      <c r="A1400" s="362">
        <v>2</v>
      </c>
      <c r="B1400" s="609">
        <v>44061</v>
      </c>
      <c r="C1400" s="362" t="s">
        <v>83</v>
      </c>
      <c r="D1400" s="560"/>
      <c r="E1400" s="560"/>
      <c r="F1400" s="560"/>
      <c r="G1400" s="560"/>
      <c r="H1400" s="560"/>
      <c r="I1400" s="560"/>
      <c r="J1400" s="560"/>
    </row>
    <row r="1401" spans="1:10" x14ac:dyDescent="0.25">
      <c r="A1401" s="362">
        <v>3</v>
      </c>
      <c r="B1401" s="609">
        <v>44061</v>
      </c>
      <c r="C1401" s="362" t="s">
        <v>88</v>
      </c>
      <c r="D1401" s="560"/>
      <c r="E1401" s="560"/>
      <c r="F1401" s="560"/>
      <c r="G1401" s="560"/>
      <c r="H1401" s="560"/>
      <c r="I1401" s="560"/>
      <c r="J1401" s="560"/>
    </row>
    <row r="1402" spans="1:10" x14ac:dyDescent="0.25">
      <c r="A1402" s="362">
        <v>4</v>
      </c>
      <c r="B1402" s="609">
        <v>44061</v>
      </c>
      <c r="C1402" s="362" t="s">
        <v>146</v>
      </c>
      <c r="D1402" s="560"/>
      <c r="E1402" s="560"/>
      <c r="F1402" s="560"/>
      <c r="G1402" s="560"/>
      <c r="H1402" s="560"/>
      <c r="I1402" s="560"/>
      <c r="J1402" s="560"/>
    </row>
    <row r="1403" spans="1:10" x14ac:dyDescent="0.25">
      <c r="A1403" s="362">
        <v>5</v>
      </c>
      <c r="B1403" s="609">
        <v>44061</v>
      </c>
      <c r="C1403" s="362" t="s">
        <v>86</v>
      </c>
      <c r="D1403" s="560"/>
      <c r="E1403" s="560"/>
      <c r="F1403" s="560"/>
      <c r="G1403" s="560"/>
      <c r="H1403" s="560"/>
      <c r="I1403" s="560"/>
      <c r="J1403" s="560"/>
    </row>
    <row r="1404" spans="1:10" x14ac:dyDescent="0.25">
      <c r="A1404" s="362">
        <v>6</v>
      </c>
      <c r="B1404" s="609">
        <v>44061</v>
      </c>
      <c r="C1404" s="362" t="s">
        <v>89</v>
      </c>
      <c r="D1404" s="560"/>
      <c r="E1404" s="560"/>
      <c r="F1404" s="560"/>
      <c r="G1404" s="560"/>
      <c r="H1404" s="560"/>
      <c r="I1404" s="560"/>
      <c r="J1404" s="560"/>
    </row>
    <row r="1405" spans="1:10" x14ac:dyDescent="0.25">
      <c r="A1405" s="362">
        <v>7</v>
      </c>
      <c r="B1405" s="609">
        <v>44061</v>
      </c>
      <c r="C1405" s="362" t="s">
        <v>4751</v>
      </c>
      <c r="D1405" s="560"/>
      <c r="E1405" s="560"/>
      <c r="F1405" s="560"/>
      <c r="G1405" s="560"/>
      <c r="H1405" s="560"/>
      <c r="I1405" s="560"/>
      <c r="J1405" s="560"/>
    </row>
    <row r="1406" spans="1:10" x14ac:dyDescent="0.25">
      <c r="A1406" s="362">
        <v>8</v>
      </c>
      <c r="B1406" s="609">
        <v>44061</v>
      </c>
      <c r="C1406" s="362" t="s">
        <v>84</v>
      </c>
      <c r="D1406" s="560"/>
      <c r="E1406" s="560"/>
      <c r="F1406" s="560"/>
      <c r="G1406" s="560"/>
      <c r="H1406" s="560"/>
      <c r="I1406" s="560"/>
      <c r="J1406" s="560"/>
    </row>
    <row r="1407" spans="1:10" x14ac:dyDescent="0.25">
      <c r="A1407" s="362">
        <v>9</v>
      </c>
      <c r="B1407" s="609">
        <v>44061</v>
      </c>
      <c r="C1407" s="362" t="s">
        <v>81</v>
      </c>
      <c r="D1407" s="560"/>
      <c r="E1407" s="560"/>
      <c r="F1407" s="560"/>
      <c r="G1407" s="560"/>
      <c r="H1407" s="560"/>
      <c r="I1407" s="560"/>
      <c r="J1407" s="560"/>
    </row>
    <row r="1408" spans="1:10" x14ac:dyDescent="0.25">
      <c r="A1408" s="362">
        <v>10</v>
      </c>
      <c r="B1408" s="609">
        <v>44061</v>
      </c>
      <c r="C1408" s="362" t="s">
        <v>79</v>
      </c>
      <c r="D1408" s="560"/>
      <c r="E1408" s="560"/>
      <c r="F1408" s="560"/>
      <c r="G1408" s="560"/>
      <c r="H1408" s="560"/>
      <c r="I1408" s="560"/>
      <c r="J1408" s="560"/>
    </row>
    <row r="1409" spans="1:10" x14ac:dyDescent="0.25">
      <c r="A1409" s="362">
        <v>11</v>
      </c>
      <c r="B1409" s="609">
        <v>44061</v>
      </c>
      <c r="C1409" s="362" t="s">
        <v>82</v>
      </c>
      <c r="D1409" s="560"/>
      <c r="E1409" s="560"/>
      <c r="F1409" s="560"/>
      <c r="G1409" s="560"/>
      <c r="H1409" s="560"/>
      <c r="I1409" s="560"/>
      <c r="J1409" s="560"/>
    </row>
    <row r="1410" spans="1:10" x14ac:dyDescent="0.25">
      <c r="A1410" s="362">
        <v>12</v>
      </c>
      <c r="B1410" s="609">
        <v>44061</v>
      </c>
      <c r="C1410" s="362" t="s">
        <v>78</v>
      </c>
      <c r="D1410" s="560"/>
      <c r="E1410" s="560"/>
      <c r="F1410" s="560"/>
      <c r="G1410" s="560"/>
      <c r="H1410" s="560"/>
      <c r="I1410" s="560"/>
      <c r="J1410" s="560"/>
    </row>
    <row r="1411" spans="1:10" x14ac:dyDescent="0.25">
      <c r="A1411" s="362">
        <v>13</v>
      </c>
      <c r="B1411" s="609">
        <v>44061</v>
      </c>
      <c r="C1411" s="362" t="s">
        <v>85</v>
      </c>
      <c r="D1411" s="560"/>
      <c r="E1411" s="560"/>
      <c r="F1411" s="560"/>
      <c r="G1411" s="560"/>
      <c r="H1411" s="560"/>
      <c r="I1411" s="560"/>
      <c r="J1411" s="560"/>
    </row>
    <row r="1412" spans="1:10" x14ac:dyDescent="0.25">
      <c r="A1412" s="362">
        <v>14</v>
      </c>
      <c r="B1412" s="609">
        <v>44061</v>
      </c>
      <c r="C1412" s="362" t="s">
        <v>166</v>
      </c>
      <c r="D1412" s="560"/>
      <c r="E1412" s="560"/>
      <c r="F1412" s="560"/>
      <c r="G1412" s="560"/>
      <c r="H1412" s="560"/>
      <c r="I1412" s="560"/>
      <c r="J1412" s="560"/>
    </row>
    <row r="1413" spans="1:10" x14ac:dyDescent="0.25">
      <c r="A1413" s="362">
        <v>15</v>
      </c>
      <c r="B1413" s="609">
        <v>44061</v>
      </c>
      <c r="C1413" s="362" t="s">
        <v>3435</v>
      </c>
      <c r="D1413" s="560"/>
      <c r="E1413" s="560"/>
      <c r="F1413" s="560"/>
      <c r="G1413" s="560"/>
      <c r="H1413" s="560"/>
      <c r="I1413" s="560"/>
      <c r="J1413" s="560"/>
    </row>
    <row r="1414" spans="1:10" x14ac:dyDescent="0.25">
      <c r="A1414" s="530"/>
      <c r="B1414" s="530"/>
      <c r="C1414" s="530"/>
      <c r="D1414" s="562"/>
      <c r="E1414" s="562"/>
      <c r="F1414" s="562"/>
      <c r="G1414" s="562"/>
      <c r="H1414" s="562"/>
      <c r="I1414" s="562"/>
      <c r="J1414" s="562"/>
    </row>
    <row r="1415" spans="1:10" x14ac:dyDescent="0.25">
      <c r="A1415" s="362">
        <v>1</v>
      </c>
      <c r="B1415" s="609">
        <v>44062</v>
      </c>
      <c r="C1415" s="362" t="s">
        <v>80</v>
      </c>
      <c r="D1415" s="560"/>
      <c r="E1415" s="560"/>
      <c r="F1415" s="560"/>
      <c r="G1415" s="560"/>
      <c r="H1415" s="560"/>
      <c r="I1415" s="560"/>
      <c r="J1415" s="560"/>
    </row>
    <row r="1416" spans="1:10" x14ac:dyDescent="0.25">
      <c r="A1416" s="362">
        <v>2</v>
      </c>
      <c r="B1416" s="609">
        <v>44062</v>
      </c>
      <c r="C1416" s="362" t="s">
        <v>83</v>
      </c>
      <c r="D1416" s="560"/>
      <c r="E1416" s="560"/>
      <c r="F1416" s="560"/>
      <c r="G1416" s="560"/>
      <c r="H1416" s="560"/>
      <c r="I1416" s="560"/>
      <c r="J1416" s="560"/>
    </row>
    <row r="1417" spans="1:10" x14ac:dyDescent="0.25">
      <c r="A1417" s="362">
        <v>3</v>
      </c>
      <c r="B1417" s="609">
        <v>44062</v>
      </c>
      <c r="C1417" s="362" t="s">
        <v>88</v>
      </c>
      <c r="D1417" s="560"/>
      <c r="E1417" s="560"/>
      <c r="F1417" s="560"/>
      <c r="G1417" s="560"/>
      <c r="H1417" s="560"/>
      <c r="I1417" s="560"/>
      <c r="J1417" s="560"/>
    </row>
    <row r="1418" spans="1:10" x14ac:dyDescent="0.25">
      <c r="A1418" s="362">
        <v>4</v>
      </c>
      <c r="B1418" s="609">
        <v>44062</v>
      </c>
      <c r="C1418" s="362" t="s">
        <v>146</v>
      </c>
      <c r="D1418" s="560"/>
      <c r="E1418" s="560"/>
      <c r="F1418" s="560"/>
      <c r="G1418" s="560"/>
      <c r="H1418" s="560"/>
      <c r="I1418" s="560"/>
      <c r="J1418" s="560"/>
    </row>
    <row r="1419" spans="1:10" x14ac:dyDescent="0.25">
      <c r="A1419" s="362">
        <v>5</v>
      </c>
      <c r="B1419" s="609">
        <v>44062</v>
      </c>
      <c r="C1419" s="362" t="s">
        <v>86</v>
      </c>
      <c r="D1419" s="560"/>
      <c r="E1419" s="560"/>
      <c r="F1419" s="560"/>
      <c r="G1419" s="560"/>
      <c r="H1419" s="560"/>
      <c r="I1419" s="560"/>
      <c r="J1419" s="560"/>
    </row>
    <row r="1420" spans="1:10" x14ac:dyDescent="0.25">
      <c r="A1420" s="362">
        <v>6</v>
      </c>
      <c r="B1420" s="609">
        <v>44062</v>
      </c>
      <c r="C1420" s="362" t="s">
        <v>89</v>
      </c>
      <c r="D1420" s="560"/>
      <c r="E1420" s="560"/>
      <c r="F1420" s="560"/>
      <c r="G1420" s="560"/>
      <c r="H1420" s="560"/>
      <c r="I1420" s="560"/>
      <c r="J1420" s="560"/>
    </row>
    <row r="1421" spans="1:10" x14ac:dyDescent="0.25">
      <c r="A1421" s="362">
        <v>7</v>
      </c>
      <c r="B1421" s="609">
        <v>44062</v>
      </c>
      <c r="C1421" s="362" t="s">
        <v>4751</v>
      </c>
      <c r="D1421" s="560"/>
      <c r="E1421" s="560"/>
      <c r="F1421" s="560"/>
      <c r="G1421" s="560"/>
      <c r="H1421" s="560"/>
      <c r="I1421" s="560"/>
      <c r="J1421" s="560"/>
    </row>
    <row r="1422" spans="1:10" x14ac:dyDescent="0.25">
      <c r="A1422" s="362">
        <v>8</v>
      </c>
      <c r="B1422" s="609">
        <v>44062</v>
      </c>
      <c r="C1422" s="362" t="s">
        <v>84</v>
      </c>
      <c r="D1422" s="560"/>
      <c r="E1422" s="560"/>
      <c r="F1422" s="560"/>
      <c r="G1422" s="560"/>
      <c r="H1422" s="560"/>
      <c r="I1422" s="560"/>
      <c r="J1422" s="560"/>
    </row>
    <row r="1423" spans="1:10" x14ac:dyDescent="0.25">
      <c r="A1423" s="362">
        <v>9</v>
      </c>
      <c r="B1423" s="609">
        <v>44062</v>
      </c>
      <c r="C1423" s="362" t="s">
        <v>81</v>
      </c>
      <c r="D1423" s="560"/>
      <c r="E1423" s="560"/>
      <c r="F1423" s="560"/>
      <c r="G1423" s="560"/>
      <c r="H1423" s="560"/>
      <c r="I1423" s="560"/>
      <c r="J1423" s="560"/>
    </row>
    <row r="1424" spans="1:10" x14ac:dyDescent="0.25">
      <c r="A1424" s="362">
        <v>10</v>
      </c>
      <c r="B1424" s="609">
        <v>44062</v>
      </c>
      <c r="C1424" s="362" t="s">
        <v>79</v>
      </c>
      <c r="D1424" s="560"/>
      <c r="E1424" s="560"/>
      <c r="F1424" s="560"/>
      <c r="G1424" s="560"/>
      <c r="H1424" s="560"/>
      <c r="I1424" s="560"/>
      <c r="J1424" s="560"/>
    </row>
    <row r="1425" spans="1:10" x14ac:dyDescent="0.25">
      <c r="A1425" s="362">
        <v>11</v>
      </c>
      <c r="B1425" s="609">
        <v>44062</v>
      </c>
      <c r="C1425" s="362" t="s">
        <v>82</v>
      </c>
      <c r="D1425" s="560"/>
      <c r="E1425" s="560"/>
      <c r="F1425" s="560"/>
      <c r="G1425" s="560"/>
      <c r="H1425" s="560"/>
      <c r="I1425" s="560"/>
      <c r="J1425" s="560"/>
    </row>
    <row r="1426" spans="1:10" x14ac:dyDescent="0.25">
      <c r="A1426" s="362">
        <v>12</v>
      </c>
      <c r="B1426" s="609">
        <v>44062</v>
      </c>
      <c r="C1426" s="362" t="s">
        <v>78</v>
      </c>
      <c r="D1426" s="560"/>
      <c r="E1426" s="560"/>
      <c r="F1426" s="560"/>
      <c r="G1426" s="560"/>
      <c r="H1426" s="560"/>
      <c r="I1426" s="560"/>
      <c r="J1426" s="560"/>
    </row>
    <row r="1427" spans="1:10" x14ac:dyDescent="0.25">
      <c r="A1427" s="362">
        <v>13</v>
      </c>
      <c r="B1427" s="609">
        <v>44062</v>
      </c>
      <c r="C1427" s="362" t="s">
        <v>85</v>
      </c>
      <c r="D1427" s="560"/>
      <c r="E1427" s="560"/>
      <c r="F1427" s="560"/>
      <c r="G1427" s="560"/>
      <c r="H1427" s="560"/>
      <c r="I1427" s="560"/>
      <c r="J1427" s="560"/>
    </row>
    <row r="1428" spans="1:10" x14ac:dyDescent="0.25">
      <c r="A1428" s="362">
        <v>14</v>
      </c>
      <c r="B1428" s="609">
        <v>44062</v>
      </c>
      <c r="C1428" s="362" t="s">
        <v>166</v>
      </c>
      <c r="D1428" s="560"/>
      <c r="E1428" s="560"/>
      <c r="F1428" s="560"/>
      <c r="G1428" s="560"/>
      <c r="H1428" s="560"/>
      <c r="I1428" s="560"/>
      <c r="J1428" s="560"/>
    </row>
    <row r="1429" spans="1:10" x14ac:dyDescent="0.25">
      <c r="A1429" s="362">
        <v>15</v>
      </c>
      <c r="B1429" s="609">
        <v>44062</v>
      </c>
      <c r="C1429" s="362" t="s">
        <v>3435</v>
      </c>
      <c r="D1429" s="560"/>
      <c r="E1429" s="560"/>
      <c r="F1429" s="560"/>
      <c r="G1429" s="560"/>
      <c r="H1429" s="560"/>
      <c r="I1429" s="560"/>
      <c r="J1429" s="560"/>
    </row>
    <row r="1430" spans="1:10" x14ac:dyDescent="0.25">
      <c r="A1430" s="530"/>
      <c r="B1430" s="530"/>
      <c r="C1430" s="530"/>
      <c r="D1430" s="562"/>
      <c r="E1430" s="562"/>
      <c r="F1430" s="562"/>
      <c r="G1430" s="562"/>
      <c r="H1430" s="562"/>
      <c r="I1430" s="562"/>
      <c r="J1430" s="562"/>
    </row>
    <row r="1431" spans="1:10" x14ac:dyDescent="0.25">
      <c r="A1431" s="362">
        <v>1</v>
      </c>
      <c r="B1431" s="609">
        <v>44063</v>
      </c>
      <c r="C1431" s="362" t="s">
        <v>80</v>
      </c>
      <c r="D1431" s="560"/>
      <c r="E1431" s="560"/>
      <c r="F1431" s="560"/>
      <c r="G1431" s="560"/>
      <c r="H1431" s="560"/>
      <c r="I1431" s="560">
        <v>4665941</v>
      </c>
      <c r="J1431" s="560"/>
    </row>
    <row r="1432" spans="1:10" x14ac:dyDescent="0.25">
      <c r="A1432" s="362">
        <v>2</v>
      </c>
      <c r="B1432" s="609">
        <v>44063</v>
      </c>
      <c r="C1432" s="362" t="s">
        <v>83</v>
      </c>
      <c r="D1432" s="560"/>
      <c r="E1432" s="560"/>
      <c r="F1432" s="560"/>
      <c r="G1432" s="560"/>
      <c r="H1432" s="560"/>
      <c r="I1432" s="560">
        <v>2088267</v>
      </c>
      <c r="J1432" s="560"/>
    </row>
    <row r="1433" spans="1:10" x14ac:dyDescent="0.25">
      <c r="A1433" s="362">
        <v>3</v>
      </c>
      <c r="B1433" s="609">
        <v>44063</v>
      </c>
      <c r="C1433" s="362" t="s">
        <v>88</v>
      </c>
      <c r="D1433" s="560"/>
      <c r="E1433" s="560"/>
      <c r="F1433" s="560"/>
      <c r="G1433" s="560"/>
      <c r="H1433" s="560"/>
      <c r="I1433" s="560"/>
      <c r="J1433" s="560"/>
    </row>
    <row r="1434" spans="1:10" x14ac:dyDescent="0.25">
      <c r="A1434" s="362">
        <v>4</v>
      </c>
      <c r="B1434" s="609">
        <v>44063</v>
      </c>
      <c r="C1434" s="362" t="s">
        <v>146</v>
      </c>
      <c r="D1434" s="560"/>
      <c r="E1434" s="560"/>
      <c r="F1434" s="560"/>
      <c r="G1434" s="560"/>
      <c r="H1434" s="560"/>
      <c r="I1434" s="560"/>
      <c r="J1434" s="560"/>
    </row>
    <row r="1435" spans="1:10" x14ac:dyDescent="0.25">
      <c r="A1435" s="362">
        <v>5</v>
      </c>
      <c r="B1435" s="609">
        <v>44063</v>
      </c>
      <c r="C1435" s="362" t="s">
        <v>86</v>
      </c>
      <c r="D1435" s="560"/>
      <c r="E1435" s="560"/>
      <c r="F1435" s="560"/>
      <c r="G1435" s="560"/>
      <c r="H1435" s="560"/>
      <c r="I1435" s="560"/>
      <c r="J1435" s="560"/>
    </row>
    <row r="1436" spans="1:10" x14ac:dyDescent="0.25">
      <c r="A1436" s="362">
        <v>6</v>
      </c>
      <c r="B1436" s="609">
        <v>44063</v>
      </c>
      <c r="C1436" s="362" t="s">
        <v>89</v>
      </c>
      <c r="D1436" s="560"/>
      <c r="E1436" s="560"/>
      <c r="F1436" s="560"/>
      <c r="G1436" s="560"/>
      <c r="H1436" s="560"/>
      <c r="I1436" s="560">
        <v>1243877</v>
      </c>
      <c r="J1436" s="560"/>
    </row>
    <row r="1437" spans="1:10" x14ac:dyDescent="0.25">
      <c r="A1437" s="362">
        <v>7</v>
      </c>
      <c r="B1437" s="609">
        <v>44063</v>
      </c>
      <c r="C1437" s="362" t="s">
        <v>4751</v>
      </c>
      <c r="D1437" s="560"/>
      <c r="E1437" s="560"/>
      <c r="F1437" s="560"/>
      <c r="G1437" s="560"/>
      <c r="H1437" s="560"/>
      <c r="I1437" s="560"/>
      <c r="J1437" s="560"/>
    </row>
    <row r="1438" spans="1:10" x14ac:dyDescent="0.25">
      <c r="A1438" s="362">
        <v>8</v>
      </c>
      <c r="B1438" s="609">
        <v>44063</v>
      </c>
      <c r="C1438" s="362" t="s">
        <v>84</v>
      </c>
      <c r="D1438" s="560"/>
      <c r="E1438" s="560"/>
      <c r="F1438" s="560"/>
      <c r="G1438" s="560"/>
      <c r="H1438" s="560"/>
      <c r="I1438" s="560">
        <v>1985274</v>
      </c>
      <c r="J1438" s="560"/>
    </row>
    <row r="1439" spans="1:10" x14ac:dyDescent="0.25">
      <c r="A1439" s="362">
        <v>9</v>
      </c>
      <c r="B1439" s="609">
        <v>44063</v>
      </c>
      <c r="C1439" s="362" t="s">
        <v>81</v>
      </c>
      <c r="D1439" s="560"/>
      <c r="E1439" s="560"/>
      <c r="F1439" s="560"/>
      <c r="G1439" s="560"/>
      <c r="H1439" s="560"/>
      <c r="I1439" s="560"/>
      <c r="J1439" s="560"/>
    </row>
    <row r="1440" spans="1:10" x14ac:dyDescent="0.25">
      <c r="A1440" s="362">
        <v>10</v>
      </c>
      <c r="B1440" s="609">
        <v>44063</v>
      </c>
      <c r="C1440" s="362" t="s">
        <v>79</v>
      </c>
      <c r="D1440" s="560"/>
      <c r="E1440" s="560"/>
      <c r="F1440" s="560"/>
      <c r="G1440" s="560"/>
      <c r="H1440" s="560"/>
      <c r="I1440" s="560">
        <v>1239110</v>
      </c>
      <c r="J1440" s="560"/>
    </row>
    <row r="1441" spans="1:10" x14ac:dyDescent="0.25">
      <c r="A1441" s="362">
        <v>11</v>
      </c>
      <c r="B1441" s="609">
        <v>44063</v>
      </c>
      <c r="C1441" s="362" t="s">
        <v>82</v>
      </c>
      <c r="D1441" s="560"/>
      <c r="E1441" s="560"/>
      <c r="F1441" s="560"/>
      <c r="G1441" s="560"/>
      <c r="H1441" s="560"/>
      <c r="I1441" s="560">
        <v>2007091</v>
      </c>
      <c r="J1441" s="560"/>
    </row>
    <row r="1442" spans="1:10" x14ac:dyDescent="0.25">
      <c r="A1442" s="362">
        <v>12</v>
      </c>
      <c r="B1442" s="609">
        <v>44063</v>
      </c>
      <c r="C1442" s="362" t="s">
        <v>78</v>
      </c>
      <c r="D1442" s="560"/>
      <c r="E1442" s="560"/>
      <c r="F1442" s="560"/>
      <c r="G1442" s="560"/>
      <c r="H1442" s="560"/>
      <c r="I1442" s="560">
        <v>2466281</v>
      </c>
      <c r="J1442" s="560"/>
    </row>
    <row r="1443" spans="1:10" x14ac:dyDescent="0.25">
      <c r="A1443" s="362">
        <v>13</v>
      </c>
      <c r="B1443" s="609">
        <v>44063</v>
      </c>
      <c r="C1443" s="362" t="s">
        <v>85</v>
      </c>
      <c r="D1443" s="560"/>
      <c r="E1443" s="560"/>
      <c r="F1443" s="560"/>
      <c r="G1443" s="560"/>
      <c r="H1443" s="560"/>
      <c r="I1443" s="560"/>
      <c r="J1443" s="560"/>
    </row>
    <row r="1444" spans="1:10" x14ac:dyDescent="0.25">
      <c r="A1444" s="362">
        <v>14</v>
      </c>
      <c r="B1444" s="609">
        <v>44063</v>
      </c>
      <c r="C1444" s="362" t="s">
        <v>166</v>
      </c>
      <c r="D1444" s="560"/>
      <c r="E1444" s="560"/>
      <c r="F1444" s="560"/>
      <c r="G1444" s="560"/>
      <c r="H1444" s="560"/>
      <c r="I1444" s="560"/>
      <c r="J1444" s="560"/>
    </row>
    <row r="1445" spans="1:10" x14ac:dyDescent="0.25">
      <c r="A1445" s="362">
        <v>15</v>
      </c>
      <c r="B1445" s="609">
        <v>44063</v>
      </c>
      <c r="C1445" s="362" t="s">
        <v>3435</v>
      </c>
      <c r="D1445" s="560"/>
      <c r="E1445" s="560"/>
      <c r="F1445" s="560"/>
      <c r="G1445" s="560"/>
      <c r="H1445" s="560"/>
      <c r="I1445" s="560"/>
      <c r="J1445" s="560"/>
    </row>
    <row r="1446" spans="1:10" x14ac:dyDescent="0.25">
      <c r="A1446" s="530"/>
      <c r="B1446" s="530"/>
      <c r="C1446" s="530"/>
      <c r="D1446" s="562"/>
      <c r="E1446" s="562"/>
      <c r="F1446" s="562"/>
      <c r="G1446" s="562"/>
      <c r="H1446" s="562"/>
      <c r="I1446" s="562"/>
      <c r="J1446" s="562"/>
    </row>
    <row r="1447" spans="1:10" x14ac:dyDescent="0.25">
      <c r="A1447" s="362">
        <v>1</v>
      </c>
      <c r="B1447" s="609">
        <v>44064</v>
      </c>
      <c r="C1447" s="362" t="s">
        <v>80</v>
      </c>
      <c r="D1447" s="560"/>
      <c r="E1447" s="560"/>
      <c r="F1447" s="560"/>
      <c r="G1447" s="560"/>
      <c r="H1447" s="560"/>
      <c r="I1447" s="560"/>
      <c r="J1447" s="560"/>
    </row>
    <row r="1448" spans="1:10" x14ac:dyDescent="0.25">
      <c r="A1448" s="362">
        <v>2</v>
      </c>
      <c r="B1448" s="609">
        <v>44064</v>
      </c>
      <c r="C1448" s="362" t="s">
        <v>83</v>
      </c>
      <c r="D1448" s="560"/>
      <c r="E1448" s="560"/>
      <c r="F1448" s="560"/>
      <c r="G1448" s="560"/>
      <c r="H1448" s="560"/>
      <c r="I1448" s="560"/>
      <c r="J1448" s="560"/>
    </row>
    <row r="1449" spans="1:10" x14ac:dyDescent="0.25">
      <c r="A1449" s="362">
        <v>3</v>
      </c>
      <c r="B1449" s="609">
        <v>44064</v>
      </c>
      <c r="C1449" s="362" t="s">
        <v>88</v>
      </c>
      <c r="D1449" s="560"/>
      <c r="E1449" s="560"/>
      <c r="F1449" s="560"/>
      <c r="G1449" s="560"/>
      <c r="H1449" s="560"/>
      <c r="I1449" s="560">
        <v>1201621</v>
      </c>
      <c r="J1449" s="560"/>
    </row>
    <row r="1450" spans="1:10" x14ac:dyDescent="0.25">
      <c r="A1450" s="362">
        <v>4</v>
      </c>
      <c r="B1450" s="609">
        <v>44064</v>
      </c>
      <c r="C1450" s="362" t="s">
        <v>146</v>
      </c>
      <c r="D1450" s="560"/>
      <c r="E1450" s="560"/>
      <c r="F1450" s="560"/>
      <c r="G1450" s="560"/>
      <c r="H1450" s="560"/>
      <c r="I1450" s="560">
        <v>1949600</v>
      </c>
      <c r="J1450" s="560"/>
    </row>
    <row r="1451" spans="1:10" x14ac:dyDescent="0.25">
      <c r="A1451" s="362">
        <v>5</v>
      </c>
      <c r="B1451" s="609">
        <v>44064</v>
      </c>
      <c r="C1451" s="362" t="s">
        <v>86</v>
      </c>
      <c r="D1451" s="560"/>
      <c r="E1451" s="560"/>
      <c r="F1451" s="560"/>
      <c r="G1451" s="560"/>
      <c r="H1451" s="560"/>
      <c r="I1451" s="560">
        <v>2256524</v>
      </c>
      <c r="J1451" s="560"/>
    </row>
    <row r="1452" spans="1:10" x14ac:dyDescent="0.25">
      <c r="A1452" s="362">
        <v>6</v>
      </c>
      <c r="B1452" s="609">
        <v>44064</v>
      </c>
      <c r="C1452" s="362" t="s">
        <v>89</v>
      </c>
      <c r="D1452" s="560"/>
      <c r="E1452" s="560"/>
      <c r="F1452" s="560"/>
      <c r="G1452" s="560"/>
      <c r="H1452" s="560"/>
      <c r="I1452" s="560"/>
      <c r="J1452" s="560"/>
    </row>
    <row r="1453" spans="1:10" x14ac:dyDescent="0.25">
      <c r="A1453" s="362">
        <v>7</v>
      </c>
      <c r="B1453" s="609">
        <v>44064</v>
      </c>
      <c r="C1453" s="362" t="s">
        <v>4751</v>
      </c>
      <c r="D1453" s="560"/>
      <c r="E1453" s="560"/>
      <c r="F1453" s="560"/>
      <c r="G1453" s="560"/>
      <c r="H1453" s="560"/>
      <c r="I1453" s="560">
        <v>1247614</v>
      </c>
      <c r="J1453" s="560"/>
    </row>
    <row r="1454" spans="1:10" x14ac:dyDescent="0.25">
      <c r="A1454" s="362">
        <v>8</v>
      </c>
      <c r="B1454" s="609">
        <v>44064</v>
      </c>
      <c r="C1454" s="362" t="s">
        <v>84</v>
      </c>
      <c r="D1454" s="560"/>
      <c r="E1454" s="560"/>
      <c r="F1454" s="560"/>
      <c r="G1454" s="560"/>
      <c r="H1454" s="560"/>
      <c r="I1454" s="560"/>
      <c r="J1454" s="560"/>
    </row>
    <row r="1455" spans="1:10" x14ac:dyDescent="0.25">
      <c r="A1455" s="362">
        <v>9</v>
      </c>
      <c r="B1455" s="609">
        <v>44064</v>
      </c>
      <c r="C1455" s="362" t="s">
        <v>81</v>
      </c>
      <c r="D1455" s="560"/>
      <c r="E1455" s="560"/>
      <c r="F1455" s="560"/>
      <c r="G1455" s="560"/>
      <c r="H1455" s="560"/>
      <c r="I1455" s="560"/>
      <c r="J1455" s="560"/>
    </row>
    <row r="1456" spans="1:10" x14ac:dyDescent="0.25">
      <c r="A1456" s="362">
        <v>10</v>
      </c>
      <c r="B1456" s="609">
        <v>44064</v>
      </c>
      <c r="C1456" s="362" t="s">
        <v>79</v>
      </c>
      <c r="D1456" s="560"/>
      <c r="E1456" s="560"/>
      <c r="F1456" s="560"/>
      <c r="G1456" s="560"/>
      <c r="H1456" s="560"/>
      <c r="I1456" s="560"/>
      <c r="J1456" s="560"/>
    </row>
    <row r="1457" spans="1:10" x14ac:dyDescent="0.25">
      <c r="A1457" s="362">
        <v>11</v>
      </c>
      <c r="B1457" s="609">
        <v>44064</v>
      </c>
      <c r="C1457" s="362" t="s">
        <v>82</v>
      </c>
      <c r="D1457" s="560"/>
      <c r="E1457" s="560"/>
      <c r="F1457" s="560"/>
      <c r="G1457" s="560"/>
      <c r="H1457" s="560"/>
      <c r="I1457" s="560"/>
      <c r="J1457" s="560"/>
    </row>
    <row r="1458" spans="1:10" x14ac:dyDescent="0.25">
      <c r="A1458" s="362">
        <v>12</v>
      </c>
      <c r="B1458" s="609">
        <v>44064</v>
      </c>
      <c r="C1458" s="362" t="s">
        <v>78</v>
      </c>
      <c r="D1458" s="560"/>
      <c r="E1458" s="560"/>
      <c r="F1458" s="560"/>
      <c r="G1458" s="560"/>
      <c r="H1458" s="560"/>
      <c r="I1458" s="560"/>
      <c r="J1458" s="560"/>
    </row>
    <row r="1459" spans="1:10" x14ac:dyDescent="0.25">
      <c r="A1459" s="362">
        <v>13</v>
      </c>
      <c r="B1459" s="609">
        <v>44064</v>
      </c>
      <c r="C1459" s="362" t="s">
        <v>85</v>
      </c>
      <c r="D1459" s="560"/>
      <c r="E1459" s="560"/>
      <c r="F1459" s="560"/>
      <c r="G1459" s="560"/>
      <c r="H1459" s="560"/>
      <c r="I1459" s="560"/>
      <c r="J1459" s="560"/>
    </row>
    <row r="1460" spans="1:10" x14ac:dyDescent="0.25">
      <c r="A1460" s="362">
        <v>14</v>
      </c>
      <c r="B1460" s="609">
        <v>44064</v>
      </c>
      <c r="C1460" s="362" t="s">
        <v>166</v>
      </c>
      <c r="D1460" s="560"/>
      <c r="E1460" s="560"/>
      <c r="F1460" s="560"/>
      <c r="G1460" s="560"/>
      <c r="H1460" s="560"/>
      <c r="I1460" s="560"/>
      <c r="J1460" s="560"/>
    </row>
    <row r="1461" spans="1:10" x14ac:dyDescent="0.25">
      <c r="A1461" s="362">
        <v>15</v>
      </c>
      <c r="B1461" s="609">
        <v>44064</v>
      </c>
      <c r="C1461" s="362" t="s">
        <v>3435</v>
      </c>
      <c r="D1461" s="560"/>
      <c r="E1461" s="560"/>
      <c r="F1461" s="560"/>
      <c r="G1461" s="560"/>
      <c r="H1461" s="560"/>
      <c r="I1461" s="560"/>
      <c r="J1461" s="560"/>
    </row>
    <row r="1462" spans="1:10" x14ac:dyDescent="0.25">
      <c r="A1462" s="530"/>
      <c r="B1462" s="530"/>
      <c r="C1462" s="530"/>
      <c r="D1462" s="562"/>
      <c r="E1462" s="562"/>
      <c r="F1462" s="562"/>
      <c r="G1462" s="562"/>
      <c r="H1462" s="562"/>
      <c r="I1462" s="562"/>
      <c r="J1462" s="562"/>
    </row>
    <row r="1463" spans="1:10" ht="26.25" x14ac:dyDescent="0.4">
      <c r="A1463" s="1618" t="s">
        <v>5947</v>
      </c>
      <c r="B1463" s="1618"/>
      <c r="C1463" s="1618"/>
      <c r="D1463" s="1618"/>
      <c r="E1463" s="1618"/>
      <c r="F1463" s="1618"/>
      <c r="G1463" s="1618"/>
      <c r="H1463" s="1618"/>
      <c r="I1463" s="1618"/>
      <c r="J1463" s="1618"/>
    </row>
    <row r="1464" spans="1:10" x14ac:dyDescent="0.25">
      <c r="A1464" s="362">
        <v>1</v>
      </c>
      <c r="B1464" s="609">
        <v>44102</v>
      </c>
      <c r="C1464" s="362" t="s">
        <v>80</v>
      </c>
      <c r="D1464" s="560"/>
      <c r="E1464" s="560"/>
      <c r="F1464" s="560"/>
      <c r="G1464" s="560"/>
      <c r="H1464" s="560"/>
      <c r="I1464" s="560"/>
      <c r="J1464" s="560"/>
    </row>
    <row r="1465" spans="1:10" x14ac:dyDescent="0.25">
      <c r="A1465" s="362">
        <v>2</v>
      </c>
      <c r="B1465" s="609">
        <v>44102</v>
      </c>
      <c r="C1465" s="362" t="s">
        <v>83</v>
      </c>
      <c r="D1465" s="362"/>
      <c r="E1465" s="362"/>
      <c r="F1465" s="362"/>
      <c r="G1465" s="362"/>
      <c r="H1465" s="362"/>
      <c r="I1465" s="362"/>
      <c r="J1465" s="362"/>
    </row>
    <row r="1466" spans="1:10" x14ac:dyDescent="0.25">
      <c r="A1466" s="362">
        <v>3</v>
      </c>
      <c r="B1466" s="609">
        <v>44102</v>
      </c>
      <c r="C1466" s="362" t="s">
        <v>88</v>
      </c>
      <c r="D1466" s="362"/>
      <c r="E1466" s="362"/>
      <c r="F1466" s="362"/>
      <c r="G1466" s="362"/>
      <c r="H1466" s="362"/>
      <c r="I1466" s="362"/>
      <c r="J1466" s="362"/>
    </row>
    <row r="1467" spans="1:10" x14ac:dyDescent="0.25">
      <c r="A1467" s="362">
        <v>4</v>
      </c>
      <c r="B1467" s="609">
        <v>44102</v>
      </c>
      <c r="C1467" s="362" t="s">
        <v>146</v>
      </c>
      <c r="D1467" s="362"/>
      <c r="E1467" s="362"/>
      <c r="F1467" s="362"/>
      <c r="G1467" s="362"/>
      <c r="H1467" s="362"/>
      <c r="I1467" s="362"/>
      <c r="J1467" s="362"/>
    </row>
    <row r="1468" spans="1:10" x14ac:dyDescent="0.25">
      <c r="A1468" s="362">
        <v>5</v>
      </c>
      <c r="B1468" s="609">
        <v>44102</v>
      </c>
      <c r="C1468" s="362" t="s">
        <v>86</v>
      </c>
      <c r="D1468" s="362"/>
      <c r="E1468" s="362"/>
      <c r="F1468" s="362"/>
      <c r="G1468" s="362"/>
      <c r="H1468" s="362"/>
      <c r="I1468" s="362"/>
      <c r="J1468" s="362"/>
    </row>
    <row r="1469" spans="1:10" x14ac:dyDescent="0.25">
      <c r="A1469" s="362">
        <v>6</v>
      </c>
      <c r="B1469" s="609">
        <v>44102</v>
      </c>
      <c r="C1469" s="362" t="s">
        <v>89</v>
      </c>
      <c r="D1469" s="362"/>
      <c r="E1469" s="362"/>
      <c r="F1469" s="362"/>
      <c r="G1469" s="362"/>
      <c r="H1469" s="362"/>
      <c r="I1469" s="362"/>
      <c r="J1469" s="362"/>
    </row>
    <row r="1470" spans="1:10" x14ac:dyDescent="0.25">
      <c r="A1470" s="362">
        <v>7</v>
      </c>
      <c r="B1470" s="609">
        <v>44102</v>
      </c>
      <c r="C1470" s="362" t="s">
        <v>4751</v>
      </c>
      <c r="D1470" s="362"/>
      <c r="E1470" s="362"/>
      <c r="F1470" s="362"/>
      <c r="G1470" s="362"/>
      <c r="H1470" s="362"/>
      <c r="I1470" s="362"/>
      <c r="J1470" s="362"/>
    </row>
    <row r="1471" spans="1:10" x14ac:dyDescent="0.25">
      <c r="A1471" s="362">
        <v>8</v>
      </c>
      <c r="B1471" s="609">
        <v>44102</v>
      </c>
      <c r="C1471" s="362" t="s">
        <v>84</v>
      </c>
      <c r="D1471" s="362"/>
      <c r="E1471" s="362"/>
      <c r="F1471" s="362"/>
      <c r="G1471" s="362"/>
      <c r="H1471" s="362"/>
      <c r="I1471" s="362"/>
      <c r="J1471" s="362"/>
    </row>
    <row r="1472" spans="1:10" x14ac:dyDescent="0.25">
      <c r="A1472" s="362">
        <v>9</v>
      </c>
      <c r="B1472" s="609">
        <v>44102</v>
      </c>
      <c r="C1472" s="362" t="s">
        <v>81</v>
      </c>
      <c r="D1472" s="362"/>
      <c r="E1472" s="362"/>
      <c r="F1472" s="362"/>
      <c r="G1472" s="362"/>
      <c r="H1472" s="362"/>
      <c r="I1472" s="362"/>
      <c r="J1472" s="362"/>
    </row>
    <row r="1473" spans="1:10" x14ac:dyDescent="0.25">
      <c r="A1473" s="362">
        <v>10</v>
      </c>
      <c r="B1473" s="609">
        <v>44102</v>
      </c>
      <c r="C1473" s="362" t="s">
        <v>79</v>
      </c>
      <c r="D1473" s="362"/>
      <c r="E1473" s="362"/>
      <c r="F1473" s="362"/>
      <c r="G1473" s="362"/>
      <c r="H1473" s="362"/>
      <c r="I1473" s="362"/>
      <c r="J1473" s="362"/>
    </row>
    <row r="1474" spans="1:10" x14ac:dyDescent="0.25">
      <c r="A1474" s="362">
        <v>11</v>
      </c>
      <c r="B1474" s="609">
        <v>44102</v>
      </c>
      <c r="C1474" s="362" t="s">
        <v>82</v>
      </c>
      <c r="D1474" s="362"/>
      <c r="E1474" s="362"/>
      <c r="F1474" s="362"/>
      <c r="G1474" s="362"/>
      <c r="H1474" s="362"/>
      <c r="I1474" s="362"/>
      <c r="J1474" s="362"/>
    </row>
    <row r="1475" spans="1:10" x14ac:dyDescent="0.25">
      <c r="A1475" s="362">
        <v>12</v>
      </c>
      <c r="B1475" s="609">
        <v>44102</v>
      </c>
      <c r="C1475" s="362" t="s">
        <v>78</v>
      </c>
      <c r="D1475" s="362"/>
      <c r="E1475" s="362"/>
      <c r="F1475" s="362"/>
      <c r="G1475" s="362"/>
      <c r="H1475" s="362"/>
      <c r="I1475" s="362"/>
      <c r="J1475" s="362"/>
    </row>
    <row r="1476" spans="1:10" x14ac:dyDescent="0.25">
      <c r="A1476" s="362">
        <v>13</v>
      </c>
      <c r="B1476" s="609">
        <v>44102</v>
      </c>
      <c r="C1476" s="362" t="s">
        <v>85</v>
      </c>
      <c r="D1476" s="362"/>
      <c r="E1476" s="362"/>
      <c r="F1476" s="362"/>
      <c r="G1476" s="362"/>
      <c r="H1476" s="362"/>
      <c r="I1476" s="362"/>
      <c r="J1476" s="362"/>
    </row>
    <row r="1477" spans="1:10" x14ac:dyDescent="0.25">
      <c r="A1477" s="362">
        <v>14</v>
      </c>
      <c r="B1477" s="609">
        <v>44102</v>
      </c>
      <c r="C1477" s="362" t="s">
        <v>166</v>
      </c>
      <c r="D1477" s="362"/>
      <c r="E1477" s="362"/>
      <c r="F1477" s="362"/>
      <c r="G1477" s="362"/>
      <c r="H1477" s="362"/>
      <c r="I1477" s="362"/>
      <c r="J1477" s="362"/>
    </row>
    <row r="1478" spans="1:10" x14ac:dyDescent="0.25">
      <c r="A1478" s="362">
        <v>15</v>
      </c>
      <c r="B1478" s="609">
        <v>44102</v>
      </c>
      <c r="C1478" s="362" t="s">
        <v>3435</v>
      </c>
      <c r="D1478" s="362"/>
      <c r="E1478" s="362"/>
      <c r="F1478" s="362"/>
      <c r="G1478" s="362"/>
      <c r="H1478" s="362"/>
      <c r="I1478" s="362"/>
      <c r="J1478" s="362"/>
    </row>
    <row r="1479" spans="1:10" x14ac:dyDescent="0.25">
      <c r="A1479" s="530"/>
      <c r="B1479" s="530"/>
      <c r="C1479" s="530"/>
      <c r="D1479" s="530"/>
      <c r="E1479" s="530"/>
      <c r="F1479" s="530"/>
      <c r="G1479" s="530"/>
      <c r="H1479" s="530"/>
      <c r="I1479" s="530"/>
      <c r="J1479" s="530"/>
    </row>
    <row r="1480" spans="1:10" x14ac:dyDescent="0.25">
      <c r="A1480" s="362">
        <v>1</v>
      </c>
      <c r="B1480" s="609">
        <v>44103</v>
      </c>
      <c r="C1480" s="362" t="s">
        <v>80</v>
      </c>
      <c r="D1480" s="362"/>
      <c r="E1480" s="362"/>
      <c r="F1480" s="362"/>
      <c r="G1480" s="362"/>
      <c r="H1480" s="362"/>
      <c r="I1480" s="362"/>
      <c r="J1480" s="362"/>
    </row>
    <row r="1481" spans="1:10" x14ac:dyDescent="0.25">
      <c r="A1481" s="362">
        <v>2</v>
      </c>
      <c r="B1481" s="609">
        <v>44103</v>
      </c>
      <c r="C1481" s="362" t="s">
        <v>83</v>
      </c>
      <c r="D1481" s="362"/>
      <c r="E1481" s="362"/>
      <c r="F1481" s="362"/>
      <c r="G1481" s="362"/>
      <c r="H1481" s="362"/>
      <c r="I1481" s="362"/>
      <c r="J1481" s="362"/>
    </row>
    <row r="1482" spans="1:10" x14ac:dyDescent="0.25">
      <c r="A1482" s="362">
        <v>3</v>
      </c>
      <c r="B1482" s="609">
        <v>44103</v>
      </c>
      <c r="C1482" s="362" t="s">
        <v>88</v>
      </c>
      <c r="D1482" s="362"/>
      <c r="E1482" s="362"/>
      <c r="F1482" s="362"/>
      <c r="G1482" s="362"/>
      <c r="H1482" s="362"/>
      <c r="I1482" s="362"/>
      <c r="J1482" s="362"/>
    </row>
    <row r="1483" spans="1:10" x14ac:dyDescent="0.25">
      <c r="A1483" s="362">
        <v>4</v>
      </c>
      <c r="B1483" s="609">
        <v>44103</v>
      </c>
      <c r="C1483" s="362" t="s">
        <v>146</v>
      </c>
      <c r="D1483" s="362"/>
      <c r="E1483" s="362"/>
      <c r="F1483" s="362"/>
      <c r="G1483" s="362"/>
      <c r="H1483" s="362"/>
      <c r="I1483" s="362"/>
      <c r="J1483" s="362"/>
    </row>
    <row r="1484" spans="1:10" x14ac:dyDescent="0.25">
      <c r="A1484" s="362">
        <v>5</v>
      </c>
      <c r="B1484" s="609">
        <v>44103</v>
      </c>
      <c r="C1484" s="362" t="s">
        <v>86</v>
      </c>
      <c r="D1484" s="362"/>
      <c r="E1484" s="362"/>
      <c r="F1484" s="362"/>
      <c r="G1484" s="362"/>
      <c r="H1484" s="362"/>
      <c r="I1484" s="362"/>
      <c r="J1484" s="362"/>
    </row>
    <row r="1485" spans="1:10" x14ac:dyDescent="0.25">
      <c r="A1485" s="362">
        <v>6</v>
      </c>
      <c r="B1485" s="609">
        <v>44103</v>
      </c>
      <c r="C1485" s="362" t="s">
        <v>89</v>
      </c>
      <c r="D1485" s="362"/>
      <c r="E1485" s="362"/>
      <c r="F1485" s="362"/>
      <c r="G1485" s="362"/>
      <c r="H1485" s="362"/>
      <c r="I1485" s="362"/>
      <c r="J1485" s="362"/>
    </row>
    <row r="1486" spans="1:10" x14ac:dyDescent="0.25">
      <c r="A1486" s="362">
        <v>7</v>
      </c>
      <c r="B1486" s="609">
        <v>44103</v>
      </c>
      <c r="C1486" s="362" t="s">
        <v>4751</v>
      </c>
      <c r="D1486" s="362"/>
      <c r="E1486" s="362"/>
      <c r="F1486" s="362"/>
      <c r="G1486" s="362"/>
      <c r="H1486" s="362"/>
      <c r="I1486" s="362"/>
      <c r="J1486" s="362"/>
    </row>
    <row r="1487" spans="1:10" x14ac:dyDescent="0.25">
      <c r="A1487" s="362">
        <v>8</v>
      </c>
      <c r="B1487" s="609">
        <v>44103</v>
      </c>
      <c r="C1487" s="362" t="s">
        <v>84</v>
      </c>
      <c r="D1487" s="362"/>
      <c r="E1487" s="362"/>
      <c r="F1487" s="362"/>
      <c r="G1487" s="362"/>
      <c r="H1487" s="362"/>
      <c r="I1487" s="362"/>
      <c r="J1487" s="362"/>
    </row>
    <row r="1488" spans="1:10" x14ac:dyDescent="0.25">
      <c r="A1488" s="362">
        <v>9</v>
      </c>
      <c r="B1488" s="609">
        <v>44103</v>
      </c>
      <c r="C1488" s="362" t="s">
        <v>81</v>
      </c>
      <c r="D1488" s="362"/>
      <c r="E1488" s="362"/>
      <c r="F1488" s="362"/>
      <c r="G1488" s="362"/>
      <c r="H1488" s="362"/>
      <c r="I1488" s="362"/>
      <c r="J1488" s="362"/>
    </row>
    <row r="1489" spans="1:10" x14ac:dyDescent="0.25">
      <c r="A1489" s="362">
        <v>10</v>
      </c>
      <c r="B1489" s="609">
        <v>44103</v>
      </c>
      <c r="C1489" s="362" t="s">
        <v>79</v>
      </c>
      <c r="D1489" s="362"/>
      <c r="E1489" s="362"/>
      <c r="F1489" s="362"/>
      <c r="G1489" s="362"/>
      <c r="H1489" s="362"/>
      <c r="I1489" s="362"/>
      <c r="J1489" s="362"/>
    </row>
    <row r="1490" spans="1:10" x14ac:dyDescent="0.25">
      <c r="A1490" s="362">
        <v>11</v>
      </c>
      <c r="B1490" s="609">
        <v>44103</v>
      </c>
      <c r="C1490" s="362" t="s">
        <v>82</v>
      </c>
      <c r="D1490" s="362"/>
      <c r="E1490" s="362"/>
      <c r="F1490" s="362"/>
      <c r="G1490" s="362"/>
      <c r="H1490" s="362"/>
      <c r="I1490" s="362"/>
      <c r="J1490" s="362"/>
    </row>
    <row r="1491" spans="1:10" x14ac:dyDescent="0.25">
      <c r="A1491" s="362">
        <v>12</v>
      </c>
      <c r="B1491" s="609">
        <v>44103</v>
      </c>
      <c r="C1491" s="362" t="s">
        <v>78</v>
      </c>
      <c r="D1491" s="362"/>
      <c r="E1491" s="362"/>
      <c r="F1491" s="362"/>
      <c r="G1491" s="362"/>
      <c r="H1491" s="362"/>
      <c r="I1491" s="362"/>
      <c r="J1491" s="362"/>
    </row>
    <row r="1492" spans="1:10" x14ac:dyDescent="0.25">
      <c r="A1492" s="362">
        <v>13</v>
      </c>
      <c r="B1492" s="609">
        <v>44103</v>
      </c>
      <c r="C1492" s="362" t="s">
        <v>85</v>
      </c>
      <c r="D1492" s="362"/>
      <c r="E1492" s="362"/>
      <c r="F1492" s="362"/>
      <c r="G1492" s="362"/>
      <c r="H1492" s="362"/>
      <c r="I1492" s="362"/>
      <c r="J1492" s="362"/>
    </row>
    <row r="1493" spans="1:10" x14ac:dyDescent="0.25">
      <c r="A1493" s="362">
        <v>14</v>
      </c>
      <c r="B1493" s="609">
        <v>44103</v>
      </c>
      <c r="C1493" s="362" t="s">
        <v>166</v>
      </c>
      <c r="D1493" s="362"/>
      <c r="E1493" s="362"/>
      <c r="F1493" s="362"/>
      <c r="G1493" s="362"/>
      <c r="H1493" s="362"/>
      <c r="I1493" s="362"/>
      <c r="J1493" s="362"/>
    </row>
    <row r="1494" spans="1:10" x14ac:dyDescent="0.25">
      <c r="A1494" s="362">
        <v>15</v>
      </c>
      <c r="B1494" s="609">
        <v>44103</v>
      </c>
      <c r="C1494" s="362" t="s">
        <v>3435</v>
      </c>
      <c r="D1494" s="362"/>
      <c r="E1494" s="362"/>
      <c r="F1494" s="362"/>
      <c r="G1494" s="362"/>
      <c r="H1494" s="362"/>
      <c r="I1494" s="362"/>
      <c r="J1494" s="362"/>
    </row>
    <row r="1495" spans="1:10" x14ac:dyDescent="0.25">
      <c r="A1495" s="530"/>
      <c r="B1495" s="530"/>
      <c r="C1495" s="530"/>
      <c r="D1495" s="530"/>
      <c r="E1495" s="530"/>
      <c r="F1495" s="530"/>
      <c r="G1495" s="530"/>
      <c r="H1495" s="530"/>
      <c r="I1495" s="530"/>
      <c r="J1495" s="530"/>
    </row>
    <row r="1496" spans="1:10" x14ac:dyDescent="0.25">
      <c r="A1496" s="362">
        <v>1</v>
      </c>
      <c r="B1496" s="609">
        <v>44104</v>
      </c>
      <c r="C1496" s="362" t="s">
        <v>80</v>
      </c>
      <c r="D1496" s="362"/>
      <c r="E1496" s="362"/>
      <c r="F1496" s="362"/>
      <c r="G1496" s="362"/>
      <c r="H1496" s="362"/>
      <c r="I1496" s="362"/>
      <c r="J1496" s="362"/>
    </row>
    <row r="1497" spans="1:10" x14ac:dyDescent="0.25">
      <c r="A1497" s="362">
        <v>2</v>
      </c>
      <c r="B1497" s="609">
        <v>44104</v>
      </c>
      <c r="C1497" s="362" t="s">
        <v>83</v>
      </c>
      <c r="D1497" s="362"/>
      <c r="E1497" s="362"/>
      <c r="F1497" s="362"/>
      <c r="G1497" s="362"/>
      <c r="H1497" s="362"/>
      <c r="I1497" s="362"/>
      <c r="J1497" s="362"/>
    </row>
    <row r="1498" spans="1:10" x14ac:dyDescent="0.25">
      <c r="A1498" s="362">
        <v>3</v>
      </c>
      <c r="B1498" s="609">
        <v>44104</v>
      </c>
      <c r="C1498" s="362" t="s">
        <v>88</v>
      </c>
      <c r="D1498" s="362"/>
      <c r="E1498" s="362"/>
      <c r="F1498" s="362"/>
      <c r="G1498" s="362"/>
      <c r="H1498" s="362"/>
      <c r="I1498" s="362"/>
      <c r="J1498" s="362"/>
    </row>
    <row r="1499" spans="1:10" x14ac:dyDescent="0.25">
      <c r="A1499" s="362">
        <v>4</v>
      </c>
      <c r="B1499" s="609">
        <v>44104</v>
      </c>
      <c r="C1499" s="362" t="s">
        <v>146</v>
      </c>
      <c r="D1499" s="362"/>
      <c r="E1499" s="362"/>
      <c r="F1499" s="362"/>
      <c r="G1499" s="362"/>
      <c r="H1499" s="362"/>
      <c r="I1499" s="362"/>
      <c r="J1499" s="362"/>
    </row>
    <row r="1500" spans="1:10" x14ac:dyDescent="0.25">
      <c r="A1500" s="362">
        <v>5</v>
      </c>
      <c r="B1500" s="609">
        <v>44104</v>
      </c>
      <c r="C1500" s="362" t="s">
        <v>86</v>
      </c>
      <c r="D1500" s="362"/>
      <c r="E1500" s="362"/>
      <c r="F1500" s="362"/>
      <c r="G1500" s="362"/>
      <c r="H1500" s="362"/>
      <c r="I1500" s="362"/>
      <c r="J1500" s="362"/>
    </row>
    <row r="1501" spans="1:10" x14ac:dyDescent="0.25">
      <c r="A1501" s="362">
        <v>6</v>
      </c>
      <c r="B1501" s="609">
        <v>44104</v>
      </c>
      <c r="C1501" s="362" t="s">
        <v>89</v>
      </c>
      <c r="D1501" s="362"/>
      <c r="E1501" s="362"/>
      <c r="F1501" s="362"/>
      <c r="G1501" s="362"/>
      <c r="H1501" s="362"/>
      <c r="I1501" s="362"/>
      <c r="J1501" s="362"/>
    </row>
    <row r="1502" spans="1:10" x14ac:dyDescent="0.25">
      <c r="A1502" s="362">
        <v>7</v>
      </c>
      <c r="B1502" s="609">
        <v>44104</v>
      </c>
      <c r="C1502" s="362" t="s">
        <v>4751</v>
      </c>
      <c r="D1502" s="362"/>
      <c r="E1502" s="362"/>
      <c r="F1502" s="362"/>
      <c r="G1502" s="362"/>
      <c r="H1502" s="362"/>
      <c r="I1502" s="362"/>
      <c r="J1502" s="362"/>
    </row>
    <row r="1503" spans="1:10" x14ac:dyDescent="0.25">
      <c r="A1503" s="362">
        <v>8</v>
      </c>
      <c r="B1503" s="609">
        <v>44104</v>
      </c>
      <c r="C1503" s="362" t="s">
        <v>84</v>
      </c>
      <c r="D1503" s="362"/>
      <c r="E1503" s="362"/>
      <c r="F1503" s="362"/>
      <c r="G1503" s="362"/>
      <c r="H1503" s="362"/>
      <c r="I1503" s="362"/>
      <c r="J1503" s="362"/>
    </row>
    <row r="1504" spans="1:10" x14ac:dyDescent="0.25">
      <c r="A1504" s="362">
        <v>9</v>
      </c>
      <c r="B1504" s="609">
        <v>44104</v>
      </c>
      <c r="C1504" s="362" t="s">
        <v>81</v>
      </c>
      <c r="D1504" s="362"/>
      <c r="E1504" s="362"/>
      <c r="F1504" s="362"/>
      <c r="G1504" s="362"/>
      <c r="H1504" s="362"/>
      <c r="I1504" s="362"/>
      <c r="J1504" s="362"/>
    </row>
    <row r="1505" spans="1:10" x14ac:dyDescent="0.25">
      <c r="A1505" s="362">
        <v>10</v>
      </c>
      <c r="B1505" s="609">
        <v>44104</v>
      </c>
      <c r="C1505" s="362" t="s">
        <v>79</v>
      </c>
      <c r="D1505" s="362"/>
      <c r="E1505" s="362"/>
      <c r="F1505" s="362"/>
      <c r="G1505" s="362"/>
      <c r="H1505" s="362"/>
      <c r="I1505" s="362"/>
      <c r="J1505" s="362"/>
    </row>
    <row r="1506" spans="1:10" x14ac:dyDescent="0.25">
      <c r="A1506" s="362">
        <v>11</v>
      </c>
      <c r="B1506" s="609">
        <v>44104</v>
      </c>
      <c r="C1506" s="362" t="s">
        <v>82</v>
      </c>
      <c r="D1506" s="362"/>
      <c r="E1506" s="362"/>
      <c r="F1506" s="362"/>
      <c r="G1506" s="362"/>
      <c r="H1506" s="362"/>
      <c r="I1506" s="362"/>
      <c r="J1506" s="362"/>
    </row>
    <row r="1507" spans="1:10" x14ac:dyDescent="0.25">
      <c r="A1507" s="362">
        <v>12</v>
      </c>
      <c r="B1507" s="609">
        <v>44104</v>
      </c>
      <c r="C1507" s="362" t="s">
        <v>78</v>
      </c>
      <c r="D1507" s="362"/>
      <c r="E1507" s="362"/>
      <c r="F1507" s="362"/>
      <c r="G1507" s="362"/>
      <c r="H1507" s="362"/>
      <c r="I1507" s="362"/>
      <c r="J1507" s="362"/>
    </row>
    <row r="1508" spans="1:10" x14ac:dyDescent="0.25">
      <c r="A1508" s="362">
        <v>13</v>
      </c>
      <c r="B1508" s="609">
        <v>44104</v>
      </c>
      <c r="C1508" s="362" t="s">
        <v>85</v>
      </c>
      <c r="D1508" s="362"/>
      <c r="E1508" s="362"/>
      <c r="F1508" s="362"/>
      <c r="G1508" s="362"/>
      <c r="H1508" s="362"/>
      <c r="I1508" s="362"/>
      <c r="J1508" s="362"/>
    </row>
    <row r="1509" spans="1:10" x14ac:dyDescent="0.25">
      <c r="A1509" s="362">
        <v>14</v>
      </c>
      <c r="B1509" s="609">
        <v>44104</v>
      </c>
      <c r="C1509" s="362" t="s">
        <v>166</v>
      </c>
      <c r="D1509" s="362"/>
      <c r="E1509" s="362"/>
      <c r="F1509" s="362"/>
      <c r="G1509" s="362"/>
      <c r="H1509" s="362"/>
      <c r="I1509" s="362"/>
      <c r="J1509" s="362"/>
    </row>
    <row r="1510" spans="1:10" x14ac:dyDescent="0.25">
      <c r="A1510" s="362">
        <v>15</v>
      </c>
      <c r="B1510" s="609">
        <v>44104</v>
      </c>
      <c r="C1510" s="362" t="s">
        <v>3435</v>
      </c>
      <c r="D1510" s="362"/>
      <c r="E1510" s="362"/>
      <c r="F1510" s="362"/>
      <c r="G1510" s="362"/>
      <c r="H1510" s="362"/>
      <c r="I1510" s="362"/>
      <c r="J1510" s="362"/>
    </row>
    <row r="1511" spans="1:10" x14ac:dyDescent="0.25">
      <c r="A1511" s="530"/>
      <c r="B1511" s="530"/>
      <c r="C1511" s="530"/>
      <c r="D1511" s="530"/>
      <c r="E1511" s="530"/>
      <c r="F1511" s="530"/>
      <c r="G1511" s="530"/>
      <c r="H1511" s="530"/>
      <c r="I1511" s="530"/>
      <c r="J1511" s="530"/>
    </row>
    <row r="1512" spans="1:10" x14ac:dyDescent="0.25">
      <c r="A1512" s="362">
        <v>1</v>
      </c>
      <c r="B1512" s="609">
        <v>44105</v>
      </c>
      <c r="C1512" s="362" t="s">
        <v>80</v>
      </c>
      <c r="D1512" s="362"/>
      <c r="E1512" s="362"/>
      <c r="F1512" s="362"/>
      <c r="G1512" s="362"/>
      <c r="H1512" s="362"/>
      <c r="I1512" s="362"/>
      <c r="J1512" s="362"/>
    </row>
    <row r="1513" spans="1:10" x14ac:dyDescent="0.25">
      <c r="A1513" s="362">
        <v>2</v>
      </c>
      <c r="B1513" s="609">
        <v>44105</v>
      </c>
      <c r="C1513" s="362" t="s">
        <v>83</v>
      </c>
      <c r="D1513" s="362"/>
      <c r="E1513" s="362"/>
      <c r="F1513" s="362"/>
      <c r="G1513" s="362"/>
      <c r="H1513" s="362"/>
      <c r="I1513" s="362"/>
      <c r="J1513" s="362"/>
    </row>
    <row r="1514" spans="1:10" x14ac:dyDescent="0.25">
      <c r="A1514" s="362">
        <v>3</v>
      </c>
      <c r="B1514" s="609">
        <v>44105</v>
      </c>
      <c r="C1514" s="362" t="s">
        <v>88</v>
      </c>
      <c r="D1514" s="362"/>
      <c r="E1514" s="362"/>
      <c r="F1514" s="362"/>
      <c r="G1514" s="362"/>
      <c r="H1514" s="362"/>
      <c r="I1514" s="362"/>
      <c r="J1514" s="362"/>
    </row>
    <row r="1515" spans="1:10" x14ac:dyDescent="0.25">
      <c r="A1515" s="362">
        <v>4</v>
      </c>
      <c r="B1515" s="609">
        <v>44105</v>
      </c>
      <c r="C1515" s="362" t="s">
        <v>146</v>
      </c>
      <c r="D1515" s="362"/>
      <c r="E1515" s="362"/>
      <c r="F1515" s="362"/>
      <c r="G1515" s="362"/>
      <c r="H1515" s="362"/>
      <c r="I1515" s="362"/>
      <c r="J1515" s="362"/>
    </row>
    <row r="1516" spans="1:10" x14ac:dyDescent="0.25">
      <c r="A1516" s="362">
        <v>5</v>
      </c>
      <c r="B1516" s="609">
        <v>44105</v>
      </c>
      <c r="C1516" s="362" t="s">
        <v>86</v>
      </c>
      <c r="D1516" s="362"/>
      <c r="E1516" s="362"/>
      <c r="F1516" s="362"/>
      <c r="G1516" s="362"/>
      <c r="H1516" s="362"/>
      <c r="I1516" s="362"/>
      <c r="J1516" s="362"/>
    </row>
    <row r="1517" spans="1:10" x14ac:dyDescent="0.25">
      <c r="A1517" s="362">
        <v>6</v>
      </c>
      <c r="B1517" s="609">
        <v>44105</v>
      </c>
      <c r="C1517" s="362" t="s">
        <v>89</v>
      </c>
      <c r="D1517" s="362"/>
      <c r="E1517" s="362"/>
      <c r="F1517" s="362"/>
      <c r="G1517" s="362"/>
      <c r="H1517" s="362"/>
      <c r="I1517" s="362"/>
      <c r="J1517" s="362"/>
    </row>
    <row r="1518" spans="1:10" x14ac:dyDescent="0.25">
      <c r="A1518" s="362">
        <v>7</v>
      </c>
      <c r="B1518" s="609">
        <v>44105</v>
      </c>
      <c r="C1518" s="362" t="s">
        <v>4751</v>
      </c>
      <c r="D1518" s="362"/>
      <c r="E1518" s="362"/>
      <c r="F1518" s="362"/>
      <c r="G1518" s="362"/>
      <c r="H1518" s="362"/>
      <c r="I1518" s="362"/>
      <c r="J1518" s="362"/>
    </row>
    <row r="1519" spans="1:10" x14ac:dyDescent="0.25">
      <c r="A1519" s="362">
        <v>8</v>
      </c>
      <c r="B1519" s="609">
        <v>44105</v>
      </c>
      <c r="C1519" s="362" t="s">
        <v>84</v>
      </c>
      <c r="D1519" s="362"/>
      <c r="E1519" s="362"/>
      <c r="F1519" s="362"/>
      <c r="G1519" s="362"/>
      <c r="H1519" s="362"/>
      <c r="I1519" s="362"/>
      <c r="J1519" s="362"/>
    </row>
    <row r="1520" spans="1:10" x14ac:dyDescent="0.25">
      <c r="A1520" s="362">
        <v>9</v>
      </c>
      <c r="B1520" s="609">
        <v>44105</v>
      </c>
      <c r="C1520" s="362" t="s">
        <v>81</v>
      </c>
      <c r="D1520" s="362"/>
      <c r="E1520" s="362"/>
      <c r="F1520" s="362"/>
      <c r="G1520" s="362"/>
      <c r="H1520" s="362"/>
      <c r="I1520" s="362"/>
      <c r="J1520" s="362"/>
    </row>
    <row r="1521" spans="1:10" x14ac:dyDescent="0.25">
      <c r="A1521" s="362">
        <v>10</v>
      </c>
      <c r="B1521" s="609">
        <v>44105</v>
      </c>
      <c r="C1521" s="362" t="s">
        <v>79</v>
      </c>
      <c r="D1521" s="362"/>
      <c r="E1521" s="362"/>
      <c r="F1521" s="362"/>
      <c r="G1521" s="362"/>
      <c r="H1521" s="362"/>
      <c r="I1521" s="362"/>
      <c r="J1521" s="362"/>
    </row>
    <row r="1522" spans="1:10" x14ac:dyDescent="0.25">
      <c r="A1522" s="362">
        <v>11</v>
      </c>
      <c r="B1522" s="609">
        <v>44105</v>
      </c>
      <c r="C1522" s="362" t="s">
        <v>82</v>
      </c>
      <c r="D1522" s="362"/>
      <c r="E1522" s="362"/>
      <c r="F1522" s="362"/>
      <c r="G1522" s="362"/>
      <c r="H1522" s="362"/>
      <c r="I1522" s="362"/>
      <c r="J1522" s="362"/>
    </row>
    <row r="1523" spans="1:10" x14ac:dyDescent="0.25">
      <c r="A1523" s="362">
        <v>12</v>
      </c>
      <c r="B1523" s="609">
        <v>44105</v>
      </c>
      <c r="C1523" s="362" t="s">
        <v>78</v>
      </c>
      <c r="D1523" s="362"/>
      <c r="E1523" s="362"/>
      <c r="F1523" s="362"/>
      <c r="G1523" s="362"/>
      <c r="H1523" s="362"/>
      <c r="I1523" s="362"/>
      <c r="J1523" s="362"/>
    </row>
    <row r="1524" spans="1:10" x14ac:dyDescent="0.25">
      <c r="A1524" s="362">
        <v>13</v>
      </c>
      <c r="B1524" s="609">
        <v>44105</v>
      </c>
      <c r="C1524" s="362" t="s">
        <v>85</v>
      </c>
      <c r="D1524" s="362"/>
      <c r="E1524" s="362"/>
      <c r="F1524" s="362"/>
      <c r="G1524" s="362"/>
      <c r="H1524" s="362"/>
      <c r="I1524" s="362"/>
      <c r="J1524" s="362"/>
    </row>
    <row r="1525" spans="1:10" x14ac:dyDescent="0.25">
      <c r="A1525" s="362">
        <v>14</v>
      </c>
      <c r="B1525" s="609">
        <v>44105</v>
      </c>
      <c r="C1525" s="362" t="s">
        <v>166</v>
      </c>
      <c r="D1525" s="362"/>
      <c r="E1525" s="362"/>
      <c r="F1525" s="362"/>
      <c r="G1525" s="362"/>
      <c r="H1525" s="362"/>
      <c r="I1525" s="362"/>
      <c r="J1525" s="362"/>
    </row>
    <row r="1526" spans="1:10" x14ac:dyDescent="0.25">
      <c r="A1526" s="362">
        <v>15</v>
      </c>
      <c r="B1526" s="609">
        <v>44105</v>
      </c>
      <c r="C1526" s="362" t="s">
        <v>3435</v>
      </c>
      <c r="D1526" s="362"/>
      <c r="E1526" s="362"/>
      <c r="F1526" s="362"/>
      <c r="G1526" s="362"/>
      <c r="H1526" s="362"/>
      <c r="I1526" s="362"/>
      <c r="J1526" s="362"/>
    </row>
    <row r="1527" spans="1:10" x14ac:dyDescent="0.25">
      <c r="A1527" s="530"/>
      <c r="B1527" s="530"/>
      <c r="C1527" s="530"/>
      <c r="D1527" s="530"/>
      <c r="E1527" s="530"/>
      <c r="F1527" s="530"/>
      <c r="G1527" s="530"/>
      <c r="H1527" s="530"/>
      <c r="I1527" s="530"/>
      <c r="J1527" s="530"/>
    </row>
    <row r="1528" spans="1:10" x14ac:dyDescent="0.25">
      <c r="A1528" s="362">
        <v>1</v>
      </c>
      <c r="B1528" s="609">
        <v>44106</v>
      </c>
      <c r="C1528" s="362" t="s">
        <v>80</v>
      </c>
      <c r="D1528" s="362"/>
      <c r="E1528" s="362"/>
      <c r="F1528" s="362"/>
      <c r="G1528" s="362"/>
      <c r="H1528" s="362"/>
      <c r="I1528" s="362"/>
      <c r="J1528" s="362"/>
    </row>
    <row r="1529" spans="1:10" x14ac:dyDescent="0.25">
      <c r="A1529" s="362">
        <v>2</v>
      </c>
      <c r="B1529" s="609">
        <v>44106</v>
      </c>
      <c r="C1529" s="362" t="s">
        <v>83</v>
      </c>
      <c r="D1529" s="362"/>
      <c r="E1529" s="362"/>
      <c r="F1529" s="362"/>
      <c r="G1529" s="362"/>
      <c r="H1529" s="362"/>
      <c r="I1529" s="362"/>
      <c r="J1529" s="362"/>
    </row>
    <row r="1530" spans="1:10" x14ac:dyDescent="0.25">
      <c r="A1530" s="362">
        <v>3</v>
      </c>
      <c r="B1530" s="609">
        <v>44106</v>
      </c>
      <c r="C1530" s="362" t="s">
        <v>88</v>
      </c>
      <c r="D1530" s="362"/>
      <c r="E1530" s="362"/>
      <c r="F1530" s="362"/>
      <c r="G1530" s="362"/>
      <c r="H1530" s="362"/>
      <c r="I1530" s="362"/>
      <c r="J1530" s="362"/>
    </row>
    <row r="1531" spans="1:10" x14ac:dyDescent="0.25">
      <c r="A1531" s="362">
        <v>4</v>
      </c>
      <c r="B1531" s="609">
        <v>44106</v>
      </c>
      <c r="C1531" s="362" t="s">
        <v>146</v>
      </c>
      <c r="D1531" s="362"/>
      <c r="E1531" s="362"/>
      <c r="F1531" s="362"/>
      <c r="G1531" s="362"/>
      <c r="H1531" s="362"/>
      <c r="I1531" s="362"/>
      <c r="J1531" s="362"/>
    </row>
    <row r="1532" spans="1:10" x14ac:dyDescent="0.25">
      <c r="A1532" s="362">
        <v>5</v>
      </c>
      <c r="B1532" s="609">
        <v>44106</v>
      </c>
      <c r="C1532" s="362" t="s">
        <v>86</v>
      </c>
      <c r="D1532" s="362"/>
      <c r="E1532" s="362"/>
      <c r="F1532" s="362"/>
      <c r="G1532" s="362"/>
      <c r="H1532" s="362"/>
      <c r="I1532" s="362"/>
      <c r="J1532" s="362"/>
    </row>
    <row r="1533" spans="1:10" x14ac:dyDescent="0.25">
      <c r="A1533" s="362">
        <v>6</v>
      </c>
      <c r="B1533" s="609">
        <v>44106</v>
      </c>
      <c r="C1533" s="362" t="s">
        <v>89</v>
      </c>
      <c r="D1533" s="362"/>
      <c r="E1533" s="362"/>
      <c r="F1533" s="362"/>
      <c r="G1533" s="362"/>
      <c r="H1533" s="362"/>
      <c r="I1533" s="362"/>
      <c r="J1533" s="362"/>
    </row>
    <row r="1534" spans="1:10" x14ac:dyDescent="0.25">
      <c r="A1534" s="362">
        <v>7</v>
      </c>
      <c r="B1534" s="609">
        <v>44106</v>
      </c>
      <c r="C1534" s="362" t="s">
        <v>4751</v>
      </c>
      <c r="D1534" s="362"/>
      <c r="E1534" s="362"/>
      <c r="F1534" s="362"/>
      <c r="G1534" s="362"/>
      <c r="H1534" s="362"/>
      <c r="I1534" s="362"/>
      <c r="J1534" s="362"/>
    </row>
    <row r="1535" spans="1:10" x14ac:dyDescent="0.25">
      <c r="A1535" s="362">
        <v>8</v>
      </c>
      <c r="B1535" s="609">
        <v>44106</v>
      </c>
      <c r="C1535" s="362" t="s">
        <v>84</v>
      </c>
      <c r="D1535" s="362"/>
      <c r="E1535" s="362"/>
      <c r="F1535" s="362"/>
      <c r="G1535" s="362"/>
      <c r="H1535" s="362"/>
      <c r="I1535" s="362"/>
      <c r="J1535" s="362"/>
    </row>
    <row r="1536" spans="1:10" x14ac:dyDescent="0.25">
      <c r="A1536" s="362">
        <v>9</v>
      </c>
      <c r="B1536" s="609">
        <v>44106</v>
      </c>
      <c r="C1536" s="362" t="s">
        <v>81</v>
      </c>
      <c r="D1536" s="362"/>
      <c r="E1536" s="362"/>
      <c r="F1536" s="362"/>
      <c r="G1536" s="362"/>
      <c r="H1536" s="362"/>
      <c r="I1536" s="362"/>
      <c r="J1536" s="362"/>
    </row>
    <row r="1537" spans="1:10" x14ac:dyDescent="0.25">
      <c r="A1537" s="362">
        <v>10</v>
      </c>
      <c r="B1537" s="609">
        <v>44106</v>
      </c>
      <c r="C1537" s="362" t="s">
        <v>79</v>
      </c>
      <c r="D1537" s="362"/>
      <c r="E1537" s="362"/>
      <c r="F1537" s="362"/>
      <c r="G1537" s="362"/>
      <c r="H1537" s="362"/>
      <c r="I1537" s="362"/>
      <c r="J1537" s="362"/>
    </row>
    <row r="1538" spans="1:10" x14ac:dyDescent="0.25">
      <c r="A1538" s="362">
        <v>11</v>
      </c>
      <c r="B1538" s="609">
        <v>44106</v>
      </c>
      <c r="C1538" s="362" t="s">
        <v>82</v>
      </c>
      <c r="D1538" s="362"/>
      <c r="E1538" s="362"/>
      <c r="F1538" s="362"/>
      <c r="G1538" s="362"/>
      <c r="H1538" s="362"/>
      <c r="I1538" s="362"/>
      <c r="J1538" s="362"/>
    </row>
    <row r="1539" spans="1:10" x14ac:dyDescent="0.25">
      <c r="A1539" s="362">
        <v>12</v>
      </c>
      <c r="B1539" s="609">
        <v>44106</v>
      </c>
      <c r="C1539" s="362" t="s">
        <v>78</v>
      </c>
      <c r="D1539" s="362"/>
      <c r="E1539" s="362"/>
      <c r="F1539" s="362"/>
      <c r="G1539" s="362"/>
      <c r="H1539" s="362"/>
      <c r="I1539" s="362"/>
      <c r="J1539" s="362"/>
    </row>
    <row r="1540" spans="1:10" x14ac:dyDescent="0.25">
      <c r="A1540" s="362">
        <v>13</v>
      </c>
      <c r="B1540" s="609">
        <v>44106</v>
      </c>
      <c r="C1540" s="362" t="s">
        <v>85</v>
      </c>
      <c r="D1540" s="362"/>
      <c r="E1540" s="362"/>
      <c r="F1540" s="362"/>
      <c r="G1540" s="362"/>
      <c r="H1540" s="362"/>
      <c r="I1540" s="362"/>
      <c r="J1540" s="362"/>
    </row>
    <row r="1541" spans="1:10" x14ac:dyDescent="0.25">
      <c r="A1541" s="362">
        <v>14</v>
      </c>
      <c r="B1541" s="609">
        <v>44106</v>
      </c>
      <c r="C1541" s="362" t="s">
        <v>166</v>
      </c>
      <c r="D1541" s="362"/>
      <c r="E1541" s="362"/>
      <c r="F1541" s="362"/>
      <c r="G1541" s="362"/>
      <c r="H1541" s="362"/>
      <c r="I1541" s="362"/>
      <c r="J1541" s="362"/>
    </row>
    <row r="1542" spans="1:10" x14ac:dyDescent="0.25">
      <c r="A1542" s="362">
        <v>15</v>
      </c>
      <c r="B1542" s="609">
        <v>44106</v>
      </c>
      <c r="C1542" s="362" t="s">
        <v>3435</v>
      </c>
      <c r="D1542" s="362"/>
      <c r="E1542" s="362"/>
      <c r="F1542" s="362"/>
      <c r="G1542" s="362"/>
      <c r="H1542" s="362"/>
      <c r="I1542" s="362"/>
      <c r="J1542" s="362"/>
    </row>
    <row r="1543" spans="1:10" x14ac:dyDescent="0.25">
      <c r="A1543" s="530"/>
      <c r="B1543" s="530"/>
      <c r="C1543" s="530"/>
      <c r="D1543" s="530"/>
      <c r="E1543" s="530"/>
      <c r="F1543" s="530"/>
      <c r="G1543" s="530"/>
      <c r="H1543" s="530"/>
      <c r="I1543" s="530"/>
      <c r="J1543" s="530"/>
    </row>
    <row r="1544" spans="1:10" x14ac:dyDescent="0.25">
      <c r="A1544" s="362">
        <v>1</v>
      </c>
      <c r="B1544" s="609">
        <v>44107</v>
      </c>
      <c r="C1544" s="362" t="s">
        <v>80</v>
      </c>
      <c r="D1544" s="362"/>
      <c r="E1544" s="362"/>
      <c r="F1544" s="362"/>
      <c r="G1544" s="362"/>
      <c r="H1544" s="362"/>
      <c r="I1544" s="362"/>
      <c r="J1544" s="362"/>
    </row>
    <row r="1545" spans="1:10" x14ac:dyDescent="0.25">
      <c r="A1545" s="362">
        <v>2</v>
      </c>
      <c r="B1545" s="609">
        <v>44107</v>
      </c>
      <c r="C1545" s="362" t="s">
        <v>83</v>
      </c>
      <c r="D1545" s="362"/>
      <c r="E1545" s="362"/>
      <c r="F1545" s="362"/>
      <c r="G1545" s="362"/>
      <c r="H1545" s="362"/>
      <c r="I1545" s="362"/>
      <c r="J1545" s="362"/>
    </row>
    <row r="1546" spans="1:10" x14ac:dyDescent="0.25">
      <c r="A1546" s="362">
        <v>3</v>
      </c>
      <c r="B1546" s="609">
        <v>44107</v>
      </c>
      <c r="C1546" s="362" t="s">
        <v>88</v>
      </c>
      <c r="D1546" s="362"/>
      <c r="E1546" s="362"/>
      <c r="F1546" s="362"/>
      <c r="G1546" s="362"/>
      <c r="H1546" s="362"/>
      <c r="I1546" s="362"/>
      <c r="J1546" s="362"/>
    </row>
    <row r="1547" spans="1:10" x14ac:dyDescent="0.25">
      <c r="A1547" s="362">
        <v>4</v>
      </c>
      <c r="B1547" s="609">
        <v>44107</v>
      </c>
      <c r="C1547" s="362" t="s">
        <v>146</v>
      </c>
      <c r="D1547" s="362"/>
      <c r="E1547" s="362"/>
      <c r="F1547" s="362"/>
      <c r="G1547" s="362"/>
      <c r="H1547" s="362"/>
      <c r="I1547" s="362"/>
      <c r="J1547" s="362"/>
    </row>
    <row r="1548" spans="1:10" x14ac:dyDescent="0.25">
      <c r="A1548" s="362">
        <v>5</v>
      </c>
      <c r="B1548" s="609">
        <v>44107</v>
      </c>
      <c r="C1548" s="362" t="s">
        <v>86</v>
      </c>
      <c r="D1548" s="362"/>
      <c r="E1548" s="362"/>
      <c r="F1548" s="362"/>
      <c r="G1548" s="362"/>
      <c r="H1548" s="362"/>
      <c r="I1548" s="362"/>
      <c r="J1548" s="362"/>
    </row>
    <row r="1549" spans="1:10" x14ac:dyDescent="0.25">
      <c r="A1549" s="362">
        <v>6</v>
      </c>
      <c r="B1549" s="609">
        <v>44107</v>
      </c>
      <c r="C1549" s="362" t="s">
        <v>89</v>
      </c>
      <c r="D1549" s="362"/>
      <c r="E1549" s="362"/>
      <c r="F1549" s="362"/>
      <c r="G1549" s="362"/>
      <c r="H1549" s="362"/>
      <c r="I1549" s="362"/>
      <c r="J1549" s="362"/>
    </row>
    <row r="1550" spans="1:10" x14ac:dyDescent="0.25">
      <c r="A1550" s="362">
        <v>7</v>
      </c>
      <c r="B1550" s="609">
        <v>44107</v>
      </c>
      <c r="C1550" s="362" t="s">
        <v>4751</v>
      </c>
      <c r="D1550" s="362"/>
      <c r="E1550" s="362"/>
      <c r="F1550" s="362"/>
      <c r="G1550" s="362"/>
      <c r="H1550" s="362"/>
      <c r="I1550" s="362"/>
      <c r="J1550" s="362"/>
    </row>
    <row r="1551" spans="1:10" x14ac:dyDescent="0.25">
      <c r="A1551" s="362">
        <v>8</v>
      </c>
      <c r="B1551" s="609">
        <v>44107</v>
      </c>
      <c r="C1551" s="362" t="s">
        <v>84</v>
      </c>
      <c r="D1551" s="362"/>
      <c r="E1551" s="362"/>
      <c r="F1551" s="362"/>
      <c r="G1551" s="362"/>
      <c r="H1551" s="362"/>
      <c r="I1551" s="362"/>
      <c r="J1551" s="362"/>
    </row>
    <row r="1552" spans="1:10" x14ac:dyDescent="0.25">
      <c r="A1552" s="362">
        <v>9</v>
      </c>
      <c r="B1552" s="609">
        <v>44107</v>
      </c>
      <c r="C1552" s="362" t="s">
        <v>81</v>
      </c>
      <c r="D1552" s="362"/>
      <c r="E1552" s="362"/>
      <c r="F1552" s="362"/>
      <c r="G1552" s="362"/>
      <c r="H1552" s="362"/>
      <c r="I1552" s="362"/>
      <c r="J1552" s="362"/>
    </row>
    <row r="1553" spans="1:10" x14ac:dyDescent="0.25">
      <c r="A1553" s="362">
        <v>10</v>
      </c>
      <c r="B1553" s="609">
        <v>44107</v>
      </c>
      <c r="C1553" s="362" t="s">
        <v>79</v>
      </c>
      <c r="D1553" s="362"/>
      <c r="E1553" s="362"/>
      <c r="F1553" s="362"/>
      <c r="G1553" s="362"/>
      <c r="H1553" s="362"/>
      <c r="I1553" s="362"/>
      <c r="J1553" s="362"/>
    </row>
    <row r="1554" spans="1:10" x14ac:dyDescent="0.25">
      <c r="A1554" s="362">
        <v>11</v>
      </c>
      <c r="B1554" s="609">
        <v>44107</v>
      </c>
      <c r="C1554" s="362" t="s">
        <v>82</v>
      </c>
      <c r="D1554" s="362"/>
      <c r="E1554" s="362"/>
      <c r="F1554" s="362"/>
      <c r="G1554" s="362"/>
      <c r="H1554" s="362"/>
      <c r="I1554" s="362"/>
      <c r="J1554" s="362"/>
    </row>
    <row r="1555" spans="1:10" x14ac:dyDescent="0.25">
      <c r="A1555" s="362">
        <v>12</v>
      </c>
      <c r="B1555" s="609">
        <v>44107</v>
      </c>
      <c r="C1555" s="362" t="s">
        <v>78</v>
      </c>
      <c r="D1555" s="362"/>
      <c r="E1555" s="362"/>
      <c r="F1555" s="362"/>
      <c r="G1555" s="362"/>
      <c r="H1555" s="362"/>
      <c r="I1555" s="362"/>
      <c r="J1555" s="362"/>
    </row>
    <row r="1556" spans="1:10" x14ac:dyDescent="0.25">
      <c r="A1556" s="362">
        <v>13</v>
      </c>
      <c r="B1556" s="609">
        <v>44107</v>
      </c>
      <c r="C1556" s="362" t="s">
        <v>85</v>
      </c>
      <c r="D1556" s="362"/>
      <c r="E1556" s="362"/>
      <c r="F1556" s="362"/>
      <c r="G1556" s="362"/>
      <c r="H1556" s="362"/>
      <c r="I1556" s="362"/>
      <c r="J1556" s="362"/>
    </row>
    <row r="1557" spans="1:10" x14ac:dyDescent="0.25">
      <c r="A1557" s="362">
        <v>14</v>
      </c>
      <c r="B1557" s="609">
        <v>44107</v>
      </c>
      <c r="C1557" s="362" t="s">
        <v>166</v>
      </c>
      <c r="D1557" s="362"/>
      <c r="E1557" s="362"/>
      <c r="F1557" s="362"/>
      <c r="G1557" s="362"/>
      <c r="H1557" s="362"/>
      <c r="I1557" s="362"/>
      <c r="J1557" s="362"/>
    </row>
    <row r="1558" spans="1:10" x14ac:dyDescent="0.25">
      <c r="A1558" s="362">
        <v>15</v>
      </c>
      <c r="B1558" s="609">
        <v>44107</v>
      </c>
      <c r="C1558" s="362" t="s">
        <v>3435</v>
      </c>
      <c r="D1558" s="362"/>
      <c r="E1558" s="362"/>
      <c r="F1558" s="362"/>
      <c r="G1558" s="362"/>
      <c r="H1558" s="362"/>
      <c r="I1558" s="362"/>
      <c r="J1558" s="362"/>
    </row>
    <row r="1559" spans="1:10" x14ac:dyDescent="0.25">
      <c r="A1559" s="530"/>
      <c r="B1559" s="530"/>
      <c r="C1559" s="530"/>
      <c r="D1559" s="530"/>
      <c r="E1559" s="530"/>
      <c r="F1559" s="530"/>
      <c r="G1559" s="530"/>
      <c r="H1559" s="530"/>
      <c r="I1559" s="530"/>
      <c r="J1559" s="530"/>
    </row>
    <row r="1560" spans="1:10" x14ac:dyDescent="0.25">
      <c r="A1560" s="362">
        <v>1</v>
      </c>
      <c r="B1560" s="609">
        <v>44109</v>
      </c>
      <c r="C1560" s="362" t="s">
        <v>80</v>
      </c>
      <c r="D1560" s="362"/>
      <c r="E1560" s="362"/>
      <c r="F1560" s="362"/>
      <c r="G1560" s="362"/>
      <c r="H1560" s="362"/>
      <c r="I1560" s="362"/>
      <c r="J1560" s="362"/>
    </row>
    <row r="1561" spans="1:10" x14ac:dyDescent="0.25">
      <c r="A1561" s="362">
        <v>2</v>
      </c>
      <c r="B1561" s="609">
        <v>44109</v>
      </c>
      <c r="C1561" s="362" t="s">
        <v>83</v>
      </c>
      <c r="D1561" s="362"/>
      <c r="E1561" s="362"/>
      <c r="F1561" s="362"/>
      <c r="G1561" s="362"/>
      <c r="H1561" s="362"/>
      <c r="I1561" s="362"/>
      <c r="J1561" s="362"/>
    </row>
    <row r="1562" spans="1:10" x14ac:dyDescent="0.25">
      <c r="A1562" s="362">
        <v>3</v>
      </c>
      <c r="B1562" s="609">
        <v>44109</v>
      </c>
      <c r="C1562" s="362" t="s">
        <v>88</v>
      </c>
      <c r="D1562" s="362"/>
      <c r="E1562" s="362"/>
      <c r="F1562" s="362"/>
      <c r="G1562" s="362"/>
      <c r="H1562" s="362"/>
      <c r="I1562" s="362"/>
      <c r="J1562" s="362"/>
    </row>
    <row r="1563" spans="1:10" x14ac:dyDescent="0.25">
      <c r="A1563" s="362">
        <v>4</v>
      </c>
      <c r="B1563" s="609">
        <v>44109</v>
      </c>
      <c r="C1563" s="362" t="s">
        <v>146</v>
      </c>
      <c r="D1563" s="362"/>
      <c r="E1563" s="362"/>
      <c r="F1563" s="362"/>
      <c r="G1563" s="362"/>
      <c r="H1563" s="362"/>
      <c r="I1563" s="362"/>
      <c r="J1563" s="362"/>
    </row>
    <row r="1564" spans="1:10" x14ac:dyDescent="0.25">
      <c r="A1564" s="362">
        <v>5</v>
      </c>
      <c r="B1564" s="609">
        <v>44109</v>
      </c>
      <c r="C1564" s="362" t="s">
        <v>86</v>
      </c>
      <c r="D1564" s="362"/>
      <c r="E1564" s="362"/>
      <c r="F1564" s="362"/>
      <c r="G1564" s="362"/>
      <c r="H1564" s="362"/>
      <c r="I1564" s="362"/>
      <c r="J1564" s="362"/>
    </row>
    <row r="1565" spans="1:10" x14ac:dyDescent="0.25">
      <c r="A1565" s="362">
        <v>6</v>
      </c>
      <c r="B1565" s="609">
        <v>44109</v>
      </c>
      <c r="C1565" s="362" t="s">
        <v>89</v>
      </c>
      <c r="D1565" s="362"/>
      <c r="E1565" s="362"/>
      <c r="F1565" s="362"/>
      <c r="G1565" s="362"/>
      <c r="H1565" s="362"/>
      <c r="I1565" s="362"/>
      <c r="J1565" s="362"/>
    </row>
    <row r="1566" spans="1:10" x14ac:dyDescent="0.25">
      <c r="A1566" s="362">
        <v>7</v>
      </c>
      <c r="B1566" s="609">
        <v>44109</v>
      </c>
      <c r="C1566" s="362" t="s">
        <v>4751</v>
      </c>
      <c r="D1566" s="362"/>
      <c r="E1566" s="362"/>
      <c r="F1566" s="362"/>
      <c r="G1566" s="362"/>
      <c r="H1566" s="362"/>
      <c r="I1566" s="362"/>
      <c r="J1566" s="362"/>
    </row>
    <row r="1567" spans="1:10" x14ac:dyDescent="0.25">
      <c r="A1567" s="362">
        <v>8</v>
      </c>
      <c r="B1567" s="609">
        <v>44109</v>
      </c>
      <c r="C1567" s="362" t="s">
        <v>84</v>
      </c>
      <c r="D1567" s="362"/>
      <c r="E1567" s="362"/>
      <c r="F1567" s="362"/>
      <c r="G1567" s="362"/>
      <c r="H1567" s="362"/>
      <c r="I1567" s="362"/>
      <c r="J1567" s="362"/>
    </row>
    <row r="1568" spans="1:10" x14ac:dyDescent="0.25">
      <c r="A1568" s="362">
        <v>9</v>
      </c>
      <c r="B1568" s="609">
        <v>44109</v>
      </c>
      <c r="C1568" s="362" t="s">
        <v>81</v>
      </c>
      <c r="D1568" s="362"/>
      <c r="E1568" s="362"/>
      <c r="F1568" s="362"/>
      <c r="G1568" s="362"/>
      <c r="H1568" s="362"/>
      <c r="I1568" s="362"/>
      <c r="J1568" s="362"/>
    </row>
    <row r="1569" spans="1:10" x14ac:dyDescent="0.25">
      <c r="A1569" s="362">
        <v>10</v>
      </c>
      <c r="B1569" s="609">
        <v>44109</v>
      </c>
      <c r="C1569" s="362" t="s">
        <v>79</v>
      </c>
      <c r="D1569" s="362"/>
      <c r="E1569" s="362"/>
      <c r="F1569" s="362"/>
      <c r="G1569" s="362"/>
      <c r="H1569" s="362"/>
      <c r="I1569" s="362"/>
      <c r="J1569" s="362"/>
    </row>
    <row r="1570" spans="1:10" x14ac:dyDescent="0.25">
      <c r="A1570" s="362">
        <v>11</v>
      </c>
      <c r="B1570" s="609">
        <v>44109</v>
      </c>
      <c r="C1570" s="362" t="s">
        <v>82</v>
      </c>
      <c r="D1570" s="362"/>
      <c r="E1570" s="362"/>
      <c r="F1570" s="362"/>
      <c r="G1570" s="362"/>
      <c r="H1570" s="362"/>
      <c r="I1570" s="362"/>
      <c r="J1570" s="362"/>
    </row>
    <row r="1571" spans="1:10" x14ac:dyDescent="0.25">
      <c r="A1571" s="362">
        <v>12</v>
      </c>
      <c r="B1571" s="609">
        <v>44109</v>
      </c>
      <c r="C1571" s="362" t="s">
        <v>78</v>
      </c>
      <c r="D1571" s="362"/>
      <c r="E1571" s="362"/>
      <c r="F1571" s="362"/>
      <c r="G1571" s="362"/>
      <c r="H1571" s="362"/>
      <c r="I1571" s="362"/>
      <c r="J1571" s="362"/>
    </row>
    <row r="1572" spans="1:10" x14ac:dyDescent="0.25">
      <c r="A1572" s="362">
        <v>13</v>
      </c>
      <c r="B1572" s="609">
        <v>44109</v>
      </c>
      <c r="C1572" s="362" t="s">
        <v>85</v>
      </c>
      <c r="D1572" s="362"/>
      <c r="E1572" s="362"/>
      <c r="F1572" s="362"/>
      <c r="G1572" s="362"/>
      <c r="H1572" s="362"/>
      <c r="I1572" s="362"/>
      <c r="J1572" s="362"/>
    </row>
    <row r="1573" spans="1:10" x14ac:dyDescent="0.25">
      <c r="A1573" s="362">
        <v>14</v>
      </c>
      <c r="B1573" s="609">
        <v>44109</v>
      </c>
      <c r="C1573" s="362" t="s">
        <v>166</v>
      </c>
      <c r="D1573" s="362"/>
      <c r="E1573" s="362"/>
      <c r="F1573" s="362"/>
      <c r="G1573" s="362"/>
      <c r="H1573" s="362"/>
      <c r="I1573" s="362"/>
      <c r="J1573" s="362"/>
    </row>
    <row r="1574" spans="1:10" x14ac:dyDescent="0.25">
      <c r="A1574" s="362">
        <v>15</v>
      </c>
      <c r="B1574" s="609">
        <v>44109</v>
      </c>
      <c r="C1574" s="362" t="s">
        <v>3435</v>
      </c>
      <c r="D1574" s="362"/>
      <c r="E1574" s="362"/>
      <c r="F1574" s="362"/>
      <c r="G1574" s="362"/>
      <c r="H1574" s="362"/>
      <c r="I1574" s="362"/>
      <c r="J1574" s="362"/>
    </row>
    <row r="1575" spans="1:10" x14ac:dyDescent="0.25">
      <c r="A1575" s="530"/>
      <c r="B1575" s="530"/>
      <c r="C1575" s="530"/>
      <c r="D1575" s="530"/>
      <c r="E1575" s="530"/>
      <c r="F1575" s="530"/>
      <c r="G1575" s="530"/>
      <c r="H1575" s="530"/>
      <c r="I1575" s="530"/>
      <c r="J1575" s="530"/>
    </row>
    <row r="1576" spans="1:10" x14ac:dyDescent="0.25">
      <c r="A1576" s="362">
        <v>1</v>
      </c>
      <c r="B1576" s="609">
        <v>44110</v>
      </c>
      <c r="C1576" s="362" t="s">
        <v>80</v>
      </c>
      <c r="D1576" s="463">
        <v>182799166</v>
      </c>
      <c r="E1576" s="463">
        <v>251973</v>
      </c>
      <c r="F1576" s="560">
        <v>183055200</v>
      </c>
      <c r="G1576" s="629">
        <f>D1576+E1576-F1576</f>
        <v>-4061</v>
      </c>
      <c r="H1576" s="560">
        <v>23701383</v>
      </c>
      <c r="I1576" s="362"/>
      <c r="J1576" s="362"/>
    </row>
    <row r="1577" spans="1:10" x14ac:dyDescent="0.25">
      <c r="A1577" s="362">
        <v>2</v>
      </c>
      <c r="B1577" s="609">
        <v>44110</v>
      </c>
      <c r="C1577" s="362" t="s">
        <v>83</v>
      </c>
      <c r="D1577" s="560">
        <v>223383925</v>
      </c>
      <c r="E1577" s="560">
        <v>17275076</v>
      </c>
      <c r="F1577" s="560">
        <v>240659000</v>
      </c>
      <c r="G1577" s="629">
        <f t="shared" ref="G1577:G1590" si="30">D1577+E1577-F1577</f>
        <v>1</v>
      </c>
      <c r="H1577" s="560">
        <v>4024698</v>
      </c>
      <c r="I1577" s="362"/>
      <c r="J1577" s="362"/>
    </row>
    <row r="1578" spans="1:10" x14ac:dyDescent="0.25">
      <c r="A1578" s="362">
        <v>3</v>
      </c>
      <c r="B1578" s="609">
        <v>44110</v>
      </c>
      <c r="C1578" s="362" t="s">
        <v>88</v>
      </c>
      <c r="D1578" s="560">
        <v>169421195</v>
      </c>
      <c r="E1578" s="560">
        <v>17443382</v>
      </c>
      <c r="F1578" s="560">
        <v>186864600</v>
      </c>
      <c r="G1578" s="629">
        <f t="shared" si="30"/>
        <v>-23</v>
      </c>
      <c r="H1578" s="560">
        <v>12198068</v>
      </c>
      <c r="I1578" s="362"/>
      <c r="J1578" s="362"/>
    </row>
    <row r="1579" spans="1:10" x14ac:dyDescent="0.25">
      <c r="A1579" s="362">
        <v>4</v>
      </c>
      <c r="B1579" s="609">
        <v>44110</v>
      </c>
      <c r="C1579" s="362" t="s">
        <v>146</v>
      </c>
      <c r="D1579" s="560">
        <v>66155775</v>
      </c>
      <c r="E1579" s="560">
        <v>22360758</v>
      </c>
      <c r="F1579" s="560">
        <v>88516600</v>
      </c>
      <c r="G1579" s="629">
        <f t="shared" si="30"/>
        <v>-67</v>
      </c>
      <c r="H1579" s="560">
        <v>14074900</v>
      </c>
      <c r="I1579" s="362"/>
      <c r="J1579" s="362"/>
    </row>
    <row r="1580" spans="1:10" x14ac:dyDescent="0.25">
      <c r="A1580" s="362">
        <v>5</v>
      </c>
      <c r="B1580" s="609">
        <v>44110</v>
      </c>
      <c r="C1580" s="362" t="s">
        <v>86</v>
      </c>
      <c r="D1580" s="560">
        <v>66856355</v>
      </c>
      <c r="E1580" s="560">
        <v>53132523</v>
      </c>
      <c r="F1580" s="560">
        <v>119988800</v>
      </c>
      <c r="G1580" s="629">
        <f t="shared" si="30"/>
        <v>78</v>
      </c>
      <c r="H1580" s="560">
        <v>5306271</v>
      </c>
      <c r="I1580" s="362"/>
      <c r="J1580" s="362"/>
    </row>
    <row r="1581" spans="1:10" x14ac:dyDescent="0.25">
      <c r="A1581" s="362">
        <v>6</v>
      </c>
      <c r="B1581" s="609">
        <v>44110</v>
      </c>
      <c r="C1581" s="362" t="s">
        <v>89</v>
      </c>
      <c r="D1581" s="560">
        <v>130794920</v>
      </c>
      <c r="E1581" s="560">
        <v>8496980</v>
      </c>
      <c r="F1581" s="560">
        <v>139291900</v>
      </c>
      <c r="G1581" s="629">
        <f t="shared" si="30"/>
        <v>0</v>
      </c>
      <c r="H1581" s="560">
        <v>10118932</v>
      </c>
      <c r="I1581" s="362"/>
      <c r="J1581" s="362"/>
    </row>
    <row r="1582" spans="1:10" x14ac:dyDescent="0.25">
      <c r="A1582" s="362">
        <v>7</v>
      </c>
      <c r="B1582" s="609">
        <v>44110</v>
      </c>
      <c r="C1582" s="362" t="s">
        <v>4751</v>
      </c>
      <c r="D1582" s="560">
        <v>173635858</v>
      </c>
      <c r="E1582" s="560">
        <v>13463242</v>
      </c>
      <c r="F1582" s="560">
        <v>187099100</v>
      </c>
      <c r="G1582" s="629">
        <f t="shared" si="30"/>
        <v>0</v>
      </c>
      <c r="H1582" s="560">
        <v>14844611</v>
      </c>
      <c r="I1582" s="362"/>
      <c r="J1582" s="362"/>
    </row>
    <row r="1583" spans="1:10" x14ac:dyDescent="0.25">
      <c r="A1583" s="362">
        <v>8</v>
      </c>
      <c r="B1583" s="609">
        <v>44110</v>
      </c>
      <c r="C1583" s="362" t="s">
        <v>84</v>
      </c>
      <c r="D1583" s="560">
        <v>186993233</v>
      </c>
      <c r="E1583" s="560">
        <v>11140428</v>
      </c>
      <c r="F1583" s="560">
        <v>198133700</v>
      </c>
      <c r="G1583" s="629">
        <f t="shared" si="30"/>
        <v>-39</v>
      </c>
      <c r="H1583" s="560">
        <v>24021805</v>
      </c>
      <c r="I1583" s="362"/>
      <c r="J1583" s="362"/>
    </row>
    <row r="1584" spans="1:10" x14ac:dyDescent="0.25">
      <c r="A1584" s="362">
        <v>9</v>
      </c>
      <c r="B1584" s="609">
        <v>44110</v>
      </c>
      <c r="C1584" s="362" t="s">
        <v>81</v>
      </c>
      <c r="D1584" s="560">
        <v>93986826</v>
      </c>
      <c r="E1584" s="560">
        <v>11121699</v>
      </c>
      <c r="F1584" s="560">
        <v>105108500</v>
      </c>
      <c r="G1584" s="629">
        <f t="shared" si="30"/>
        <v>25</v>
      </c>
      <c r="H1584" s="560">
        <v>14522530</v>
      </c>
      <c r="I1584" s="362"/>
      <c r="J1584" s="362"/>
    </row>
    <row r="1585" spans="1:10" x14ac:dyDescent="0.25">
      <c r="A1585" s="362">
        <v>10</v>
      </c>
      <c r="B1585" s="609">
        <v>44110</v>
      </c>
      <c r="C1585" s="362" t="s">
        <v>79</v>
      </c>
      <c r="D1585" s="560">
        <v>58466342</v>
      </c>
      <c r="E1585" s="560">
        <v>1272620</v>
      </c>
      <c r="F1585" s="560">
        <v>59739000</v>
      </c>
      <c r="G1585" s="629">
        <f t="shared" si="30"/>
        <v>-38</v>
      </c>
      <c r="H1585" s="560">
        <v>418948</v>
      </c>
      <c r="I1585" s="362"/>
      <c r="J1585" s="362"/>
    </row>
    <row r="1586" spans="1:10" x14ac:dyDescent="0.25">
      <c r="A1586" s="362">
        <v>11</v>
      </c>
      <c r="B1586" s="609">
        <v>44110</v>
      </c>
      <c r="C1586" s="362" t="s">
        <v>82</v>
      </c>
      <c r="D1586" s="560">
        <v>67660232</v>
      </c>
      <c r="E1586" s="560">
        <v>1244900</v>
      </c>
      <c r="F1586" s="560">
        <v>68905200</v>
      </c>
      <c r="G1586" s="629">
        <f t="shared" si="30"/>
        <v>-68</v>
      </c>
      <c r="H1586" s="560">
        <v>6381691</v>
      </c>
      <c r="I1586" s="362"/>
      <c r="J1586" s="362"/>
    </row>
    <row r="1587" spans="1:10" x14ac:dyDescent="0.25">
      <c r="A1587" s="362">
        <v>12</v>
      </c>
      <c r="B1587" s="609">
        <v>44110</v>
      </c>
      <c r="C1587" s="362" t="s">
        <v>78</v>
      </c>
      <c r="D1587" s="560">
        <v>195931930</v>
      </c>
      <c r="E1587" s="560">
        <v>591270</v>
      </c>
      <c r="F1587" s="560">
        <v>196523200</v>
      </c>
      <c r="G1587" s="629">
        <f t="shared" si="30"/>
        <v>0</v>
      </c>
      <c r="H1587" s="560">
        <v>8527966</v>
      </c>
      <c r="I1587" s="362"/>
      <c r="J1587" s="362"/>
    </row>
    <row r="1588" spans="1:10" x14ac:dyDescent="0.25">
      <c r="A1588" s="362">
        <v>13</v>
      </c>
      <c r="B1588" s="609">
        <v>44110</v>
      </c>
      <c r="C1588" s="362" t="s">
        <v>85</v>
      </c>
      <c r="D1588" s="560">
        <v>29483400</v>
      </c>
      <c r="E1588" s="560"/>
      <c r="F1588" s="560">
        <v>29483400</v>
      </c>
      <c r="G1588" s="629">
        <f t="shared" si="30"/>
        <v>0</v>
      </c>
      <c r="H1588" s="560"/>
      <c r="I1588" s="362"/>
      <c r="J1588" s="362"/>
    </row>
    <row r="1589" spans="1:10" x14ac:dyDescent="0.25">
      <c r="A1589" s="362">
        <v>14</v>
      </c>
      <c r="B1589" s="609">
        <v>44110</v>
      </c>
      <c r="C1589" s="362" t="s">
        <v>166</v>
      </c>
      <c r="D1589" s="560">
        <v>72510038</v>
      </c>
      <c r="E1589" s="560">
        <v>38032460</v>
      </c>
      <c r="F1589" s="560">
        <v>72510000</v>
      </c>
      <c r="G1589" s="629">
        <f t="shared" si="30"/>
        <v>38032498</v>
      </c>
      <c r="H1589" s="560"/>
      <c r="I1589" s="362"/>
      <c r="J1589" s="362"/>
    </row>
    <row r="1590" spans="1:10" x14ac:dyDescent="0.25">
      <c r="A1590" s="362">
        <v>15</v>
      </c>
      <c r="B1590" s="609">
        <v>44110</v>
      </c>
      <c r="C1590" s="362" t="s">
        <v>3435</v>
      </c>
      <c r="D1590" s="560"/>
      <c r="E1590" s="560"/>
      <c r="F1590" s="560">
        <v>27948100</v>
      </c>
      <c r="G1590" s="629">
        <f t="shared" si="30"/>
        <v>-27948100</v>
      </c>
      <c r="H1590" s="560"/>
      <c r="I1590" s="362"/>
      <c r="J1590" s="362"/>
    </row>
    <row r="1591" spans="1:10" x14ac:dyDescent="0.25">
      <c r="A1591" s="530"/>
      <c r="B1591" s="530"/>
      <c r="C1591" s="530"/>
      <c r="D1591" s="562"/>
      <c r="E1591" s="562"/>
      <c r="F1591" s="562"/>
      <c r="G1591" s="530"/>
      <c r="H1591" s="562"/>
      <c r="I1591" s="530"/>
      <c r="J1591" s="530"/>
    </row>
    <row r="1592" spans="1:10" x14ac:dyDescent="0.25">
      <c r="A1592" s="362">
        <v>1</v>
      </c>
      <c r="B1592" s="609">
        <v>44111</v>
      </c>
      <c r="C1592" s="362" t="s">
        <v>80</v>
      </c>
      <c r="D1592" s="560">
        <v>324403947</v>
      </c>
      <c r="E1592" s="560">
        <v>10318452</v>
      </c>
      <c r="F1592" s="560"/>
      <c r="G1592" s="362"/>
      <c r="H1592" s="560"/>
      <c r="I1592" s="362"/>
      <c r="J1592" s="362"/>
    </row>
    <row r="1593" spans="1:10" x14ac:dyDescent="0.25">
      <c r="A1593" s="362">
        <v>2</v>
      </c>
      <c r="B1593" s="609">
        <v>44111</v>
      </c>
      <c r="C1593" s="362" t="s">
        <v>83</v>
      </c>
      <c r="D1593" s="560">
        <v>193218278</v>
      </c>
      <c r="E1593" s="560">
        <v>22255604</v>
      </c>
      <c r="F1593" s="560"/>
      <c r="G1593" s="362"/>
      <c r="H1593" s="560"/>
      <c r="I1593" s="362"/>
      <c r="J1593" s="362"/>
    </row>
    <row r="1594" spans="1:10" x14ac:dyDescent="0.25">
      <c r="A1594" s="362">
        <v>3</v>
      </c>
      <c r="B1594" s="609">
        <v>44111</v>
      </c>
      <c r="C1594" s="362" t="s">
        <v>88</v>
      </c>
      <c r="D1594" s="560">
        <v>123382206</v>
      </c>
      <c r="E1594" s="560">
        <v>48854395</v>
      </c>
      <c r="F1594" s="560"/>
      <c r="G1594" s="362"/>
      <c r="H1594" s="560"/>
      <c r="I1594" s="362"/>
      <c r="J1594" s="362"/>
    </row>
    <row r="1595" spans="1:10" x14ac:dyDescent="0.25">
      <c r="A1595" s="362">
        <v>4</v>
      </c>
      <c r="B1595" s="609">
        <v>44111</v>
      </c>
      <c r="C1595" s="362" t="s">
        <v>146</v>
      </c>
      <c r="D1595" s="560">
        <v>49171404</v>
      </c>
      <c r="E1595" s="560">
        <v>61750646</v>
      </c>
      <c r="F1595" s="560"/>
      <c r="G1595" s="362"/>
      <c r="H1595" s="560"/>
      <c r="I1595" s="362"/>
      <c r="J1595" s="362"/>
    </row>
    <row r="1596" spans="1:10" x14ac:dyDescent="0.25">
      <c r="A1596" s="362">
        <v>5</v>
      </c>
      <c r="B1596" s="609">
        <v>44111</v>
      </c>
      <c r="C1596" s="362" t="s">
        <v>86</v>
      </c>
      <c r="D1596" s="560">
        <v>48468089</v>
      </c>
      <c r="E1596" s="560">
        <v>46483660</v>
      </c>
      <c r="F1596" s="560"/>
      <c r="G1596" s="362"/>
      <c r="H1596" s="560"/>
      <c r="I1596" s="362"/>
      <c r="J1596" s="362"/>
    </row>
    <row r="1597" spans="1:10" x14ac:dyDescent="0.25">
      <c r="A1597" s="362">
        <v>6</v>
      </c>
      <c r="B1597" s="609">
        <v>44111</v>
      </c>
      <c r="C1597" s="362" t="s">
        <v>89</v>
      </c>
      <c r="D1597" s="560">
        <v>92332773</v>
      </c>
      <c r="E1597" s="560">
        <v>4764327</v>
      </c>
      <c r="F1597" s="560"/>
      <c r="G1597" s="362"/>
      <c r="H1597" s="560"/>
      <c r="I1597" s="362"/>
      <c r="J1597" s="362"/>
    </row>
    <row r="1598" spans="1:10" x14ac:dyDescent="0.25">
      <c r="A1598" s="362">
        <v>7</v>
      </c>
      <c r="B1598" s="609">
        <v>44111</v>
      </c>
      <c r="C1598" s="362" t="s">
        <v>4751</v>
      </c>
      <c r="D1598" s="560">
        <v>169062882</v>
      </c>
      <c r="E1598" s="560">
        <v>20697518</v>
      </c>
      <c r="F1598" s="560"/>
      <c r="G1598" s="362"/>
      <c r="H1598" s="560"/>
      <c r="I1598" s="362"/>
      <c r="J1598" s="362"/>
    </row>
    <row r="1599" spans="1:10" x14ac:dyDescent="0.25">
      <c r="A1599" s="362">
        <v>8</v>
      </c>
      <c r="B1599" s="609">
        <v>44111</v>
      </c>
      <c r="C1599" s="362" t="s">
        <v>84</v>
      </c>
      <c r="D1599" s="560">
        <v>173684868</v>
      </c>
      <c r="E1599" s="560">
        <v>7573312</v>
      </c>
      <c r="F1599" s="560"/>
      <c r="G1599" s="362"/>
      <c r="H1599" s="560"/>
      <c r="I1599" s="362"/>
      <c r="J1599" s="362"/>
    </row>
    <row r="1600" spans="1:10" x14ac:dyDescent="0.25">
      <c r="A1600" s="362">
        <v>9</v>
      </c>
      <c r="B1600" s="609">
        <v>44111</v>
      </c>
      <c r="C1600" s="362" t="s">
        <v>81</v>
      </c>
      <c r="D1600" s="560"/>
      <c r="E1600" s="560"/>
      <c r="F1600" s="560"/>
      <c r="G1600" s="362"/>
      <c r="H1600" s="560"/>
      <c r="I1600" s="362"/>
      <c r="J1600" s="362"/>
    </row>
    <row r="1601" spans="1:10" x14ac:dyDescent="0.25">
      <c r="A1601" s="362">
        <v>10</v>
      </c>
      <c r="B1601" s="609">
        <v>44111</v>
      </c>
      <c r="C1601" s="362" t="s">
        <v>79</v>
      </c>
      <c r="D1601" s="560">
        <v>62304744</v>
      </c>
      <c r="E1601" s="560">
        <v>1671360</v>
      </c>
      <c r="F1601" s="560"/>
      <c r="G1601" s="362"/>
      <c r="H1601" s="560"/>
      <c r="I1601" s="362"/>
      <c r="J1601" s="362"/>
    </row>
    <row r="1602" spans="1:10" x14ac:dyDescent="0.25">
      <c r="A1602" s="362">
        <v>11</v>
      </c>
      <c r="B1602" s="609">
        <v>44111</v>
      </c>
      <c r="C1602" s="362" t="s">
        <v>82</v>
      </c>
      <c r="D1602" s="560">
        <v>82065492</v>
      </c>
      <c r="E1602" s="560">
        <v>411511</v>
      </c>
      <c r="F1602" s="560"/>
      <c r="G1602" s="362"/>
      <c r="H1602" s="560"/>
      <c r="I1602" s="362"/>
      <c r="J1602" s="362"/>
    </row>
    <row r="1603" spans="1:10" x14ac:dyDescent="0.25">
      <c r="A1603" s="362">
        <v>12</v>
      </c>
      <c r="B1603" s="609">
        <v>44111</v>
      </c>
      <c r="C1603" s="362" t="s">
        <v>78</v>
      </c>
      <c r="D1603" s="560">
        <v>114029973</v>
      </c>
      <c r="E1603" s="560">
        <v>1644727</v>
      </c>
      <c r="F1603" s="560"/>
      <c r="G1603" s="362"/>
      <c r="H1603" s="560"/>
      <c r="I1603" s="362"/>
      <c r="J1603" s="362"/>
    </row>
    <row r="1604" spans="1:10" x14ac:dyDescent="0.25">
      <c r="A1604" s="362">
        <v>13</v>
      </c>
      <c r="B1604" s="609">
        <v>44111</v>
      </c>
      <c r="C1604" s="362" t="s">
        <v>85</v>
      </c>
      <c r="D1604" s="560">
        <v>34374600</v>
      </c>
      <c r="E1604" s="560"/>
      <c r="F1604" s="560"/>
      <c r="G1604" s="362"/>
      <c r="H1604" s="560"/>
      <c r="I1604" s="362"/>
      <c r="J1604" s="362"/>
    </row>
    <row r="1605" spans="1:10" x14ac:dyDescent="0.25">
      <c r="A1605" s="362">
        <v>14</v>
      </c>
      <c r="B1605" s="609">
        <v>44111</v>
      </c>
      <c r="C1605" s="362" t="s">
        <v>166</v>
      </c>
      <c r="D1605" s="560">
        <v>67171160</v>
      </c>
      <c r="E1605" s="560"/>
      <c r="F1605" s="560"/>
      <c r="G1605" s="362"/>
      <c r="H1605" s="560"/>
      <c r="I1605" s="362"/>
      <c r="J1605" s="362"/>
    </row>
    <row r="1606" spans="1:10" x14ac:dyDescent="0.25">
      <c r="A1606" s="362">
        <v>15</v>
      </c>
      <c r="B1606" s="609">
        <v>44111</v>
      </c>
      <c r="C1606" s="362" t="s">
        <v>3435</v>
      </c>
      <c r="D1606" s="560"/>
      <c r="E1606" s="560"/>
      <c r="F1606" s="560"/>
      <c r="G1606" s="362"/>
      <c r="H1606" s="560"/>
      <c r="I1606" s="362"/>
      <c r="J1606" s="362"/>
    </row>
    <row r="1607" spans="1:10" x14ac:dyDescent="0.25">
      <c r="A1607" s="530"/>
      <c r="B1607" s="530"/>
      <c r="C1607" s="530"/>
      <c r="D1607" s="562"/>
      <c r="E1607" s="562"/>
      <c r="F1607" s="562"/>
      <c r="G1607" s="530"/>
      <c r="H1607" s="562"/>
      <c r="I1607" s="530"/>
      <c r="J1607" s="530"/>
    </row>
    <row r="1608" spans="1:10" x14ac:dyDescent="0.25">
      <c r="A1608" s="362">
        <v>1</v>
      </c>
      <c r="B1608" s="609">
        <v>44124</v>
      </c>
      <c r="C1608" s="362" t="s">
        <v>80</v>
      </c>
      <c r="D1608" s="560">
        <v>199548196</v>
      </c>
      <c r="E1608" s="560">
        <v>5837640</v>
      </c>
      <c r="F1608" s="560"/>
      <c r="G1608" s="362"/>
      <c r="H1608" s="560"/>
      <c r="I1608" s="362"/>
      <c r="J1608" s="362"/>
    </row>
    <row r="1609" spans="1:10" x14ac:dyDescent="0.25">
      <c r="A1609" s="362">
        <v>2</v>
      </c>
      <c r="B1609" s="609">
        <v>44124</v>
      </c>
      <c r="C1609" s="362" t="s">
        <v>83</v>
      </c>
      <c r="D1609" s="560">
        <v>174957402</v>
      </c>
      <c r="E1609" s="560">
        <v>7938595</v>
      </c>
      <c r="F1609" s="560"/>
      <c r="G1609" s="362"/>
      <c r="H1609" s="560"/>
      <c r="I1609" s="362"/>
      <c r="J1609" s="362"/>
    </row>
    <row r="1610" spans="1:10" x14ac:dyDescent="0.25">
      <c r="A1610" s="362">
        <v>3</v>
      </c>
      <c r="B1610" s="609">
        <v>44124</v>
      </c>
      <c r="C1610" s="362" t="s">
        <v>88</v>
      </c>
      <c r="D1610" s="560">
        <v>146658712</v>
      </c>
      <c r="E1610" s="560">
        <v>8812442</v>
      </c>
      <c r="F1610" s="560"/>
      <c r="G1610" s="362"/>
      <c r="H1610" s="560"/>
      <c r="I1610" s="362"/>
      <c r="J1610" s="362"/>
    </row>
    <row r="1611" spans="1:10" x14ac:dyDescent="0.25">
      <c r="A1611" s="362">
        <v>4</v>
      </c>
      <c r="B1611" s="609">
        <v>44124</v>
      </c>
      <c r="C1611" s="362" t="s">
        <v>146</v>
      </c>
      <c r="D1611" s="560">
        <v>104628353</v>
      </c>
      <c r="E1611" s="560">
        <v>69731974</v>
      </c>
      <c r="F1611" s="560"/>
      <c r="G1611" s="362"/>
      <c r="H1611" s="560"/>
      <c r="I1611" s="362"/>
      <c r="J1611" s="362"/>
    </row>
    <row r="1612" spans="1:10" x14ac:dyDescent="0.25">
      <c r="A1612" s="362">
        <v>5</v>
      </c>
      <c r="B1612" s="609">
        <v>44124</v>
      </c>
      <c r="C1612" s="362" t="s">
        <v>86</v>
      </c>
      <c r="D1612" s="560">
        <v>58755044</v>
      </c>
      <c r="E1612" s="560">
        <v>10312080</v>
      </c>
      <c r="F1612" s="560"/>
      <c r="G1612" s="362"/>
      <c r="H1612" s="560"/>
      <c r="I1612" s="362"/>
      <c r="J1612" s="362"/>
    </row>
    <row r="1613" spans="1:10" x14ac:dyDescent="0.25">
      <c r="A1613" s="362">
        <v>6</v>
      </c>
      <c r="B1613" s="609">
        <v>44124</v>
      </c>
      <c r="C1613" s="362" t="s">
        <v>89</v>
      </c>
      <c r="D1613" s="560">
        <v>122636657</v>
      </c>
      <c r="E1613" s="560">
        <v>2972943</v>
      </c>
      <c r="F1613" s="560"/>
      <c r="G1613" s="362"/>
      <c r="H1613" s="560"/>
      <c r="I1613" s="362"/>
      <c r="J1613" s="362"/>
    </row>
    <row r="1614" spans="1:10" x14ac:dyDescent="0.25">
      <c r="A1614" s="362">
        <v>7</v>
      </c>
      <c r="B1614" s="609">
        <v>44124</v>
      </c>
      <c r="C1614" s="362" t="s">
        <v>4751</v>
      </c>
      <c r="D1614" s="560">
        <v>162295179</v>
      </c>
      <c r="E1614" s="560">
        <v>15205721</v>
      </c>
      <c r="F1614" s="560"/>
      <c r="G1614" s="362"/>
      <c r="H1614" s="560"/>
      <c r="I1614" s="362"/>
      <c r="J1614" s="362"/>
    </row>
    <row r="1615" spans="1:10" x14ac:dyDescent="0.25">
      <c r="A1615" s="362">
        <v>8</v>
      </c>
      <c r="B1615" s="609">
        <v>44124</v>
      </c>
      <c r="C1615" s="362" t="s">
        <v>84</v>
      </c>
      <c r="D1615" s="560">
        <v>172811986</v>
      </c>
      <c r="E1615" s="560">
        <v>14534972</v>
      </c>
      <c r="F1615" s="560"/>
      <c r="G1615" s="362"/>
      <c r="H1615" s="560"/>
      <c r="I1615" s="362"/>
      <c r="J1615" s="362"/>
    </row>
    <row r="1616" spans="1:10" x14ac:dyDescent="0.25">
      <c r="A1616" s="362">
        <v>9</v>
      </c>
      <c r="B1616" s="609">
        <v>44124</v>
      </c>
      <c r="C1616" s="362" t="s">
        <v>81</v>
      </c>
      <c r="D1616" s="560">
        <v>59686819</v>
      </c>
      <c r="E1616" s="560">
        <v>36598176</v>
      </c>
      <c r="F1616" s="560"/>
      <c r="G1616" s="362"/>
      <c r="H1616" s="560"/>
      <c r="I1616" s="362"/>
      <c r="J1616" s="362"/>
    </row>
    <row r="1617" spans="1:10" x14ac:dyDescent="0.25">
      <c r="A1617" s="362">
        <v>10</v>
      </c>
      <c r="B1617" s="609">
        <v>44124</v>
      </c>
      <c r="C1617" s="362" t="s">
        <v>79</v>
      </c>
      <c r="D1617" s="560">
        <v>82275326</v>
      </c>
      <c r="E1617" s="560">
        <v>3242646</v>
      </c>
      <c r="F1617" s="560"/>
      <c r="G1617" s="362"/>
      <c r="H1617" s="560"/>
      <c r="I1617" s="362"/>
      <c r="J1617" s="362"/>
    </row>
    <row r="1618" spans="1:10" x14ac:dyDescent="0.25">
      <c r="A1618" s="362">
        <v>11</v>
      </c>
      <c r="B1618" s="609">
        <v>44124</v>
      </c>
      <c r="C1618" s="362" t="s">
        <v>82</v>
      </c>
      <c r="D1618" s="560">
        <v>46305793</v>
      </c>
      <c r="E1618" s="560">
        <v>4596122</v>
      </c>
      <c r="F1618" s="560"/>
      <c r="G1618" s="362"/>
      <c r="H1618" s="560"/>
      <c r="I1618" s="362"/>
      <c r="J1618" s="362"/>
    </row>
    <row r="1619" spans="1:10" x14ac:dyDescent="0.25">
      <c r="A1619" s="362">
        <v>12</v>
      </c>
      <c r="B1619" s="609">
        <v>44124</v>
      </c>
      <c r="C1619" s="362" t="s">
        <v>78</v>
      </c>
      <c r="D1619" s="560">
        <v>78489637</v>
      </c>
      <c r="E1619" s="560">
        <v>1685563</v>
      </c>
      <c r="F1619" s="560"/>
      <c r="G1619" s="362"/>
      <c r="H1619" s="560"/>
      <c r="I1619" s="362"/>
      <c r="J1619" s="362"/>
    </row>
    <row r="1620" spans="1:10" x14ac:dyDescent="0.25">
      <c r="A1620" s="362">
        <v>13</v>
      </c>
      <c r="B1620" s="609">
        <v>44124</v>
      </c>
      <c r="C1620" s="362" t="s">
        <v>85</v>
      </c>
      <c r="D1620" s="560">
        <v>27166600</v>
      </c>
      <c r="E1620" s="560"/>
      <c r="F1620" s="560"/>
      <c r="G1620" s="362"/>
      <c r="H1620" s="560"/>
      <c r="I1620" s="362"/>
      <c r="J1620" s="362"/>
    </row>
    <row r="1621" spans="1:10" x14ac:dyDescent="0.25">
      <c r="A1621" s="362">
        <v>14</v>
      </c>
      <c r="B1621" s="609">
        <v>44124</v>
      </c>
      <c r="C1621" s="362" t="s">
        <v>166</v>
      </c>
      <c r="D1621" s="560">
        <v>55211784</v>
      </c>
      <c r="E1621" s="560"/>
      <c r="F1621" s="560"/>
      <c r="G1621" s="362"/>
      <c r="H1621" s="362"/>
      <c r="I1621" s="362"/>
      <c r="J1621" s="362"/>
    </row>
    <row r="1622" spans="1:10" x14ac:dyDescent="0.25">
      <c r="A1622" s="362">
        <v>15</v>
      </c>
      <c r="B1622" s="609">
        <v>44124</v>
      </c>
      <c r="C1622" s="362" t="s">
        <v>3435</v>
      </c>
      <c r="D1622" s="560">
        <v>87167753</v>
      </c>
      <c r="E1622" s="560"/>
      <c r="F1622" s="560"/>
      <c r="G1622" s="362"/>
      <c r="H1622" s="362"/>
      <c r="I1622" s="362"/>
      <c r="J1622" s="362"/>
    </row>
    <row r="1623" spans="1:10" x14ac:dyDescent="0.25">
      <c r="A1623" s="530"/>
      <c r="B1623" s="530"/>
      <c r="C1623" s="530"/>
      <c r="D1623" s="562"/>
      <c r="E1623" s="562"/>
      <c r="F1623" s="562"/>
      <c r="G1623" s="530"/>
      <c r="H1623" s="530"/>
      <c r="I1623" s="530"/>
      <c r="J1623" s="530"/>
    </row>
    <row r="1624" spans="1:10" x14ac:dyDescent="0.25">
      <c r="A1624" s="362">
        <v>1</v>
      </c>
      <c r="B1624" s="609">
        <v>44125</v>
      </c>
      <c r="C1624" s="362" t="s">
        <v>80</v>
      </c>
      <c r="D1624" s="560">
        <v>214367135</v>
      </c>
      <c r="E1624" s="560"/>
      <c r="F1624" s="560"/>
      <c r="G1624" s="362"/>
      <c r="H1624" s="362"/>
      <c r="I1624" s="362"/>
      <c r="J1624" s="362"/>
    </row>
    <row r="1625" spans="1:10" x14ac:dyDescent="0.25">
      <c r="A1625" s="362">
        <v>2</v>
      </c>
      <c r="B1625" s="609">
        <v>44125</v>
      </c>
      <c r="C1625" s="362" t="s">
        <v>83</v>
      </c>
      <c r="D1625" s="560">
        <v>127323420</v>
      </c>
      <c r="E1625" s="560">
        <v>21582393</v>
      </c>
      <c r="F1625" s="560"/>
      <c r="G1625" s="362"/>
      <c r="H1625" s="362"/>
      <c r="I1625" s="362"/>
      <c r="J1625" s="362"/>
    </row>
    <row r="1626" spans="1:10" x14ac:dyDescent="0.25">
      <c r="A1626" s="362">
        <v>3</v>
      </c>
      <c r="B1626" s="609">
        <v>44125</v>
      </c>
      <c r="C1626" s="362" t="s">
        <v>88</v>
      </c>
      <c r="D1626" s="560">
        <v>114324983</v>
      </c>
      <c r="E1626" s="560">
        <v>35435248</v>
      </c>
      <c r="F1626" s="560"/>
      <c r="G1626" s="362"/>
      <c r="H1626" s="362"/>
      <c r="I1626" s="362"/>
      <c r="J1626" s="362"/>
    </row>
    <row r="1627" spans="1:10" x14ac:dyDescent="0.25">
      <c r="A1627" s="362">
        <v>4</v>
      </c>
      <c r="B1627" s="609">
        <v>44125</v>
      </c>
      <c r="C1627" s="362" t="s">
        <v>146</v>
      </c>
      <c r="D1627" s="560">
        <v>126203452</v>
      </c>
      <c r="E1627" s="560">
        <v>102487973</v>
      </c>
      <c r="F1627" s="560"/>
      <c r="G1627" s="362"/>
      <c r="H1627" s="362"/>
      <c r="I1627" s="362"/>
      <c r="J1627" s="362"/>
    </row>
    <row r="1628" spans="1:10" x14ac:dyDescent="0.25">
      <c r="A1628" s="362">
        <v>5</v>
      </c>
      <c r="B1628" s="609">
        <v>44125</v>
      </c>
      <c r="C1628" s="362" t="s">
        <v>86</v>
      </c>
      <c r="D1628" s="560">
        <v>44009662</v>
      </c>
      <c r="E1628" s="560">
        <v>14444310</v>
      </c>
      <c r="F1628" s="560"/>
      <c r="G1628" s="362"/>
      <c r="H1628" s="362"/>
      <c r="I1628" s="362"/>
      <c r="J1628" s="362"/>
    </row>
    <row r="1629" spans="1:10" x14ac:dyDescent="0.25">
      <c r="A1629" s="362">
        <v>6</v>
      </c>
      <c r="B1629" s="609">
        <v>44125</v>
      </c>
      <c r="C1629" s="362" t="s">
        <v>89</v>
      </c>
      <c r="D1629" s="560">
        <v>94674136</v>
      </c>
      <c r="E1629" s="560">
        <v>57454164</v>
      </c>
      <c r="F1629" s="560"/>
      <c r="G1629" s="362"/>
      <c r="H1629" s="362"/>
      <c r="I1629" s="362"/>
      <c r="J1629" s="362"/>
    </row>
    <row r="1630" spans="1:10" x14ac:dyDescent="0.25">
      <c r="A1630" s="362">
        <v>7</v>
      </c>
      <c r="B1630" s="609">
        <v>44125</v>
      </c>
      <c r="C1630" s="362" t="s">
        <v>4751</v>
      </c>
      <c r="D1630" s="560">
        <v>154843511</v>
      </c>
      <c r="E1630" s="560">
        <v>13988589</v>
      </c>
      <c r="F1630" s="560"/>
      <c r="G1630" s="362"/>
      <c r="H1630" s="362"/>
      <c r="I1630" s="362"/>
      <c r="J1630" s="362"/>
    </row>
    <row r="1631" spans="1:10" x14ac:dyDescent="0.25">
      <c r="A1631" s="362">
        <v>8</v>
      </c>
      <c r="B1631" s="609">
        <v>44125</v>
      </c>
      <c r="C1631" s="362" t="s">
        <v>84</v>
      </c>
      <c r="D1631" s="560">
        <v>143177222</v>
      </c>
      <c r="E1631" s="560">
        <v>20318845</v>
      </c>
      <c r="F1631" s="560"/>
      <c r="G1631" s="362"/>
      <c r="H1631" s="362"/>
      <c r="I1631" s="362"/>
      <c r="J1631" s="362"/>
    </row>
    <row r="1632" spans="1:10" x14ac:dyDescent="0.25">
      <c r="A1632" s="362">
        <v>9</v>
      </c>
      <c r="B1632" s="609">
        <v>44125</v>
      </c>
      <c r="C1632" s="362" t="s">
        <v>81</v>
      </c>
      <c r="D1632" s="560">
        <v>89480767</v>
      </c>
      <c r="E1632" s="560">
        <v>5818937</v>
      </c>
      <c r="F1632" s="560"/>
      <c r="G1632" s="362"/>
      <c r="H1632" s="362"/>
      <c r="I1632" s="362"/>
      <c r="J1632" s="362"/>
    </row>
    <row r="1633" spans="1:10" x14ac:dyDescent="0.25">
      <c r="A1633" s="362">
        <v>10</v>
      </c>
      <c r="B1633" s="609">
        <v>44125</v>
      </c>
      <c r="C1633" s="362" t="s">
        <v>79</v>
      </c>
      <c r="D1633" s="560">
        <v>49367245</v>
      </c>
      <c r="E1633" s="560">
        <v>1223636</v>
      </c>
      <c r="F1633" s="560"/>
      <c r="G1633" s="362"/>
      <c r="H1633" s="362"/>
      <c r="I1633" s="362"/>
      <c r="J1633" s="362"/>
    </row>
    <row r="1634" spans="1:10" x14ac:dyDescent="0.25">
      <c r="A1634" s="362">
        <v>11</v>
      </c>
      <c r="B1634" s="609">
        <v>44125</v>
      </c>
      <c r="C1634" s="362" t="s">
        <v>82</v>
      </c>
      <c r="D1634" s="560">
        <v>59080338</v>
      </c>
      <c r="E1634" s="560">
        <v>2759575</v>
      </c>
      <c r="F1634" s="560"/>
      <c r="G1634" s="362"/>
      <c r="H1634" s="362"/>
      <c r="I1634" s="362"/>
      <c r="J1634" s="362"/>
    </row>
    <row r="1635" spans="1:10" x14ac:dyDescent="0.25">
      <c r="A1635" s="362">
        <v>12</v>
      </c>
      <c r="B1635" s="609">
        <v>44125</v>
      </c>
      <c r="C1635" s="362" t="s">
        <v>78</v>
      </c>
      <c r="D1635" s="560">
        <v>157947956</v>
      </c>
      <c r="E1635" s="560">
        <v>707704</v>
      </c>
      <c r="F1635" s="560"/>
      <c r="G1635" s="362"/>
      <c r="H1635" s="362"/>
      <c r="I1635" s="362"/>
      <c r="J1635" s="362"/>
    </row>
    <row r="1636" spans="1:10" x14ac:dyDescent="0.25">
      <c r="A1636" s="362">
        <v>13</v>
      </c>
      <c r="B1636" s="609">
        <v>44125</v>
      </c>
      <c r="C1636" s="362" t="s">
        <v>85</v>
      </c>
      <c r="D1636" s="560">
        <v>28097600</v>
      </c>
      <c r="E1636" s="560"/>
      <c r="F1636" s="560"/>
      <c r="G1636" s="362"/>
      <c r="H1636" s="362"/>
      <c r="I1636" s="362"/>
      <c r="J1636" s="362"/>
    </row>
    <row r="1637" spans="1:10" x14ac:dyDescent="0.25">
      <c r="A1637" s="362">
        <v>14</v>
      </c>
      <c r="B1637" s="609">
        <v>44125</v>
      </c>
      <c r="C1637" s="362" t="s">
        <v>166</v>
      </c>
      <c r="D1637" s="560">
        <v>34493916</v>
      </c>
      <c r="E1637" s="560"/>
      <c r="F1637" s="560"/>
      <c r="G1637" s="362"/>
      <c r="H1637" s="362"/>
      <c r="I1637" s="362"/>
      <c r="J1637" s="362"/>
    </row>
    <row r="1638" spans="1:10" x14ac:dyDescent="0.25">
      <c r="A1638" s="362">
        <v>15</v>
      </c>
      <c r="B1638" s="609">
        <v>44125</v>
      </c>
      <c r="C1638" s="362" t="s">
        <v>3435</v>
      </c>
      <c r="D1638" s="560">
        <v>26505223</v>
      </c>
      <c r="E1638" s="560"/>
      <c r="F1638" s="560"/>
      <c r="G1638" s="362"/>
      <c r="H1638" s="362"/>
      <c r="I1638" s="362"/>
      <c r="J1638" s="362"/>
    </row>
    <row r="1639" spans="1:10" x14ac:dyDescent="0.25">
      <c r="A1639" s="530"/>
      <c r="B1639" s="585"/>
      <c r="C1639" s="530"/>
      <c r="D1639" s="562"/>
      <c r="E1639" s="562"/>
      <c r="F1639" s="562"/>
      <c r="G1639" s="530"/>
      <c r="H1639" s="530"/>
      <c r="I1639" s="530"/>
      <c r="J1639" s="530"/>
    </row>
    <row r="1640" spans="1:10" x14ac:dyDescent="0.25">
      <c r="A1640" s="362"/>
      <c r="B1640" s="609">
        <v>44126</v>
      </c>
      <c r="C1640" s="362" t="s">
        <v>80</v>
      </c>
      <c r="D1640" s="560">
        <v>182258869</v>
      </c>
      <c r="E1640" s="560">
        <v>18606758</v>
      </c>
      <c r="F1640" s="560"/>
      <c r="G1640" s="362"/>
      <c r="H1640" s="362"/>
      <c r="I1640" s="362"/>
      <c r="J1640" s="362"/>
    </row>
    <row r="1641" spans="1:10" x14ac:dyDescent="0.25">
      <c r="A1641" s="362"/>
      <c r="B1641" s="609">
        <v>44126</v>
      </c>
      <c r="C1641" s="362" t="s">
        <v>83</v>
      </c>
      <c r="D1641" s="560">
        <v>193487853</v>
      </c>
      <c r="E1641" s="560">
        <v>18079059</v>
      </c>
      <c r="F1641" s="560"/>
      <c r="G1641" s="362"/>
      <c r="H1641" s="362"/>
      <c r="I1641" s="362"/>
      <c r="J1641" s="362"/>
    </row>
    <row r="1642" spans="1:10" x14ac:dyDescent="0.25">
      <c r="A1642" s="362"/>
      <c r="B1642" s="609">
        <v>44126</v>
      </c>
      <c r="C1642" s="362" t="s">
        <v>88</v>
      </c>
      <c r="D1642" s="560">
        <v>304081723</v>
      </c>
      <c r="E1642" s="560">
        <v>138377426</v>
      </c>
      <c r="F1642" s="560"/>
      <c r="G1642" s="362"/>
      <c r="H1642" s="362"/>
      <c r="I1642" s="362"/>
      <c r="J1642" s="362"/>
    </row>
    <row r="1643" spans="1:10" x14ac:dyDescent="0.25">
      <c r="A1643" s="362"/>
      <c r="B1643" s="609">
        <v>44126</v>
      </c>
      <c r="C1643" s="362" t="s">
        <v>146</v>
      </c>
      <c r="D1643" s="560">
        <v>53818877</v>
      </c>
      <c r="E1643" s="560">
        <v>38527348</v>
      </c>
      <c r="F1643" s="560"/>
      <c r="G1643" s="362"/>
      <c r="H1643" s="362"/>
      <c r="I1643" s="362"/>
      <c r="J1643" s="362"/>
    </row>
    <row r="1644" spans="1:10" x14ac:dyDescent="0.25">
      <c r="A1644" s="362"/>
      <c r="B1644" s="609">
        <v>44126</v>
      </c>
      <c r="C1644" s="362" t="s">
        <v>86</v>
      </c>
      <c r="D1644" s="560">
        <v>63806194</v>
      </c>
      <c r="E1644" s="560">
        <v>54185248</v>
      </c>
      <c r="F1644" s="560"/>
      <c r="G1644" s="362"/>
      <c r="H1644" s="362"/>
      <c r="I1644" s="362"/>
      <c r="J1644" s="362"/>
    </row>
    <row r="1645" spans="1:10" x14ac:dyDescent="0.25">
      <c r="A1645" s="362"/>
      <c r="B1645" s="609">
        <v>44126</v>
      </c>
      <c r="C1645" s="362" t="s">
        <v>89</v>
      </c>
      <c r="D1645" s="560">
        <v>135622863</v>
      </c>
      <c r="E1645" s="560">
        <v>13805837</v>
      </c>
      <c r="F1645" s="560"/>
      <c r="G1645" s="362"/>
      <c r="H1645" s="362"/>
      <c r="I1645" s="362"/>
      <c r="J1645" s="362"/>
    </row>
    <row r="1646" spans="1:10" x14ac:dyDescent="0.25">
      <c r="A1646" s="362"/>
      <c r="B1646" s="609">
        <v>44126</v>
      </c>
      <c r="C1646" s="362" t="s">
        <v>4751</v>
      </c>
      <c r="D1646" s="560">
        <v>246184731</v>
      </c>
      <c r="E1646" s="560">
        <v>10385969</v>
      </c>
      <c r="F1646" s="560"/>
      <c r="G1646" s="362"/>
      <c r="H1646" s="362"/>
      <c r="I1646" s="362"/>
      <c r="J1646" s="362"/>
    </row>
    <row r="1647" spans="1:10" x14ac:dyDescent="0.25">
      <c r="A1647" s="362"/>
      <c r="B1647" s="609">
        <v>44126</v>
      </c>
      <c r="C1647" s="362" t="s">
        <v>84</v>
      </c>
      <c r="D1647" s="560">
        <v>191732298</v>
      </c>
      <c r="E1647" s="560">
        <v>14361627</v>
      </c>
      <c r="F1647" s="560"/>
      <c r="G1647" s="362"/>
      <c r="H1647" s="362"/>
      <c r="I1647" s="362"/>
      <c r="J1647" s="362"/>
    </row>
    <row r="1648" spans="1:10" x14ac:dyDescent="0.25">
      <c r="A1648" s="362"/>
      <c r="B1648" s="609">
        <v>44126</v>
      </c>
      <c r="C1648" s="362" t="s">
        <v>81</v>
      </c>
      <c r="D1648" s="560">
        <v>62772901</v>
      </c>
      <c r="E1648" s="560">
        <v>17410471</v>
      </c>
      <c r="F1648" s="560"/>
      <c r="G1648" s="362"/>
      <c r="H1648" s="362"/>
      <c r="I1648" s="362"/>
      <c r="J1648" s="362"/>
    </row>
    <row r="1649" spans="1:10" x14ac:dyDescent="0.25">
      <c r="A1649" s="362"/>
      <c r="B1649" s="609">
        <v>44126</v>
      </c>
      <c r="C1649" s="362" t="s">
        <v>79</v>
      </c>
      <c r="D1649" s="560">
        <v>102210315</v>
      </c>
      <c r="E1649" s="560">
        <v>8226667</v>
      </c>
      <c r="F1649" s="560"/>
      <c r="G1649" s="362"/>
      <c r="H1649" s="362"/>
      <c r="I1649" s="362"/>
      <c r="J1649" s="362"/>
    </row>
    <row r="1650" spans="1:10" x14ac:dyDescent="0.25">
      <c r="A1650" s="362"/>
      <c r="B1650" s="609">
        <v>44126</v>
      </c>
      <c r="C1650" s="362" t="s">
        <v>82</v>
      </c>
      <c r="D1650" s="560">
        <v>89451729</v>
      </c>
      <c r="E1650" s="560">
        <v>1533814</v>
      </c>
      <c r="F1650" s="560"/>
      <c r="G1650" s="362"/>
      <c r="H1650" s="362"/>
      <c r="I1650" s="362"/>
      <c r="J1650" s="362"/>
    </row>
    <row r="1651" spans="1:10" x14ac:dyDescent="0.25">
      <c r="A1651" s="362"/>
      <c r="B1651" s="609">
        <v>44126</v>
      </c>
      <c r="C1651" s="362" t="s">
        <v>78</v>
      </c>
      <c r="D1651" s="560">
        <v>72775955</v>
      </c>
      <c r="E1651" s="560">
        <v>1758345</v>
      </c>
      <c r="F1651" s="560"/>
      <c r="G1651" s="362"/>
      <c r="H1651" s="362"/>
      <c r="I1651" s="362"/>
      <c r="J1651" s="362"/>
    </row>
    <row r="1652" spans="1:10" x14ac:dyDescent="0.25">
      <c r="A1652" s="362"/>
      <c r="B1652" s="609">
        <v>44126</v>
      </c>
      <c r="C1652" s="362" t="s">
        <v>85</v>
      </c>
      <c r="D1652" s="560">
        <v>39887500</v>
      </c>
      <c r="E1652" s="560"/>
      <c r="F1652" s="560"/>
      <c r="G1652" s="362"/>
      <c r="H1652" s="362"/>
      <c r="I1652" s="362"/>
      <c r="J1652" s="362"/>
    </row>
    <row r="1653" spans="1:10" x14ac:dyDescent="0.25">
      <c r="A1653" s="362"/>
      <c r="B1653" s="609">
        <v>44126</v>
      </c>
      <c r="C1653" s="362" t="s">
        <v>166</v>
      </c>
      <c r="D1653" s="560">
        <v>53016183</v>
      </c>
      <c r="E1653" s="560"/>
      <c r="F1653" s="560"/>
      <c r="G1653" s="362"/>
      <c r="H1653" s="362"/>
      <c r="I1653" s="362"/>
      <c r="J1653" s="362"/>
    </row>
    <row r="1654" spans="1:10" x14ac:dyDescent="0.25">
      <c r="A1654" s="362"/>
      <c r="B1654" s="609">
        <v>44126</v>
      </c>
      <c r="C1654" s="362" t="s">
        <v>3435</v>
      </c>
      <c r="D1654" s="560">
        <v>33989911</v>
      </c>
      <c r="E1654" s="560"/>
      <c r="F1654" s="560"/>
      <c r="G1654" s="362"/>
      <c r="H1654" s="362"/>
      <c r="I1654" s="362"/>
      <c r="J1654" s="362"/>
    </row>
    <row r="1655" spans="1:10" x14ac:dyDescent="0.25">
      <c r="A1655" s="530"/>
      <c r="B1655" s="530"/>
      <c r="C1655" s="530"/>
      <c r="D1655" s="562"/>
      <c r="E1655" s="562"/>
      <c r="F1655" s="562"/>
      <c r="G1655" s="530"/>
      <c r="H1655" s="530"/>
      <c r="I1655" s="530"/>
      <c r="J1655" s="530"/>
    </row>
    <row r="1656" spans="1:10" x14ac:dyDescent="0.25">
      <c r="A1656" s="362"/>
      <c r="B1656" s="609">
        <v>44134</v>
      </c>
      <c r="C1656" s="362" t="s">
        <v>80</v>
      </c>
      <c r="D1656" s="560">
        <v>154123938</v>
      </c>
      <c r="E1656" s="560">
        <v>6152328</v>
      </c>
      <c r="F1656" s="560">
        <v>160276100</v>
      </c>
      <c r="G1656" s="629">
        <f>D1656+E1656-F1656</f>
        <v>166</v>
      </c>
      <c r="H1656" s="362"/>
      <c r="I1656" s="362"/>
      <c r="J1656" s="362"/>
    </row>
    <row r="1657" spans="1:10" x14ac:dyDescent="0.25">
      <c r="A1657" s="362"/>
      <c r="B1657" s="609">
        <v>44134</v>
      </c>
      <c r="C1657" s="362" t="s">
        <v>83</v>
      </c>
      <c r="D1657" s="560">
        <v>419613346</v>
      </c>
      <c r="E1657" s="560">
        <v>8176975</v>
      </c>
      <c r="F1657" s="560">
        <v>427790400</v>
      </c>
      <c r="G1657" s="629">
        <f t="shared" ref="G1657:G1693" si="31">D1657+E1657-F1657</f>
        <v>-79</v>
      </c>
      <c r="H1657" s="362"/>
      <c r="I1657" s="362"/>
      <c r="J1657" s="362"/>
    </row>
    <row r="1658" spans="1:10" x14ac:dyDescent="0.25">
      <c r="A1658" s="362"/>
      <c r="B1658" s="609">
        <v>44134</v>
      </c>
      <c r="C1658" s="362" t="s">
        <v>88</v>
      </c>
      <c r="D1658" s="560">
        <v>244602978</v>
      </c>
      <c r="E1658" s="560">
        <v>7554010</v>
      </c>
      <c r="F1658" s="560">
        <v>252157000</v>
      </c>
      <c r="G1658" s="629">
        <f t="shared" si="31"/>
        <v>-12</v>
      </c>
      <c r="H1658" s="362"/>
      <c r="I1658" s="362"/>
      <c r="J1658" s="362"/>
    </row>
    <row r="1659" spans="1:10" x14ac:dyDescent="0.25">
      <c r="A1659" s="362"/>
      <c r="B1659" s="609">
        <v>44134</v>
      </c>
      <c r="C1659" s="362" t="s">
        <v>146</v>
      </c>
      <c r="D1659" s="560">
        <v>79778937</v>
      </c>
      <c r="E1659" s="560">
        <v>59144124</v>
      </c>
      <c r="F1659" s="560">
        <v>138923100</v>
      </c>
      <c r="G1659" s="629">
        <f t="shared" si="31"/>
        <v>-39</v>
      </c>
      <c r="H1659" s="362"/>
      <c r="I1659" s="362"/>
      <c r="J1659" s="362"/>
    </row>
    <row r="1660" spans="1:10" x14ac:dyDescent="0.25">
      <c r="A1660" s="362"/>
      <c r="B1660" s="609">
        <v>44134</v>
      </c>
      <c r="C1660" s="362" t="s">
        <v>86</v>
      </c>
      <c r="D1660" s="560">
        <v>25814650</v>
      </c>
      <c r="E1660" s="560">
        <v>80466000</v>
      </c>
      <c r="F1660" s="560">
        <v>106280800</v>
      </c>
      <c r="G1660" s="629">
        <f t="shared" si="31"/>
        <v>-150</v>
      </c>
      <c r="H1660" s="362"/>
      <c r="I1660" s="362"/>
      <c r="J1660" s="362"/>
    </row>
    <row r="1661" spans="1:10" x14ac:dyDescent="0.25">
      <c r="A1661" s="362"/>
      <c r="B1661" s="609">
        <v>44134</v>
      </c>
      <c r="C1661" s="362" t="s">
        <v>89</v>
      </c>
      <c r="D1661" s="560">
        <v>114074342</v>
      </c>
      <c r="E1661" s="560">
        <v>47633958</v>
      </c>
      <c r="F1661" s="560">
        <v>161708300</v>
      </c>
      <c r="G1661" s="629">
        <f t="shared" si="31"/>
        <v>0</v>
      </c>
      <c r="H1661" s="362"/>
      <c r="I1661" s="362"/>
      <c r="J1661" s="362"/>
    </row>
    <row r="1662" spans="1:10" x14ac:dyDescent="0.25">
      <c r="A1662" s="362"/>
      <c r="B1662" s="609">
        <v>44134</v>
      </c>
      <c r="C1662" s="362" t="s">
        <v>4751</v>
      </c>
      <c r="D1662" s="560">
        <v>167122894</v>
      </c>
      <c r="E1662" s="560">
        <v>15361706</v>
      </c>
      <c r="F1662" s="560">
        <v>182484600</v>
      </c>
      <c r="G1662" s="629">
        <f t="shared" si="31"/>
        <v>0</v>
      </c>
      <c r="H1662" s="362"/>
      <c r="I1662" s="362"/>
      <c r="J1662" s="362"/>
    </row>
    <row r="1663" spans="1:10" x14ac:dyDescent="0.25">
      <c r="A1663" s="362"/>
      <c r="B1663" s="609">
        <v>44134</v>
      </c>
      <c r="C1663" s="362" t="s">
        <v>84</v>
      </c>
      <c r="D1663" s="560">
        <v>145369092</v>
      </c>
      <c r="E1663" s="560">
        <v>19468883</v>
      </c>
      <c r="F1663" s="560">
        <v>164837800</v>
      </c>
      <c r="G1663" s="629">
        <f t="shared" si="31"/>
        <v>175</v>
      </c>
      <c r="H1663" s="362"/>
      <c r="I1663" s="362"/>
      <c r="J1663" s="362"/>
    </row>
    <row r="1664" spans="1:10" x14ac:dyDescent="0.25">
      <c r="A1664" s="362"/>
      <c r="B1664" s="609">
        <v>44134</v>
      </c>
      <c r="C1664" s="362" t="s">
        <v>81</v>
      </c>
      <c r="D1664" s="560">
        <v>65079093</v>
      </c>
      <c r="E1664" s="560">
        <v>5955531</v>
      </c>
      <c r="F1664" s="560">
        <v>71034700</v>
      </c>
      <c r="G1664" s="629">
        <f t="shared" si="31"/>
        <v>-76</v>
      </c>
      <c r="H1664" s="362"/>
      <c r="I1664" s="362"/>
      <c r="J1664" s="362"/>
    </row>
    <row r="1665" spans="1:10" x14ac:dyDescent="0.25">
      <c r="A1665" s="362"/>
      <c r="B1665" s="609">
        <v>44134</v>
      </c>
      <c r="C1665" s="362" t="s">
        <v>79</v>
      </c>
      <c r="D1665" s="560">
        <v>56394366</v>
      </c>
      <c r="E1665" s="560">
        <v>639614</v>
      </c>
      <c r="F1665" s="560">
        <v>57034000</v>
      </c>
      <c r="G1665" s="629">
        <f t="shared" si="31"/>
        <v>-20</v>
      </c>
      <c r="H1665" s="362"/>
      <c r="I1665" s="362"/>
      <c r="J1665" s="362"/>
    </row>
    <row r="1666" spans="1:10" x14ac:dyDescent="0.25">
      <c r="A1666" s="362"/>
      <c r="B1666" s="609">
        <v>44134</v>
      </c>
      <c r="C1666" s="362" t="s">
        <v>82</v>
      </c>
      <c r="D1666" s="560">
        <v>186043872</v>
      </c>
      <c r="E1666" s="560">
        <v>2163480</v>
      </c>
      <c r="F1666" s="560">
        <v>188207600</v>
      </c>
      <c r="G1666" s="629">
        <f t="shared" si="31"/>
        <v>-248</v>
      </c>
      <c r="H1666" s="362"/>
      <c r="I1666" s="362"/>
      <c r="J1666" s="362"/>
    </row>
    <row r="1667" spans="1:10" x14ac:dyDescent="0.25">
      <c r="A1667" s="362"/>
      <c r="B1667" s="609">
        <v>44134</v>
      </c>
      <c r="C1667" s="362" t="s">
        <v>78</v>
      </c>
      <c r="D1667" s="560">
        <v>85994057</v>
      </c>
      <c r="E1667" s="560">
        <v>2909343</v>
      </c>
      <c r="F1667" s="560">
        <v>88903400</v>
      </c>
      <c r="G1667" s="629">
        <f t="shared" si="31"/>
        <v>0</v>
      </c>
      <c r="H1667" s="362"/>
      <c r="I1667" s="362"/>
      <c r="J1667" s="362"/>
    </row>
    <row r="1668" spans="1:10" x14ac:dyDescent="0.25">
      <c r="A1668" s="362"/>
      <c r="B1668" s="609">
        <v>44134</v>
      </c>
      <c r="C1668" s="362" t="s">
        <v>85</v>
      </c>
      <c r="D1668" s="560">
        <v>16789300</v>
      </c>
      <c r="E1668" s="560"/>
      <c r="F1668" s="560">
        <v>16789300</v>
      </c>
      <c r="G1668" s="629">
        <f t="shared" si="31"/>
        <v>0</v>
      </c>
      <c r="H1668" s="362"/>
      <c r="I1668" s="362"/>
      <c r="J1668" s="362"/>
    </row>
    <row r="1669" spans="1:10" x14ac:dyDescent="0.25">
      <c r="A1669" s="362"/>
      <c r="B1669" s="609">
        <v>44134</v>
      </c>
      <c r="C1669" s="362" t="s">
        <v>166</v>
      </c>
      <c r="D1669" s="560">
        <v>36528047</v>
      </c>
      <c r="E1669" s="560"/>
      <c r="F1669" s="560">
        <v>36528100</v>
      </c>
      <c r="G1669" s="629">
        <f t="shared" si="31"/>
        <v>-53</v>
      </c>
      <c r="H1669" s="362"/>
      <c r="I1669" s="362"/>
      <c r="J1669" s="362"/>
    </row>
    <row r="1670" spans="1:10" x14ac:dyDescent="0.25">
      <c r="A1670" s="362"/>
      <c r="B1670" s="609">
        <v>44134</v>
      </c>
      <c r="C1670" s="362" t="s">
        <v>3435</v>
      </c>
      <c r="D1670" s="560">
        <v>180714850</v>
      </c>
      <c r="E1670" s="560"/>
      <c r="F1670" s="560">
        <v>180714900</v>
      </c>
      <c r="G1670" s="629">
        <f t="shared" si="31"/>
        <v>-50</v>
      </c>
      <c r="H1670" s="362"/>
      <c r="I1670" s="362"/>
      <c r="J1670" s="362"/>
    </row>
    <row r="1671" spans="1:10" x14ac:dyDescent="0.25">
      <c r="A1671" s="530"/>
      <c r="B1671" s="530"/>
      <c r="C1671" s="530"/>
      <c r="D1671" s="562"/>
      <c r="E1671" s="562"/>
      <c r="F1671" s="562"/>
      <c r="G1671" s="630">
        <f t="shared" si="31"/>
        <v>0</v>
      </c>
      <c r="H1671" s="530"/>
      <c r="I1671" s="530"/>
      <c r="J1671" s="530"/>
    </row>
    <row r="1672" spans="1:10" x14ac:dyDescent="0.25">
      <c r="A1672" s="362"/>
      <c r="B1672" s="609">
        <v>44135</v>
      </c>
      <c r="C1672" s="362" t="s">
        <v>80</v>
      </c>
      <c r="D1672" s="560">
        <v>222216314</v>
      </c>
      <c r="E1672" s="560">
        <v>44946000</v>
      </c>
      <c r="F1672" s="560">
        <v>267171900</v>
      </c>
      <c r="G1672" s="629">
        <f t="shared" si="31"/>
        <v>-9586</v>
      </c>
      <c r="H1672" s="362"/>
      <c r="I1672" s="362"/>
      <c r="J1672" s="362"/>
    </row>
    <row r="1673" spans="1:10" x14ac:dyDescent="0.25">
      <c r="A1673" s="362"/>
      <c r="B1673" s="609">
        <v>44135</v>
      </c>
      <c r="C1673" s="362" t="s">
        <v>83</v>
      </c>
      <c r="D1673" s="560">
        <v>185898921</v>
      </c>
      <c r="E1673" s="560">
        <v>214331779</v>
      </c>
      <c r="F1673" s="560">
        <v>400230700</v>
      </c>
      <c r="G1673" s="629">
        <f t="shared" si="31"/>
        <v>0</v>
      </c>
      <c r="H1673" s="362"/>
      <c r="I1673" s="362"/>
      <c r="J1673" s="362"/>
    </row>
    <row r="1674" spans="1:10" x14ac:dyDescent="0.25">
      <c r="A1674" s="362"/>
      <c r="B1674" s="609">
        <v>44135</v>
      </c>
      <c r="C1674" s="362" t="s">
        <v>88</v>
      </c>
      <c r="D1674" s="560">
        <v>279875417</v>
      </c>
      <c r="E1674" s="560">
        <v>25890695</v>
      </c>
      <c r="F1674" s="560">
        <v>305766200</v>
      </c>
      <c r="G1674" s="629">
        <f t="shared" si="31"/>
        <v>-88</v>
      </c>
      <c r="H1674" s="362"/>
      <c r="I1674" s="362"/>
      <c r="J1674" s="362"/>
    </row>
    <row r="1675" spans="1:10" x14ac:dyDescent="0.25">
      <c r="A1675" s="362"/>
      <c r="B1675" s="609">
        <v>44135</v>
      </c>
      <c r="C1675" s="362" t="s">
        <v>146</v>
      </c>
      <c r="D1675" s="560">
        <v>63772210</v>
      </c>
      <c r="E1675" s="560">
        <v>67846203</v>
      </c>
      <c r="F1675" s="560">
        <f>102057000+29561800</f>
        <v>131618800</v>
      </c>
      <c r="G1675" s="629">
        <f t="shared" si="31"/>
        <v>-387</v>
      </c>
      <c r="H1675" s="362"/>
      <c r="I1675" s="362"/>
      <c r="J1675" s="362"/>
    </row>
    <row r="1676" spans="1:10" x14ac:dyDescent="0.25">
      <c r="A1676" s="362"/>
      <c r="B1676" s="609">
        <v>44135</v>
      </c>
      <c r="C1676" s="362" t="s">
        <v>86</v>
      </c>
      <c r="D1676" s="560">
        <v>37282004</v>
      </c>
      <c r="E1676" s="560">
        <v>26558790</v>
      </c>
      <c r="F1676" s="560">
        <v>63840800</v>
      </c>
      <c r="G1676" s="629">
        <f t="shared" si="31"/>
        <v>-6</v>
      </c>
      <c r="H1676" s="362"/>
      <c r="I1676" s="362"/>
      <c r="J1676" s="362"/>
    </row>
    <row r="1677" spans="1:10" x14ac:dyDescent="0.25">
      <c r="A1677" s="362"/>
      <c r="B1677" s="609">
        <v>44135</v>
      </c>
      <c r="C1677" s="362" t="s">
        <v>89</v>
      </c>
      <c r="D1677" s="560">
        <v>90479996</v>
      </c>
      <c r="E1677" s="560">
        <v>72401004</v>
      </c>
      <c r="F1677" s="560">
        <v>162881000</v>
      </c>
      <c r="G1677" s="629">
        <f t="shared" si="31"/>
        <v>0</v>
      </c>
      <c r="H1677" s="362"/>
      <c r="I1677" s="362"/>
      <c r="J1677" s="362"/>
    </row>
    <row r="1678" spans="1:10" x14ac:dyDescent="0.25">
      <c r="A1678" s="362"/>
      <c r="B1678" s="609">
        <v>44135</v>
      </c>
      <c r="C1678" s="362" t="s">
        <v>4751</v>
      </c>
      <c r="D1678" s="560">
        <v>173365165</v>
      </c>
      <c r="E1678" s="560">
        <v>7106635</v>
      </c>
      <c r="F1678" s="560">
        <v>180471800</v>
      </c>
      <c r="G1678" s="629">
        <f t="shared" si="31"/>
        <v>0</v>
      </c>
      <c r="H1678" s="362"/>
      <c r="I1678" s="362"/>
      <c r="J1678" s="362"/>
    </row>
    <row r="1679" spans="1:10" x14ac:dyDescent="0.25">
      <c r="A1679" s="362"/>
      <c r="B1679" s="609">
        <v>44135</v>
      </c>
      <c r="C1679" s="362" t="s">
        <v>84</v>
      </c>
      <c r="D1679" s="560">
        <v>81697805</v>
      </c>
      <c r="E1679" s="560">
        <v>11267075</v>
      </c>
      <c r="F1679" s="560">
        <v>92964100</v>
      </c>
      <c r="G1679" s="629">
        <f t="shared" si="31"/>
        <v>780</v>
      </c>
      <c r="H1679" s="362"/>
      <c r="I1679" s="362"/>
      <c r="J1679" s="362"/>
    </row>
    <row r="1680" spans="1:10" x14ac:dyDescent="0.25">
      <c r="A1680" s="362"/>
      <c r="B1680" s="609">
        <v>44135</v>
      </c>
      <c r="C1680" s="362" t="s">
        <v>81</v>
      </c>
      <c r="D1680" s="560">
        <v>83633823</v>
      </c>
      <c r="E1680" s="560">
        <v>10342721</v>
      </c>
      <c r="F1680" s="560">
        <v>93976600</v>
      </c>
      <c r="G1680" s="629">
        <f t="shared" si="31"/>
        <v>-56</v>
      </c>
      <c r="H1680" s="362"/>
      <c r="I1680" s="362"/>
      <c r="J1680" s="362"/>
    </row>
    <row r="1681" spans="1:10" x14ac:dyDescent="0.25">
      <c r="A1681" s="362"/>
      <c r="B1681" s="609">
        <v>44135</v>
      </c>
      <c r="C1681" s="362" t="s">
        <v>79</v>
      </c>
      <c r="D1681" s="560">
        <v>40054021</v>
      </c>
      <c r="E1681" s="560"/>
      <c r="F1681" s="560">
        <v>40453100</v>
      </c>
      <c r="G1681" s="629">
        <f t="shared" si="31"/>
        <v>-399079</v>
      </c>
      <c r="H1681" s="362"/>
      <c r="I1681" s="362"/>
      <c r="J1681" s="362"/>
    </row>
    <row r="1682" spans="1:10" x14ac:dyDescent="0.25">
      <c r="A1682" s="362"/>
      <c r="B1682" s="609">
        <v>44135</v>
      </c>
      <c r="C1682" s="362" t="s">
        <v>82</v>
      </c>
      <c r="D1682" s="560">
        <v>164606416</v>
      </c>
      <c r="E1682" s="560">
        <v>2488898</v>
      </c>
      <c r="F1682" s="560">
        <v>167095400</v>
      </c>
      <c r="G1682" s="629">
        <f t="shared" si="31"/>
        <v>-86</v>
      </c>
      <c r="H1682" s="362"/>
      <c r="I1682" s="362"/>
      <c r="J1682" s="362"/>
    </row>
    <row r="1683" spans="1:10" x14ac:dyDescent="0.25">
      <c r="A1683" s="362"/>
      <c r="B1683" s="609">
        <v>44135</v>
      </c>
      <c r="C1683" s="362" t="s">
        <v>78</v>
      </c>
      <c r="D1683" s="560">
        <v>113284615</v>
      </c>
      <c r="E1683" s="560">
        <v>1630385</v>
      </c>
      <c r="F1683" s="560">
        <v>114915000</v>
      </c>
      <c r="G1683" s="629">
        <f t="shared" si="31"/>
        <v>0</v>
      </c>
      <c r="H1683" s="362"/>
      <c r="I1683" s="362"/>
      <c r="J1683" s="362"/>
    </row>
    <row r="1684" spans="1:10" x14ac:dyDescent="0.25">
      <c r="A1684" s="362"/>
      <c r="B1684" s="609">
        <v>44135</v>
      </c>
      <c r="C1684" s="362" t="s">
        <v>85</v>
      </c>
      <c r="D1684" s="560">
        <v>22263400</v>
      </c>
      <c r="E1684" s="560"/>
      <c r="F1684" s="560">
        <v>22263400</v>
      </c>
      <c r="G1684" s="629">
        <f t="shared" si="31"/>
        <v>0</v>
      </c>
      <c r="H1684" s="362"/>
      <c r="I1684" s="362"/>
      <c r="J1684" s="362"/>
    </row>
    <row r="1685" spans="1:10" x14ac:dyDescent="0.25">
      <c r="A1685" s="362"/>
      <c r="B1685" s="609">
        <v>44135</v>
      </c>
      <c r="C1685" s="362" t="s">
        <v>166</v>
      </c>
      <c r="D1685" s="560"/>
      <c r="E1685" s="560"/>
      <c r="F1685" s="560"/>
      <c r="G1685" s="629">
        <f t="shared" si="31"/>
        <v>0</v>
      </c>
      <c r="H1685" s="362"/>
      <c r="I1685" s="362"/>
      <c r="J1685" s="362"/>
    </row>
    <row r="1686" spans="1:10" x14ac:dyDescent="0.25">
      <c r="A1686" s="362"/>
      <c r="B1686" s="609">
        <v>44135</v>
      </c>
      <c r="C1686" s="362" t="s">
        <v>3435</v>
      </c>
      <c r="D1686" s="560"/>
      <c r="E1686" s="560"/>
      <c r="F1686" s="560"/>
      <c r="G1686" s="629">
        <f t="shared" si="31"/>
        <v>0</v>
      </c>
      <c r="H1686" s="362"/>
      <c r="I1686" s="362"/>
      <c r="J1686" s="362"/>
    </row>
    <row r="1687" spans="1:10" x14ac:dyDescent="0.25">
      <c r="A1687" s="530"/>
      <c r="B1687" s="530"/>
      <c r="C1687" s="530"/>
      <c r="D1687" s="562"/>
      <c r="E1687" s="562"/>
      <c r="F1687" s="562"/>
      <c r="G1687" s="630">
        <f t="shared" si="31"/>
        <v>0</v>
      </c>
      <c r="H1687" s="530"/>
      <c r="I1687" s="530"/>
      <c r="J1687" s="530"/>
    </row>
    <row r="1688" spans="1:10" x14ac:dyDescent="0.25">
      <c r="A1688" s="362"/>
      <c r="B1688" s="609">
        <v>44137</v>
      </c>
      <c r="C1688" s="362" t="s">
        <v>80</v>
      </c>
      <c r="D1688" s="560">
        <v>214552705</v>
      </c>
      <c r="E1688" s="560"/>
      <c r="F1688" s="560"/>
      <c r="G1688" s="560">
        <f t="shared" si="31"/>
        <v>214552705</v>
      </c>
      <c r="H1688" s="560"/>
      <c r="I1688" s="560"/>
      <c r="J1688" s="560"/>
    </row>
    <row r="1689" spans="1:10" x14ac:dyDescent="0.25">
      <c r="A1689" s="362"/>
      <c r="B1689" s="609">
        <v>44137</v>
      </c>
      <c r="C1689" s="362" t="s">
        <v>83</v>
      </c>
      <c r="D1689" s="560">
        <v>258164858</v>
      </c>
      <c r="E1689" s="560">
        <v>8761074</v>
      </c>
      <c r="F1689" s="560"/>
      <c r="G1689" s="560">
        <f t="shared" si="31"/>
        <v>266925932</v>
      </c>
      <c r="H1689" s="560"/>
      <c r="I1689" s="560"/>
      <c r="J1689" s="560"/>
    </row>
    <row r="1690" spans="1:10" x14ac:dyDescent="0.25">
      <c r="A1690" s="362"/>
      <c r="B1690" s="609">
        <v>44137</v>
      </c>
      <c r="C1690" s="362" t="s">
        <v>88</v>
      </c>
      <c r="D1690" s="560">
        <v>313965873</v>
      </c>
      <c r="E1690" s="560">
        <v>8808280</v>
      </c>
      <c r="F1690" s="560"/>
      <c r="G1690" s="560">
        <f t="shared" si="31"/>
        <v>322774153</v>
      </c>
      <c r="H1690" s="560"/>
      <c r="I1690" s="560"/>
      <c r="J1690" s="560"/>
    </row>
    <row r="1691" spans="1:10" x14ac:dyDescent="0.25">
      <c r="A1691" s="362"/>
      <c r="B1691" s="609">
        <v>44137</v>
      </c>
      <c r="C1691" s="362" t="s">
        <v>146</v>
      </c>
      <c r="D1691" s="560">
        <v>105534683</v>
      </c>
      <c r="E1691" s="560">
        <v>45706722</v>
      </c>
      <c r="F1691" s="560"/>
      <c r="G1691" s="560">
        <f t="shared" si="31"/>
        <v>151241405</v>
      </c>
      <c r="H1691" s="560"/>
      <c r="I1691" s="560"/>
      <c r="J1691" s="560"/>
    </row>
    <row r="1692" spans="1:10" x14ac:dyDescent="0.25">
      <c r="A1692" s="362"/>
      <c r="B1692" s="609">
        <v>44137</v>
      </c>
      <c r="C1692" s="362" t="s">
        <v>86</v>
      </c>
      <c r="D1692" s="560">
        <v>45357173</v>
      </c>
      <c r="E1692" s="560">
        <v>11277900</v>
      </c>
      <c r="F1692" s="560"/>
      <c r="G1692" s="560">
        <f t="shared" si="31"/>
        <v>56635073</v>
      </c>
      <c r="H1692" s="560"/>
      <c r="I1692" s="560"/>
      <c r="J1692" s="560"/>
    </row>
    <row r="1693" spans="1:10" x14ac:dyDescent="0.25">
      <c r="A1693" s="362"/>
      <c r="B1693" s="609">
        <v>44137</v>
      </c>
      <c r="C1693" s="362" t="s">
        <v>89</v>
      </c>
      <c r="D1693" s="560">
        <v>105597219</v>
      </c>
      <c r="E1693" s="560">
        <v>61182581</v>
      </c>
      <c r="F1693" s="560"/>
      <c r="G1693" s="560">
        <f t="shared" si="31"/>
        <v>166779800</v>
      </c>
      <c r="H1693" s="560"/>
      <c r="I1693" s="560"/>
      <c r="J1693" s="560"/>
    </row>
    <row r="1694" spans="1:10" x14ac:dyDescent="0.25">
      <c r="A1694" s="362"/>
      <c r="B1694" s="609">
        <v>44137</v>
      </c>
      <c r="C1694" s="362" t="s">
        <v>4751</v>
      </c>
      <c r="D1694" s="560">
        <v>154507679</v>
      </c>
      <c r="E1694" s="560">
        <v>4368321</v>
      </c>
      <c r="F1694" s="560"/>
      <c r="G1694" s="560"/>
      <c r="H1694" s="560"/>
      <c r="I1694" s="560"/>
      <c r="J1694" s="560"/>
    </row>
    <row r="1695" spans="1:10" x14ac:dyDescent="0.25">
      <c r="A1695" s="362"/>
      <c r="B1695" s="609">
        <v>44137</v>
      </c>
      <c r="C1695" s="362" t="s">
        <v>84</v>
      </c>
      <c r="D1695" s="560">
        <v>182005618</v>
      </c>
      <c r="E1695" s="560">
        <v>11436951</v>
      </c>
      <c r="F1695" s="560"/>
      <c r="G1695" s="560"/>
      <c r="H1695" s="560"/>
      <c r="I1695" s="560"/>
      <c r="J1695" s="560"/>
    </row>
    <row r="1696" spans="1:10" x14ac:dyDescent="0.25">
      <c r="A1696" s="362"/>
      <c r="B1696" s="609">
        <v>44137</v>
      </c>
      <c r="C1696" s="362" t="s">
        <v>81</v>
      </c>
      <c r="D1696" s="560">
        <v>78066593</v>
      </c>
      <c r="E1696" s="560">
        <v>6028260</v>
      </c>
      <c r="F1696" s="560"/>
      <c r="G1696" s="560"/>
      <c r="H1696" s="560"/>
      <c r="I1696" s="560"/>
      <c r="J1696" s="560"/>
    </row>
    <row r="1697" spans="1:10" x14ac:dyDescent="0.25">
      <c r="A1697" s="362"/>
      <c r="B1697" s="609">
        <v>44137</v>
      </c>
      <c r="C1697" s="362" t="s">
        <v>79</v>
      </c>
      <c r="D1697" s="560">
        <v>35629977</v>
      </c>
      <c r="E1697" s="560">
        <v>1478595</v>
      </c>
      <c r="F1697" s="560"/>
      <c r="G1697" s="560"/>
      <c r="H1697" s="560"/>
      <c r="I1697" s="560"/>
      <c r="J1697" s="560"/>
    </row>
    <row r="1698" spans="1:10" x14ac:dyDescent="0.25">
      <c r="A1698" s="362"/>
      <c r="B1698" s="609">
        <v>44137</v>
      </c>
      <c r="C1698" s="362" t="s">
        <v>82</v>
      </c>
      <c r="D1698" s="560">
        <v>26852856</v>
      </c>
      <c r="E1698" s="560"/>
      <c r="F1698" s="560"/>
      <c r="G1698" s="560"/>
      <c r="H1698" s="560"/>
      <c r="I1698" s="560"/>
      <c r="J1698" s="560"/>
    </row>
    <row r="1699" spans="1:10" x14ac:dyDescent="0.25">
      <c r="A1699" s="362"/>
      <c r="B1699" s="609">
        <v>44137</v>
      </c>
      <c r="C1699" s="362" t="s">
        <v>78</v>
      </c>
      <c r="D1699" s="560">
        <v>45158532</v>
      </c>
      <c r="E1699" s="560">
        <v>3846468</v>
      </c>
      <c r="F1699" s="560"/>
      <c r="G1699" s="560"/>
      <c r="H1699" s="560"/>
      <c r="I1699" s="560"/>
      <c r="J1699" s="560"/>
    </row>
    <row r="1700" spans="1:10" x14ac:dyDescent="0.25">
      <c r="A1700" s="362"/>
      <c r="B1700" s="609">
        <v>44137</v>
      </c>
      <c r="C1700" s="362" t="s">
        <v>85</v>
      </c>
      <c r="D1700" s="560">
        <v>38198100</v>
      </c>
      <c r="E1700" s="560"/>
      <c r="F1700" s="560"/>
      <c r="G1700" s="560"/>
      <c r="H1700" s="560"/>
      <c r="I1700" s="560"/>
      <c r="J1700" s="560"/>
    </row>
    <row r="1701" spans="1:10" x14ac:dyDescent="0.25">
      <c r="A1701" s="362"/>
      <c r="B1701" s="609">
        <v>44137</v>
      </c>
      <c r="C1701" s="362" t="s">
        <v>166</v>
      </c>
      <c r="D1701" s="560">
        <v>54414383</v>
      </c>
      <c r="E1701" s="560"/>
      <c r="F1701" s="560"/>
      <c r="G1701" s="560"/>
      <c r="H1701" s="560"/>
      <c r="I1701" s="560"/>
      <c r="J1701" s="560"/>
    </row>
    <row r="1702" spans="1:10" x14ac:dyDescent="0.25">
      <c r="A1702" s="362"/>
      <c r="B1702" s="609">
        <v>44137</v>
      </c>
      <c r="C1702" s="362" t="s">
        <v>3435</v>
      </c>
      <c r="D1702" s="560">
        <v>34100924</v>
      </c>
      <c r="E1702" s="560"/>
      <c r="F1702" s="560"/>
      <c r="G1702" s="560"/>
      <c r="H1702" s="560"/>
      <c r="I1702" s="560"/>
      <c r="J1702" s="560"/>
    </row>
    <row r="1703" spans="1:10" x14ac:dyDescent="0.25">
      <c r="A1703" s="530"/>
      <c r="B1703" s="530"/>
      <c r="C1703" s="530"/>
      <c r="D1703" s="562"/>
      <c r="E1703" s="562"/>
      <c r="F1703" s="562"/>
      <c r="G1703" s="562"/>
      <c r="H1703" s="562"/>
      <c r="I1703" s="562"/>
      <c r="J1703" s="562"/>
    </row>
    <row r="1704" spans="1:10" x14ac:dyDescent="0.25">
      <c r="A1704" s="362"/>
      <c r="B1704" s="609">
        <v>44138</v>
      </c>
      <c r="C1704" s="362" t="s">
        <v>80</v>
      </c>
      <c r="D1704" s="560">
        <v>203916773</v>
      </c>
      <c r="E1704" s="560">
        <v>40782500</v>
      </c>
      <c r="F1704" s="560"/>
      <c r="G1704" s="560"/>
      <c r="H1704" s="560"/>
      <c r="I1704" s="560"/>
      <c r="J1704" s="560"/>
    </row>
    <row r="1705" spans="1:10" x14ac:dyDescent="0.25">
      <c r="A1705" s="362"/>
      <c r="B1705" s="609">
        <v>44138</v>
      </c>
      <c r="C1705" s="362" t="s">
        <v>83</v>
      </c>
      <c r="D1705" s="560">
        <v>210947349</v>
      </c>
      <c r="E1705" s="560">
        <v>12595111</v>
      </c>
      <c r="F1705" s="560"/>
      <c r="G1705" s="560"/>
      <c r="H1705" s="560"/>
      <c r="I1705" s="560"/>
      <c r="J1705" s="560"/>
    </row>
    <row r="1706" spans="1:10" x14ac:dyDescent="0.25">
      <c r="A1706" s="362"/>
      <c r="B1706" s="609">
        <v>44138</v>
      </c>
      <c r="C1706" s="362" t="s">
        <v>88</v>
      </c>
      <c r="D1706" s="560">
        <v>184774209</v>
      </c>
      <c r="E1706" s="560">
        <v>6598948</v>
      </c>
      <c r="F1706" s="560"/>
      <c r="G1706" s="560"/>
      <c r="H1706" s="560"/>
      <c r="I1706" s="560"/>
      <c r="J1706" s="560"/>
    </row>
    <row r="1707" spans="1:10" x14ac:dyDescent="0.25">
      <c r="A1707" s="362"/>
      <c r="B1707" s="609">
        <v>44138</v>
      </c>
      <c r="C1707" s="362" t="s">
        <v>146</v>
      </c>
      <c r="D1707" s="560">
        <v>124271739</v>
      </c>
      <c r="E1707" s="560">
        <v>48662686</v>
      </c>
      <c r="F1707" s="560"/>
      <c r="G1707" s="560"/>
      <c r="H1707" s="560"/>
      <c r="I1707" s="560"/>
      <c r="J1707" s="560"/>
    </row>
    <row r="1708" spans="1:10" x14ac:dyDescent="0.25">
      <c r="A1708" s="362"/>
      <c r="B1708" s="609">
        <v>44138</v>
      </c>
      <c r="C1708" s="362" t="s">
        <v>86</v>
      </c>
      <c r="D1708" s="560">
        <v>104445195</v>
      </c>
      <c r="E1708" s="560">
        <v>45457844</v>
      </c>
      <c r="F1708" s="560"/>
      <c r="G1708" s="560"/>
      <c r="H1708" s="560"/>
      <c r="I1708" s="560"/>
      <c r="J1708" s="560"/>
    </row>
    <row r="1709" spans="1:10" x14ac:dyDescent="0.25">
      <c r="A1709" s="362"/>
      <c r="B1709" s="609">
        <v>44138</v>
      </c>
      <c r="C1709" s="362" t="s">
        <v>89</v>
      </c>
      <c r="D1709" s="560">
        <v>142739272</v>
      </c>
      <c r="E1709" s="560">
        <v>4484328</v>
      </c>
      <c r="F1709" s="560"/>
      <c r="G1709" s="560"/>
      <c r="H1709" s="560"/>
      <c r="I1709" s="560"/>
      <c r="J1709" s="560"/>
    </row>
    <row r="1710" spans="1:10" x14ac:dyDescent="0.25">
      <c r="A1710" s="362"/>
      <c r="B1710" s="609">
        <v>44138</v>
      </c>
      <c r="C1710" s="362" t="s">
        <v>4751</v>
      </c>
      <c r="D1710" s="560">
        <v>149645927</v>
      </c>
      <c r="E1710" s="560">
        <v>11269073</v>
      </c>
      <c r="F1710" s="560"/>
      <c r="G1710" s="560"/>
      <c r="H1710" s="560"/>
      <c r="I1710" s="560"/>
      <c r="J1710" s="560"/>
    </row>
    <row r="1711" spans="1:10" x14ac:dyDescent="0.25">
      <c r="A1711" s="362"/>
      <c r="B1711" s="609">
        <v>44138</v>
      </c>
      <c r="C1711" s="362" t="s">
        <v>84</v>
      </c>
      <c r="D1711" s="560">
        <v>146074482</v>
      </c>
      <c r="E1711" s="560">
        <v>8447600</v>
      </c>
      <c r="F1711" s="560"/>
      <c r="G1711" s="560"/>
      <c r="H1711" s="560"/>
      <c r="I1711" s="560"/>
      <c r="J1711" s="560"/>
    </row>
    <row r="1712" spans="1:10" x14ac:dyDescent="0.25">
      <c r="A1712" s="362"/>
      <c r="B1712" s="609">
        <v>44138</v>
      </c>
      <c r="C1712" s="362" t="s">
        <v>81</v>
      </c>
      <c r="D1712" s="560">
        <v>70275274</v>
      </c>
      <c r="E1712" s="560">
        <v>7063900</v>
      </c>
      <c r="F1712" s="560"/>
      <c r="G1712" s="560"/>
      <c r="H1712" s="560"/>
      <c r="I1712" s="560"/>
      <c r="J1712" s="560"/>
    </row>
    <row r="1713" spans="1:12" x14ac:dyDescent="0.25">
      <c r="A1713" s="362"/>
      <c r="B1713" s="609">
        <v>44138</v>
      </c>
      <c r="C1713" s="362" t="s">
        <v>79</v>
      </c>
      <c r="D1713" s="560">
        <v>60882091</v>
      </c>
      <c r="E1713" s="560"/>
      <c r="F1713" s="560"/>
      <c r="G1713" s="560"/>
      <c r="H1713" s="560"/>
      <c r="I1713" s="560"/>
      <c r="J1713" s="560"/>
    </row>
    <row r="1714" spans="1:12" x14ac:dyDescent="0.25">
      <c r="A1714" s="362"/>
      <c r="B1714" s="609">
        <v>44138</v>
      </c>
      <c r="C1714" s="362" t="s">
        <v>82</v>
      </c>
      <c r="D1714" s="560">
        <v>40504645</v>
      </c>
      <c r="E1714" s="560">
        <v>3352900</v>
      </c>
      <c r="F1714" s="560"/>
      <c r="G1714" s="560"/>
      <c r="H1714" s="560"/>
      <c r="I1714" s="560"/>
      <c r="J1714" s="560"/>
    </row>
    <row r="1715" spans="1:12" x14ac:dyDescent="0.25">
      <c r="A1715" s="362"/>
      <c r="B1715" s="609">
        <v>44138</v>
      </c>
      <c r="C1715" s="362" t="s">
        <v>78</v>
      </c>
      <c r="D1715" s="560">
        <v>70600059</v>
      </c>
      <c r="E1715" s="560">
        <v>1031441</v>
      </c>
      <c r="F1715" s="560"/>
      <c r="G1715" s="560"/>
      <c r="H1715" s="560"/>
      <c r="I1715" s="560"/>
      <c r="J1715" s="560"/>
    </row>
    <row r="1716" spans="1:12" x14ac:dyDescent="0.25">
      <c r="A1716" s="362"/>
      <c r="B1716" s="609">
        <v>44138</v>
      </c>
      <c r="C1716" s="362" t="s">
        <v>85</v>
      </c>
      <c r="D1716" s="560">
        <v>33877300</v>
      </c>
      <c r="E1716" s="560"/>
      <c r="F1716" s="560"/>
      <c r="G1716" s="560"/>
      <c r="H1716" s="560"/>
      <c r="I1716" s="560"/>
      <c r="J1716" s="560"/>
    </row>
    <row r="1717" spans="1:12" x14ac:dyDescent="0.25">
      <c r="A1717" s="362"/>
      <c r="B1717" s="609">
        <v>44138</v>
      </c>
      <c r="C1717" s="362" t="s">
        <v>166</v>
      </c>
      <c r="D1717" s="560">
        <v>63051726</v>
      </c>
      <c r="E1717" s="560"/>
      <c r="F1717" s="560"/>
      <c r="G1717" s="560"/>
      <c r="H1717" s="560"/>
      <c r="I1717" s="560"/>
      <c r="J1717" s="560"/>
    </row>
    <row r="1718" spans="1:12" x14ac:dyDescent="0.25">
      <c r="A1718" s="362"/>
      <c r="B1718" s="609">
        <v>44138</v>
      </c>
      <c r="C1718" s="362" t="s">
        <v>3435</v>
      </c>
      <c r="D1718" s="560">
        <v>34119255</v>
      </c>
      <c r="E1718" s="560"/>
      <c r="F1718" s="560"/>
      <c r="G1718" s="560"/>
      <c r="H1718" s="560"/>
      <c r="I1718" s="560"/>
      <c r="J1718" s="560"/>
    </row>
    <row r="1719" spans="1:12" x14ac:dyDescent="0.25">
      <c r="A1719" s="530"/>
      <c r="B1719" s="530"/>
      <c r="C1719" s="530"/>
      <c r="D1719" s="562"/>
      <c r="E1719" s="562"/>
      <c r="F1719" s="562"/>
      <c r="G1719" s="562"/>
      <c r="H1719" s="562"/>
      <c r="I1719" s="562"/>
      <c r="J1719" s="562"/>
    </row>
    <row r="1720" spans="1:12" x14ac:dyDescent="0.25">
      <c r="A1720" s="362"/>
      <c r="B1720" s="609">
        <v>44139</v>
      </c>
      <c r="C1720" s="362" t="s">
        <v>80</v>
      </c>
      <c r="D1720" s="560">
        <v>237762899</v>
      </c>
      <c r="E1720" s="560">
        <v>240006</v>
      </c>
      <c r="F1720" s="560"/>
      <c r="G1720" s="560"/>
      <c r="H1720" s="560"/>
      <c r="I1720" s="560"/>
      <c r="J1720" s="560"/>
    </row>
    <row r="1721" spans="1:12" x14ac:dyDescent="0.25">
      <c r="A1721" s="362"/>
      <c r="B1721" s="609">
        <v>44139</v>
      </c>
      <c r="C1721" s="362" t="s">
        <v>83</v>
      </c>
      <c r="D1721" s="560">
        <v>201719103</v>
      </c>
      <c r="E1721" s="560">
        <v>110075015</v>
      </c>
      <c r="F1721" s="560"/>
      <c r="G1721" s="560"/>
      <c r="H1721" s="560"/>
      <c r="I1721" s="560"/>
      <c r="J1721" s="560"/>
    </row>
    <row r="1722" spans="1:12" x14ac:dyDescent="0.25">
      <c r="A1722" s="362"/>
      <c r="B1722" s="609">
        <v>44139</v>
      </c>
      <c r="C1722" s="362" t="s">
        <v>88</v>
      </c>
      <c r="D1722" s="560">
        <v>126725729</v>
      </c>
      <c r="E1722" s="560">
        <v>7951494</v>
      </c>
      <c r="F1722" s="560"/>
      <c r="G1722" s="560"/>
      <c r="H1722" s="560"/>
      <c r="I1722" s="560"/>
      <c r="J1722" s="560"/>
    </row>
    <row r="1723" spans="1:12" x14ac:dyDescent="0.25">
      <c r="A1723" s="362"/>
      <c r="B1723" s="609">
        <v>44139</v>
      </c>
      <c r="C1723" s="362" t="s">
        <v>146</v>
      </c>
      <c r="D1723" s="560">
        <v>102723442</v>
      </c>
      <c r="E1723" s="560">
        <v>65677046</v>
      </c>
      <c r="F1723" s="560"/>
      <c r="G1723" s="560"/>
      <c r="H1723" s="560"/>
      <c r="I1723" s="560"/>
      <c r="J1723" s="560"/>
    </row>
    <row r="1724" spans="1:12" x14ac:dyDescent="0.25">
      <c r="A1724" s="362"/>
      <c r="B1724" s="609">
        <v>44139</v>
      </c>
      <c r="C1724" s="362" t="s">
        <v>86</v>
      </c>
      <c r="D1724" s="560">
        <v>51757146</v>
      </c>
      <c r="E1724" s="560">
        <v>28019982</v>
      </c>
      <c r="F1724" s="560"/>
      <c r="G1724" s="560"/>
      <c r="H1724" s="560"/>
      <c r="I1724" s="560"/>
      <c r="J1724" s="560"/>
      <c r="L1724" s="661"/>
    </row>
    <row r="1725" spans="1:12" x14ac:dyDescent="0.25">
      <c r="A1725" s="362"/>
      <c r="B1725" s="609">
        <v>44139</v>
      </c>
      <c r="C1725" s="362" t="s">
        <v>89</v>
      </c>
      <c r="D1725" s="560">
        <v>124330155</v>
      </c>
      <c r="E1725" s="560">
        <v>18888945</v>
      </c>
      <c r="F1725" s="560"/>
      <c r="G1725" s="560"/>
      <c r="H1725" s="560"/>
      <c r="I1725" s="560"/>
      <c r="J1725" s="560"/>
    </row>
    <row r="1726" spans="1:12" x14ac:dyDescent="0.25">
      <c r="A1726" s="362"/>
      <c r="B1726" s="609">
        <v>44139</v>
      </c>
      <c r="C1726" s="362" t="s">
        <v>4751</v>
      </c>
      <c r="D1726" s="560">
        <v>187864387</v>
      </c>
      <c r="E1726" s="560">
        <v>13578913</v>
      </c>
      <c r="F1726" s="560"/>
      <c r="G1726" s="560"/>
      <c r="H1726" s="560"/>
      <c r="I1726" s="560"/>
      <c r="J1726" s="560"/>
    </row>
    <row r="1727" spans="1:12" x14ac:dyDescent="0.25">
      <c r="A1727" s="362"/>
      <c r="B1727" s="609">
        <v>44139</v>
      </c>
      <c r="C1727" s="362" t="s">
        <v>84</v>
      </c>
      <c r="D1727" s="560">
        <v>246947949</v>
      </c>
      <c r="E1727" s="560">
        <v>7282048</v>
      </c>
      <c r="F1727" s="560"/>
      <c r="G1727" s="560"/>
      <c r="H1727" s="560"/>
      <c r="I1727" s="560"/>
      <c r="J1727" s="560"/>
    </row>
    <row r="1728" spans="1:12" x14ac:dyDescent="0.25">
      <c r="A1728" s="362"/>
      <c r="B1728" s="609">
        <v>44139</v>
      </c>
      <c r="C1728" s="362" t="s">
        <v>81</v>
      </c>
      <c r="D1728" s="560">
        <v>97514237</v>
      </c>
      <c r="E1728" s="560">
        <v>23109982</v>
      </c>
      <c r="F1728" s="560"/>
      <c r="G1728" s="560"/>
      <c r="H1728" s="560"/>
      <c r="I1728" s="560"/>
      <c r="J1728" s="560"/>
    </row>
    <row r="1729" spans="1:10" x14ac:dyDescent="0.25">
      <c r="A1729" s="362"/>
      <c r="B1729" s="609">
        <v>44139</v>
      </c>
      <c r="C1729" s="362" t="s">
        <v>79</v>
      </c>
      <c r="D1729" s="560">
        <v>74515772</v>
      </c>
      <c r="E1729" s="560">
        <v>745768</v>
      </c>
      <c r="F1729" s="560"/>
      <c r="G1729" s="560"/>
      <c r="H1729" s="560"/>
      <c r="I1729" s="560"/>
      <c r="J1729" s="560"/>
    </row>
    <row r="1730" spans="1:10" x14ac:dyDescent="0.25">
      <c r="A1730" s="362"/>
      <c r="B1730" s="609">
        <v>44139</v>
      </c>
      <c r="C1730" s="362" t="s">
        <v>82</v>
      </c>
      <c r="D1730" s="560">
        <v>107394404</v>
      </c>
      <c r="E1730" s="560">
        <v>2759634</v>
      </c>
      <c r="F1730" s="560"/>
      <c r="G1730" s="560"/>
      <c r="H1730" s="560"/>
      <c r="I1730" s="560"/>
      <c r="J1730" s="560"/>
    </row>
    <row r="1731" spans="1:10" x14ac:dyDescent="0.25">
      <c r="A1731" s="362"/>
      <c r="B1731" s="609">
        <v>44139</v>
      </c>
      <c r="C1731" s="362" t="s">
        <v>78</v>
      </c>
      <c r="D1731" s="560">
        <v>79002290</v>
      </c>
      <c r="E1731" s="560">
        <v>2674210</v>
      </c>
      <c r="F1731" s="560"/>
      <c r="G1731" s="560"/>
      <c r="H1731" s="560"/>
      <c r="I1731" s="560"/>
      <c r="J1731" s="560"/>
    </row>
    <row r="1732" spans="1:10" x14ac:dyDescent="0.25">
      <c r="A1732" s="362"/>
      <c r="B1732" s="609">
        <v>44139</v>
      </c>
      <c r="C1732" s="362" t="s">
        <v>85</v>
      </c>
      <c r="D1732" s="560"/>
      <c r="E1732" s="560"/>
      <c r="F1732" s="560"/>
      <c r="G1732" s="560"/>
      <c r="H1732" s="560"/>
      <c r="I1732" s="560"/>
      <c r="J1732" s="560"/>
    </row>
    <row r="1733" spans="1:10" x14ac:dyDescent="0.25">
      <c r="A1733" s="362"/>
      <c r="B1733" s="609">
        <v>44139</v>
      </c>
      <c r="C1733" s="362" t="s">
        <v>166</v>
      </c>
      <c r="D1733" s="560">
        <v>43972592</v>
      </c>
      <c r="E1733" s="560"/>
      <c r="F1733" s="560"/>
      <c r="G1733" s="560"/>
      <c r="H1733" s="560"/>
      <c r="I1733" s="560"/>
      <c r="J1733" s="560"/>
    </row>
    <row r="1734" spans="1:10" x14ac:dyDescent="0.25">
      <c r="A1734" s="362"/>
      <c r="B1734" s="609">
        <v>44139</v>
      </c>
      <c r="C1734" s="362" t="s">
        <v>3435</v>
      </c>
      <c r="D1734" s="560">
        <v>48550990</v>
      </c>
      <c r="E1734" s="560"/>
      <c r="F1734" s="560"/>
      <c r="G1734" s="560"/>
      <c r="H1734" s="560"/>
      <c r="I1734" s="560"/>
      <c r="J1734" s="560"/>
    </row>
    <row r="1735" spans="1:10" x14ac:dyDescent="0.25">
      <c r="A1735" s="530"/>
      <c r="B1735" s="530"/>
      <c r="C1735" s="530"/>
      <c r="D1735" s="562"/>
      <c r="E1735" s="562"/>
      <c r="F1735" s="562"/>
      <c r="G1735" s="562"/>
      <c r="H1735" s="562"/>
      <c r="I1735" s="562"/>
      <c r="J1735" s="562"/>
    </row>
    <row r="1736" spans="1:10" x14ac:dyDescent="0.25">
      <c r="A1736" s="362"/>
      <c r="B1736" s="609">
        <v>44152</v>
      </c>
      <c r="C1736" s="362" t="s">
        <v>80</v>
      </c>
      <c r="D1736" s="560">
        <v>186881000</v>
      </c>
      <c r="E1736" s="560"/>
      <c r="F1736" s="560">
        <v>186881000</v>
      </c>
      <c r="G1736" s="560">
        <f>D1736+E1736-F1736</f>
        <v>0</v>
      </c>
      <c r="H1736" s="560"/>
      <c r="I1736" s="560"/>
      <c r="J1736" s="560"/>
    </row>
    <row r="1737" spans="1:10" x14ac:dyDescent="0.25">
      <c r="A1737" s="362"/>
      <c r="B1737" s="609">
        <v>44152</v>
      </c>
      <c r="C1737" s="362" t="s">
        <v>83</v>
      </c>
      <c r="D1737" s="560">
        <v>160971447</v>
      </c>
      <c r="E1737" s="560">
        <v>5846756</v>
      </c>
      <c r="F1737" s="560">
        <v>166818200</v>
      </c>
      <c r="G1737" s="560">
        <f t="shared" ref="G1737:G1800" si="32">D1737+E1737-F1737</f>
        <v>3</v>
      </c>
      <c r="H1737" s="560"/>
      <c r="I1737" s="560"/>
      <c r="J1737" s="560"/>
    </row>
    <row r="1738" spans="1:10" x14ac:dyDescent="0.25">
      <c r="A1738" s="362"/>
      <c r="B1738" s="609">
        <v>44152</v>
      </c>
      <c r="C1738" s="362" t="s">
        <v>88</v>
      </c>
      <c r="D1738" s="560">
        <v>100319341</v>
      </c>
      <c r="E1738" s="560">
        <v>70698995</v>
      </c>
      <c r="F1738" s="560">
        <v>171018400</v>
      </c>
      <c r="G1738" s="560">
        <f t="shared" si="32"/>
        <v>-64</v>
      </c>
      <c r="H1738" s="560"/>
      <c r="I1738" s="560"/>
      <c r="J1738" s="560"/>
    </row>
    <row r="1739" spans="1:10" x14ac:dyDescent="0.25">
      <c r="A1739" s="362"/>
      <c r="B1739" s="609">
        <v>44152</v>
      </c>
      <c r="C1739" s="362" t="s">
        <v>146</v>
      </c>
      <c r="D1739" s="560">
        <v>145782248</v>
      </c>
      <c r="E1739" s="560">
        <v>94071939</v>
      </c>
      <c r="F1739" s="560">
        <v>239854200</v>
      </c>
      <c r="G1739" s="560">
        <f t="shared" si="32"/>
        <v>-13</v>
      </c>
      <c r="H1739" s="560"/>
      <c r="I1739" s="560"/>
      <c r="J1739" s="560"/>
    </row>
    <row r="1740" spans="1:10" x14ac:dyDescent="0.25">
      <c r="A1740" s="362"/>
      <c r="B1740" s="609">
        <v>44152</v>
      </c>
      <c r="C1740" s="362" t="s">
        <v>86</v>
      </c>
      <c r="D1740" s="560">
        <v>50860086</v>
      </c>
      <c r="E1740" s="560">
        <v>180414370</v>
      </c>
      <c r="F1740" s="560">
        <v>231274500</v>
      </c>
      <c r="G1740" s="560">
        <f t="shared" si="32"/>
        <v>-44</v>
      </c>
      <c r="H1740" s="560"/>
      <c r="I1740" s="560"/>
      <c r="J1740" s="560"/>
    </row>
    <row r="1741" spans="1:10" x14ac:dyDescent="0.25">
      <c r="A1741" s="362"/>
      <c r="B1741" s="609">
        <v>44152</v>
      </c>
      <c r="C1741" s="362" t="s">
        <v>89</v>
      </c>
      <c r="D1741" s="560">
        <v>108327707</v>
      </c>
      <c r="E1741" s="560">
        <v>7872893</v>
      </c>
      <c r="F1741" s="560">
        <v>116200600</v>
      </c>
      <c r="G1741" s="560">
        <f t="shared" si="32"/>
        <v>0</v>
      </c>
      <c r="H1741" s="560"/>
      <c r="I1741" s="560"/>
      <c r="J1741" s="560"/>
    </row>
    <row r="1742" spans="1:10" x14ac:dyDescent="0.25">
      <c r="A1742" s="362"/>
      <c r="B1742" s="609">
        <v>44152</v>
      </c>
      <c r="C1742" s="362" t="s">
        <v>4751</v>
      </c>
      <c r="D1742" s="560">
        <v>195249777</v>
      </c>
      <c r="E1742" s="560">
        <v>30031423</v>
      </c>
      <c r="F1742" s="560">
        <v>225281200</v>
      </c>
      <c r="G1742" s="560">
        <f t="shared" si="32"/>
        <v>0</v>
      </c>
      <c r="H1742" s="560"/>
      <c r="I1742" s="560"/>
      <c r="J1742" s="560"/>
    </row>
    <row r="1743" spans="1:10" x14ac:dyDescent="0.25">
      <c r="A1743" s="362"/>
      <c r="B1743" s="609">
        <v>44152</v>
      </c>
      <c r="C1743" s="362" t="s">
        <v>84</v>
      </c>
      <c r="D1743" s="560">
        <v>165186541</v>
      </c>
      <c r="E1743" s="560">
        <v>12138285</v>
      </c>
      <c r="F1743" s="560">
        <v>177324900</v>
      </c>
      <c r="G1743" s="560">
        <f t="shared" si="32"/>
        <v>-74</v>
      </c>
      <c r="H1743" s="560"/>
      <c r="I1743" s="560"/>
      <c r="J1743" s="560"/>
    </row>
    <row r="1744" spans="1:10" x14ac:dyDescent="0.25">
      <c r="A1744" s="362"/>
      <c r="B1744" s="609">
        <v>44152</v>
      </c>
      <c r="C1744" s="362" t="s">
        <v>81</v>
      </c>
      <c r="D1744" s="560">
        <v>79325717</v>
      </c>
      <c r="E1744" s="560">
        <v>7415222</v>
      </c>
      <c r="F1744" s="560">
        <v>86741000</v>
      </c>
      <c r="G1744" s="560">
        <f t="shared" si="32"/>
        <v>-61</v>
      </c>
      <c r="H1744" s="560"/>
      <c r="I1744" s="560"/>
      <c r="J1744" s="560"/>
    </row>
    <row r="1745" spans="1:10" x14ac:dyDescent="0.25">
      <c r="A1745" s="362"/>
      <c r="B1745" s="609">
        <v>44152</v>
      </c>
      <c r="C1745" s="362" t="s">
        <v>79</v>
      </c>
      <c r="D1745" s="560">
        <v>68344679</v>
      </c>
      <c r="E1745" s="560">
        <v>1088249</v>
      </c>
      <c r="F1745" s="560">
        <v>69433000</v>
      </c>
      <c r="G1745" s="560">
        <f t="shared" si="32"/>
        <v>-72</v>
      </c>
      <c r="H1745" s="560"/>
      <c r="I1745" s="560"/>
      <c r="J1745" s="560"/>
    </row>
    <row r="1746" spans="1:10" x14ac:dyDescent="0.25">
      <c r="A1746" s="362"/>
      <c r="B1746" s="609">
        <v>44152</v>
      </c>
      <c r="C1746" s="362" t="s">
        <v>82</v>
      </c>
      <c r="D1746" s="560">
        <v>50311931</v>
      </c>
      <c r="E1746" s="560">
        <v>1710300</v>
      </c>
      <c r="F1746" s="560">
        <v>52022300</v>
      </c>
      <c r="G1746" s="560">
        <f t="shared" si="32"/>
        <v>-69</v>
      </c>
      <c r="H1746" s="560"/>
      <c r="I1746" s="560"/>
      <c r="J1746" s="560"/>
    </row>
    <row r="1747" spans="1:10" x14ac:dyDescent="0.25">
      <c r="A1747" s="362"/>
      <c r="B1747" s="609">
        <v>44152</v>
      </c>
      <c r="C1747" s="362" t="s">
        <v>78</v>
      </c>
      <c r="D1747" s="560">
        <v>73280943</v>
      </c>
      <c r="E1747" s="560">
        <v>22776757</v>
      </c>
      <c r="F1747" s="560">
        <v>96057700</v>
      </c>
      <c r="G1747" s="560">
        <f t="shared" si="32"/>
        <v>0</v>
      </c>
      <c r="H1747" s="560"/>
      <c r="I1747" s="560"/>
      <c r="J1747" s="560"/>
    </row>
    <row r="1748" spans="1:10" x14ac:dyDescent="0.25">
      <c r="A1748" s="362"/>
      <c r="B1748" s="609">
        <v>44152</v>
      </c>
      <c r="C1748" s="362" t="s">
        <v>85</v>
      </c>
      <c r="D1748" s="560">
        <v>38249100</v>
      </c>
      <c r="E1748" s="560"/>
      <c r="F1748" s="560">
        <v>38249100</v>
      </c>
      <c r="G1748" s="560">
        <f t="shared" si="32"/>
        <v>0</v>
      </c>
      <c r="H1748" s="560"/>
      <c r="I1748" s="560"/>
      <c r="J1748" s="560"/>
    </row>
    <row r="1749" spans="1:10" x14ac:dyDescent="0.25">
      <c r="A1749" s="362"/>
      <c r="B1749" s="362"/>
      <c r="C1749" s="362" t="s">
        <v>166</v>
      </c>
      <c r="D1749" s="560">
        <v>61279118</v>
      </c>
      <c r="E1749" s="560"/>
      <c r="F1749" s="560">
        <v>61279200</v>
      </c>
      <c r="G1749" s="560">
        <f t="shared" si="32"/>
        <v>-82</v>
      </c>
      <c r="H1749" s="560"/>
      <c r="I1749" s="560"/>
      <c r="J1749" s="560"/>
    </row>
    <row r="1750" spans="1:10" x14ac:dyDescent="0.25">
      <c r="A1750" s="362"/>
      <c r="B1750" s="362"/>
      <c r="C1750" s="362" t="s">
        <v>3435</v>
      </c>
      <c r="D1750" s="560">
        <v>26728938</v>
      </c>
      <c r="E1750" s="560"/>
      <c r="F1750" s="560">
        <v>26729000</v>
      </c>
      <c r="G1750" s="560">
        <f t="shared" si="32"/>
        <v>-62</v>
      </c>
      <c r="H1750" s="560"/>
      <c r="I1750" s="560"/>
      <c r="J1750" s="560"/>
    </row>
    <row r="1751" spans="1:10" x14ac:dyDescent="0.25">
      <c r="A1751" s="530"/>
      <c r="B1751" s="530"/>
      <c r="C1751" s="530"/>
      <c r="D1751" s="562"/>
      <c r="E1751" s="562"/>
      <c r="F1751" s="562"/>
      <c r="G1751" s="560">
        <f t="shared" si="32"/>
        <v>0</v>
      </c>
      <c r="H1751" s="562"/>
      <c r="I1751" s="562"/>
      <c r="J1751" s="562"/>
    </row>
    <row r="1752" spans="1:10" x14ac:dyDescent="0.25">
      <c r="A1752" s="362"/>
      <c r="B1752" s="609">
        <v>44153</v>
      </c>
      <c r="C1752" s="362" t="s">
        <v>80</v>
      </c>
      <c r="D1752" s="560">
        <v>180301200</v>
      </c>
      <c r="E1752" s="560"/>
      <c r="F1752" s="560">
        <v>180301200</v>
      </c>
      <c r="G1752" s="560">
        <f t="shared" si="32"/>
        <v>0</v>
      </c>
      <c r="H1752" s="560"/>
      <c r="I1752" s="560"/>
      <c r="J1752" s="560"/>
    </row>
    <row r="1753" spans="1:10" x14ac:dyDescent="0.25">
      <c r="A1753" s="362"/>
      <c r="B1753" s="609">
        <v>44153</v>
      </c>
      <c r="C1753" s="362" t="s">
        <v>83</v>
      </c>
      <c r="D1753" s="560">
        <v>318313666</v>
      </c>
      <c r="E1753" s="560">
        <v>13379821</v>
      </c>
      <c r="F1753" s="560">
        <v>331693500</v>
      </c>
      <c r="G1753" s="560">
        <f t="shared" si="32"/>
        <v>-13</v>
      </c>
      <c r="H1753" s="560"/>
      <c r="I1753" s="560"/>
      <c r="J1753" s="560"/>
    </row>
    <row r="1754" spans="1:10" x14ac:dyDescent="0.25">
      <c r="A1754" s="362"/>
      <c r="B1754" s="609">
        <v>44153</v>
      </c>
      <c r="C1754" s="362" t="s">
        <v>88</v>
      </c>
      <c r="D1754" s="560">
        <v>195807747</v>
      </c>
      <c r="E1754" s="560">
        <v>27382994</v>
      </c>
      <c r="F1754" s="560">
        <v>223190800</v>
      </c>
      <c r="G1754" s="560">
        <f t="shared" si="32"/>
        <v>-59</v>
      </c>
      <c r="H1754" s="560"/>
      <c r="I1754" s="560"/>
      <c r="J1754" s="560"/>
    </row>
    <row r="1755" spans="1:10" x14ac:dyDescent="0.25">
      <c r="A1755" s="362"/>
      <c r="B1755" s="609">
        <v>44153</v>
      </c>
      <c r="C1755" s="362" t="s">
        <v>146</v>
      </c>
      <c r="D1755" s="560">
        <v>93166937</v>
      </c>
      <c r="E1755" s="560">
        <v>71432452</v>
      </c>
      <c r="F1755" s="560">
        <v>164599500</v>
      </c>
      <c r="G1755" s="560">
        <f t="shared" si="32"/>
        <v>-111</v>
      </c>
      <c r="H1755" s="560"/>
      <c r="I1755" s="560"/>
      <c r="J1755" s="560"/>
    </row>
    <row r="1756" spans="1:10" x14ac:dyDescent="0.25">
      <c r="A1756" s="362"/>
      <c r="B1756" s="609">
        <v>44153</v>
      </c>
      <c r="C1756" s="362" t="s">
        <v>86</v>
      </c>
      <c r="D1756" s="560">
        <v>47248488</v>
      </c>
      <c r="E1756" s="560">
        <v>130850740</v>
      </c>
      <c r="F1756" s="560">
        <v>178099200</v>
      </c>
      <c r="G1756" s="560">
        <f t="shared" si="32"/>
        <v>28</v>
      </c>
      <c r="H1756" s="560"/>
      <c r="I1756" s="560"/>
      <c r="J1756" s="560"/>
    </row>
    <row r="1757" spans="1:10" x14ac:dyDescent="0.25">
      <c r="A1757" s="362"/>
      <c r="B1757" s="609">
        <v>44153</v>
      </c>
      <c r="C1757" s="362" t="s">
        <v>89</v>
      </c>
      <c r="D1757" s="560">
        <v>104964717</v>
      </c>
      <c r="E1757" s="560">
        <v>20408583</v>
      </c>
      <c r="F1757" s="560">
        <v>125373300</v>
      </c>
      <c r="G1757" s="560">
        <f t="shared" si="32"/>
        <v>0</v>
      </c>
      <c r="H1757" s="560"/>
      <c r="I1757" s="560"/>
      <c r="J1757" s="560"/>
    </row>
    <row r="1758" spans="1:10" x14ac:dyDescent="0.25">
      <c r="A1758" s="362"/>
      <c r="B1758" s="609">
        <v>44153</v>
      </c>
      <c r="C1758" s="362" t="s">
        <v>4751</v>
      </c>
      <c r="D1758" s="560">
        <v>181291407</v>
      </c>
      <c r="E1758" s="560">
        <v>5284893</v>
      </c>
      <c r="F1758" s="560">
        <v>186576300</v>
      </c>
      <c r="G1758" s="560">
        <f t="shared" si="32"/>
        <v>0</v>
      </c>
      <c r="H1758" s="560"/>
      <c r="I1758" s="560"/>
      <c r="J1758" s="560"/>
    </row>
    <row r="1759" spans="1:10" x14ac:dyDescent="0.25">
      <c r="A1759" s="362"/>
      <c r="B1759" s="609">
        <v>44153</v>
      </c>
      <c r="C1759" s="362" t="s">
        <v>84</v>
      </c>
      <c r="D1759" s="560">
        <v>242589478</v>
      </c>
      <c r="E1759" s="560">
        <v>20145879</v>
      </c>
      <c r="F1759" s="560">
        <v>262735300</v>
      </c>
      <c r="G1759" s="560">
        <f t="shared" si="32"/>
        <v>57</v>
      </c>
      <c r="H1759" s="560"/>
      <c r="I1759" s="560"/>
      <c r="J1759" s="560"/>
    </row>
    <row r="1760" spans="1:10" x14ac:dyDescent="0.25">
      <c r="A1760" s="362"/>
      <c r="B1760" s="609">
        <v>44153</v>
      </c>
      <c r="C1760" s="362" t="s">
        <v>81</v>
      </c>
      <c r="D1760" s="560">
        <v>108371745</v>
      </c>
      <c r="E1760" s="560">
        <v>11227402</v>
      </c>
      <c r="F1760" s="560">
        <v>119599200</v>
      </c>
      <c r="G1760" s="560">
        <f t="shared" si="32"/>
        <v>-53</v>
      </c>
      <c r="H1760" s="560"/>
      <c r="I1760" s="560"/>
      <c r="J1760" s="560"/>
    </row>
    <row r="1761" spans="1:10" x14ac:dyDescent="0.25">
      <c r="A1761" s="362"/>
      <c r="B1761" s="609">
        <v>44153</v>
      </c>
      <c r="C1761" s="362" t="s">
        <v>79</v>
      </c>
      <c r="D1761" s="560">
        <v>53735843</v>
      </c>
      <c r="E1761" s="560">
        <v>3842088</v>
      </c>
      <c r="F1761" s="560">
        <v>57578000</v>
      </c>
      <c r="G1761" s="560">
        <f t="shared" si="32"/>
        <v>-69</v>
      </c>
      <c r="H1761" s="560"/>
      <c r="I1761" s="560"/>
      <c r="J1761" s="560"/>
    </row>
    <row r="1762" spans="1:10" x14ac:dyDescent="0.25">
      <c r="A1762" s="362"/>
      <c r="B1762" s="609">
        <v>44153</v>
      </c>
      <c r="C1762" s="362" t="s">
        <v>82</v>
      </c>
      <c r="D1762" s="560">
        <v>82458650</v>
      </c>
      <c r="E1762" s="560">
        <v>1409100</v>
      </c>
      <c r="F1762" s="560">
        <v>83867800</v>
      </c>
      <c r="G1762" s="560">
        <f t="shared" si="32"/>
        <v>-50</v>
      </c>
      <c r="H1762" s="560"/>
      <c r="I1762" s="560"/>
      <c r="J1762" s="560"/>
    </row>
    <row r="1763" spans="1:10" x14ac:dyDescent="0.25">
      <c r="A1763" s="362"/>
      <c r="B1763" s="609">
        <v>44153</v>
      </c>
      <c r="C1763" s="362" t="s">
        <v>78</v>
      </c>
      <c r="D1763" s="560">
        <v>85126523</v>
      </c>
      <c r="E1763" s="560">
        <v>1012877</v>
      </c>
      <c r="F1763" s="560">
        <v>86139400</v>
      </c>
      <c r="G1763" s="560">
        <f t="shared" si="32"/>
        <v>0</v>
      </c>
      <c r="H1763" s="560"/>
      <c r="I1763" s="560"/>
      <c r="J1763" s="560"/>
    </row>
    <row r="1764" spans="1:10" x14ac:dyDescent="0.25">
      <c r="A1764" s="362"/>
      <c r="B1764" s="609">
        <v>44153</v>
      </c>
      <c r="C1764" s="362" t="s">
        <v>85</v>
      </c>
      <c r="D1764" s="560">
        <v>38249101</v>
      </c>
      <c r="E1764" s="560"/>
      <c r="F1764" s="560">
        <v>38305900</v>
      </c>
      <c r="G1764" s="560">
        <f t="shared" si="32"/>
        <v>-56799</v>
      </c>
      <c r="H1764" s="560"/>
      <c r="I1764" s="560"/>
      <c r="J1764" s="560"/>
    </row>
    <row r="1765" spans="1:10" x14ac:dyDescent="0.25">
      <c r="A1765" s="362"/>
      <c r="B1765" s="609">
        <v>44153</v>
      </c>
      <c r="C1765" s="362" t="s">
        <v>166</v>
      </c>
      <c r="D1765" s="560">
        <v>49440019</v>
      </c>
      <c r="E1765" s="560"/>
      <c r="F1765" s="560">
        <v>49440100</v>
      </c>
      <c r="G1765" s="560">
        <f t="shared" si="32"/>
        <v>-81</v>
      </c>
      <c r="H1765" s="560"/>
      <c r="I1765" s="560"/>
      <c r="J1765" s="560"/>
    </row>
    <row r="1766" spans="1:10" x14ac:dyDescent="0.25">
      <c r="A1766" s="362"/>
      <c r="B1766" s="609">
        <v>44153</v>
      </c>
      <c r="C1766" s="362" t="s">
        <v>3435</v>
      </c>
      <c r="D1766" s="560">
        <v>58304355</v>
      </c>
      <c r="E1766" s="560"/>
      <c r="F1766" s="560">
        <v>58304400</v>
      </c>
      <c r="G1766" s="560">
        <f t="shared" si="32"/>
        <v>-45</v>
      </c>
      <c r="H1766" s="560"/>
      <c r="I1766" s="560"/>
      <c r="J1766" s="560"/>
    </row>
    <row r="1767" spans="1:10" x14ac:dyDescent="0.25">
      <c r="A1767" s="530"/>
      <c r="B1767" s="530"/>
      <c r="C1767" s="530"/>
      <c r="D1767" s="562"/>
      <c r="E1767" s="562"/>
      <c r="F1767" s="562"/>
      <c r="G1767" s="562">
        <f t="shared" si="32"/>
        <v>0</v>
      </c>
      <c r="H1767" s="562"/>
      <c r="I1767" s="562"/>
      <c r="J1767" s="562"/>
    </row>
    <row r="1768" spans="1:10" x14ac:dyDescent="0.25">
      <c r="A1768" s="362"/>
      <c r="B1768" s="609">
        <v>44154</v>
      </c>
      <c r="C1768" s="362" t="s">
        <v>80</v>
      </c>
      <c r="D1768" s="560">
        <v>180591222</v>
      </c>
      <c r="E1768" s="560">
        <v>971875</v>
      </c>
      <c r="F1768" s="560">
        <v>181076800</v>
      </c>
      <c r="G1768" s="560">
        <f t="shared" si="32"/>
        <v>486297</v>
      </c>
      <c r="H1768" s="560"/>
      <c r="I1768" s="560"/>
      <c r="J1768" s="560"/>
    </row>
    <row r="1769" spans="1:10" x14ac:dyDescent="0.25">
      <c r="A1769" s="362"/>
      <c r="B1769" s="609">
        <v>44154</v>
      </c>
      <c r="C1769" s="362" t="s">
        <v>83</v>
      </c>
      <c r="D1769" s="560">
        <v>248113657</v>
      </c>
      <c r="E1769" s="560">
        <v>9580077</v>
      </c>
      <c r="F1769" s="560">
        <v>257693800</v>
      </c>
      <c r="G1769" s="560">
        <f t="shared" si="32"/>
        <v>-66</v>
      </c>
      <c r="H1769" s="560"/>
      <c r="I1769" s="560"/>
      <c r="J1769" s="560"/>
    </row>
    <row r="1770" spans="1:10" x14ac:dyDescent="0.25">
      <c r="A1770" s="362"/>
      <c r="B1770" s="609">
        <v>44154</v>
      </c>
      <c r="C1770" s="362" t="s">
        <v>88</v>
      </c>
      <c r="D1770" s="560">
        <v>241292249</v>
      </c>
      <c r="E1770" s="560">
        <v>9495178</v>
      </c>
      <c r="F1770" s="560">
        <v>250787500</v>
      </c>
      <c r="G1770" s="560">
        <f t="shared" si="32"/>
        <v>-73</v>
      </c>
      <c r="H1770" s="560"/>
      <c r="I1770" s="560"/>
      <c r="J1770" s="560"/>
    </row>
    <row r="1771" spans="1:10" x14ac:dyDescent="0.25">
      <c r="A1771" s="362"/>
      <c r="B1771" s="609">
        <v>44154</v>
      </c>
      <c r="C1771" s="362" t="s">
        <v>146</v>
      </c>
      <c r="D1771" s="560">
        <v>77049017</v>
      </c>
      <c r="E1771" s="560">
        <v>115682411</v>
      </c>
      <c r="F1771" s="560">
        <v>192731500</v>
      </c>
      <c r="G1771" s="560">
        <f t="shared" si="32"/>
        <v>-72</v>
      </c>
      <c r="H1771" s="560"/>
      <c r="I1771" s="560"/>
      <c r="J1771" s="560"/>
    </row>
    <row r="1772" spans="1:10" x14ac:dyDescent="0.25">
      <c r="A1772" s="362"/>
      <c r="B1772" s="609">
        <v>44154</v>
      </c>
      <c r="C1772" s="362" t="s">
        <v>86</v>
      </c>
      <c r="D1772" s="560">
        <v>55970545</v>
      </c>
      <c r="E1772" s="560">
        <v>76972068</v>
      </c>
      <c r="F1772" s="560">
        <v>132942600</v>
      </c>
      <c r="G1772" s="560">
        <f t="shared" si="32"/>
        <v>13</v>
      </c>
      <c r="H1772" s="560"/>
      <c r="I1772" s="560"/>
      <c r="J1772" s="560"/>
    </row>
    <row r="1773" spans="1:10" x14ac:dyDescent="0.25">
      <c r="A1773" s="362"/>
      <c r="B1773" s="609">
        <v>44154</v>
      </c>
      <c r="C1773" s="362" t="s">
        <v>89</v>
      </c>
      <c r="D1773" s="560">
        <v>193805168</v>
      </c>
      <c r="E1773" s="560">
        <v>22801532</v>
      </c>
      <c r="F1773" s="560">
        <v>216606700</v>
      </c>
      <c r="G1773" s="560">
        <f t="shared" si="32"/>
        <v>0</v>
      </c>
      <c r="H1773" s="560"/>
      <c r="I1773" s="560"/>
      <c r="J1773" s="560"/>
    </row>
    <row r="1774" spans="1:10" x14ac:dyDescent="0.25">
      <c r="A1774" s="362"/>
      <c r="B1774" s="609">
        <v>44154</v>
      </c>
      <c r="C1774" s="362" t="s">
        <v>4751</v>
      </c>
      <c r="D1774" s="560">
        <v>319557500</v>
      </c>
      <c r="E1774" s="560">
        <v>7210600</v>
      </c>
      <c r="F1774" s="560">
        <v>326768100</v>
      </c>
      <c r="G1774" s="560">
        <f t="shared" si="32"/>
        <v>0</v>
      </c>
      <c r="H1774" s="560"/>
      <c r="I1774" s="560"/>
      <c r="J1774" s="560"/>
    </row>
    <row r="1775" spans="1:10" x14ac:dyDescent="0.25">
      <c r="A1775" s="362"/>
      <c r="B1775" s="609">
        <v>44154</v>
      </c>
      <c r="C1775" s="362" t="s">
        <v>84</v>
      </c>
      <c r="D1775" s="560">
        <v>264624628</v>
      </c>
      <c r="E1775" s="560">
        <v>7968092</v>
      </c>
      <c r="F1775" s="560">
        <v>272592800</v>
      </c>
      <c r="G1775" s="560">
        <f t="shared" si="32"/>
        <v>-80</v>
      </c>
      <c r="H1775" s="560"/>
      <c r="I1775" s="560"/>
      <c r="J1775" s="560"/>
    </row>
    <row r="1776" spans="1:10" x14ac:dyDescent="0.25">
      <c r="A1776" s="362"/>
      <c r="B1776" s="609">
        <v>44154</v>
      </c>
      <c r="C1776" s="362" t="s">
        <v>81</v>
      </c>
      <c r="D1776" s="560">
        <v>91420208</v>
      </c>
      <c r="E1776" s="560">
        <v>24989854</v>
      </c>
      <c r="F1776" s="560">
        <v>116410100</v>
      </c>
      <c r="G1776" s="560">
        <f t="shared" si="32"/>
        <v>-38</v>
      </c>
      <c r="H1776" s="560"/>
      <c r="I1776" s="560"/>
      <c r="J1776" s="560"/>
    </row>
    <row r="1777" spans="1:10" x14ac:dyDescent="0.25">
      <c r="A1777" s="362"/>
      <c r="B1777" s="609">
        <v>44154</v>
      </c>
      <c r="C1777" s="362" t="s">
        <v>79</v>
      </c>
      <c r="D1777" s="560">
        <v>74944190</v>
      </c>
      <c r="E1777" s="560">
        <v>118320</v>
      </c>
      <c r="F1777" s="560">
        <v>75827600</v>
      </c>
      <c r="G1777" s="560">
        <f t="shared" si="32"/>
        <v>-765090</v>
      </c>
      <c r="H1777" s="560"/>
      <c r="I1777" s="560"/>
      <c r="J1777" s="560"/>
    </row>
    <row r="1778" spans="1:10" x14ac:dyDescent="0.25">
      <c r="A1778" s="362"/>
      <c r="B1778" s="609">
        <v>44154</v>
      </c>
      <c r="C1778" s="362" t="s">
        <v>82</v>
      </c>
      <c r="D1778" s="560">
        <v>110994417</v>
      </c>
      <c r="E1778" s="560">
        <v>1675975</v>
      </c>
      <c r="F1778" s="560">
        <v>112670400</v>
      </c>
      <c r="G1778" s="560">
        <f t="shared" si="32"/>
        <v>-8</v>
      </c>
      <c r="H1778" s="560"/>
      <c r="I1778" s="560"/>
      <c r="J1778" s="560"/>
    </row>
    <row r="1779" spans="1:10" x14ac:dyDescent="0.25">
      <c r="A1779" s="362"/>
      <c r="B1779" s="609">
        <v>44154</v>
      </c>
      <c r="C1779" s="362" t="s">
        <v>78</v>
      </c>
      <c r="D1779" s="560">
        <v>66488771</v>
      </c>
      <c r="E1779" s="560">
        <v>2009029</v>
      </c>
      <c r="F1779" s="560">
        <v>68497800</v>
      </c>
      <c r="G1779" s="560">
        <f t="shared" si="32"/>
        <v>0</v>
      </c>
      <c r="H1779" s="560"/>
      <c r="I1779" s="560"/>
      <c r="J1779" s="560"/>
    </row>
    <row r="1780" spans="1:10" x14ac:dyDescent="0.25">
      <c r="A1780" s="362"/>
      <c r="B1780" s="609">
        <v>44154</v>
      </c>
      <c r="C1780" s="362" t="s">
        <v>85</v>
      </c>
      <c r="D1780" s="560">
        <v>20320500</v>
      </c>
      <c r="E1780" s="560"/>
      <c r="F1780" s="560">
        <v>20320500</v>
      </c>
      <c r="G1780" s="560">
        <f t="shared" si="32"/>
        <v>0</v>
      </c>
      <c r="H1780" s="560"/>
      <c r="I1780" s="560"/>
      <c r="J1780" s="560"/>
    </row>
    <row r="1781" spans="1:10" x14ac:dyDescent="0.25">
      <c r="A1781" s="362"/>
      <c r="B1781" s="609">
        <v>44154</v>
      </c>
      <c r="C1781" s="362" t="s">
        <v>166</v>
      </c>
      <c r="D1781" s="560">
        <v>56248776</v>
      </c>
      <c r="E1781" s="560"/>
      <c r="F1781" s="560">
        <v>56249000</v>
      </c>
      <c r="G1781" s="560">
        <f t="shared" si="32"/>
        <v>-224</v>
      </c>
      <c r="H1781" s="560"/>
      <c r="I1781" s="560"/>
      <c r="J1781" s="560"/>
    </row>
    <row r="1782" spans="1:10" x14ac:dyDescent="0.25">
      <c r="A1782" s="362"/>
      <c r="B1782" s="609">
        <v>44154</v>
      </c>
      <c r="C1782" s="362" t="s">
        <v>3435</v>
      </c>
      <c r="D1782" s="560">
        <v>36168971</v>
      </c>
      <c r="E1782" s="560"/>
      <c r="F1782" s="560">
        <v>36169000</v>
      </c>
      <c r="G1782" s="560">
        <f t="shared" si="32"/>
        <v>-29</v>
      </c>
      <c r="H1782" s="560"/>
      <c r="I1782" s="560"/>
      <c r="J1782" s="560"/>
    </row>
    <row r="1783" spans="1:10" x14ac:dyDescent="0.25">
      <c r="A1783" s="530"/>
      <c r="B1783" s="530"/>
      <c r="C1783" s="530"/>
      <c r="D1783" s="562"/>
      <c r="E1783" s="562"/>
      <c r="F1783" s="562"/>
      <c r="G1783" s="562">
        <f t="shared" si="32"/>
        <v>0</v>
      </c>
      <c r="H1783" s="562"/>
      <c r="I1783" s="562"/>
      <c r="J1783" s="562"/>
    </row>
    <row r="1784" spans="1:10" x14ac:dyDescent="0.25">
      <c r="A1784" s="362"/>
      <c r="B1784" s="609">
        <v>44155</v>
      </c>
      <c r="C1784" s="362" t="s">
        <v>80</v>
      </c>
      <c r="D1784" s="560">
        <v>132812106</v>
      </c>
      <c r="E1784" s="560">
        <v>69632180</v>
      </c>
      <c r="F1784" s="560">
        <v>202345600</v>
      </c>
      <c r="G1784" s="560">
        <f t="shared" si="32"/>
        <v>98686</v>
      </c>
      <c r="H1784" s="560"/>
      <c r="I1784" s="560"/>
      <c r="J1784" s="560"/>
    </row>
    <row r="1785" spans="1:10" x14ac:dyDescent="0.25">
      <c r="A1785" s="362"/>
      <c r="B1785" s="609">
        <v>44155</v>
      </c>
      <c r="C1785" s="362" t="s">
        <v>83</v>
      </c>
      <c r="D1785" s="560">
        <v>397352256</v>
      </c>
      <c r="E1785" s="560">
        <v>13548866</v>
      </c>
      <c r="F1785" s="560">
        <v>410901200</v>
      </c>
      <c r="G1785" s="560">
        <f t="shared" si="32"/>
        <v>-78</v>
      </c>
      <c r="H1785" s="560"/>
      <c r="I1785" s="560"/>
      <c r="J1785" s="560"/>
    </row>
    <row r="1786" spans="1:10" x14ac:dyDescent="0.25">
      <c r="A1786" s="362"/>
      <c r="B1786" s="609">
        <v>44155</v>
      </c>
      <c r="C1786" s="362" t="s">
        <v>88</v>
      </c>
      <c r="D1786" s="560">
        <v>110068288</v>
      </c>
      <c r="E1786" s="560">
        <v>33299284</v>
      </c>
      <c r="F1786" s="560">
        <v>143367600</v>
      </c>
      <c r="G1786" s="560">
        <f t="shared" si="32"/>
        <v>-28</v>
      </c>
      <c r="H1786" s="560"/>
      <c r="I1786" s="560"/>
      <c r="J1786" s="560"/>
    </row>
    <row r="1787" spans="1:10" x14ac:dyDescent="0.25">
      <c r="A1787" s="362"/>
      <c r="B1787" s="609">
        <v>44155</v>
      </c>
      <c r="C1787" s="362" t="s">
        <v>146</v>
      </c>
      <c r="D1787" s="560">
        <v>86944277</v>
      </c>
      <c r="E1787" s="560">
        <v>60214465</v>
      </c>
      <c r="F1787" s="560">
        <v>147156200</v>
      </c>
      <c r="G1787" s="560">
        <f t="shared" si="32"/>
        <v>2542</v>
      </c>
      <c r="H1787" s="560"/>
      <c r="I1787" s="560"/>
      <c r="J1787" s="560"/>
    </row>
    <row r="1788" spans="1:10" x14ac:dyDescent="0.25">
      <c r="A1788" s="362"/>
      <c r="B1788" s="609">
        <v>44155</v>
      </c>
      <c r="C1788" s="362" t="s">
        <v>86</v>
      </c>
      <c r="D1788" s="560">
        <v>96007143</v>
      </c>
      <c r="E1788" s="560">
        <v>15362100</v>
      </c>
      <c r="F1788" s="560">
        <v>111369200</v>
      </c>
      <c r="G1788" s="560">
        <f t="shared" si="32"/>
        <v>43</v>
      </c>
      <c r="H1788" s="560"/>
      <c r="I1788" s="560"/>
      <c r="J1788" s="560"/>
    </row>
    <row r="1789" spans="1:10" x14ac:dyDescent="0.25">
      <c r="A1789" s="362"/>
      <c r="B1789" s="609">
        <v>44155</v>
      </c>
      <c r="C1789" s="362" t="s">
        <v>89</v>
      </c>
      <c r="D1789" s="560">
        <v>141451044</v>
      </c>
      <c r="E1789" s="560">
        <v>14677056</v>
      </c>
      <c r="F1789" s="560">
        <v>156128100</v>
      </c>
      <c r="G1789" s="560">
        <f t="shared" si="32"/>
        <v>0</v>
      </c>
      <c r="H1789" s="560"/>
      <c r="I1789" s="560"/>
      <c r="J1789" s="560"/>
    </row>
    <row r="1790" spans="1:10" x14ac:dyDescent="0.25">
      <c r="A1790" s="362"/>
      <c r="B1790" s="609">
        <v>44155</v>
      </c>
      <c r="C1790" s="362" t="s">
        <v>4751</v>
      </c>
      <c r="D1790" s="560">
        <v>255525145</v>
      </c>
      <c r="E1790" s="560">
        <v>14265955</v>
      </c>
      <c r="F1790" s="560">
        <v>269791100</v>
      </c>
      <c r="G1790" s="560">
        <f t="shared" si="32"/>
        <v>0</v>
      </c>
      <c r="H1790" s="560"/>
      <c r="I1790" s="560"/>
      <c r="J1790" s="560"/>
    </row>
    <row r="1791" spans="1:10" x14ac:dyDescent="0.25">
      <c r="A1791" s="362"/>
      <c r="B1791" s="609">
        <v>44155</v>
      </c>
      <c r="C1791" s="362" t="s">
        <v>84</v>
      </c>
      <c r="D1791" s="560">
        <v>161242170</v>
      </c>
      <c r="E1791" s="560">
        <v>44327251</v>
      </c>
      <c r="F1791" s="560">
        <v>205569500</v>
      </c>
      <c r="G1791" s="560">
        <f t="shared" si="32"/>
        <v>-79</v>
      </c>
      <c r="H1791" s="560"/>
      <c r="I1791" s="560"/>
      <c r="J1791" s="560"/>
    </row>
    <row r="1792" spans="1:10" x14ac:dyDescent="0.25">
      <c r="A1792" s="362"/>
      <c r="B1792" s="609">
        <v>44155</v>
      </c>
      <c r="C1792" s="362" t="s">
        <v>81</v>
      </c>
      <c r="D1792" s="560">
        <v>52482673</v>
      </c>
      <c r="E1792" s="560">
        <v>7458509</v>
      </c>
      <c r="F1792" s="560">
        <v>59941200</v>
      </c>
      <c r="G1792" s="560">
        <f t="shared" si="32"/>
        <v>-18</v>
      </c>
      <c r="H1792" s="560"/>
      <c r="I1792" s="560"/>
      <c r="J1792" s="560"/>
    </row>
    <row r="1793" spans="1:10" x14ac:dyDescent="0.25">
      <c r="A1793" s="362"/>
      <c r="B1793" s="609">
        <v>44155</v>
      </c>
      <c r="C1793" s="362" t="s">
        <v>79</v>
      </c>
      <c r="D1793" s="560">
        <v>50687963</v>
      </c>
      <c r="E1793" s="560">
        <v>1635133</v>
      </c>
      <c r="F1793" s="560">
        <v>52323100</v>
      </c>
      <c r="G1793" s="560">
        <f t="shared" si="32"/>
        <v>-4</v>
      </c>
      <c r="H1793" s="560"/>
      <c r="I1793" s="560"/>
      <c r="J1793" s="560"/>
    </row>
    <row r="1794" spans="1:10" x14ac:dyDescent="0.25">
      <c r="A1794" s="362"/>
      <c r="B1794" s="609">
        <v>44155</v>
      </c>
      <c r="C1794" s="362" t="s">
        <v>82</v>
      </c>
      <c r="D1794" s="560">
        <v>152943455</v>
      </c>
      <c r="E1794" s="560">
        <v>2582960</v>
      </c>
      <c r="F1794" s="560">
        <v>155526500</v>
      </c>
      <c r="G1794" s="560">
        <f t="shared" si="32"/>
        <v>-85</v>
      </c>
      <c r="H1794" s="560"/>
      <c r="I1794" s="560"/>
      <c r="J1794" s="560"/>
    </row>
    <row r="1795" spans="1:10" x14ac:dyDescent="0.25">
      <c r="A1795" s="362"/>
      <c r="B1795" s="609">
        <v>44155</v>
      </c>
      <c r="C1795" s="362" t="s">
        <v>78</v>
      </c>
      <c r="D1795" s="560">
        <v>132141650</v>
      </c>
      <c r="E1795" s="560">
        <v>1388350</v>
      </c>
      <c r="F1795" s="560">
        <v>133530000</v>
      </c>
      <c r="G1795" s="560">
        <f t="shared" si="32"/>
        <v>0</v>
      </c>
      <c r="H1795" s="560"/>
      <c r="I1795" s="560"/>
      <c r="J1795" s="560"/>
    </row>
    <row r="1796" spans="1:10" x14ac:dyDescent="0.25">
      <c r="A1796" s="362"/>
      <c r="B1796" s="609">
        <v>44155</v>
      </c>
      <c r="C1796" s="362" t="s">
        <v>85</v>
      </c>
      <c r="D1796" s="560">
        <v>21164500</v>
      </c>
      <c r="E1796" s="560"/>
      <c r="F1796" s="560">
        <v>21164500</v>
      </c>
      <c r="G1796" s="560">
        <f t="shared" si="32"/>
        <v>0</v>
      </c>
      <c r="H1796" s="560"/>
      <c r="I1796" s="560"/>
      <c r="J1796" s="560"/>
    </row>
    <row r="1797" spans="1:10" x14ac:dyDescent="0.25">
      <c r="A1797" s="362"/>
      <c r="B1797" s="609">
        <v>44155</v>
      </c>
      <c r="C1797" s="362" t="s">
        <v>166</v>
      </c>
      <c r="D1797" s="560">
        <v>65080876</v>
      </c>
      <c r="E1797" s="560"/>
      <c r="F1797" s="560">
        <v>65080900</v>
      </c>
      <c r="G1797" s="560">
        <f t="shared" si="32"/>
        <v>-24</v>
      </c>
      <c r="H1797" s="560"/>
      <c r="I1797" s="560"/>
      <c r="J1797" s="560"/>
    </row>
    <row r="1798" spans="1:10" x14ac:dyDescent="0.25">
      <c r="A1798" s="362"/>
      <c r="B1798" s="609">
        <v>44155</v>
      </c>
      <c r="C1798" s="362" t="s">
        <v>3435</v>
      </c>
      <c r="D1798" s="560">
        <v>29219260</v>
      </c>
      <c r="E1798" s="560"/>
      <c r="F1798" s="560">
        <v>29219300</v>
      </c>
      <c r="G1798" s="560">
        <f t="shared" si="32"/>
        <v>-40</v>
      </c>
      <c r="H1798" s="560"/>
      <c r="I1798" s="560"/>
      <c r="J1798" s="560"/>
    </row>
    <row r="1799" spans="1:10" x14ac:dyDescent="0.25">
      <c r="A1799" s="530"/>
      <c r="B1799" s="530"/>
      <c r="C1799" s="530"/>
      <c r="D1799" s="562"/>
      <c r="E1799" s="562"/>
      <c r="F1799" s="562"/>
      <c r="G1799" s="562">
        <f t="shared" si="32"/>
        <v>0</v>
      </c>
      <c r="H1799" s="562"/>
      <c r="I1799" s="562"/>
      <c r="J1799" s="562"/>
    </row>
    <row r="1800" spans="1:10" x14ac:dyDescent="0.25">
      <c r="A1800" s="362"/>
      <c r="B1800" s="609">
        <v>44156</v>
      </c>
      <c r="C1800" s="362" t="s">
        <v>80</v>
      </c>
      <c r="D1800" s="560">
        <v>162163800</v>
      </c>
      <c r="E1800" s="560"/>
      <c r="F1800" s="560">
        <v>162163800</v>
      </c>
      <c r="G1800" s="560">
        <f t="shared" si="32"/>
        <v>0</v>
      </c>
      <c r="H1800" s="560"/>
      <c r="I1800" s="560"/>
      <c r="J1800" s="560"/>
    </row>
    <row r="1801" spans="1:10" x14ac:dyDescent="0.25">
      <c r="A1801" s="362"/>
      <c r="B1801" s="609">
        <v>44156</v>
      </c>
      <c r="C1801" s="362" t="s">
        <v>83</v>
      </c>
      <c r="D1801" s="560">
        <v>177288658</v>
      </c>
      <c r="E1801" s="560">
        <v>214273843</v>
      </c>
      <c r="F1801" s="560">
        <v>391562600</v>
      </c>
      <c r="G1801" s="560">
        <f t="shared" ref="G1801:G1811" si="33">D1801+E1801-F1801</f>
        <v>-99</v>
      </c>
      <c r="H1801" s="560"/>
      <c r="I1801" s="560"/>
      <c r="J1801" s="560"/>
    </row>
    <row r="1802" spans="1:10" x14ac:dyDescent="0.25">
      <c r="A1802" s="362"/>
      <c r="B1802" s="609">
        <v>44156</v>
      </c>
      <c r="C1802" s="362" t="s">
        <v>88</v>
      </c>
      <c r="D1802" s="560">
        <v>242849080</v>
      </c>
      <c r="E1802" s="560">
        <v>15898538</v>
      </c>
      <c r="F1802" s="560">
        <v>258747700</v>
      </c>
      <c r="G1802" s="560">
        <f t="shared" si="33"/>
        <v>-82</v>
      </c>
      <c r="H1802" s="560"/>
      <c r="I1802" s="560"/>
      <c r="J1802" s="560"/>
    </row>
    <row r="1803" spans="1:10" x14ac:dyDescent="0.25">
      <c r="A1803" s="362"/>
      <c r="B1803" s="609">
        <v>44156</v>
      </c>
      <c r="C1803" s="362" t="s">
        <v>146</v>
      </c>
      <c r="D1803" s="560">
        <v>69457628</v>
      </c>
      <c r="E1803" s="560">
        <v>39531919</v>
      </c>
      <c r="F1803" s="560">
        <v>108989600</v>
      </c>
      <c r="G1803" s="560">
        <f t="shared" si="33"/>
        <v>-53</v>
      </c>
      <c r="H1803" s="560"/>
      <c r="I1803" s="560"/>
      <c r="J1803" s="560"/>
    </row>
    <row r="1804" spans="1:10" x14ac:dyDescent="0.25">
      <c r="A1804" s="362"/>
      <c r="B1804" s="609">
        <v>44156</v>
      </c>
      <c r="C1804" s="362" t="s">
        <v>86</v>
      </c>
      <c r="D1804" s="560">
        <v>31841816</v>
      </c>
      <c r="E1804" s="560">
        <v>38002926</v>
      </c>
      <c r="F1804" s="560">
        <v>69844800</v>
      </c>
      <c r="G1804" s="560">
        <f t="shared" si="33"/>
        <v>-58</v>
      </c>
      <c r="H1804" s="560"/>
      <c r="I1804" s="560"/>
      <c r="J1804" s="560"/>
    </row>
    <row r="1805" spans="1:10" x14ac:dyDescent="0.25">
      <c r="A1805" s="362"/>
      <c r="B1805" s="609">
        <v>44156</v>
      </c>
      <c r="C1805" s="362" t="s">
        <v>89</v>
      </c>
      <c r="D1805" s="560">
        <v>81603057</v>
      </c>
      <c r="E1805" s="560">
        <v>46107743</v>
      </c>
      <c r="F1805" s="560">
        <v>127710800</v>
      </c>
      <c r="G1805" s="560">
        <f t="shared" si="33"/>
        <v>0</v>
      </c>
      <c r="H1805" s="560"/>
      <c r="I1805" s="560"/>
      <c r="J1805" s="560"/>
    </row>
    <row r="1806" spans="1:10" x14ac:dyDescent="0.25">
      <c r="A1806" s="362"/>
      <c r="B1806" s="609">
        <v>44156</v>
      </c>
      <c r="C1806" s="362" t="s">
        <v>4751</v>
      </c>
      <c r="D1806" s="560">
        <v>225398929</v>
      </c>
      <c r="E1806" s="560">
        <v>5282171</v>
      </c>
      <c r="F1806" s="560">
        <v>230681100</v>
      </c>
      <c r="G1806" s="560">
        <f t="shared" si="33"/>
        <v>0</v>
      </c>
      <c r="H1806" s="560"/>
      <c r="I1806" s="560"/>
      <c r="J1806" s="560"/>
    </row>
    <row r="1807" spans="1:10" x14ac:dyDescent="0.25">
      <c r="A1807" s="362"/>
      <c r="B1807" s="609">
        <v>44156</v>
      </c>
      <c r="C1807" s="362" t="s">
        <v>84</v>
      </c>
      <c r="D1807" s="560">
        <v>132808145</v>
      </c>
      <c r="E1807" s="560">
        <v>21190461</v>
      </c>
      <c r="F1807" s="560">
        <v>153998600</v>
      </c>
      <c r="G1807" s="560">
        <f t="shared" si="33"/>
        <v>6</v>
      </c>
      <c r="H1807" s="560"/>
      <c r="I1807" s="560"/>
      <c r="J1807" s="560"/>
    </row>
    <row r="1808" spans="1:10" x14ac:dyDescent="0.25">
      <c r="A1808" s="362"/>
      <c r="B1808" s="609">
        <v>44156</v>
      </c>
      <c r="C1808" s="362" t="s">
        <v>81</v>
      </c>
      <c r="D1808" s="560">
        <v>91817878</v>
      </c>
      <c r="E1808" s="560">
        <v>8888584</v>
      </c>
      <c r="F1808" s="560">
        <v>100706500</v>
      </c>
      <c r="G1808" s="560">
        <f t="shared" si="33"/>
        <v>-38</v>
      </c>
      <c r="H1808" s="560"/>
      <c r="I1808" s="560"/>
      <c r="J1808" s="560"/>
    </row>
    <row r="1809" spans="1:10" x14ac:dyDescent="0.25">
      <c r="A1809" s="362"/>
      <c r="B1809" s="609">
        <v>44156</v>
      </c>
      <c r="C1809" s="362" t="s">
        <v>79</v>
      </c>
      <c r="D1809" s="560">
        <v>28812165</v>
      </c>
      <c r="E1809" s="560">
        <v>2831183</v>
      </c>
      <c r="F1809" s="560">
        <v>31643400</v>
      </c>
      <c r="G1809" s="560">
        <f t="shared" si="33"/>
        <v>-52</v>
      </c>
      <c r="H1809" s="560"/>
      <c r="I1809" s="560"/>
      <c r="J1809" s="560"/>
    </row>
    <row r="1810" spans="1:10" x14ac:dyDescent="0.25">
      <c r="A1810" s="362"/>
      <c r="B1810" s="609">
        <v>44156</v>
      </c>
      <c r="C1810" s="362" t="s">
        <v>82</v>
      </c>
      <c r="D1810" s="560">
        <v>18368299</v>
      </c>
      <c r="E1810" s="560">
        <v>5539544</v>
      </c>
      <c r="F1810" s="560">
        <v>23907900</v>
      </c>
      <c r="G1810" s="560">
        <f t="shared" si="33"/>
        <v>-57</v>
      </c>
      <c r="H1810" s="560"/>
      <c r="I1810" s="560"/>
      <c r="J1810" s="560"/>
    </row>
    <row r="1811" spans="1:10" x14ac:dyDescent="0.25">
      <c r="A1811" s="362"/>
      <c r="B1811" s="609">
        <v>44156</v>
      </c>
      <c r="C1811" s="362" t="s">
        <v>78</v>
      </c>
      <c r="D1811" s="560">
        <v>150758953</v>
      </c>
      <c r="E1811" s="560">
        <v>3968847</v>
      </c>
      <c r="F1811" s="560">
        <v>154727800</v>
      </c>
      <c r="G1811" s="560">
        <f t="shared" si="33"/>
        <v>0</v>
      </c>
      <c r="H1811" s="560"/>
      <c r="I1811" s="560"/>
      <c r="J1811" s="560"/>
    </row>
    <row r="1812" spans="1:10" x14ac:dyDescent="0.25">
      <c r="A1812" s="362"/>
      <c r="B1812" s="609">
        <v>44156</v>
      </c>
      <c r="C1812" s="362" t="s">
        <v>85</v>
      </c>
      <c r="D1812" s="560">
        <v>18120800</v>
      </c>
      <c r="E1812" s="560"/>
      <c r="F1812" s="560">
        <v>18120800</v>
      </c>
      <c r="G1812" s="560"/>
      <c r="H1812" s="560"/>
      <c r="I1812" s="560"/>
      <c r="J1812" s="560"/>
    </row>
    <row r="1813" spans="1:10" x14ac:dyDescent="0.25">
      <c r="A1813" s="362"/>
      <c r="B1813" s="609">
        <v>44156</v>
      </c>
      <c r="C1813" s="362" t="s">
        <v>166</v>
      </c>
      <c r="D1813" s="560"/>
      <c r="E1813" s="560"/>
      <c r="F1813" s="560"/>
      <c r="G1813" s="560"/>
      <c r="H1813" s="560"/>
      <c r="I1813" s="560"/>
      <c r="J1813" s="560"/>
    </row>
    <row r="1814" spans="1:10" x14ac:dyDescent="0.25">
      <c r="A1814" s="362"/>
      <c r="B1814" s="609">
        <v>44156</v>
      </c>
      <c r="C1814" s="362" t="s">
        <v>3435</v>
      </c>
      <c r="D1814" s="560"/>
      <c r="E1814" s="560"/>
      <c r="F1814" s="560"/>
      <c r="G1814" s="560"/>
      <c r="H1814" s="560"/>
      <c r="I1814" s="560"/>
      <c r="J1814" s="560"/>
    </row>
    <row r="1815" spans="1:10" x14ac:dyDescent="0.25">
      <c r="A1815" s="530"/>
      <c r="B1815" s="530"/>
      <c r="C1815" s="530"/>
      <c r="D1815" s="562"/>
      <c r="E1815" s="562"/>
      <c r="F1815" s="562"/>
      <c r="G1815" s="562"/>
      <c r="H1815" s="562"/>
      <c r="I1815" s="562"/>
      <c r="J1815" s="562"/>
    </row>
    <row r="1816" spans="1:10" x14ac:dyDescent="0.25">
      <c r="A1816" s="362"/>
      <c r="B1816" s="609">
        <v>44158</v>
      </c>
      <c r="C1816" s="362" t="s">
        <v>80</v>
      </c>
      <c r="D1816" s="560">
        <v>155555520</v>
      </c>
      <c r="E1816" s="560">
        <v>89036051</v>
      </c>
      <c r="F1816" s="560"/>
      <c r="G1816" s="560"/>
      <c r="H1816" s="560"/>
      <c r="I1816" s="560"/>
      <c r="J1816" s="560"/>
    </row>
    <row r="1817" spans="1:10" x14ac:dyDescent="0.25">
      <c r="A1817" s="362"/>
      <c r="B1817" s="609">
        <v>44158</v>
      </c>
      <c r="C1817" s="362" t="s">
        <v>83</v>
      </c>
      <c r="D1817" s="560">
        <v>327134602</v>
      </c>
      <c r="E1817" s="560">
        <v>117024441</v>
      </c>
      <c r="F1817" s="560"/>
      <c r="G1817" s="560"/>
      <c r="H1817" s="560"/>
      <c r="I1817" s="560"/>
      <c r="J1817" s="560"/>
    </row>
    <row r="1818" spans="1:10" x14ac:dyDescent="0.25">
      <c r="A1818" s="362"/>
      <c r="B1818" s="609">
        <v>44158</v>
      </c>
      <c r="C1818" s="362" t="s">
        <v>88</v>
      </c>
      <c r="D1818" s="560">
        <v>225186054</v>
      </c>
      <c r="E1818" s="560">
        <v>14407612</v>
      </c>
      <c r="F1818" s="560"/>
      <c r="G1818" s="560"/>
      <c r="H1818" s="560"/>
      <c r="I1818" s="560"/>
      <c r="J1818" s="560"/>
    </row>
    <row r="1819" spans="1:10" x14ac:dyDescent="0.25">
      <c r="A1819" s="362"/>
      <c r="B1819" s="609">
        <v>44158</v>
      </c>
      <c r="C1819" s="362" t="s">
        <v>146</v>
      </c>
      <c r="D1819" s="560">
        <v>94343195</v>
      </c>
      <c r="E1819" s="560">
        <v>97309985</v>
      </c>
      <c r="F1819" s="560"/>
      <c r="G1819" s="560"/>
      <c r="H1819" s="560"/>
      <c r="I1819" s="560"/>
      <c r="J1819" s="560"/>
    </row>
    <row r="1820" spans="1:10" x14ac:dyDescent="0.25">
      <c r="A1820" s="362"/>
      <c r="B1820" s="609">
        <v>44158</v>
      </c>
      <c r="C1820" s="362" t="s">
        <v>86</v>
      </c>
      <c r="D1820" s="560">
        <v>41517325</v>
      </c>
      <c r="E1820" s="560">
        <v>22672811</v>
      </c>
      <c r="F1820" s="560"/>
      <c r="G1820" s="560"/>
      <c r="H1820" s="560"/>
      <c r="I1820" s="560"/>
      <c r="J1820" s="560"/>
    </row>
    <row r="1821" spans="1:10" x14ac:dyDescent="0.25">
      <c r="A1821" s="362"/>
      <c r="B1821" s="609">
        <v>44158</v>
      </c>
      <c r="C1821" s="362" t="s">
        <v>89</v>
      </c>
      <c r="D1821" s="560">
        <v>109755213</v>
      </c>
      <c r="E1821" s="560">
        <v>67090587</v>
      </c>
      <c r="F1821" s="560"/>
      <c r="G1821" s="560"/>
      <c r="H1821" s="560"/>
      <c r="I1821" s="560"/>
      <c r="J1821" s="560"/>
    </row>
    <row r="1822" spans="1:10" x14ac:dyDescent="0.25">
      <c r="A1822" s="362"/>
      <c r="B1822" s="609">
        <v>44158</v>
      </c>
      <c r="C1822" s="362" t="s">
        <v>4751</v>
      </c>
      <c r="D1822" s="560">
        <v>213835491</v>
      </c>
      <c r="E1822" s="560">
        <v>11253209</v>
      </c>
      <c r="F1822" s="560"/>
      <c r="G1822" s="560"/>
      <c r="H1822" s="560"/>
      <c r="I1822" s="560"/>
      <c r="J1822" s="560"/>
    </row>
    <row r="1823" spans="1:10" x14ac:dyDescent="0.25">
      <c r="A1823" s="362"/>
      <c r="B1823" s="609">
        <v>44158</v>
      </c>
      <c r="C1823" s="362" t="s">
        <v>84</v>
      </c>
      <c r="D1823" s="560">
        <v>221340712</v>
      </c>
      <c r="E1823" s="560">
        <v>7320240</v>
      </c>
      <c r="F1823" s="560"/>
      <c r="G1823" s="560"/>
      <c r="H1823" s="560"/>
      <c r="I1823" s="560"/>
      <c r="J1823" s="560"/>
    </row>
    <row r="1824" spans="1:10" x14ac:dyDescent="0.25">
      <c r="A1824" s="362"/>
      <c r="B1824" s="609">
        <v>44158</v>
      </c>
      <c r="C1824" s="362" t="s">
        <v>81</v>
      </c>
      <c r="D1824" s="560">
        <v>84107633</v>
      </c>
      <c r="E1824" s="560">
        <v>7895866</v>
      </c>
      <c r="F1824" s="560"/>
      <c r="G1824" s="560"/>
      <c r="H1824" s="560"/>
      <c r="I1824" s="560"/>
      <c r="J1824" s="560"/>
    </row>
    <row r="1825" spans="1:10" x14ac:dyDescent="0.25">
      <c r="A1825" s="362"/>
      <c r="B1825" s="609">
        <v>44158</v>
      </c>
      <c r="C1825" s="362" t="s">
        <v>79</v>
      </c>
      <c r="D1825" s="560">
        <v>82237180</v>
      </c>
      <c r="E1825" s="560">
        <v>1759678</v>
      </c>
      <c r="F1825" s="560"/>
      <c r="G1825" s="560"/>
      <c r="H1825" s="560"/>
      <c r="I1825" s="560"/>
      <c r="J1825" s="560"/>
    </row>
    <row r="1826" spans="1:10" x14ac:dyDescent="0.25">
      <c r="A1826" s="362"/>
      <c r="B1826" s="609">
        <v>44158</v>
      </c>
      <c r="C1826" s="362" t="s">
        <v>82</v>
      </c>
      <c r="D1826" s="560">
        <v>41321510</v>
      </c>
      <c r="E1826" s="560">
        <v>733300</v>
      </c>
      <c r="F1826" s="560"/>
      <c r="G1826" s="560"/>
      <c r="H1826" s="560"/>
      <c r="I1826" s="560"/>
      <c r="J1826" s="560"/>
    </row>
    <row r="1827" spans="1:10" x14ac:dyDescent="0.25">
      <c r="A1827" s="362"/>
      <c r="B1827" s="609">
        <v>44158</v>
      </c>
      <c r="C1827" s="362" t="s">
        <v>78</v>
      </c>
      <c r="D1827" s="560">
        <v>92268499</v>
      </c>
      <c r="E1827" s="560">
        <v>1906801</v>
      </c>
      <c r="F1827" s="560"/>
      <c r="G1827" s="560"/>
      <c r="H1827" s="560"/>
      <c r="I1827" s="560"/>
      <c r="J1827" s="560"/>
    </row>
    <row r="1828" spans="1:10" x14ac:dyDescent="0.25">
      <c r="A1828" s="362"/>
      <c r="B1828" s="609">
        <v>44158</v>
      </c>
      <c r="C1828" s="362" t="s">
        <v>85</v>
      </c>
      <c r="D1828" s="560">
        <v>48902700</v>
      </c>
      <c r="E1828" s="560"/>
      <c r="F1828" s="560"/>
      <c r="G1828" s="560"/>
      <c r="H1828" s="560"/>
      <c r="I1828" s="560"/>
      <c r="J1828" s="560"/>
    </row>
    <row r="1829" spans="1:10" x14ac:dyDescent="0.25">
      <c r="A1829" s="362"/>
      <c r="B1829" s="609">
        <v>44158</v>
      </c>
      <c r="C1829" s="362" t="s">
        <v>166</v>
      </c>
      <c r="D1829" s="560">
        <v>119470451</v>
      </c>
      <c r="E1829" s="560"/>
      <c r="F1829" s="560"/>
      <c r="G1829" s="560"/>
      <c r="H1829" s="560"/>
      <c r="I1829" s="560"/>
      <c r="J1829" s="560"/>
    </row>
    <row r="1830" spans="1:10" x14ac:dyDescent="0.25">
      <c r="A1830" s="362"/>
      <c r="B1830" s="609">
        <v>44158</v>
      </c>
      <c r="C1830" s="362" t="s">
        <v>3435</v>
      </c>
      <c r="D1830" s="560">
        <v>48858544</v>
      </c>
      <c r="E1830" s="560"/>
      <c r="F1830" s="560"/>
      <c r="G1830" s="560"/>
      <c r="H1830" s="560"/>
      <c r="I1830" s="560"/>
      <c r="J1830" s="560"/>
    </row>
    <row r="1831" spans="1:10" x14ac:dyDescent="0.25">
      <c r="A1831" s="530"/>
      <c r="B1831" s="530"/>
      <c r="C1831" s="530"/>
      <c r="D1831" s="562"/>
      <c r="E1831" s="562"/>
      <c r="F1831" s="562"/>
      <c r="G1831" s="562"/>
      <c r="H1831" s="562"/>
      <c r="I1831" s="562"/>
      <c r="J1831" s="562"/>
    </row>
    <row r="1832" spans="1:10" x14ac:dyDescent="0.25">
      <c r="A1832" s="362"/>
      <c r="B1832" s="609">
        <v>44159</v>
      </c>
      <c r="C1832" s="362" t="s">
        <v>80</v>
      </c>
      <c r="D1832" s="560">
        <v>299267423</v>
      </c>
      <c r="E1832" s="560"/>
      <c r="F1832" s="560"/>
      <c r="G1832" s="560"/>
      <c r="H1832" s="560"/>
      <c r="I1832" s="560"/>
      <c r="J1832" s="560"/>
    </row>
    <row r="1833" spans="1:10" x14ac:dyDescent="0.25">
      <c r="A1833" s="362"/>
      <c r="B1833" s="609">
        <v>44159</v>
      </c>
      <c r="C1833" s="362" t="s">
        <v>83</v>
      </c>
      <c r="D1833" s="560">
        <v>295721479</v>
      </c>
      <c r="E1833" s="560">
        <v>7106613</v>
      </c>
      <c r="F1833" s="560"/>
      <c r="G1833" s="560"/>
      <c r="H1833" s="560"/>
      <c r="I1833" s="560"/>
      <c r="J1833" s="560"/>
    </row>
    <row r="1834" spans="1:10" x14ac:dyDescent="0.25">
      <c r="A1834" s="362"/>
      <c r="B1834" s="609">
        <v>44159</v>
      </c>
      <c r="C1834" s="362" t="s">
        <v>88</v>
      </c>
      <c r="D1834" s="560">
        <v>230542050</v>
      </c>
      <c r="E1834" s="560">
        <v>7948363</v>
      </c>
      <c r="F1834" s="560"/>
      <c r="G1834" s="560"/>
      <c r="H1834" s="560"/>
      <c r="I1834" s="560"/>
      <c r="J1834" s="560"/>
    </row>
    <row r="1835" spans="1:10" x14ac:dyDescent="0.25">
      <c r="A1835" s="362"/>
      <c r="B1835" s="609">
        <v>44159</v>
      </c>
      <c r="C1835" s="362" t="s">
        <v>146</v>
      </c>
      <c r="D1835" s="560">
        <v>119564723</v>
      </c>
      <c r="E1835" s="560">
        <v>49021518</v>
      </c>
      <c r="F1835" s="560"/>
      <c r="G1835" s="560"/>
      <c r="H1835" s="560"/>
      <c r="I1835" s="560"/>
      <c r="J1835" s="560"/>
    </row>
    <row r="1836" spans="1:10" x14ac:dyDescent="0.25">
      <c r="A1836" s="362"/>
      <c r="B1836" s="609">
        <v>44159</v>
      </c>
      <c r="C1836" s="362" t="s">
        <v>86</v>
      </c>
      <c r="D1836" s="560">
        <v>32566831</v>
      </c>
      <c r="E1836" s="560">
        <v>155073494</v>
      </c>
      <c r="F1836" s="560"/>
      <c r="G1836" s="560"/>
      <c r="H1836" s="560"/>
      <c r="I1836" s="560"/>
      <c r="J1836" s="560"/>
    </row>
    <row r="1837" spans="1:10" x14ac:dyDescent="0.25">
      <c r="A1837" s="362"/>
      <c r="B1837" s="609">
        <v>44159</v>
      </c>
      <c r="C1837" s="362" t="s">
        <v>89</v>
      </c>
      <c r="D1837" s="560">
        <v>92657078</v>
      </c>
      <c r="E1837" s="560">
        <v>11606522</v>
      </c>
      <c r="F1837" s="560"/>
      <c r="G1837" s="560"/>
      <c r="H1837" s="560"/>
      <c r="I1837" s="560"/>
      <c r="J1837" s="560"/>
    </row>
    <row r="1838" spans="1:10" x14ac:dyDescent="0.25">
      <c r="A1838" s="362"/>
      <c r="B1838" s="609">
        <v>44159</v>
      </c>
      <c r="C1838" s="362" t="s">
        <v>4751</v>
      </c>
      <c r="D1838" s="560">
        <v>167722765</v>
      </c>
      <c r="E1838" s="560">
        <v>18724235</v>
      </c>
      <c r="F1838" s="560"/>
      <c r="G1838" s="560"/>
      <c r="H1838" s="560"/>
      <c r="I1838" s="560"/>
      <c r="J1838" s="560"/>
    </row>
    <row r="1839" spans="1:10" x14ac:dyDescent="0.25">
      <c r="A1839" s="362"/>
      <c r="B1839" s="609">
        <v>44159</v>
      </c>
      <c r="C1839" s="362" t="s">
        <v>84</v>
      </c>
      <c r="D1839" s="560">
        <v>174232621</v>
      </c>
      <c r="E1839" s="560">
        <v>25477609</v>
      </c>
      <c r="F1839" s="560"/>
      <c r="G1839" s="560"/>
      <c r="H1839" s="560"/>
      <c r="I1839" s="560"/>
      <c r="J1839" s="560"/>
    </row>
    <row r="1840" spans="1:10" x14ac:dyDescent="0.25">
      <c r="A1840" s="362"/>
      <c r="B1840" s="609">
        <v>44159</v>
      </c>
      <c r="C1840" s="362" t="s">
        <v>81</v>
      </c>
      <c r="D1840" s="560">
        <v>60043184</v>
      </c>
      <c r="E1840" s="560">
        <v>12194783</v>
      </c>
      <c r="F1840" s="560"/>
      <c r="G1840" s="560"/>
      <c r="H1840" s="560"/>
      <c r="I1840" s="560"/>
      <c r="J1840" s="560"/>
    </row>
    <row r="1841" spans="1:10" x14ac:dyDescent="0.25">
      <c r="A1841" s="362"/>
      <c r="B1841" s="609">
        <v>44159</v>
      </c>
      <c r="C1841" s="362" t="s">
        <v>79</v>
      </c>
      <c r="D1841" s="560">
        <v>55230265</v>
      </c>
      <c r="E1841" s="560">
        <v>517400</v>
      </c>
      <c r="F1841" s="560"/>
      <c r="G1841" s="560"/>
      <c r="H1841" s="560"/>
      <c r="I1841" s="560"/>
      <c r="J1841" s="560"/>
    </row>
    <row r="1842" spans="1:10" x14ac:dyDescent="0.25">
      <c r="A1842" s="362"/>
      <c r="B1842" s="609">
        <v>44159</v>
      </c>
      <c r="C1842" s="362" t="s">
        <v>82</v>
      </c>
      <c r="D1842" s="560">
        <v>51892383</v>
      </c>
      <c r="E1842" s="560">
        <v>2104500</v>
      </c>
      <c r="F1842" s="560"/>
      <c r="G1842" s="560"/>
      <c r="H1842" s="560"/>
      <c r="I1842" s="560"/>
      <c r="J1842" s="560"/>
    </row>
    <row r="1843" spans="1:10" x14ac:dyDescent="0.25">
      <c r="A1843" s="362"/>
      <c r="B1843" s="609">
        <v>44159</v>
      </c>
      <c r="C1843" s="362" t="s">
        <v>78</v>
      </c>
      <c r="D1843" s="560">
        <v>61181227</v>
      </c>
      <c r="E1843" s="560">
        <v>1272473</v>
      </c>
      <c r="F1843" s="560"/>
      <c r="G1843" s="560"/>
      <c r="H1843" s="560"/>
      <c r="I1843" s="560"/>
      <c r="J1843" s="560"/>
    </row>
    <row r="1844" spans="1:10" x14ac:dyDescent="0.25">
      <c r="A1844" s="362"/>
      <c r="B1844" s="609">
        <v>44159</v>
      </c>
      <c r="C1844" s="362" t="s">
        <v>85</v>
      </c>
      <c r="D1844" s="560">
        <v>47039700</v>
      </c>
      <c r="E1844" s="560"/>
      <c r="F1844" s="560"/>
      <c r="G1844" s="560"/>
      <c r="H1844" s="560"/>
      <c r="I1844" s="560"/>
      <c r="J1844" s="560"/>
    </row>
    <row r="1845" spans="1:10" x14ac:dyDescent="0.25">
      <c r="A1845" s="362"/>
      <c r="B1845" s="609">
        <v>44159</v>
      </c>
      <c r="C1845" s="362" t="s">
        <v>166</v>
      </c>
      <c r="D1845" s="560">
        <v>172323660</v>
      </c>
      <c r="E1845" s="560"/>
      <c r="F1845" s="560"/>
      <c r="G1845" s="560"/>
      <c r="H1845" s="560"/>
      <c r="I1845" s="560"/>
      <c r="J1845" s="560"/>
    </row>
    <row r="1846" spans="1:10" x14ac:dyDescent="0.25">
      <c r="A1846" s="362"/>
      <c r="B1846" s="609">
        <v>44159</v>
      </c>
      <c r="C1846" s="362" t="s">
        <v>3435</v>
      </c>
      <c r="D1846" s="560">
        <v>23513655</v>
      </c>
      <c r="E1846" s="560"/>
      <c r="F1846" s="560"/>
      <c r="G1846" s="560"/>
      <c r="H1846" s="560"/>
      <c r="I1846" s="560"/>
      <c r="J1846" s="560"/>
    </row>
    <row r="1847" spans="1:10" x14ac:dyDescent="0.25">
      <c r="A1847" s="530"/>
      <c r="B1847" s="530"/>
      <c r="C1847" s="530"/>
      <c r="D1847" s="562"/>
      <c r="E1847" s="562"/>
      <c r="F1847" s="562"/>
      <c r="G1847" s="562"/>
      <c r="H1847" s="562"/>
      <c r="I1847" s="562"/>
      <c r="J1847" s="562"/>
    </row>
    <row r="1848" spans="1:10" x14ac:dyDescent="0.25">
      <c r="A1848" s="362"/>
      <c r="B1848" s="609">
        <v>44160</v>
      </c>
      <c r="C1848" s="362" t="s">
        <v>80</v>
      </c>
      <c r="D1848" s="560"/>
      <c r="E1848" s="560"/>
      <c r="F1848" s="560"/>
      <c r="G1848" s="560"/>
      <c r="H1848" s="560"/>
      <c r="I1848" s="560"/>
      <c r="J1848" s="560"/>
    </row>
    <row r="1849" spans="1:10" x14ac:dyDescent="0.25">
      <c r="A1849" s="362"/>
      <c r="B1849" s="609">
        <v>44160</v>
      </c>
      <c r="C1849" s="362" t="s">
        <v>83</v>
      </c>
      <c r="D1849" s="362"/>
      <c r="E1849" s="362"/>
      <c r="F1849" s="362"/>
      <c r="G1849" s="362"/>
      <c r="H1849" s="362"/>
      <c r="I1849" s="362"/>
      <c r="J1849" s="362"/>
    </row>
    <row r="1850" spans="1:10" x14ac:dyDescent="0.25">
      <c r="A1850" s="362"/>
      <c r="B1850" s="609">
        <v>44160</v>
      </c>
      <c r="C1850" s="362" t="s">
        <v>88</v>
      </c>
      <c r="D1850" s="362"/>
      <c r="E1850" s="362"/>
      <c r="F1850" s="362"/>
      <c r="G1850" s="362"/>
      <c r="H1850" s="362"/>
      <c r="I1850" s="362"/>
      <c r="J1850" s="362"/>
    </row>
    <row r="1851" spans="1:10" x14ac:dyDescent="0.25">
      <c r="A1851" s="362"/>
      <c r="B1851" s="609">
        <v>44160</v>
      </c>
      <c r="C1851" s="362" t="s">
        <v>146</v>
      </c>
      <c r="D1851" s="362"/>
      <c r="E1851" s="362"/>
      <c r="F1851" s="362"/>
      <c r="G1851" s="362"/>
      <c r="H1851" s="362"/>
      <c r="I1851" s="362"/>
      <c r="J1851" s="362"/>
    </row>
    <row r="1852" spans="1:10" x14ac:dyDescent="0.25">
      <c r="A1852" s="362"/>
      <c r="B1852" s="609">
        <v>44160</v>
      </c>
      <c r="C1852" s="362" t="s">
        <v>86</v>
      </c>
      <c r="D1852" s="362"/>
      <c r="E1852" s="362"/>
      <c r="F1852" s="362"/>
      <c r="G1852" s="362"/>
      <c r="H1852" s="362"/>
      <c r="I1852" s="362"/>
      <c r="J1852" s="362"/>
    </row>
    <row r="1853" spans="1:10" x14ac:dyDescent="0.25">
      <c r="A1853" s="362"/>
      <c r="B1853" s="609">
        <v>44160</v>
      </c>
      <c r="C1853" s="362" t="s">
        <v>89</v>
      </c>
      <c r="D1853" s="362"/>
      <c r="E1853" s="362"/>
      <c r="F1853" s="362"/>
      <c r="G1853" s="362"/>
      <c r="H1853" s="362"/>
      <c r="I1853" s="362"/>
      <c r="J1853" s="362"/>
    </row>
    <row r="1854" spans="1:10" x14ac:dyDescent="0.25">
      <c r="A1854" s="362"/>
      <c r="B1854" s="609">
        <v>44160</v>
      </c>
      <c r="C1854" s="362" t="s">
        <v>4751</v>
      </c>
      <c r="D1854" s="362"/>
      <c r="E1854" s="362"/>
      <c r="F1854" s="362"/>
      <c r="G1854" s="362"/>
      <c r="H1854" s="362"/>
      <c r="I1854" s="362"/>
      <c r="J1854" s="362"/>
    </row>
    <row r="1855" spans="1:10" x14ac:dyDescent="0.25">
      <c r="A1855" s="362"/>
      <c r="B1855" s="609">
        <v>44160</v>
      </c>
      <c r="C1855" s="362" t="s">
        <v>84</v>
      </c>
      <c r="D1855" s="362"/>
      <c r="E1855" s="362"/>
      <c r="F1855" s="362"/>
      <c r="G1855" s="362"/>
      <c r="H1855" s="362"/>
      <c r="I1855" s="362"/>
      <c r="J1855" s="362"/>
    </row>
    <row r="1856" spans="1:10" x14ac:dyDescent="0.25">
      <c r="A1856" s="362"/>
      <c r="B1856" s="609">
        <v>44160</v>
      </c>
      <c r="C1856" s="362" t="s">
        <v>81</v>
      </c>
      <c r="D1856" s="362"/>
      <c r="E1856" s="362"/>
      <c r="F1856" s="362"/>
      <c r="G1856" s="362"/>
      <c r="H1856" s="362"/>
      <c r="I1856" s="362"/>
      <c r="J1856" s="362"/>
    </row>
    <row r="1857" spans="1:10" x14ac:dyDescent="0.25">
      <c r="A1857" s="362"/>
      <c r="B1857" s="609">
        <v>44160</v>
      </c>
      <c r="C1857" s="362" t="s">
        <v>79</v>
      </c>
      <c r="D1857" s="362"/>
      <c r="E1857" s="362"/>
      <c r="F1857" s="362"/>
      <c r="G1857" s="362"/>
      <c r="H1857" s="362"/>
      <c r="I1857" s="362"/>
      <c r="J1857" s="362"/>
    </row>
    <row r="1858" spans="1:10" x14ac:dyDescent="0.25">
      <c r="A1858" s="362"/>
      <c r="B1858" s="609">
        <v>44160</v>
      </c>
      <c r="C1858" s="362" t="s">
        <v>82</v>
      </c>
      <c r="D1858" s="362"/>
      <c r="E1858" s="362"/>
      <c r="F1858" s="362"/>
      <c r="G1858" s="362"/>
      <c r="H1858" s="362"/>
      <c r="I1858" s="362"/>
      <c r="J1858" s="362"/>
    </row>
    <row r="1859" spans="1:10" x14ac:dyDescent="0.25">
      <c r="A1859" s="362"/>
      <c r="B1859" s="609">
        <v>44160</v>
      </c>
      <c r="C1859" s="362" t="s">
        <v>78</v>
      </c>
      <c r="D1859" s="362"/>
      <c r="E1859" s="362"/>
      <c r="F1859" s="362"/>
      <c r="G1859" s="362"/>
      <c r="H1859" s="362"/>
      <c r="I1859" s="362"/>
      <c r="J1859" s="362"/>
    </row>
    <row r="1860" spans="1:10" x14ac:dyDescent="0.25">
      <c r="A1860" s="362"/>
      <c r="B1860" s="609">
        <v>44160</v>
      </c>
      <c r="C1860" s="362" t="s">
        <v>85</v>
      </c>
      <c r="D1860" s="362"/>
      <c r="E1860" s="362"/>
      <c r="F1860" s="362"/>
      <c r="G1860" s="362"/>
      <c r="H1860" s="362"/>
      <c r="I1860" s="362"/>
      <c r="J1860" s="362"/>
    </row>
    <row r="1861" spans="1:10" x14ac:dyDescent="0.25">
      <c r="A1861" s="362"/>
      <c r="B1861" s="609">
        <v>44160</v>
      </c>
      <c r="C1861" s="362" t="s">
        <v>166</v>
      </c>
      <c r="D1861" s="362"/>
      <c r="E1861" s="362"/>
      <c r="F1861" s="362"/>
      <c r="G1861" s="362"/>
      <c r="H1861" s="362"/>
      <c r="I1861" s="362"/>
      <c r="J1861" s="362"/>
    </row>
    <row r="1862" spans="1:10" x14ac:dyDescent="0.25">
      <c r="A1862" s="362"/>
      <c r="B1862" s="609">
        <v>44160</v>
      </c>
      <c r="C1862" s="362" t="s">
        <v>3435</v>
      </c>
      <c r="D1862" s="362"/>
      <c r="E1862" s="362"/>
      <c r="F1862" s="362"/>
      <c r="G1862" s="362"/>
      <c r="H1862" s="362"/>
      <c r="I1862" s="362"/>
      <c r="J1862" s="362"/>
    </row>
    <row r="1863" spans="1:10" x14ac:dyDescent="0.25">
      <c r="A1863" s="530"/>
      <c r="B1863" s="530"/>
      <c r="C1863" s="530"/>
      <c r="D1863" s="530"/>
      <c r="E1863" s="530"/>
      <c r="F1863" s="530"/>
      <c r="G1863" s="530"/>
      <c r="H1863" s="530"/>
      <c r="I1863" s="530"/>
      <c r="J1863" s="530"/>
    </row>
    <row r="1864" spans="1:10" x14ac:dyDescent="0.25">
      <c r="A1864" s="362"/>
      <c r="B1864" s="609">
        <v>44161</v>
      </c>
      <c r="C1864" s="362" t="s">
        <v>80</v>
      </c>
      <c r="D1864" s="362"/>
      <c r="E1864" s="362"/>
      <c r="F1864" s="362"/>
      <c r="G1864" s="362"/>
      <c r="H1864" s="362"/>
      <c r="I1864" s="362"/>
      <c r="J1864" s="362"/>
    </row>
    <row r="1865" spans="1:10" x14ac:dyDescent="0.25">
      <c r="A1865" s="362"/>
      <c r="B1865" s="609">
        <v>44161</v>
      </c>
      <c r="C1865" s="362" t="s">
        <v>83</v>
      </c>
      <c r="D1865" s="362"/>
      <c r="E1865" s="362"/>
      <c r="F1865" s="362"/>
      <c r="G1865" s="362"/>
      <c r="H1865" s="362"/>
      <c r="I1865" s="362"/>
      <c r="J1865" s="362"/>
    </row>
    <row r="1866" spans="1:10" x14ac:dyDescent="0.25">
      <c r="A1866" s="362"/>
      <c r="B1866" s="609">
        <v>44161</v>
      </c>
      <c r="C1866" s="362" t="s">
        <v>88</v>
      </c>
      <c r="D1866" s="362"/>
      <c r="E1866" s="362"/>
      <c r="F1866" s="362"/>
      <c r="G1866" s="362"/>
      <c r="H1866" s="362"/>
      <c r="I1866" s="362"/>
      <c r="J1866" s="362"/>
    </row>
    <row r="1867" spans="1:10" x14ac:dyDescent="0.25">
      <c r="A1867" s="362"/>
      <c r="B1867" s="609">
        <v>44161</v>
      </c>
      <c r="C1867" s="362" t="s">
        <v>146</v>
      </c>
      <c r="D1867" s="362"/>
      <c r="E1867" s="362"/>
      <c r="F1867" s="362"/>
      <c r="G1867" s="362"/>
      <c r="H1867" s="362"/>
      <c r="I1867" s="362"/>
      <c r="J1867" s="362"/>
    </row>
    <row r="1868" spans="1:10" x14ac:dyDescent="0.25">
      <c r="A1868" s="362"/>
      <c r="B1868" s="609">
        <v>44161</v>
      </c>
      <c r="C1868" s="362" t="s">
        <v>86</v>
      </c>
      <c r="D1868" s="362"/>
      <c r="E1868" s="362"/>
      <c r="F1868" s="362"/>
      <c r="G1868" s="362"/>
      <c r="H1868" s="362"/>
      <c r="I1868" s="362"/>
      <c r="J1868" s="362"/>
    </row>
    <row r="1869" spans="1:10" x14ac:dyDescent="0.25">
      <c r="A1869" s="362"/>
      <c r="B1869" s="609">
        <v>44161</v>
      </c>
      <c r="C1869" s="362" t="s">
        <v>89</v>
      </c>
      <c r="D1869" s="362"/>
      <c r="E1869" s="362"/>
      <c r="F1869" s="362"/>
      <c r="G1869" s="362"/>
      <c r="H1869" s="362"/>
      <c r="I1869" s="362"/>
      <c r="J1869" s="362"/>
    </row>
    <row r="1870" spans="1:10" x14ac:dyDescent="0.25">
      <c r="A1870" s="362"/>
      <c r="B1870" s="609">
        <v>44161</v>
      </c>
      <c r="C1870" s="362" t="s">
        <v>4751</v>
      </c>
      <c r="D1870" s="362"/>
      <c r="E1870" s="362"/>
      <c r="F1870" s="362"/>
      <c r="G1870" s="362"/>
      <c r="H1870" s="362"/>
      <c r="I1870" s="362"/>
      <c r="J1870" s="362"/>
    </row>
    <row r="1871" spans="1:10" x14ac:dyDescent="0.25">
      <c r="A1871" s="362"/>
      <c r="B1871" s="609">
        <v>44161</v>
      </c>
      <c r="C1871" s="362" t="s">
        <v>84</v>
      </c>
      <c r="D1871" s="362"/>
      <c r="E1871" s="362"/>
      <c r="F1871" s="362"/>
      <c r="G1871" s="362"/>
      <c r="H1871" s="362"/>
      <c r="I1871" s="362"/>
      <c r="J1871" s="362"/>
    </row>
    <row r="1872" spans="1:10" x14ac:dyDescent="0.25">
      <c r="A1872" s="362"/>
      <c r="B1872" s="609">
        <v>44161</v>
      </c>
      <c r="C1872" s="362" t="s">
        <v>81</v>
      </c>
      <c r="D1872" s="362"/>
      <c r="E1872" s="362"/>
      <c r="F1872" s="362"/>
      <c r="G1872" s="362"/>
      <c r="H1872" s="362"/>
      <c r="I1872" s="362"/>
      <c r="J1872" s="362"/>
    </row>
    <row r="1873" spans="1:10" x14ac:dyDescent="0.25">
      <c r="A1873" s="362"/>
      <c r="B1873" s="609">
        <v>44161</v>
      </c>
      <c r="C1873" s="362" t="s">
        <v>79</v>
      </c>
      <c r="D1873" s="362"/>
      <c r="E1873" s="362"/>
      <c r="F1873" s="362"/>
      <c r="G1873" s="362"/>
      <c r="H1873" s="362"/>
      <c r="I1873" s="362"/>
      <c r="J1873" s="362"/>
    </row>
    <row r="1874" spans="1:10" x14ac:dyDescent="0.25">
      <c r="A1874" s="362"/>
      <c r="B1874" s="609">
        <v>44161</v>
      </c>
      <c r="C1874" s="362" t="s">
        <v>82</v>
      </c>
      <c r="D1874" s="362"/>
      <c r="E1874" s="362"/>
      <c r="F1874" s="362"/>
      <c r="G1874" s="362"/>
      <c r="H1874" s="362"/>
      <c r="I1874" s="362"/>
      <c r="J1874" s="362"/>
    </row>
    <row r="1875" spans="1:10" x14ac:dyDescent="0.25">
      <c r="A1875" s="362"/>
      <c r="B1875" s="609">
        <v>44161</v>
      </c>
      <c r="C1875" s="362" t="s">
        <v>78</v>
      </c>
      <c r="D1875" s="362"/>
      <c r="E1875" s="362"/>
      <c r="F1875" s="362"/>
      <c r="G1875" s="362"/>
      <c r="H1875" s="362"/>
      <c r="I1875" s="362"/>
      <c r="J1875" s="362"/>
    </row>
    <row r="1876" spans="1:10" x14ac:dyDescent="0.25">
      <c r="A1876" s="362"/>
      <c r="B1876" s="609">
        <v>44161</v>
      </c>
      <c r="C1876" s="362" t="s">
        <v>85</v>
      </c>
      <c r="D1876" s="362"/>
      <c r="E1876" s="362"/>
      <c r="F1876" s="362"/>
      <c r="G1876" s="362"/>
      <c r="H1876" s="362"/>
      <c r="I1876" s="362"/>
      <c r="J1876" s="362"/>
    </row>
    <row r="1877" spans="1:10" x14ac:dyDescent="0.25">
      <c r="A1877" s="362"/>
      <c r="B1877" s="609">
        <v>44161</v>
      </c>
      <c r="C1877" s="362" t="s">
        <v>166</v>
      </c>
      <c r="D1877" s="362"/>
      <c r="E1877" s="362"/>
      <c r="F1877" s="362"/>
      <c r="G1877" s="362"/>
      <c r="H1877" s="362"/>
      <c r="I1877" s="362"/>
      <c r="J1877" s="362"/>
    </row>
    <row r="1878" spans="1:10" x14ac:dyDescent="0.25">
      <c r="A1878" s="362"/>
      <c r="B1878" s="609">
        <v>44161</v>
      </c>
      <c r="C1878" s="362" t="s">
        <v>3435</v>
      </c>
      <c r="D1878" s="362"/>
      <c r="E1878" s="362"/>
      <c r="F1878" s="362"/>
      <c r="G1878" s="362"/>
      <c r="H1878" s="362"/>
      <c r="I1878" s="362"/>
      <c r="J1878" s="362"/>
    </row>
    <row r="1879" spans="1:10" x14ac:dyDescent="0.25">
      <c r="A1879" s="530"/>
      <c r="B1879" s="530"/>
      <c r="C1879" s="530"/>
      <c r="D1879" s="530"/>
      <c r="E1879" s="530"/>
      <c r="F1879" s="530"/>
      <c r="G1879" s="530"/>
      <c r="H1879" s="530"/>
      <c r="I1879" s="530"/>
      <c r="J1879" s="530"/>
    </row>
    <row r="1880" spans="1:10" x14ac:dyDescent="0.25">
      <c r="A1880" s="362"/>
      <c r="B1880" s="609">
        <v>44162</v>
      </c>
      <c r="C1880" s="362" t="s">
        <v>80</v>
      </c>
      <c r="D1880" s="362"/>
      <c r="E1880" s="362"/>
      <c r="F1880" s="362"/>
      <c r="G1880" s="362"/>
      <c r="H1880" s="362"/>
      <c r="I1880" s="362"/>
      <c r="J1880" s="362"/>
    </row>
    <row r="1881" spans="1:10" x14ac:dyDescent="0.25">
      <c r="A1881" s="362"/>
      <c r="B1881" s="609">
        <v>44162</v>
      </c>
      <c r="C1881" s="362" t="s">
        <v>83</v>
      </c>
      <c r="D1881" s="362"/>
      <c r="E1881" s="362"/>
      <c r="F1881" s="362"/>
      <c r="G1881" s="362"/>
      <c r="H1881" s="362"/>
      <c r="I1881" s="362"/>
      <c r="J1881" s="362"/>
    </row>
    <row r="1882" spans="1:10" x14ac:dyDescent="0.25">
      <c r="A1882" s="362"/>
      <c r="B1882" s="609">
        <v>44162</v>
      </c>
      <c r="C1882" s="362" t="s">
        <v>88</v>
      </c>
      <c r="D1882" s="362"/>
      <c r="E1882" s="362"/>
      <c r="F1882" s="362"/>
      <c r="G1882" s="362"/>
      <c r="H1882" s="362"/>
      <c r="I1882" s="362"/>
      <c r="J1882" s="362"/>
    </row>
    <row r="1883" spans="1:10" x14ac:dyDescent="0.25">
      <c r="A1883" s="362"/>
      <c r="B1883" s="609">
        <v>44162</v>
      </c>
      <c r="C1883" s="362" t="s">
        <v>146</v>
      </c>
      <c r="D1883" s="362"/>
      <c r="E1883" s="362"/>
      <c r="F1883" s="362"/>
      <c r="G1883" s="362"/>
      <c r="H1883" s="362"/>
      <c r="I1883" s="362"/>
      <c r="J1883" s="362"/>
    </row>
    <row r="1884" spans="1:10" x14ac:dyDescent="0.25">
      <c r="A1884" s="362"/>
      <c r="B1884" s="609">
        <v>44162</v>
      </c>
      <c r="C1884" s="362" t="s">
        <v>86</v>
      </c>
      <c r="D1884" s="362"/>
      <c r="E1884" s="362"/>
      <c r="F1884" s="362"/>
      <c r="G1884" s="362"/>
      <c r="H1884" s="362"/>
      <c r="I1884" s="362"/>
      <c r="J1884" s="362"/>
    </row>
    <row r="1885" spans="1:10" x14ac:dyDescent="0.25">
      <c r="A1885" s="362"/>
      <c r="B1885" s="609">
        <v>44162</v>
      </c>
      <c r="C1885" s="362" t="s">
        <v>89</v>
      </c>
      <c r="D1885" s="362"/>
      <c r="E1885" s="362"/>
      <c r="F1885" s="362"/>
      <c r="G1885" s="362"/>
      <c r="H1885" s="362"/>
      <c r="I1885" s="362"/>
      <c r="J1885" s="362"/>
    </row>
    <row r="1886" spans="1:10" x14ac:dyDescent="0.25">
      <c r="A1886" s="362"/>
      <c r="B1886" s="609">
        <v>44162</v>
      </c>
      <c r="C1886" s="362" t="s">
        <v>4751</v>
      </c>
      <c r="D1886" s="362"/>
      <c r="E1886" s="362"/>
      <c r="F1886" s="362"/>
      <c r="G1886" s="362"/>
      <c r="H1886" s="362"/>
      <c r="I1886" s="362"/>
      <c r="J1886" s="362"/>
    </row>
    <row r="1887" spans="1:10" x14ac:dyDescent="0.25">
      <c r="A1887" s="362"/>
      <c r="B1887" s="609">
        <v>44162</v>
      </c>
      <c r="C1887" s="362" t="s">
        <v>84</v>
      </c>
      <c r="D1887" s="362"/>
      <c r="E1887" s="362"/>
      <c r="F1887" s="362"/>
      <c r="G1887" s="362"/>
      <c r="H1887" s="362"/>
      <c r="I1887" s="362"/>
      <c r="J1887" s="362"/>
    </row>
    <row r="1888" spans="1:10" x14ac:dyDescent="0.25">
      <c r="A1888" s="362"/>
      <c r="B1888" s="609">
        <v>44162</v>
      </c>
      <c r="C1888" s="362" t="s">
        <v>81</v>
      </c>
      <c r="D1888" s="362"/>
      <c r="E1888" s="362"/>
      <c r="F1888" s="362"/>
      <c r="G1888" s="362"/>
      <c r="H1888" s="362"/>
      <c r="I1888" s="362"/>
      <c r="J1888" s="362"/>
    </row>
    <row r="1889" spans="1:10" x14ac:dyDescent="0.25">
      <c r="A1889" s="362"/>
      <c r="B1889" s="609">
        <v>44162</v>
      </c>
      <c r="C1889" s="362" t="s">
        <v>79</v>
      </c>
      <c r="D1889" s="362"/>
      <c r="E1889" s="362"/>
      <c r="F1889" s="362"/>
      <c r="G1889" s="362"/>
      <c r="H1889" s="362"/>
      <c r="I1889" s="362"/>
      <c r="J1889" s="362"/>
    </row>
    <row r="1890" spans="1:10" x14ac:dyDescent="0.25">
      <c r="A1890" s="362"/>
      <c r="B1890" s="609">
        <v>44162</v>
      </c>
      <c r="C1890" s="362" t="s">
        <v>82</v>
      </c>
      <c r="D1890" s="362"/>
      <c r="E1890" s="362"/>
      <c r="F1890" s="362"/>
      <c r="G1890" s="362"/>
      <c r="H1890" s="362"/>
      <c r="I1890" s="362"/>
      <c r="J1890" s="362"/>
    </row>
    <row r="1891" spans="1:10" x14ac:dyDescent="0.25">
      <c r="A1891" s="362"/>
      <c r="B1891" s="609">
        <v>44162</v>
      </c>
      <c r="C1891" s="362" t="s">
        <v>78</v>
      </c>
      <c r="D1891" s="362"/>
      <c r="E1891" s="362"/>
      <c r="F1891" s="362"/>
      <c r="G1891" s="362"/>
      <c r="H1891" s="362"/>
      <c r="I1891" s="362"/>
      <c r="J1891" s="362"/>
    </row>
    <row r="1892" spans="1:10" x14ac:dyDescent="0.25">
      <c r="A1892" s="362"/>
      <c r="B1892" s="609">
        <v>44162</v>
      </c>
      <c r="C1892" s="362" t="s">
        <v>85</v>
      </c>
      <c r="D1892" s="362"/>
      <c r="E1892" s="362"/>
      <c r="F1892" s="362"/>
      <c r="G1892" s="362"/>
      <c r="H1892" s="362"/>
      <c r="I1892" s="362"/>
      <c r="J1892" s="362"/>
    </row>
    <row r="1893" spans="1:10" x14ac:dyDescent="0.25">
      <c r="A1893" s="362"/>
      <c r="B1893" s="609">
        <v>44162</v>
      </c>
      <c r="C1893" s="362" t="s">
        <v>166</v>
      </c>
      <c r="D1893" s="362"/>
      <c r="E1893" s="362"/>
      <c r="F1893" s="362"/>
      <c r="G1893" s="362"/>
      <c r="H1893" s="362"/>
      <c r="I1893" s="362"/>
      <c r="J1893" s="362"/>
    </row>
    <row r="1894" spans="1:10" x14ac:dyDescent="0.25">
      <c r="A1894" s="362"/>
      <c r="B1894" s="609">
        <v>44162</v>
      </c>
      <c r="C1894" s="362" t="s">
        <v>3435</v>
      </c>
      <c r="D1894" s="362"/>
      <c r="E1894" s="362"/>
      <c r="F1894" s="362"/>
      <c r="G1894" s="362"/>
      <c r="H1894" s="362"/>
      <c r="I1894" s="362"/>
      <c r="J1894" s="362"/>
    </row>
    <row r="1895" spans="1:10" x14ac:dyDescent="0.25">
      <c r="A1895" s="530"/>
      <c r="B1895" s="530"/>
      <c r="C1895" s="530"/>
      <c r="D1895" s="530"/>
      <c r="E1895" s="530"/>
      <c r="F1895" s="530"/>
      <c r="G1895" s="530"/>
      <c r="H1895" s="530"/>
      <c r="I1895" s="530"/>
      <c r="J1895" s="530"/>
    </row>
    <row r="1896" spans="1:10" x14ac:dyDescent="0.25">
      <c r="A1896" s="362"/>
      <c r="B1896" s="609">
        <v>44170</v>
      </c>
      <c r="C1896" s="362" t="s">
        <v>80</v>
      </c>
      <c r="D1896" s="560">
        <v>140095583</v>
      </c>
      <c r="E1896" s="560"/>
      <c r="F1896" s="560"/>
      <c r="G1896" s="560"/>
      <c r="H1896" s="560"/>
      <c r="I1896" s="560"/>
      <c r="J1896" s="560"/>
    </row>
    <row r="1897" spans="1:10" x14ac:dyDescent="0.25">
      <c r="A1897" s="362"/>
      <c r="B1897" s="609">
        <v>44170</v>
      </c>
      <c r="C1897" s="362" t="s">
        <v>83</v>
      </c>
      <c r="D1897" s="560">
        <v>179195597</v>
      </c>
      <c r="E1897" s="560">
        <v>21754176</v>
      </c>
      <c r="F1897" s="560"/>
      <c r="G1897" s="560"/>
      <c r="H1897" s="560"/>
      <c r="I1897" s="560"/>
      <c r="J1897" s="560"/>
    </row>
    <row r="1898" spans="1:10" x14ac:dyDescent="0.25">
      <c r="A1898" s="362"/>
      <c r="B1898" s="609">
        <v>44170</v>
      </c>
      <c r="C1898" s="362" t="s">
        <v>88</v>
      </c>
      <c r="D1898" s="560">
        <v>147392258</v>
      </c>
      <c r="E1898" s="560">
        <v>9659256</v>
      </c>
      <c r="F1898" s="560"/>
      <c r="G1898" s="560"/>
      <c r="H1898" s="560"/>
      <c r="I1898" s="560"/>
      <c r="J1898" s="560"/>
    </row>
    <row r="1899" spans="1:10" x14ac:dyDescent="0.25">
      <c r="A1899" s="362"/>
      <c r="B1899" s="609">
        <v>44170</v>
      </c>
      <c r="C1899" s="362" t="s">
        <v>146</v>
      </c>
      <c r="D1899" s="560">
        <v>66795889</v>
      </c>
      <c r="E1899" s="560">
        <v>30261150</v>
      </c>
      <c r="F1899" s="560"/>
      <c r="G1899" s="560"/>
      <c r="H1899" s="560"/>
      <c r="I1899" s="560"/>
      <c r="J1899" s="560"/>
    </row>
    <row r="1900" spans="1:10" x14ac:dyDescent="0.25">
      <c r="A1900" s="362"/>
      <c r="B1900" s="609">
        <v>44170</v>
      </c>
      <c r="C1900" s="362" t="s">
        <v>86</v>
      </c>
      <c r="D1900" s="560">
        <v>50536233</v>
      </c>
      <c r="E1900" s="560">
        <v>36088620</v>
      </c>
      <c r="F1900" s="560"/>
      <c r="G1900" s="560"/>
      <c r="H1900" s="560"/>
      <c r="I1900" s="560"/>
      <c r="J1900" s="560"/>
    </row>
    <row r="1901" spans="1:10" x14ac:dyDescent="0.25">
      <c r="A1901" s="362"/>
      <c r="B1901" s="609">
        <v>44170</v>
      </c>
      <c r="C1901" s="362" t="s">
        <v>89</v>
      </c>
      <c r="D1901" s="560">
        <v>96712296</v>
      </c>
      <c r="E1901" s="560">
        <v>15200404</v>
      </c>
      <c r="F1901" s="560"/>
      <c r="G1901" s="560"/>
      <c r="H1901" s="560"/>
      <c r="I1901" s="560"/>
      <c r="J1901" s="560"/>
    </row>
    <row r="1902" spans="1:10" x14ac:dyDescent="0.25">
      <c r="A1902" s="362"/>
      <c r="B1902" s="609">
        <v>44170</v>
      </c>
      <c r="C1902" s="362" t="s">
        <v>4751</v>
      </c>
      <c r="D1902" s="560">
        <v>190574822</v>
      </c>
      <c r="E1902" s="560">
        <v>8160178</v>
      </c>
      <c r="F1902" s="560"/>
      <c r="G1902" s="560"/>
      <c r="H1902" s="560"/>
      <c r="I1902" s="560"/>
      <c r="J1902" s="560"/>
    </row>
    <row r="1903" spans="1:10" x14ac:dyDescent="0.25">
      <c r="A1903" s="362"/>
      <c r="B1903" s="609">
        <v>44170</v>
      </c>
      <c r="C1903" s="362" t="s">
        <v>84</v>
      </c>
      <c r="D1903" s="560">
        <v>265715235</v>
      </c>
      <c r="E1903" s="560">
        <v>10513467</v>
      </c>
      <c r="F1903" s="560"/>
      <c r="G1903" s="560"/>
      <c r="H1903" s="560"/>
      <c r="I1903" s="560"/>
      <c r="J1903" s="560"/>
    </row>
    <row r="1904" spans="1:10" x14ac:dyDescent="0.25">
      <c r="A1904" s="362"/>
      <c r="B1904" s="609">
        <v>44170</v>
      </c>
      <c r="C1904" s="362" t="s">
        <v>81</v>
      </c>
      <c r="D1904" s="560">
        <v>112428246</v>
      </c>
      <c r="E1904" s="560">
        <v>17479033</v>
      </c>
      <c r="F1904" s="560"/>
      <c r="G1904" s="560"/>
      <c r="H1904" s="560"/>
      <c r="I1904" s="560"/>
      <c r="J1904" s="560"/>
    </row>
    <row r="1905" spans="1:10" x14ac:dyDescent="0.25">
      <c r="A1905" s="362"/>
      <c r="B1905" s="609">
        <v>44170</v>
      </c>
      <c r="C1905" s="362" t="s">
        <v>79</v>
      </c>
      <c r="D1905" s="560">
        <v>29171194</v>
      </c>
      <c r="E1905" s="560">
        <v>7997803</v>
      </c>
      <c r="F1905" s="560"/>
      <c r="G1905" s="560"/>
      <c r="H1905" s="560"/>
      <c r="I1905" s="560"/>
      <c r="J1905" s="560"/>
    </row>
    <row r="1906" spans="1:10" x14ac:dyDescent="0.25">
      <c r="A1906" s="362"/>
      <c r="B1906" s="609">
        <v>44170</v>
      </c>
      <c r="C1906" s="362" t="s">
        <v>82</v>
      </c>
      <c r="D1906" s="560">
        <v>44027484</v>
      </c>
      <c r="E1906" s="560">
        <v>3322838</v>
      </c>
      <c r="F1906" s="560"/>
      <c r="G1906" s="560"/>
      <c r="H1906" s="560"/>
      <c r="I1906" s="560"/>
      <c r="J1906" s="560"/>
    </row>
    <row r="1907" spans="1:10" x14ac:dyDescent="0.25">
      <c r="A1907" s="362"/>
      <c r="B1907" s="609">
        <v>44170</v>
      </c>
      <c r="C1907" s="362" t="s">
        <v>78</v>
      </c>
      <c r="D1907" s="560">
        <v>133195460</v>
      </c>
      <c r="E1907" s="560">
        <v>4021940</v>
      </c>
      <c r="F1907" s="560"/>
      <c r="G1907" s="560"/>
      <c r="H1907" s="560"/>
      <c r="I1907" s="560"/>
      <c r="J1907" s="560"/>
    </row>
    <row r="1908" spans="1:10" x14ac:dyDescent="0.25">
      <c r="A1908" s="362"/>
      <c r="B1908" s="609">
        <v>44170</v>
      </c>
      <c r="C1908" s="362" t="s">
        <v>85</v>
      </c>
      <c r="D1908" s="560">
        <v>40699300</v>
      </c>
      <c r="E1908" s="560"/>
      <c r="F1908" s="560"/>
      <c r="G1908" s="560"/>
      <c r="H1908" s="560"/>
      <c r="I1908" s="560"/>
      <c r="J1908" s="560"/>
    </row>
    <row r="1909" spans="1:10" x14ac:dyDescent="0.25">
      <c r="A1909" s="362"/>
      <c r="B1909" s="609">
        <v>44170</v>
      </c>
      <c r="C1909" s="362" t="s">
        <v>166</v>
      </c>
      <c r="D1909" s="560"/>
      <c r="E1909" s="560"/>
      <c r="F1909" s="560"/>
      <c r="G1909" s="560"/>
      <c r="H1909" s="560"/>
      <c r="I1909" s="560"/>
      <c r="J1909" s="560"/>
    </row>
    <row r="1910" spans="1:10" x14ac:dyDescent="0.25">
      <c r="A1910" s="362"/>
      <c r="B1910" s="609">
        <v>44170</v>
      </c>
      <c r="C1910" s="362" t="s">
        <v>3435</v>
      </c>
      <c r="D1910" s="560"/>
      <c r="E1910" s="560"/>
      <c r="F1910" s="560"/>
      <c r="G1910" s="560"/>
      <c r="H1910" s="560"/>
      <c r="I1910" s="560"/>
      <c r="J1910" s="560"/>
    </row>
    <row r="1911" spans="1:10" x14ac:dyDescent="0.25">
      <c r="A1911" s="530"/>
      <c r="B1911" s="530"/>
      <c r="C1911" s="530"/>
      <c r="D1911" s="562"/>
      <c r="E1911" s="562"/>
      <c r="F1911" s="562"/>
      <c r="G1911" s="562"/>
      <c r="H1911" s="562"/>
      <c r="I1911" s="562"/>
      <c r="J1911" s="562"/>
    </row>
    <row r="1912" spans="1:10" x14ac:dyDescent="0.25">
      <c r="A1912" s="362"/>
      <c r="B1912" s="609">
        <v>44177</v>
      </c>
      <c r="C1912" s="362" t="s">
        <v>86</v>
      </c>
      <c r="D1912" s="560">
        <v>51110449</v>
      </c>
      <c r="E1912" s="560">
        <v>146122052</v>
      </c>
      <c r="F1912" s="560">
        <v>197232600</v>
      </c>
      <c r="G1912" s="560">
        <f>D1912+E1912-F1912</f>
        <v>-99</v>
      </c>
      <c r="H1912" s="560"/>
      <c r="I1912" s="560"/>
      <c r="J1912" s="560"/>
    </row>
    <row r="1913" spans="1:10" x14ac:dyDescent="0.25">
      <c r="A1913" s="362"/>
      <c r="B1913" s="609">
        <v>44177</v>
      </c>
      <c r="C1913" s="362" t="s">
        <v>87</v>
      </c>
      <c r="D1913" s="560">
        <v>79872909</v>
      </c>
      <c r="E1913" s="560">
        <v>147495085</v>
      </c>
      <c r="F1913" s="560">
        <v>227535800</v>
      </c>
      <c r="G1913" s="560">
        <f t="shared" ref="G1913:G1926" si="34">D1913+E1913-F1913</f>
        <v>-167806</v>
      </c>
      <c r="H1913" s="560"/>
      <c r="I1913" s="560"/>
      <c r="J1913" s="560"/>
    </row>
    <row r="1914" spans="1:10" x14ac:dyDescent="0.25">
      <c r="A1914" s="362"/>
      <c r="B1914" s="609">
        <v>44177</v>
      </c>
      <c r="C1914" s="362" t="s">
        <v>88</v>
      </c>
      <c r="D1914" s="560">
        <v>263204970</v>
      </c>
      <c r="E1914" s="560">
        <v>17133932</v>
      </c>
      <c r="F1914" s="560">
        <v>280339000</v>
      </c>
      <c r="G1914" s="560">
        <f t="shared" si="34"/>
        <v>-98</v>
      </c>
      <c r="H1914" s="560"/>
      <c r="I1914" s="560"/>
      <c r="J1914" s="560"/>
    </row>
    <row r="1915" spans="1:10" x14ac:dyDescent="0.25">
      <c r="A1915" s="362"/>
      <c r="B1915" s="609">
        <v>44177</v>
      </c>
      <c r="C1915" s="362" t="s">
        <v>82</v>
      </c>
      <c r="D1915" s="560">
        <v>137354147</v>
      </c>
      <c r="E1915" s="560">
        <v>4121879</v>
      </c>
      <c r="F1915" s="560">
        <v>141476100</v>
      </c>
      <c r="G1915" s="560">
        <f t="shared" si="34"/>
        <v>-74</v>
      </c>
      <c r="H1915" s="560"/>
      <c r="I1915" s="560"/>
      <c r="J1915" s="560"/>
    </row>
    <row r="1916" spans="1:10" x14ac:dyDescent="0.25">
      <c r="A1916" s="362"/>
      <c r="B1916" s="609">
        <v>44177</v>
      </c>
      <c r="C1916" s="362" t="s">
        <v>80</v>
      </c>
      <c r="D1916" s="560">
        <v>163713889</v>
      </c>
      <c r="E1916" s="560">
        <v>86814750</v>
      </c>
      <c r="F1916" s="560">
        <v>250530700</v>
      </c>
      <c r="G1916" s="560">
        <f t="shared" si="34"/>
        <v>-2061</v>
      </c>
      <c r="H1916" s="560"/>
      <c r="I1916" s="560"/>
      <c r="J1916" s="560"/>
    </row>
    <row r="1917" spans="1:10" x14ac:dyDescent="0.25">
      <c r="A1917" s="362"/>
      <c r="B1917" s="609">
        <v>44177</v>
      </c>
      <c r="C1917" s="362" t="s">
        <v>83</v>
      </c>
      <c r="D1917" s="560">
        <v>260284324</v>
      </c>
      <c r="E1917" s="560">
        <v>18835568</v>
      </c>
      <c r="F1917" s="560">
        <v>279119900</v>
      </c>
      <c r="G1917" s="560">
        <f t="shared" si="34"/>
        <v>-8</v>
      </c>
      <c r="H1917" s="560"/>
      <c r="I1917" s="560"/>
      <c r="J1917" s="560"/>
    </row>
    <row r="1918" spans="1:10" x14ac:dyDescent="0.25">
      <c r="A1918" s="362"/>
      <c r="B1918" s="609">
        <v>44177</v>
      </c>
      <c r="C1918" s="362" t="s">
        <v>78</v>
      </c>
      <c r="D1918" s="560">
        <v>91825862</v>
      </c>
      <c r="E1918" s="560">
        <v>3487838</v>
      </c>
      <c r="F1918" s="560">
        <v>95313700</v>
      </c>
      <c r="G1918" s="560">
        <f t="shared" si="34"/>
        <v>0</v>
      </c>
      <c r="H1918" s="560"/>
      <c r="I1918" s="560"/>
      <c r="J1918" s="560"/>
    </row>
    <row r="1919" spans="1:10" x14ac:dyDescent="0.25">
      <c r="A1919" s="362"/>
      <c r="B1919" s="609">
        <v>44177</v>
      </c>
      <c r="C1919" s="362" t="s">
        <v>141</v>
      </c>
      <c r="D1919" s="560">
        <v>36166172</v>
      </c>
      <c r="E1919" s="560"/>
      <c r="F1919" s="560">
        <v>36166200</v>
      </c>
      <c r="G1919" s="560">
        <f t="shared" si="34"/>
        <v>-28</v>
      </c>
      <c r="H1919" s="560"/>
      <c r="I1919" s="560"/>
      <c r="J1919" s="560"/>
    </row>
    <row r="1920" spans="1:10" x14ac:dyDescent="0.25">
      <c r="A1920" s="362"/>
      <c r="B1920" s="609">
        <v>44177</v>
      </c>
      <c r="C1920" s="362" t="s">
        <v>89</v>
      </c>
      <c r="D1920" s="560">
        <v>95002279</v>
      </c>
      <c r="E1920" s="560">
        <v>39832321</v>
      </c>
      <c r="F1920" s="560">
        <v>134834600</v>
      </c>
      <c r="G1920" s="560">
        <f t="shared" si="34"/>
        <v>0</v>
      </c>
      <c r="H1920" s="560"/>
      <c r="I1920" s="560"/>
      <c r="J1920" s="560"/>
    </row>
    <row r="1921" spans="1:10" x14ac:dyDescent="0.25">
      <c r="A1921" s="362"/>
      <c r="B1921" s="609">
        <v>44177</v>
      </c>
      <c r="C1921" s="362" t="s">
        <v>81</v>
      </c>
      <c r="D1921" s="560">
        <v>79492067</v>
      </c>
      <c r="E1921" s="560">
        <v>9353735</v>
      </c>
      <c r="F1921" s="560">
        <f>50764200+38081700</f>
        <v>88845900</v>
      </c>
      <c r="G1921" s="560">
        <f t="shared" si="34"/>
        <v>-98</v>
      </c>
      <c r="H1921" s="560"/>
      <c r="I1921" s="560"/>
      <c r="J1921" s="560"/>
    </row>
    <row r="1922" spans="1:10" x14ac:dyDescent="0.25">
      <c r="A1922" s="362"/>
      <c r="B1922" s="609">
        <v>44177</v>
      </c>
      <c r="C1922" s="362" t="s">
        <v>84</v>
      </c>
      <c r="D1922" s="560">
        <v>177005378</v>
      </c>
      <c r="E1922" s="560">
        <v>7953209</v>
      </c>
      <c r="F1922" s="560">
        <v>184953500</v>
      </c>
      <c r="G1922" s="560">
        <f t="shared" si="34"/>
        <v>5087</v>
      </c>
      <c r="H1922" s="560"/>
      <c r="I1922" s="560"/>
      <c r="J1922" s="560"/>
    </row>
    <row r="1923" spans="1:10" x14ac:dyDescent="0.25">
      <c r="A1923" s="362"/>
      <c r="B1923" s="609">
        <v>44177</v>
      </c>
      <c r="C1923" s="362" t="s">
        <v>4751</v>
      </c>
      <c r="D1923" s="560">
        <v>192596050</v>
      </c>
      <c r="E1923" s="560">
        <v>64525750</v>
      </c>
      <c r="F1923" s="560">
        <v>257121800</v>
      </c>
      <c r="G1923" s="560">
        <f t="shared" si="34"/>
        <v>0</v>
      </c>
      <c r="H1923" s="560"/>
      <c r="I1923" s="560"/>
      <c r="J1923" s="560"/>
    </row>
    <row r="1924" spans="1:10" x14ac:dyDescent="0.25">
      <c r="A1924" s="362"/>
      <c r="B1924" s="609">
        <v>44177</v>
      </c>
      <c r="C1924" s="362" t="s">
        <v>166</v>
      </c>
      <c r="D1924" s="560"/>
      <c r="E1924" s="560"/>
      <c r="F1924" s="560"/>
      <c r="G1924" s="560">
        <f t="shared" si="34"/>
        <v>0</v>
      </c>
      <c r="H1924" s="560"/>
      <c r="I1924" s="560"/>
      <c r="J1924" s="560"/>
    </row>
    <row r="1925" spans="1:10" x14ac:dyDescent="0.25">
      <c r="A1925" s="362"/>
      <c r="B1925" s="609">
        <v>44177</v>
      </c>
      <c r="C1925" s="362" t="s">
        <v>3435</v>
      </c>
      <c r="D1925" s="560"/>
      <c r="E1925" s="560"/>
      <c r="F1925" s="560"/>
      <c r="G1925" s="560">
        <f t="shared" si="34"/>
        <v>0</v>
      </c>
      <c r="H1925" s="560"/>
      <c r="I1925" s="560"/>
      <c r="J1925" s="560"/>
    </row>
    <row r="1926" spans="1:10" x14ac:dyDescent="0.25">
      <c r="A1926" s="362"/>
      <c r="B1926" s="609">
        <v>44177</v>
      </c>
      <c r="C1926" s="362" t="s">
        <v>85</v>
      </c>
      <c r="D1926" s="560">
        <v>26277300</v>
      </c>
      <c r="E1926" s="560"/>
      <c r="F1926" s="560">
        <v>26277300</v>
      </c>
      <c r="G1926" s="560">
        <f t="shared" si="34"/>
        <v>0</v>
      </c>
      <c r="H1926" s="560"/>
      <c r="I1926" s="560"/>
      <c r="J1926" s="560"/>
    </row>
    <row r="1927" spans="1:10" x14ac:dyDescent="0.25">
      <c r="A1927" s="530"/>
      <c r="B1927" s="530"/>
      <c r="C1927" s="530"/>
      <c r="D1927" s="562"/>
      <c r="E1927" s="562"/>
      <c r="F1927" s="562"/>
      <c r="G1927" s="562"/>
      <c r="H1927" s="562"/>
      <c r="I1927" s="562"/>
      <c r="J1927" s="562"/>
    </row>
    <row r="1928" spans="1:10" x14ac:dyDescent="0.25">
      <c r="A1928" s="362"/>
      <c r="B1928" s="609">
        <v>44179</v>
      </c>
      <c r="C1928" s="362" t="s">
        <v>86</v>
      </c>
      <c r="D1928" s="560">
        <v>55014767</v>
      </c>
      <c r="E1928" s="560">
        <v>110760917</v>
      </c>
      <c r="F1928" s="560">
        <v>165775600</v>
      </c>
      <c r="G1928" s="560">
        <f>D1928+E1928-F1928</f>
        <v>84</v>
      </c>
      <c r="H1928" s="560"/>
      <c r="I1928" s="560"/>
      <c r="J1928" s="560"/>
    </row>
    <row r="1929" spans="1:10" x14ac:dyDescent="0.25">
      <c r="A1929" s="362"/>
      <c r="B1929" s="609">
        <v>44179</v>
      </c>
      <c r="C1929" s="362" t="s">
        <v>87</v>
      </c>
      <c r="D1929" s="560">
        <v>98855231</v>
      </c>
      <c r="E1929" s="560">
        <v>75877793</v>
      </c>
      <c r="F1929" s="560">
        <v>174733100</v>
      </c>
      <c r="G1929" s="560">
        <f t="shared" ref="G1929:G1942" si="35">D1929+E1929-F1929</f>
        <v>-76</v>
      </c>
      <c r="H1929" s="560"/>
      <c r="I1929" s="560"/>
      <c r="J1929" s="560"/>
    </row>
    <row r="1930" spans="1:10" x14ac:dyDescent="0.25">
      <c r="A1930" s="362"/>
      <c r="B1930" s="609">
        <v>44179</v>
      </c>
      <c r="C1930" s="362" t="s">
        <v>88</v>
      </c>
      <c r="D1930" s="560">
        <v>428090513</v>
      </c>
      <c r="E1930" s="560">
        <v>83428888</v>
      </c>
      <c r="F1930" s="560">
        <v>511518500</v>
      </c>
      <c r="G1930" s="560">
        <f t="shared" si="35"/>
        <v>901</v>
      </c>
      <c r="H1930" s="560"/>
      <c r="I1930" s="560"/>
      <c r="J1930" s="560"/>
    </row>
    <row r="1931" spans="1:10" x14ac:dyDescent="0.25">
      <c r="A1931" s="362"/>
      <c r="B1931" s="609">
        <v>44179</v>
      </c>
      <c r="C1931" s="362" t="s">
        <v>82</v>
      </c>
      <c r="D1931" s="560">
        <v>145289614</v>
      </c>
      <c r="E1931" s="560">
        <v>1100344</v>
      </c>
      <c r="F1931" s="560">
        <v>146390000</v>
      </c>
      <c r="G1931" s="560">
        <f t="shared" si="35"/>
        <v>-42</v>
      </c>
      <c r="H1931" s="560"/>
      <c r="I1931" s="560"/>
      <c r="J1931" s="560"/>
    </row>
    <row r="1932" spans="1:10" x14ac:dyDescent="0.25">
      <c r="A1932" s="362"/>
      <c r="B1932" s="609">
        <v>44179</v>
      </c>
      <c r="C1932" s="362" t="s">
        <v>80</v>
      </c>
      <c r="D1932" s="560">
        <v>252226842</v>
      </c>
      <c r="E1932" s="560">
        <v>6032104</v>
      </c>
      <c r="F1932" s="560">
        <v>258258500</v>
      </c>
      <c r="G1932" s="560">
        <f t="shared" si="35"/>
        <v>446</v>
      </c>
      <c r="H1932" s="560"/>
      <c r="I1932" s="560"/>
      <c r="J1932" s="560"/>
    </row>
    <row r="1933" spans="1:10" x14ac:dyDescent="0.25">
      <c r="A1933" s="362"/>
      <c r="B1933" s="609">
        <v>44179</v>
      </c>
      <c r="C1933" s="362" t="s">
        <v>83</v>
      </c>
      <c r="D1933" s="560">
        <v>472843948</v>
      </c>
      <c r="E1933" s="560">
        <v>18738551</v>
      </c>
      <c r="F1933" s="560">
        <v>491582500</v>
      </c>
      <c r="G1933" s="560">
        <f t="shared" si="35"/>
        <v>-1</v>
      </c>
      <c r="H1933" s="560"/>
      <c r="I1933" s="560"/>
      <c r="J1933" s="560"/>
    </row>
    <row r="1934" spans="1:10" x14ac:dyDescent="0.25">
      <c r="A1934" s="362"/>
      <c r="B1934" s="609">
        <v>44179</v>
      </c>
      <c r="C1934" s="362" t="s">
        <v>78</v>
      </c>
      <c r="D1934" s="560">
        <v>51328423</v>
      </c>
      <c r="E1934" s="560">
        <v>3312577</v>
      </c>
      <c r="F1934" s="560">
        <v>54641000</v>
      </c>
      <c r="G1934" s="560">
        <f t="shared" si="35"/>
        <v>0</v>
      </c>
      <c r="H1934" s="560"/>
      <c r="I1934" s="560"/>
      <c r="J1934" s="560"/>
    </row>
    <row r="1935" spans="1:10" x14ac:dyDescent="0.25">
      <c r="A1935" s="362"/>
      <c r="B1935" s="609">
        <v>44179</v>
      </c>
      <c r="C1935" s="362" t="s">
        <v>141</v>
      </c>
      <c r="D1935" s="560">
        <v>40905081</v>
      </c>
      <c r="E1935" s="560">
        <v>191351</v>
      </c>
      <c r="F1935" s="560">
        <v>41096500</v>
      </c>
      <c r="G1935" s="560">
        <f t="shared" si="35"/>
        <v>-68</v>
      </c>
      <c r="H1935" s="560"/>
      <c r="I1935" s="560"/>
      <c r="J1935" s="560"/>
    </row>
    <row r="1936" spans="1:10" x14ac:dyDescent="0.25">
      <c r="A1936" s="362"/>
      <c r="B1936" s="609">
        <v>44179</v>
      </c>
      <c r="C1936" s="362" t="s">
        <v>89</v>
      </c>
      <c r="D1936" s="560">
        <v>99769998</v>
      </c>
      <c r="E1936" s="560">
        <v>33675802</v>
      </c>
      <c r="F1936" s="560">
        <v>133445800</v>
      </c>
      <c r="G1936" s="560">
        <f t="shared" si="35"/>
        <v>0</v>
      </c>
      <c r="H1936" s="560"/>
      <c r="I1936" s="560"/>
      <c r="J1936" s="560"/>
    </row>
    <row r="1937" spans="1:10" x14ac:dyDescent="0.25">
      <c r="A1937" s="362"/>
      <c r="B1937" s="609">
        <v>44179</v>
      </c>
      <c r="C1937" s="362" t="s">
        <v>81</v>
      </c>
      <c r="D1937" s="560">
        <v>96907212</v>
      </c>
      <c r="E1937" s="560">
        <v>18859926</v>
      </c>
      <c r="F1937" s="560">
        <v>115767200</v>
      </c>
      <c r="G1937" s="560">
        <f t="shared" si="35"/>
        <v>-62</v>
      </c>
      <c r="H1937" s="560"/>
      <c r="I1937" s="560"/>
      <c r="J1937" s="560"/>
    </row>
    <row r="1938" spans="1:10" x14ac:dyDescent="0.25">
      <c r="A1938" s="362"/>
      <c r="B1938" s="609">
        <v>44179</v>
      </c>
      <c r="C1938" s="362" t="s">
        <v>84</v>
      </c>
      <c r="D1938" s="560">
        <v>214919321</v>
      </c>
      <c r="E1938" s="560">
        <v>8337965</v>
      </c>
      <c r="F1938" s="560">
        <v>223256800</v>
      </c>
      <c r="G1938" s="560">
        <f t="shared" si="35"/>
        <v>486</v>
      </c>
      <c r="H1938" s="560"/>
      <c r="I1938" s="560"/>
      <c r="J1938" s="560"/>
    </row>
    <row r="1939" spans="1:10" x14ac:dyDescent="0.25">
      <c r="A1939" s="362"/>
      <c r="B1939" s="609">
        <v>44179</v>
      </c>
      <c r="C1939" s="362" t="s">
        <v>4751</v>
      </c>
      <c r="D1939" s="560">
        <v>166849357</v>
      </c>
      <c r="E1939" s="560">
        <v>13135743</v>
      </c>
      <c r="F1939" s="560">
        <v>179985100</v>
      </c>
      <c r="G1939" s="560">
        <f t="shared" si="35"/>
        <v>0</v>
      </c>
      <c r="H1939" s="560"/>
      <c r="I1939" s="560"/>
      <c r="J1939" s="560"/>
    </row>
    <row r="1940" spans="1:10" x14ac:dyDescent="0.25">
      <c r="A1940" s="362"/>
      <c r="B1940" s="609">
        <v>44179</v>
      </c>
      <c r="C1940" s="362" t="s">
        <v>166</v>
      </c>
      <c r="D1940" s="560">
        <v>44040523</v>
      </c>
      <c r="E1940" s="560"/>
      <c r="F1940" s="560">
        <v>44040500</v>
      </c>
      <c r="G1940" s="560">
        <f t="shared" si="35"/>
        <v>23</v>
      </c>
      <c r="H1940" s="560"/>
      <c r="I1940" s="560"/>
      <c r="J1940" s="560"/>
    </row>
    <row r="1941" spans="1:10" x14ac:dyDescent="0.25">
      <c r="A1941" s="362"/>
      <c r="B1941" s="609">
        <v>44179</v>
      </c>
      <c r="C1941" s="362" t="s">
        <v>3435</v>
      </c>
      <c r="D1941" s="560">
        <v>30772277</v>
      </c>
      <c r="E1941" s="560"/>
      <c r="F1941" s="560">
        <v>30772300</v>
      </c>
      <c r="G1941" s="560">
        <f t="shared" si="35"/>
        <v>-23</v>
      </c>
      <c r="H1941" s="560"/>
      <c r="I1941" s="560"/>
      <c r="J1941" s="560"/>
    </row>
    <row r="1942" spans="1:10" x14ac:dyDescent="0.25">
      <c r="A1942" s="362"/>
      <c r="B1942" s="609">
        <v>44179</v>
      </c>
      <c r="C1942" s="362" t="s">
        <v>85</v>
      </c>
      <c r="D1942" s="560">
        <v>43635500</v>
      </c>
      <c r="E1942" s="560"/>
      <c r="F1942" s="560">
        <v>43635500</v>
      </c>
      <c r="G1942" s="560">
        <f t="shared" si="35"/>
        <v>0</v>
      </c>
      <c r="H1942" s="560"/>
      <c r="I1942" s="560"/>
      <c r="J1942" s="560"/>
    </row>
    <row r="1943" spans="1:10" x14ac:dyDescent="0.25">
      <c r="A1943" s="530"/>
      <c r="B1943" s="530"/>
      <c r="C1943" s="530"/>
      <c r="D1943" s="562"/>
      <c r="E1943" s="562"/>
      <c r="F1943" s="562"/>
      <c r="G1943" s="562"/>
      <c r="H1943" s="562"/>
      <c r="I1943" s="562"/>
      <c r="J1943" s="562"/>
    </row>
    <row r="1944" spans="1:10" x14ac:dyDescent="0.25">
      <c r="A1944" s="362"/>
      <c r="B1944" s="609">
        <v>44180</v>
      </c>
      <c r="C1944" s="362" t="s">
        <v>86</v>
      </c>
      <c r="D1944" s="560">
        <v>78564093</v>
      </c>
      <c r="E1944" s="560">
        <v>121544286</v>
      </c>
      <c r="F1944" s="560">
        <v>200108400</v>
      </c>
      <c r="G1944" s="560">
        <f>D1944+E1944-F1944</f>
        <v>-21</v>
      </c>
      <c r="H1944" s="560"/>
      <c r="I1944" s="560"/>
      <c r="J1944" s="560"/>
    </row>
    <row r="1945" spans="1:10" x14ac:dyDescent="0.25">
      <c r="A1945" s="362"/>
      <c r="B1945" s="609">
        <v>44180</v>
      </c>
      <c r="C1945" s="362" t="s">
        <v>87</v>
      </c>
      <c r="D1945" s="560">
        <v>125745607</v>
      </c>
      <c r="E1945" s="560">
        <v>85536901</v>
      </c>
      <c r="F1945" s="560">
        <v>211282600</v>
      </c>
      <c r="G1945" s="560">
        <f t="shared" ref="G1945:G1958" si="36">D1945+E1945-F1945</f>
        <v>-92</v>
      </c>
      <c r="H1945" s="560"/>
      <c r="I1945" s="560"/>
      <c r="J1945" s="560"/>
    </row>
    <row r="1946" spans="1:10" x14ac:dyDescent="0.25">
      <c r="A1946" s="362"/>
      <c r="B1946" s="609">
        <v>44180</v>
      </c>
      <c r="C1946" s="362" t="s">
        <v>88</v>
      </c>
      <c r="D1946" s="560">
        <v>140593497</v>
      </c>
      <c r="E1946" s="560">
        <v>7939761</v>
      </c>
      <c r="F1946" s="560">
        <v>148533300</v>
      </c>
      <c r="G1946" s="560">
        <f t="shared" si="36"/>
        <v>-42</v>
      </c>
      <c r="H1946" s="560"/>
      <c r="I1946" s="560"/>
      <c r="J1946" s="560"/>
    </row>
    <row r="1947" spans="1:10" x14ac:dyDescent="0.25">
      <c r="A1947" s="362"/>
      <c r="B1947" s="609">
        <v>44180</v>
      </c>
      <c r="C1947" s="362" t="s">
        <v>82</v>
      </c>
      <c r="D1947" s="560">
        <v>116598528</v>
      </c>
      <c r="E1947" s="560">
        <v>2513200</v>
      </c>
      <c r="F1947" s="560">
        <v>119111800</v>
      </c>
      <c r="G1947" s="560">
        <f t="shared" si="36"/>
        <v>-72</v>
      </c>
      <c r="H1947" s="560"/>
      <c r="I1947" s="560"/>
      <c r="J1947" s="560"/>
    </row>
    <row r="1948" spans="1:10" x14ac:dyDescent="0.25">
      <c r="A1948" s="362"/>
      <c r="B1948" s="609">
        <v>44180</v>
      </c>
      <c r="C1948" s="362" t="s">
        <v>80</v>
      </c>
      <c r="D1948" s="560">
        <v>193243621</v>
      </c>
      <c r="E1948" s="560"/>
      <c r="F1948" s="560">
        <v>193243700</v>
      </c>
      <c r="G1948" s="560">
        <f t="shared" si="36"/>
        <v>-79</v>
      </c>
      <c r="H1948" s="560"/>
      <c r="I1948" s="560"/>
      <c r="J1948" s="560"/>
    </row>
    <row r="1949" spans="1:10" x14ac:dyDescent="0.25">
      <c r="A1949" s="362"/>
      <c r="B1949" s="609">
        <v>44180</v>
      </c>
      <c r="C1949" s="362" t="s">
        <v>83</v>
      </c>
      <c r="D1949" s="560">
        <v>161216854</v>
      </c>
      <c r="E1949" s="560">
        <v>14972916</v>
      </c>
      <c r="F1949" s="560">
        <v>176189800</v>
      </c>
      <c r="G1949" s="560">
        <f t="shared" si="36"/>
        <v>-30</v>
      </c>
      <c r="H1949" s="560"/>
      <c r="I1949" s="560"/>
      <c r="J1949" s="560"/>
    </row>
    <row r="1950" spans="1:10" x14ac:dyDescent="0.25">
      <c r="A1950" s="362"/>
      <c r="B1950" s="609">
        <v>44180</v>
      </c>
      <c r="C1950" s="362" t="s">
        <v>78</v>
      </c>
      <c r="D1950" s="560">
        <v>64257740</v>
      </c>
      <c r="E1950" s="560">
        <v>14481560</v>
      </c>
      <c r="F1950" s="560">
        <v>78739300</v>
      </c>
      <c r="G1950" s="560">
        <f t="shared" si="36"/>
        <v>0</v>
      </c>
      <c r="H1950" s="560"/>
      <c r="I1950" s="560"/>
      <c r="J1950" s="560"/>
    </row>
    <row r="1951" spans="1:10" x14ac:dyDescent="0.25">
      <c r="A1951" s="362"/>
      <c r="B1951" s="609">
        <v>44180</v>
      </c>
      <c r="C1951" s="362" t="s">
        <v>141</v>
      </c>
      <c r="D1951" s="560">
        <v>51142203</v>
      </c>
      <c r="E1951" s="560">
        <v>487000</v>
      </c>
      <c r="F1951" s="560">
        <v>51629300</v>
      </c>
      <c r="G1951" s="560">
        <f t="shared" si="36"/>
        <v>-97</v>
      </c>
      <c r="H1951" s="560"/>
      <c r="I1951" s="560"/>
      <c r="J1951" s="560"/>
    </row>
    <row r="1952" spans="1:10" x14ac:dyDescent="0.25">
      <c r="A1952" s="362"/>
      <c r="B1952" s="609">
        <v>44180</v>
      </c>
      <c r="C1952" s="362" t="s">
        <v>89</v>
      </c>
      <c r="D1952" s="560">
        <v>148890466</v>
      </c>
      <c r="E1952" s="560">
        <v>11428634</v>
      </c>
      <c r="F1952" s="560">
        <v>160319100</v>
      </c>
      <c r="G1952" s="560">
        <f t="shared" si="36"/>
        <v>0</v>
      </c>
      <c r="H1952" s="560"/>
      <c r="I1952" s="560"/>
      <c r="J1952" s="560"/>
    </row>
    <row r="1953" spans="1:10" x14ac:dyDescent="0.25">
      <c r="A1953" s="362"/>
      <c r="B1953" s="609">
        <v>44180</v>
      </c>
      <c r="C1953" s="362" t="s">
        <v>81</v>
      </c>
      <c r="D1953" s="560">
        <v>82415032</v>
      </c>
      <c r="E1953" s="560">
        <v>11990940</v>
      </c>
      <c r="F1953" s="560">
        <v>94406000</v>
      </c>
      <c r="G1953" s="560">
        <f t="shared" si="36"/>
        <v>-28</v>
      </c>
      <c r="H1953" s="560"/>
      <c r="I1953" s="560"/>
      <c r="J1953" s="560"/>
    </row>
    <row r="1954" spans="1:10" x14ac:dyDescent="0.25">
      <c r="A1954" s="362"/>
      <c r="B1954" s="609">
        <v>44180</v>
      </c>
      <c r="C1954" s="362" t="s">
        <v>84</v>
      </c>
      <c r="D1954" s="560">
        <v>263609824</v>
      </c>
      <c r="E1954" s="560">
        <v>11589151</v>
      </c>
      <c r="F1954" s="560">
        <v>275199600</v>
      </c>
      <c r="G1954" s="560">
        <f t="shared" si="36"/>
        <v>-625</v>
      </c>
      <c r="H1954" s="560"/>
      <c r="I1954" s="560"/>
      <c r="J1954" s="560"/>
    </row>
    <row r="1955" spans="1:10" x14ac:dyDescent="0.25">
      <c r="A1955" s="362"/>
      <c r="B1955" s="609">
        <v>44180</v>
      </c>
      <c r="C1955" s="362" t="s">
        <v>4751</v>
      </c>
      <c r="D1955" s="560">
        <v>149926944</v>
      </c>
      <c r="E1955" s="560">
        <v>10124256</v>
      </c>
      <c r="F1955" s="560">
        <v>160051200</v>
      </c>
      <c r="G1955" s="560">
        <f t="shared" si="36"/>
        <v>0</v>
      </c>
      <c r="H1955" s="560"/>
      <c r="I1955" s="560"/>
      <c r="J1955" s="560"/>
    </row>
    <row r="1956" spans="1:10" x14ac:dyDescent="0.25">
      <c r="A1956" s="362"/>
      <c r="B1956" s="609">
        <v>44180</v>
      </c>
      <c r="C1956" s="362" t="s">
        <v>166</v>
      </c>
      <c r="D1956" s="560">
        <v>45546052</v>
      </c>
      <c r="E1956" s="560"/>
      <c r="F1956" s="560">
        <v>45546000</v>
      </c>
      <c r="G1956" s="560">
        <f t="shared" si="36"/>
        <v>52</v>
      </c>
      <c r="H1956" s="560"/>
      <c r="I1956" s="560"/>
      <c r="J1956" s="560"/>
    </row>
    <row r="1957" spans="1:10" x14ac:dyDescent="0.25">
      <c r="A1957" s="362"/>
      <c r="B1957" s="609">
        <v>44180</v>
      </c>
      <c r="C1957" s="362" t="s">
        <v>3435</v>
      </c>
      <c r="D1957" s="560">
        <v>39221524</v>
      </c>
      <c r="E1957" s="560"/>
      <c r="F1957" s="560">
        <v>39221600</v>
      </c>
      <c r="G1957" s="560">
        <f t="shared" si="36"/>
        <v>-76</v>
      </c>
      <c r="H1957" s="560"/>
      <c r="I1957" s="560"/>
      <c r="J1957" s="560"/>
    </row>
    <row r="1958" spans="1:10" x14ac:dyDescent="0.25">
      <c r="A1958" s="362"/>
      <c r="B1958" s="609">
        <v>44180</v>
      </c>
      <c r="C1958" s="362" t="s">
        <v>85</v>
      </c>
      <c r="D1958" s="560">
        <v>39560500</v>
      </c>
      <c r="E1958" s="560"/>
      <c r="F1958" s="560">
        <v>39560500</v>
      </c>
      <c r="G1958" s="560">
        <f t="shared" si="36"/>
        <v>0</v>
      </c>
      <c r="H1958" s="560"/>
      <c r="I1958" s="560"/>
      <c r="J1958" s="560"/>
    </row>
    <row r="1959" spans="1:10" x14ac:dyDescent="0.25">
      <c r="A1959" s="530"/>
      <c r="B1959" s="530"/>
      <c r="C1959" s="530"/>
      <c r="D1959" s="562"/>
      <c r="E1959" s="562"/>
      <c r="F1959" s="562"/>
      <c r="G1959" s="562"/>
      <c r="H1959" s="562"/>
      <c r="I1959" s="562"/>
      <c r="J1959" s="562"/>
    </row>
    <row r="1960" spans="1:10" x14ac:dyDescent="0.25">
      <c r="A1960" s="362"/>
      <c r="B1960" s="609">
        <v>44181</v>
      </c>
      <c r="C1960" s="362" t="s">
        <v>86</v>
      </c>
      <c r="D1960" s="560">
        <v>48980161</v>
      </c>
      <c r="E1960" s="560">
        <v>52690880</v>
      </c>
      <c r="F1960" s="560">
        <v>101671000</v>
      </c>
      <c r="G1960" s="560">
        <f>D1960+E1960-F1960</f>
        <v>41</v>
      </c>
      <c r="H1960" s="560"/>
      <c r="I1960" s="560"/>
      <c r="J1960" s="560"/>
    </row>
    <row r="1961" spans="1:10" x14ac:dyDescent="0.25">
      <c r="A1961" s="362"/>
      <c r="B1961" s="609">
        <v>44181</v>
      </c>
      <c r="C1961" s="362" t="s">
        <v>87</v>
      </c>
      <c r="D1961" s="560">
        <v>64182527</v>
      </c>
      <c r="E1961" s="560">
        <v>112395891</v>
      </c>
      <c r="F1961" s="560">
        <v>176578500</v>
      </c>
      <c r="G1961" s="560">
        <f t="shared" ref="G1961:G2024" si="37">D1961+E1961-F1961</f>
        <v>-82</v>
      </c>
      <c r="H1961" s="560"/>
      <c r="I1961" s="560"/>
      <c r="J1961" s="560"/>
    </row>
    <row r="1962" spans="1:10" x14ac:dyDescent="0.25">
      <c r="A1962" s="362"/>
      <c r="B1962" s="609">
        <v>44181</v>
      </c>
      <c r="C1962" s="362" t="s">
        <v>88</v>
      </c>
      <c r="D1962" s="560">
        <v>152771141</v>
      </c>
      <c r="E1962" s="560">
        <v>6500794</v>
      </c>
      <c r="F1962" s="560">
        <v>159272000</v>
      </c>
      <c r="G1962" s="560">
        <f t="shared" si="37"/>
        <v>-65</v>
      </c>
      <c r="H1962" s="560"/>
      <c r="I1962" s="560"/>
      <c r="J1962" s="560"/>
    </row>
    <row r="1963" spans="1:10" x14ac:dyDescent="0.25">
      <c r="A1963" s="362"/>
      <c r="B1963" s="609">
        <v>44181</v>
      </c>
      <c r="C1963" s="362" t="s">
        <v>82</v>
      </c>
      <c r="D1963" s="560">
        <v>77265536</v>
      </c>
      <c r="E1963" s="560">
        <v>3997171</v>
      </c>
      <c r="F1963" s="560">
        <v>81262800</v>
      </c>
      <c r="G1963" s="560">
        <f t="shared" si="37"/>
        <v>-93</v>
      </c>
      <c r="H1963" s="560"/>
      <c r="I1963" s="560"/>
      <c r="J1963" s="560"/>
    </row>
    <row r="1964" spans="1:10" x14ac:dyDescent="0.25">
      <c r="A1964" s="362"/>
      <c r="B1964" s="609">
        <v>44181</v>
      </c>
      <c r="C1964" s="362" t="s">
        <v>80</v>
      </c>
      <c r="D1964" s="560">
        <v>223961929</v>
      </c>
      <c r="E1964" s="560">
        <v>2093271</v>
      </c>
      <c r="F1964" s="560">
        <v>226055200</v>
      </c>
      <c r="G1964" s="560">
        <f t="shared" si="37"/>
        <v>0</v>
      </c>
      <c r="H1964" s="560"/>
      <c r="I1964" s="560"/>
      <c r="J1964" s="560"/>
    </row>
    <row r="1965" spans="1:10" x14ac:dyDescent="0.25">
      <c r="A1965" s="362"/>
      <c r="B1965" s="609">
        <v>44181</v>
      </c>
      <c r="C1965" s="362" t="s">
        <v>83</v>
      </c>
      <c r="D1965" s="560">
        <v>191918054</v>
      </c>
      <c r="E1965" s="560">
        <v>112413512</v>
      </c>
      <c r="F1965" s="560">
        <v>304331600</v>
      </c>
      <c r="G1965" s="560">
        <f t="shared" si="37"/>
        <v>-34</v>
      </c>
      <c r="H1965" s="560"/>
      <c r="I1965" s="560"/>
      <c r="J1965" s="560"/>
    </row>
    <row r="1966" spans="1:10" x14ac:dyDescent="0.25">
      <c r="A1966" s="362"/>
      <c r="B1966" s="609">
        <v>44181</v>
      </c>
      <c r="C1966" s="362" t="s">
        <v>78</v>
      </c>
      <c r="D1966" s="560">
        <v>165629648</v>
      </c>
      <c r="E1966" s="560">
        <v>345052</v>
      </c>
      <c r="F1966" s="560">
        <v>165974700</v>
      </c>
      <c r="G1966" s="560">
        <f t="shared" si="37"/>
        <v>0</v>
      </c>
      <c r="H1966" s="560"/>
      <c r="I1966" s="560"/>
      <c r="J1966" s="560"/>
    </row>
    <row r="1967" spans="1:10" x14ac:dyDescent="0.25">
      <c r="A1967" s="362"/>
      <c r="B1967" s="609">
        <v>44181</v>
      </c>
      <c r="C1967" s="362" t="s">
        <v>141</v>
      </c>
      <c r="D1967" s="560">
        <v>54228722</v>
      </c>
      <c r="E1967" s="560">
        <v>1126294</v>
      </c>
      <c r="F1967" s="560">
        <v>55355100</v>
      </c>
      <c r="G1967" s="560">
        <f t="shared" si="37"/>
        <v>-84</v>
      </c>
      <c r="H1967" s="560"/>
      <c r="I1967" s="560"/>
      <c r="J1967" s="560"/>
    </row>
    <row r="1968" spans="1:10" x14ac:dyDescent="0.25">
      <c r="A1968" s="362"/>
      <c r="B1968" s="609">
        <v>44181</v>
      </c>
      <c r="C1968" s="362" t="s">
        <v>89</v>
      </c>
      <c r="D1968" s="560">
        <v>124943356</v>
      </c>
      <c r="E1968" s="560">
        <v>4986844</v>
      </c>
      <c r="F1968" s="560">
        <v>129930200</v>
      </c>
      <c r="G1968" s="560">
        <f t="shared" si="37"/>
        <v>0</v>
      </c>
      <c r="H1968" s="560"/>
      <c r="I1968" s="560"/>
      <c r="J1968" s="560"/>
    </row>
    <row r="1969" spans="1:10" x14ac:dyDescent="0.25">
      <c r="A1969" s="362"/>
      <c r="B1969" s="609">
        <v>44181</v>
      </c>
      <c r="C1969" s="362" t="s">
        <v>81</v>
      </c>
      <c r="D1969" s="560">
        <v>110881194</v>
      </c>
      <c r="E1969" s="560">
        <v>4895323</v>
      </c>
      <c r="F1969" s="560">
        <v>115776500</v>
      </c>
      <c r="G1969" s="560">
        <f t="shared" si="37"/>
        <v>17</v>
      </c>
      <c r="H1969" s="560"/>
      <c r="I1969" s="560"/>
      <c r="J1969" s="560"/>
    </row>
    <row r="1970" spans="1:10" x14ac:dyDescent="0.25">
      <c r="A1970" s="362"/>
      <c r="B1970" s="609">
        <v>44181</v>
      </c>
      <c r="C1970" s="362" t="s">
        <v>84</v>
      </c>
      <c r="D1970" s="560">
        <v>221741411</v>
      </c>
      <c r="E1970" s="560">
        <v>6244731</v>
      </c>
      <c r="F1970" s="560">
        <v>227986100</v>
      </c>
      <c r="G1970" s="560">
        <f t="shared" si="37"/>
        <v>42</v>
      </c>
      <c r="H1970" s="560"/>
      <c r="I1970" s="560"/>
      <c r="J1970" s="560"/>
    </row>
    <row r="1971" spans="1:10" x14ac:dyDescent="0.25">
      <c r="A1971" s="362"/>
      <c r="B1971" s="609">
        <v>44181</v>
      </c>
      <c r="C1971" s="362" t="s">
        <v>4751</v>
      </c>
      <c r="D1971" s="560">
        <v>206870122</v>
      </c>
      <c r="E1971" s="560">
        <v>8342278</v>
      </c>
      <c r="F1971" s="560">
        <v>215212400</v>
      </c>
      <c r="G1971" s="560">
        <f t="shared" si="37"/>
        <v>0</v>
      </c>
      <c r="H1971" s="362"/>
      <c r="I1971" s="362"/>
      <c r="J1971" s="362"/>
    </row>
    <row r="1972" spans="1:10" x14ac:dyDescent="0.25">
      <c r="A1972" s="362"/>
      <c r="B1972" s="609">
        <v>44181</v>
      </c>
      <c r="C1972" s="362" t="s">
        <v>166</v>
      </c>
      <c r="D1972" s="560">
        <v>80703590</v>
      </c>
      <c r="E1972" s="362"/>
      <c r="F1972" s="560">
        <v>80703600</v>
      </c>
      <c r="G1972" s="560">
        <f t="shared" si="37"/>
        <v>-10</v>
      </c>
      <c r="H1972" s="362"/>
      <c r="I1972" s="362"/>
      <c r="J1972" s="362"/>
    </row>
    <row r="1973" spans="1:10" x14ac:dyDescent="0.25">
      <c r="A1973" s="362"/>
      <c r="B1973" s="609">
        <v>44181</v>
      </c>
      <c r="C1973" s="362" t="s">
        <v>3435</v>
      </c>
      <c r="D1973" s="560">
        <v>280207078</v>
      </c>
      <c r="E1973" s="362"/>
      <c r="F1973" s="560">
        <v>280207100</v>
      </c>
      <c r="G1973" s="560">
        <f t="shared" si="37"/>
        <v>-22</v>
      </c>
      <c r="H1973" s="362"/>
      <c r="I1973" s="362"/>
      <c r="J1973" s="362"/>
    </row>
    <row r="1974" spans="1:10" x14ac:dyDescent="0.25">
      <c r="A1974" s="362"/>
      <c r="B1974" s="609">
        <v>44181</v>
      </c>
      <c r="C1974" s="362" t="s">
        <v>85</v>
      </c>
      <c r="D1974" s="560">
        <v>36927600</v>
      </c>
      <c r="E1974" s="362"/>
      <c r="F1974" s="560">
        <v>36927600</v>
      </c>
      <c r="G1974" s="560">
        <f t="shared" si="37"/>
        <v>0</v>
      </c>
      <c r="H1974" s="362"/>
      <c r="I1974" s="362"/>
      <c r="J1974" s="362"/>
    </row>
    <row r="1975" spans="1:10" x14ac:dyDescent="0.25">
      <c r="A1975" s="530"/>
      <c r="B1975" s="530"/>
      <c r="C1975" s="530"/>
      <c r="D1975" s="530"/>
      <c r="E1975" s="530"/>
      <c r="F1975" s="562"/>
      <c r="G1975" s="562"/>
      <c r="H1975" s="530"/>
      <c r="I1975" s="530"/>
      <c r="J1975" s="530"/>
    </row>
    <row r="1976" spans="1:10" x14ac:dyDescent="0.25">
      <c r="A1976" s="362"/>
      <c r="B1976" s="609">
        <v>44182</v>
      </c>
      <c r="C1976" s="362" t="s">
        <v>86</v>
      </c>
      <c r="D1976" s="560">
        <v>75864141</v>
      </c>
      <c r="E1976" s="560">
        <v>65861115</v>
      </c>
      <c r="F1976" s="560">
        <v>141725300</v>
      </c>
      <c r="G1976" s="560">
        <f t="shared" si="37"/>
        <v>-44</v>
      </c>
      <c r="H1976" s="362"/>
      <c r="I1976" s="362"/>
      <c r="J1976" s="362"/>
    </row>
    <row r="1977" spans="1:10" x14ac:dyDescent="0.25">
      <c r="A1977" s="362"/>
      <c r="B1977" s="609">
        <v>44182</v>
      </c>
      <c r="C1977" s="362" t="s">
        <v>87</v>
      </c>
      <c r="D1977" s="560">
        <v>124055703</v>
      </c>
      <c r="E1977" s="560">
        <v>85832500</v>
      </c>
      <c r="F1977" s="560">
        <v>209888200</v>
      </c>
      <c r="G1977" s="560">
        <f t="shared" si="37"/>
        <v>3</v>
      </c>
      <c r="H1977" s="362"/>
      <c r="I1977" s="362"/>
      <c r="J1977" s="362"/>
    </row>
    <row r="1978" spans="1:10" x14ac:dyDescent="0.25">
      <c r="A1978" s="362"/>
      <c r="B1978" s="609">
        <v>44182</v>
      </c>
      <c r="C1978" s="362" t="s">
        <v>88</v>
      </c>
      <c r="D1978" s="560">
        <v>233398599</v>
      </c>
      <c r="E1978" s="560">
        <v>8883049</v>
      </c>
      <c r="F1978" s="560">
        <v>242281600</v>
      </c>
      <c r="G1978" s="560">
        <f t="shared" si="37"/>
        <v>48</v>
      </c>
      <c r="H1978" s="362"/>
      <c r="I1978" s="362"/>
      <c r="J1978" s="362"/>
    </row>
    <row r="1979" spans="1:10" x14ac:dyDescent="0.25">
      <c r="A1979" s="362"/>
      <c r="B1979" s="609">
        <v>44182</v>
      </c>
      <c r="C1979" s="362" t="s">
        <v>82</v>
      </c>
      <c r="D1979" s="560">
        <v>106688539</v>
      </c>
      <c r="E1979" s="560">
        <v>5224715</v>
      </c>
      <c r="F1979" s="560">
        <v>111913300</v>
      </c>
      <c r="G1979" s="560">
        <f t="shared" si="37"/>
        <v>-46</v>
      </c>
      <c r="H1979" s="362"/>
      <c r="I1979" s="362"/>
      <c r="J1979" s="362"/>
    </row>
    <row r="1980" spans="1:10" x14ac:dyDescent="0.25">
      <c r="A1980" s="362"/>
      <c r="B1980" s="609">
        <v>44182</v>
      </c>
      <c r="C1980" s="362" t="s">
        <v>80</v>
      </c>
      <c r="D1980" s="560">
        <v>267811032</v>
      </c>
      <c r="E1980" s="560">
        <v>57186996</v>
      </c>
      <c r="F1980" s="560">
        <v>324998500</v>
      </c>
      <c r="G1980" s="560">
        <f t="shared" si="37"/>
        <v>-472</v>
      </c>
      <c r="H1980" s="362"/>
      <c r="I1980" s="362"/>
      <c r="J1980" s="362"/>
    </row>
    <row r="1981" spans="1:10" x14ac:dyDescent="0.25">
      <c r="A1981" s="362"/>
      <c r="B1981" s="609">
        <v>44182</v>
      </c>
      <c r="C1981" s="362" t="s">
        <v>83</v>
      </c>
      <c r="D1981" s="560">
        <v>243434704</v>
      </c>
      <c r="E1981" s="560">
        <v>9733829</v>
      </c>
      <c r="F1981" s="560">
        <v>253168600</v>
      </c>
      <c r="G1981" s="560">
        <f t="shared" si="37"/>
        <v>-67</v>
      </c>
      <c r="H1981" s="362"/>
      <c r="I1981" s="362"/>
      <c r="J1981" s="362"/>
    </row>
    <row r="1982" spans="1:10" x14ac:dyDescent="0.25">
      <c r="A1982" s="362"/>
      <c r="B1982" s="609">
        <v>44182</v>
      </c>
      <c r="C1982" s="362" t="s">
        <v>78</v>
      </c>
      <c r="D1982" s="560">
        <v>73671273</v>
      </c>
      <c r="E1982" s="560">
        <v>363327</v>
      </c>
      <c r="F1982" s="560">
        <v>74034600</v>
      </c>
      <c r="G1982" s="560">
        <f t="shared" si="37"/>
        <v>0</v>
      </c>
      <c r="H1982" s="362"/>
      <c r="I1982" s="362"/>
      <c r="J1982" s="362"/>
    </row>
    <row r="1983" spans="1:10" x14ac:dyDescent="0.25">
      <c r="A1983" s="362"/>
      <c r="B1983" s="609">
        <v>44182</v>
      </c>
      <c r="C1983" s="362" t="s">
        <v>141</v>
      </c>
      <c r="D1983" s="560">
        <v>75639867</v>
      </c>
      <c r="E1983" s="560">
        <v>815000</v>
      </c>
      <c r="F1983" s="560">
        <v>76454900</v>
      </c>
      <c r="G1983" s="560">
        <f t="shared" si="37"/>
        <v>-33</v>
      </c>
      <c r="H1983" s="362"/>
      <c r="I1983" s="362"/>
      <c r="J1983" s="362"/>
    </row>
    <row r="1984" spans="1:10" x14ac:dyDescent="0.25">
      <c r="A1984" s="362"/>
      <c r="B1984" s="609">
        <v>44182</v>
      </c>
      <c r="C1984" s="362" t="s">
        <v>89</v>
      </c>
      <c r="D1984" s="560">
        <v>144539275</v>
      </c>
      <c r="E1984" s="560">
        <v>57125625</v>
      </c>
      <c r="F1984" s="560">
        <v>201664900</v>
      </c>
      <c r="G1984" s="560">
        <f t="shared" si="37"/>
        <v>0</v>
      </c>
      <c r="H1984" s="362"/>
      <c r="I1984" s="362"/>
      <c r="J1984" s="362"/>
    </row>
    <row r="1985" spans="1:10" x14ac:dyDescent="0.25">
      <c r="A1985" s="362"/>
      <c r="B1985" s="609">
        <v>44182</v>
      </c>
      <c r="C1985" s="362" t="s">
        <v>81</v>
      </c>
      <c r="D1985" s="560">
        <v>58744359</v>
      </c>
      <c r="E1985" s="560">
        <v>3863797</v>
      </c>
      <c r="F1985" s="560">
        <v>62608300</v>
      </c>
      <c r="G1985" s="560">
        <f t="shared" si="37"/>
        <v>-144</v>
      </c>
      <c r="H1985" s="362"/>
      <c r="I1985" s="362"/>
      <c r="J1985" s="362"/>
    </row>
    <row r="1986" spans="1:10" x14ac:dyDescent="0.25">
      <c r="A1986" s="362"/>
      <c r="B1986" s="609">
        <v>44182</v>
      </c>
      <c r="C1986" s="362" t="s">
        <v>84</v>
      </c>
      <c r="D1986" s="560">
        <v>282676728</v>
      </c>
      <c r="E1986" s="560">
        <v>18951067</v>
      </c>
      <c r="F1986" s="560">
        <v>301627600</v>
      </c>
      <c r="G1986" s="560">
        <f t="shared" si="37"/>
        <v>195</v>
      </c>
      <c r="H1986" s="362"/>
      <c r="I1986" s="362"/>
      <c r="J1986" s="362"/>
    </row>
    <row r="1987" spans="1:10" x14ac:dyDescent="0.25">
      <c r="A1987" s="362"/>
      <c r="B1987" s="609">
        <v>44182</v>
      </c>
      <c r="C1987" s="362" t="s">
        <v>4751</v>
      </c>
      <c r="D1987" s="560">
        <v>311315406</v>
      </c>
      <c r="E1987" s="560">
        <v>15967094</v>
      </c>
      <c r="F1987" s="560">
        <v>327282500</v>
      </c>
      <c r="G1987" s="560">
        <f t="shared" si="37"/>
        <v>0</v>
      </c>
      <c r="H1987" s="362"/>
      <c r="I1987" s="362"/>
      <c r="J1987" s="362"/>
    </row>
    <row r="1988" spans="1:10" x14ac:dyDescent="0.25">
      <c r="A1988" s="362"/>
      <c r="B1988" s="609">
        <v>44182</v>
      </c>
      <c r="C1988" s="362" t="s">
        <v>166</v>
      </c>
      <c r="D1988" s="560">
        <v>62777749</v>
      </c>
      <c r="E1988" s="560"/>
      <c r="F1988" s="560">
        <v>62777800</v>
      </c>
      <c r="G1988" s="560">
        <f t="shared" si="37"/>
        <v>-51</v>
      </c>
      <c r="H1988" s="362"/>
      <c r="I1988" s="362"/>
      <c r="J1988" s="362"/>
    </row>
    <row r="1989" spans="1:10" x14ac:dyDescent="0.25">
      <c r="A1989" s="362"/>
      <c r="B1989" s="609">
        <v>44182</v>
      </c>
      <c r="C1989" s="362" t="s">
        <v>3435</v>
      </c>
      <c r="D1989" s="560">
        <v>49640125</v>
      </c>
      <c r="E1989" s="560"/>
      <c r="F1989" s="560">
        <v>49640200</v>
      </c>
      <c r="G1989" s="560">
        <f t="shared" si="37"/>
        <v>-75</v>
      </c>
      <c r="H1989" s="362"/>
      <c r="I1989" s="362"/>
      <c r="J1989" s="362"/>
    </row>
    <row r="1990" spans="1:10" x14ac:dyDescent="0.25">
      <c r="A1990" s="362"/>
      <c r="B1990" s="609">
        <v>44182</v>
      </c>
      <c r="C1990" s="362" t="s">
        <v>85</v>
      </c>
      <c r="D1990" s="560">
        <v>23636300</v>
      </c>
      <c r="E1990" s="560"/>
      <c r="F1990" s="560">
        <v>23636300</v>
      </c>
      <c r="G1990" s="560">
        <f t="shared" si="37"/>
        <v>0</v>
      </c>
      <c r="H1990" s="362"/>
      <c r="I1990" s="362"/>
      <c r="J1990" s="362"/>
    </row>
    <row r="1991" spans="1:10" x14ac:dyDescent="0.25">
      <c r="A1991" s="530"/>
      <c r="B1991" s="530"/>
      <c r="C1991" s="530"/>
      <c r="D1991" s="562"/>
      <c r="E1991" s="562"/>
      <c r="F1991" s="562"/>
      <c r="G1991" s="562">
        <f t="shared" si="37"/>
        <v>0</v>
      </c>
      <c r="H1991" s="530"/>
      <c r="I1991" s="530"/>
      <c r="J1991" s="530"/>
    </row>
    <row r="1992" spans="1:10" x14ac:dyDescent="0.25">
      <c r="A1992" s="362"/>
      <c r="B1992" s="609">
        <v>44183</v>
      </c>
      <c r="C1992" s="362" t="s">
        <v>86</v>
      </c>
      <c r="D1992" s="560">
        <v>53950104</v>
      </c>
      <c r="E1992" s="560">
        <v>90974435</v>
      </c>
      <c r="F1992" s="560">
        <v>144924600</v>
      </c>
      <c r="G1992" s="560">
        <f t="shared" si="37"/>
        <v>-61</v>
      </c>
      <c r="H1992" s="362"/>
      <c r="I1992" s="362"/>
      <c r="J1992" s="362"/>
    </row>
    <row r="1993" spans="1:10" x14ac:dyDescent="0.25">
      <c r="A1993" s="362"/>
      <c r="B1993" s="609">
        <v>44183</v>
      </c>
      <c r="C1993" s="362" t="s">
        <v>87</v>
      </c>
      <c r="D1993" s="560">
        <v>105003405</v>
      </c>
      <c r="E1993" s="560">
        <v>97208883</v>
      </c>
      <c r="F1993" s="560">
        <v>202212500</v>
      </c>
      <c r="G1993" s="560">
        <f t="shared" si="37"/>
        <v>-212</v>
      </c>
      <c r="H1993" s="362"/>
      <c r="I1993" s="362"/>
      <c r="J1993" s="362"/>
    </row>
    <row r="1994" spans="1:10" x14ac:dyDescent="0.25">
      <c r="A1994" s="362"/>
      <c r="B1994" s="609">
        <v>44183</v>
      </c>
      <c r="C1994" s="362" t="s">
        <v>88</v>
      </c>
      <c r="D1994" s="560">
        <v>138580990</v>
      </c>
      <c r="E1994" s="560">
        <v>212236247</v>
      </c>
      <c r="F1994" s="560">
        <v>350817000</v>
      </c>
      <c r="G1994" s="560">
        <f t="shared" si="37"/>
        <v>237</v>
      </c>
      <c r="H1994" s="362"/>
      <c r="I1994" s="362"/>
      <c r="J1994" s="362"/>
    </row>
    <row r="1995" spans="1:10" x14ac:dyDescent="0.25">
      <c r="A1995" s="362"/>
      <c r="B1995" s="609">
        <v>44183</v>
      </c>
      <c r="C1995" s="362" t="s">
        <v>82</v>
      </c>
      <c r="D1995" s="560">
        <v>73994824</v>
      </c>
      <c r="E1995" s="560">
        <v>20529471</v>
      </c>
      <c r="F1995" s="560">
        <v>94524200</v>
      </c>
      <c r="G1995" s="560">
        <f t="shared" si="37"/>
        <v>95</v>
      </c>
      <c r="H1995" s="362"/>
      <c r="I1995" s="362"/>
      <c r="J1995" s="362"/>
    </row>
    <row r="1996" spans="1:10" x14ac:dyDescent="0.25">
      <c r="A1996" s="362"/>
      <c r="B1996" s="609">
        <v>44183</v>
      </c>
      <c r="C1996" s="362" t="s">
        <v>80</v>
      </c>
      <c r="D1996" s="560">
        <v>193174100</v>
      </c>
      <c r="E1996" s="560"/>
      <c r="F1996" s="560">
        <v>193174100</v>
      </c>
      <c r="G1996" s="560">
        <f t="shared" si="37"/>
        <v>0</v>
      </c>
      <c r="H1996" s="362"/>
      <c r="I1996" s="362"/>
      <c r="J1996" s="362"/>
    </row>
    <row r="1997" spans="1:10" x14ac:dyDescent="0.25">
      <c r="A1997" s="362"/>
      <c r="B1997" s="609">
        <v>44183</v>
      </c>
      <c r="C1997" s="362" t="s">
        <v>83</v>
      </c>
      <c r="D1997" s="560">
        <v>373667924</v>
      </c>
      <c r="E1997" s="560">
        <v>4544898</v>
      </c>
      <c r="F1997" s="560">
        <v>378212900</v>
      </c>
      <c r="G1997" s="560">
        <f t="shared" si="37"/>
        <v>-78</v>
      </c>
      <c r="H1997" s="362"/>
      <c r="I1997" s="362"/>
      <c r="J1997" s="362"/>
    </row>
    <row r="1998" spans="1:10" x14ac:dyDescent="0.25">
      <c r="A1998" s="362"/>
      <c r="B1998" s="609">
        <v>44183</v>
      </c>
      <c r="C1998" s="362" t="s">
        <v>78</v>
      </c>
      <c r="D1998" s="560">
        <v>79599751</v>
      </c>
      <c r="E1998" s="560">
        <v>2145249</v>
      </c>
      <c r="F1998" s="560">
        <v>81745000</v>
      </c>
      <c r="G1998" s="560">
        <f t="shared" si="37"/>
        <v>0</v>
      </c>
      <c r="H1998" s="362"/>
      <c r="I1998" s="362"/>
      <c r="J1998" s="362"/>
    </row>
    <row r="1999" spans="1:10" x14ac:dyDescent="0.25">
      <c r="A1999" s="362"/>
      <c r="B1999" s="609">
        <v>44183</v>
      </c>
      <c r="C1999" s="362" t="s">
        <v>141</v>
      </c>
      <c r="D1999" s="560">
        <v>56191850</v>
      </c>
      <c r="E1999" s="560">
        <v>697897</v>
      </c>
      <c r="F1999" s="560">
        <v>56889800</v>
      </c>
      <c r="G1999" s="560">
        <f t="shared" si="37"/>
        <v>-53</v>
      </c>
      <c r="H1999" s="362"/>
      <c r="I1999" s="362"/>
      <c r="J1999" s="362"/>
    </row>
    <row r="2000" spans="1:10" x14ac:dyDescent="0.25">
      <c r="A2000" s="362"/>
      <c r="B2000" s="609">
        <v>44183</v>
      </c>
      <c r="C2000" s="362" t="s">
        <v>89</v>
      </c>
      <c r="D2000" s="560">
        <v>246473236</v>
      </c>
      <c r="E2000" s="560">
        <v>1827464</v>
      </c>
      <c r="F2000" s="560">
        <v>248300700</v>
      </c>
      <c r="G2000" s="560">
        <f t="shared" si="37"/>
        <v>0</v>
      </c>
      <c r="H2000" s="362"/>
      <c r="I2000" s="362"/>
      <c r="J2000" s="362"/>
    </row>
    <row r="2001" spans="1:10" x14ac:dyDescent="0.25">
      <c r="A2001" s="362"/>
      <c r="B2001" s="609">
        <v>44183</v>
      </c>
      <c r="C2001" s="362" t="s">
        <v>81</v>
      </c>
      <c r="D2001" s="560">
        <v>42988542</v>
      </c>
      <c r="E2001" s="560">
        <v>4529569</v>
      </c>
      <c r="F2001" s="560">
        <v>47518500</v>
      </c>
      <c r="G2001" s="560">
        <f t="shared" si="37"/>
        <v>-389</v>
      </c>
      <c r="H2001" s="362"/>
      <c r="I2001" s="362"/>
      <c r="J2001" s="362"/>
    </row>
    <row r="2002" spans="1:10" x14ac:dyDescent="0.25">
      <c r="A2002" s="362"/>
      <c r="B2002" s="609">
        <v>44183</v>
      </c>
      <c r="C2002" s="362" t="s">
        <v>84</v>
      </c>
      <c r="D2002" s="560">
        <v>170251134</v>
      </c>
      <c r="E2002" s="560">
        <v>15641413</v>
      </c>
      <c r="F2002" s="560">
        <v>185892100</v>
      </c>
      <c r="G2002" s="560">
        <f t="shared" si="37"/>
        <v>447</v>
      </c>
      <c r="H2002" s="362"/>
      <c r="I2002" s="362"/>
      <c r="J2002" s="362"/>
    </row>
    <row r="2003" spans="1:10" x14ac:dyDescent="0.25">
      <c r="A2003" s="362"/>
      <c r="B2003" s="609">
        <v>44183</v>
      </c>
      <c r="C2003" s="362" t="s">
        <v>4751</v>
      </c>
      <c r="D2003" s="560">
        <v>155374189</v>
      </c>
      <c r="E2003" s="560">
        <v>14319711</v>
      </c>
      <c r="F2003" s="560">
        <v>169693900</v>
      </c>
      <c r="G2003" s="560">
        <f t="shared" si="37"/>
        <v>0</v>
      </c>
      <c r="H2003" s="362"/>
      <c r="I2003" s="362"/>
      <c r="J2003" s="362"/>
    </row>
    <row r="2004" spans="1:10" x14ac:dyDescent="0.25">
      <c r="A2004" s="362"/>
      <c r="B2004" s="609">
        <v>44183</v>
      </c>
      <c r="C2004" s="362" t="s">
        <v>166</v>
      </c>
      <c r="D2004" s="560">
        <v>49963178</v>
      </c>
      <c r="E2004" s="560"/>
      <c r="F2004" s="560">
        <v>49963200</v>
      </c>
      <c r="G2004" s="560">
        <f t="shared" si="37"/>
        <v>-22</v>
      </c>
      <c r="H2004" s="362"/>
      <c r="I2004" s="362"/>
      <c r="J2004" s="362"/>
    </row>
    <row r="2005" spans="1:10" x14ac:dyDescent="0.25">
      <c r="A2005" s="362"/>
      <c r="B2005" s="609">
        <v>44183</v>
      </c>
      <c r="C2005" s="362" t="s">
        <v>3435</v>
      </c>
      <c r="D2005" s="560">
        <v>43607529</v>
      </c>
      <c r="E2005" s="560"/>
      <c r="F2005" s="560">
        <v>43607600</v>
      </c>
      <c r="G2005" s="560">
        <f t="shared" si="37"/>
        <v>-71</v>
      </c>
      <c r="H2005" s="362"/>
      <c r="I2005" s="362"/>
      <c r="J2005" s="362"/>
    </row>
    <row r="2006" spans="1:10" x14ac:dyDescent="0.25">
      <c r="A2006" s="362"/>
      <c r="B2006" s="609">
        <v>44183</v>
      </c>
      <c r="C2006" s="362" t="s">
        <v>85</v>
      </c>
      <c r="D2006" s="560">
        <v>29182300</v>
      </c>
      <c r="E2006" s="560"/>
      <c r="F2006" s="560">
        <v>29182300</v>
      </c>
      <c r="G2006" s="560">
        <f t="shared" si="37"/>
        <v>0</v>
      </c>
      <c r="H2006" s="362"/>
      <c r="I2006" s="362"/>
      <c r="J2006" s="362"/>
    </row>
    <row r="2007" spans="1:10" x14ac:dyDescent="0.25">
      <c r="A2007" s="530"/>
      <c r="B2007" s="530"/>
      <c r="C2007" s="530"/>
      <c r="D2007" s="562"/>
      <c r="E2007" s="562"/>
      <c r="F2007" s="562"/>
      <c r="G2007" s="562">
        <f t="shared" si="37"/>
        <v>0</v>
      </c>
      <c r="H2007" s="530"/>
      <c r="I2007" s="530"/>
      <c r="J2007" s="530"/>
    </row>
    <row r="2008" spans="1:10" x14ac:dyDescent="0.25">
      <c r="A2008" s="362"/>
      <c r="B2008" s="609">
        <v>44184</v>
      </c>
      <c r="C2008" s="362" t="s">
        <v>86</v>
      </c>
      <c r="D2008" s="560">
        <v>63363244</v>
      </c>
      <c r="E2008" s="560">
        <v>62145580</v>
      </c>
      <c r="F2008" s="560">
        <v>125508800</v>
      </c>
      <c r="G2008" s="560">
        <f t="shared" si="37"/>
        <v>24</v>
      </c>
      <c r="H2008" s="362"/>
      <c r="I2008" s="362"/>
      <c r="J2008" s="362"/>
    </row>
    <row r="2009" spans="1:10" x14ac:dyDescent="0.25">
      <c r="A2009" s="362"/>
      <c r="B2009" s="609">
        <v>44184</v>
      </c>
      <c r="C2009" s="362" t="s">
        <v>87</v>
      </c>
      <c r="D2009" s="560">
        <v>70704071</v>
      </c>
      <c r="E2009" s="560">
        <v>61757547</v>
      </c>
      <c r="F2009" s="560">
        <v>132461700</v>
      </c>
      <c r="G2009" s="560">
        <f t="shared" si="37"/>
        <v>-82</v>
      </c>
      <c r="H2009" s="362"/>
      <c r="I2009" s="362"/>
      <c r="J2009" s="362"/>
    </row>
    <row r="2010" spans="1:10" x14ac:dyDescent="0.25">
      <c r="A2010" s="362"/>
      <c r="B2010" s="609">
        <v>44184</v>
      </c>
      <c r="C2010" s="362" t="s">
        <v>88</v>
      </c>
      <c r="D2010" s="560">
        <v>119689050</v>
      </c>
      <c r="E2010" s="560">
        <v>17691757</v>
      </c>
      <c r="F2010" s="560">
        <v>137380600</v>
      </c>
      <c r="G2010" s="560">
        <f t="shared" si="37"/>
        <v>207</v>
      </c>
      <c r="H2010" s="362"/>
      <c r="I2010" s="362"/>
      <c r="J2010" s="362"/>
    </row>
    <row r="2011" spans="1:10" x14ac:dyDescent="0.25">
      <c r="A2011" s="362"/>
      <c r="B2011" s="609">
        <v>44184</v>
      </c>
      <c r="C2011" s="362" t="s">
        <v>82</v>
      </c>
      <c r="D2011" s="560">
        <v>218240757</v>
      </c>
      <c r="E2011" s="560">
        <v>4774000</v>
      </c>
      <c r="F2011" s="560">
        <v>223014800</v>
      </c>
      <c r="G2011" s="560">
        <f t="shared" si="37"/>
        <v>-43</v>
      </c>
      <c r="H2011" s="362"/>
      <c r="I2011" s="362"/>
      <c r="J2011" s="362"/>
    </row>
    <row r="2012" spans="1:10" x14ac:dyDescent="0.25">
      <c r="A2012" s="362"/>
      <c r="B2012" s="609">
        <v>44184</v>
      </c>
      <c r="C2012" s="362" t="s">
        <v>80</v>
      </c>
      <c r="D2012" s="560">
        <v>203707700</v>
      </c>
      <c r="E2012" s="560">
        <v>5121000</v>
      </c>
      <c r="F2012" s="560">
        <v>208828700</v>
      </c>
      <c r="G2012" s="560">
        <f t="shared" si="37"/>
        <v>0</v>
      </c>
      <c r="H2012" s="362"/>
      <c r="I2012" s="362"/>
      <c r="J2012" s="362"/>
    </row>
    <row r="2013" spans="1:10" x14ac:dyDescent="0.25">
      <c r="A2013" s="362"/>
      <c r="B2013" s="609">
        <v>44184</v>
      </c>
      <c r="C2013" s="362" t="s">
        <v>83</v>
      </c>
      <c r="D2013" s="560">
        <v>182473078</v>
      </c>
      <c r="E2013" s="560">
        <v>17486437</v>
      </c>
      <c r="F2013" s="560">
        <v>199959600</v>
      </c>
      <c r="G2013" s="560">
        <f t="shared" si="37"/>
        <v>-85</v>
      </c>
      <c r="H2013" s="362"/>
      <c r="I2013" s="362"/>
      <c r="J2013" s="362"/>
    </row>
    <row r="2014" spans="1:10" x14ac:dyDescent="0.25">
      <c r="A2014" s="362"/>
      <c r="B2014" s="609">
        <v>44184</v>
      </c>
      <c r="C2014" s="362" t="s">
        <v>78</v>
      </c>
      <c r="D2014" s="560">
        <v>114309831</v>
      </c>
      <c r="E2014" s="560">
        <v>2591569</v>
      </c>
      <c r="F2014" s="560">
        <v>116901400</v>
      </c>
      <c r="G2014" s="560">
        <f t="shared" si="37"/>
        <v>0</v>
      </c>
      <c r="H2014" s="362"/>
      <c r="I2014" s="362"/>
      <c r="J2014" s="362"/>
    </row>
    <row r="2015" spans="1:10" x14ac:dyDescent="0.25">
      <c r="A2015" s="362"/>
      <c r="B2015" s="609">
        <v>44184</v>
      </c>
      <c r="C2015" s="362" t="s">
        <v>141</v>
      </c>
      <c r="D2015" s="560">
        <v>31213311</v>
      </c>
      <c r="E2015" s="560">
        <v>3018270</v>
      </c>
      <c r="F2015" s="560">
        <v>34231600</v>
      </c>
      <c r="G2015" s="560">
        <f t="shared" si="37"/>
        <v>-19</v>
      </c>
      <c r="H2015" s="362"/>
      <c r="I2015" s="362"/>
      <c r="J2015" s="362"/>
    </row>
    <row r="2016" spans="1:10" x14ac:dyDescent="0.25">
      <c r="A2016" s="362"/>
      <c r="B2016" s="609">
        <v>44184</v>
      </c>
      <c r="C2016" s="362" t="s">
        <v>89</v>
      </c>
      <c r="D2016" s="560">
        <v>86429213</v>
      </c>
      <c r="E2016" s="560">
        <v>110625787</v>
      </c>
      <c r="F2016" s="560">
        <v>197055000</v>
      </c>
      <c r="G2016" s="560">
        <f t="shared" si="37"/>
        <v>0</v>
      </c>
      <c r="H2016" s="362"/>
      <c r="I2016" s="362"/>
      <c r="J2016" s="362"/>
    </row>
    <row r="2017" spans="1:10" x14ac:dyDescent="0.25">
      <c r="A2017" s="362"/>
      <c r="B2017" s="609">
        <v>44184</v>
      </c>
      <c r="C2017" s="362" t="s">
        <v>81</v>
      </c>
      <c r="D2017" s="560">
        <v>98397111</v>
      </c>
      <c r="E2017" s="560">
        <v>22371954</v>
      </c>
      <c r="F2017" s="560">
        <f>76200920+44568180</f>
        <v>120769100</v>
      </c>
      <c r="G2017" s="560">
        <f t="shared" si="37"/>
        <v>-35</v>
      </c>
      <c r="H2017" s="362"/>
      <c r="I2017" s="362"/>
      <c r="J2017" s="362"/>
    </row>
    <row r="2018" spans="1:10" x14ac:dyDescent="0.25">
      <c r="A2018" s="362"/>
      <c r="B2018" s="609">
        <v>44184</v>
      </c>
      <c r="C2018" s="362" t="s">
        <v>84</v>
      </c>
      <c r="D2018" s="560">
        <v>120317905</v>
      </c>
      <c r="E2018" s="560">
        <v>11577403</v>
      </c>
      <c r="F2018" s="560">
        <v>131895300</v>
      </c>
      <c r="G2018" s="560">
        <f t="shared" si="37"/>
        <v>8</v>
      </c>
      <c r="H2018" s="362"/>
      <c r="I2018" s="362"/>
      <c r="J2018" s="362"/>
    </row>
    <row r="2019" spans="1:10" x14ac:dyDescent="0.25">
      <c r="A2019" s="362"/>
      <c r="B2019" s="609">
        <v>44184</v>
      </c>
      <c r="C2019" s="362" t="s">
        <v>4751</v>
      </c>
      <c r="D2019" s="560">
        <v>233898043</v>
      </c>
      <c r="E2019" s="560">
        <v>11080657</v>
      </c>
      <c r="F2019" s="560">
        <v>244978700</v>
      </c>
      <c r="G2019" s="560">
        <f t="shared" si="37"/>
        <v>0</v>
      </c>
      <c r="H2019" s="362"/>
      <c r="I2019" s="362"/>
      <c r="J2019" s="362"/>
    </row>
    <row r="2020" spans="1:10" x14ac:dyDescent="0.25">
      <c r="A2020" s="362"/>
      <c r="B2020" s="609">
        <v>44184</v>
      </c>
      <c r="C2020" s="362" t="s">
        <v>166</v>
      </c>
      <c r="D2020" s="560"/>
      <c r="E2020" s="560"/>
      <c r="F2020" s="560"/>
      <c r="G2020" s="560">
        <f t="shared" si="37"/>
        <v>0</v>
      </c>
      <c r="H2020" s="362"/>
      <c r="I2020" s="362"/>
      <c r="J2020" s="362"/>
    </row>
    <row r="2021" spans="1:10" x14ac:dyDescent="0.25">
      <c r="A2021" s="362"/>
      <c r="B2021" s="609">
        <v>44184</v>
      </c>
      <c r="C2021" s="362" t="s">
        <v>3435</v>
      </c>
      <c r="D2021" s="560"/>
      <c r="E2021" s="560"/>
      <c r="F2021" s="560"/>
      <c r="G2021" s="560">
        <f t="shared" si="37"/>
        <v>0</v>
      </c>
      <c r="H2021" s="362"/>
      <c r="I2021" s="362"/>
      <c r="J2021" s="362"/>
    </row>
    <row r="2022" spans="1:10" x14ac:dyDescent="0.25">
      <c r="A2022" s="362"/>
      <c r="B2022" s="609">
        <v>44184</v>
      </c>
      <c r="C2022" s="362" t="s">
        <v>85</v>
      </c>
      <c r="D2022" s="560">
        <v>19113200</v>
      </c>
      <c r="E2022" s="560"/>
      <c r="F2022" s="560">
        <v>19113200</v>
      </c>
      <c r="G2022" s="560">
        <f t="shared" si="37"/>
        <v>0</v>
      </c>
      <c r="H2022" s="362"/>
      <c r="I2022" s="362"/>
      <c r="J2022" s="362"/>
    </row>
    <row r="2023" spans="1:10" x14ac:dyDescent="0.25">
      <c r="A2023" s="530"/>
      <c r="B2023" s="530"/>
      <c r="C2023" s="530"/>
      <c r="D2023" s="562"/>
      <c r="E2023" s="562"/>
      <c r="F2023" s="562"/>
      <c r="G2023" s="562">
        <f t="shared" si="37"/>
        <v>0</v>
      </c>
      <c r="H2023" s="530"/>
      <c r="I2023" s="530"/>
      <c r="J2023" s="530"/>
    </row>
    <row r="2024" spans="1:10" x14ac:dyDescent="0.25">
      <c r="A2024" s="362"/>
      <c r="B2024" s="609">
        <v>44186</v>
      </c>
      <c r="C2024" s="362" t="s">
        <v>86</v>
      </c>
      <c r="D2024" s="560">
        <v>55057937</v>
      </c>
      <c r="E2024" s="560">
        <v>19516903</v>
      </c>
      <c r="F2024" s="560">
        <v>74574900</v>
      </c>
      <c r="G2024" s="560">
        <f t="shared" si="37"/>
        <v>-60</v>
      </c>
      <c r="H2024" s="362"/>
      <c r="I2024" s="362"/>
      <c r="J2024" s="362"/>
    </row>
    <row r="2025" spans="1:10" x14ac:dyDescent="0.25">
      <c r="A2025" s="362"/>
      <c r="B2025" s="609">
        <v>44186</v>
      </c>
      <c r="C2025" s="362" t="s">
        <v>87</v>
      </c>
      <c r="D2025" s="560">
        <v>121067437</v>
      </c>
      <c r="E2025" s="560">
        <v>210690886</v>
      </c>
      <c r="F2025" s="560">
        <v>331758000</v>
      </c>
      <c r="G2025" s="560">
        <f t="shared" ref="G2025:G2088" si="38">D2025+E2025-F2025</f>
        <v>323</v>
      </c>
      <c r="H2025" s="362"/>
      <c r="I2025" s="362"/>
      <c r="J2025" s="362"/>
    </row>
    <row r="2026" spans="1:10" x14ac:dyDescent="0.25">
      <c r="A2026" s="362"/>
      <c r="B2026" s="609">
        <v>44186</v>
      </c>
      <c r="C2026" s="362" t="s">
        <v>88</v>
      </c>
      <c r="D2026" s="560">
        <v>262948899</v>
      </c>
      <c r="E2026" s="560">
        <v>64500426</v>
      </c>
      <c r="F2026" s="560">
        <v>327449800</v>
      </c>
      <c r="G2026" s="560">
        <f t="shared" si="38"/>
        <v>-475</v>
      </c>
      <c r="H2026" s="362"/>
      <c r="I2026" s="362"/>
      <c r="J2026" s="362"/>
    </row>
    <row r="2027" spans="1:10" x14ac:dyDescent="0.25">
      <c r="A2027" s="362"/>
      <c r="B2027" s="609">
        <v>44186</v>
      </c>
      <c r="C2027" s="362" t="s">
        <v>82</v>
      </c>
      <c r="D2027" s="560">
        <v>49387333</v>
      </c>
      <c r="E2027" s="560">
        <v>12200966</v>
      </c>
      <c r="F2027" s="560">
        <v>61588300</v>
      </c>
      <c r="G2027" s="560">
        <f t="shared" si="38"/>
        <v>-1</v>
      </c>
      <c r="H2027" s="362"/>
      <c r="I2027" s="362"/>
      <c r="J2027" s="362"/>
    </row>
    <row r="2028" spans="1:10" x14ac:dyDescent="0.25">
      <c r="A2028" s="362"/>
      <c r="B2028" s="609">
        <v>44186</v>
      </c>
      <c r="C2028" s="362" t="s">
        <v>80</v>
      </c>
      <c r="D2028" s="560">
        <v>178431459</v>
      </c>
      <c r="E2028" s="560"/>
      <c r="F2028" s="560">
        <v>178431500</v>
      </c>
      <c r="G2028" s="560">
        <f t="shared" si="38"/>
        <v>-41</v>
      </c>
      <c r="H2028" s="362"/>
      <c r="I2028" s="362"/>
      <c r="J2028" s="362"/>
    </row>
    <row r="2029" spans="1:10" x14ac:dyDescent="0.25">
      <c r="A2029" s="362"/>
      <c r="B2029" s="609">
        <v>44186</v>
      </c>
      <c r="C2029" s="362" t="s">
        <v>83</v>
      </c>
      <c r="D2029" s="560">
        <v>300868701</v>
      </c>
      <c r="E2029" s="560">
        <v>112501301</v>
      </c>
      <c r="F2029" s="560">
        <v>413370000</v>
      </c>
      <c r="G2029" s="560">
        <f t="shared" si="38"/>
        <v>2</v>
      </c>
      <c r="H2029" s="362"/>
      <c r="I2029" s="362"/>
      <c r="J2029" s="362"/>
    </row>
    <row r="2030" spans="1:10" x14ac:dyDescent="0.25">
      <c r="A2030" s="362"/>
      <c r="B2030" s="609">
        <v>44186</v>
      </c>
      <c r="C2030" s="362" t="s">
        <v>78</v>
      </c>
      <c r="D2030" s="560">
        <v>95447954</v>
      </c>
      <c r="E2030" s="560">
        <v>822146</v>
      </c>
      <c r="F2030" s="560">
        <v>96270100</v>
      </c>
      <c r="G2030" s="560">
        <f t="shared" si="38"/>
        <v>0</v>
      </c>
      <c r="H2030" s="362"/>
      <c r="I2030" s="362"/>
      <c r="J2030" s="362"/>
    </row>
    <row r="2031" spans="1:10" x14ac:dyDescent="0.25">
      <c r="A2031" s="362"/>
      <c r="B2031" s="609">
        <v>44186</v>
      </c>
      <c r="C2031" s="362" t="s">
        <v>141</v>
      </c>
      <c r="D2031" s="560">
        <v>73446355</v>
      </c>
      <c r="E2031" s="560">
        <v>1880699</v>
      </c>
      <c r="F2031" s="560">
        <v>75327100</v>
      </c>
      <c r="G2031" s="560">
        <f t="shared" si="38"/>
        <v>-46</v>
      </c>
      <c r="H2031" s="362"/>
      <c r="I2031" s="362"/>
      <c r="J2031" s="362"/>
    </row>
    <row r="2032" spans="1:10" x14ac:dyDescent="0.25">
      <c r="A2032" s="362"/>
      <c r="B2032" s="609">
        <v>44186</v>
      </c>
      <c r="C2032" s="362" t="s">
        <v>89</v>
      </c>
      <c r="D2032" s="560">
        <v>161558130</v>
      </c>
      <c r="E2032" s="560">
        <v>16522070</v>
      </c>
      <c r="F2032" s="560">
        <v>178080200</v>
      </c>
      <c r="G2032" s="560">
        <f t="shared" si="38"/>
        <v>0</v>
      </c>
      <c r="H2032" s="362"/>
      <c r="I2032" s="362"/>
      <c r="J2032" s="362"/>
    </row>
    <row r="2033" spans="1:10" x14ac:dyDescent="0.25">
      <c r="A2033" s="362"/>
      <c r="B2033" s="609">
        <v>44186</v>
      </c>
      <c r="C2033" s="362" t="s">
        <v>81</v>
      </c>
      <c r="D2033" s="560">
        <v>40517001</v>
      </c>
      <c r="E2033" s="560">
        <v>10429038</v>
      </c>
      <c r="F2033" s="560">
        <v>50946100</v>
      </c>
      <c r="G2033" s="560">
        <f t="shared" si="38"/>
        <v>-61</v>
      </c>
      <c r="H2033" s="362"/>
      <c r="I2033" s="362"/>
      <c r="J2033" s="362"/>
    </row>
    <row r="2034" spans="1:10" x14ac:dyDescent="0.25">
      <c r="A2034" s="362"/>
      <c r="B2034" s="609">
        <v>44186</v>
      </c>
      <c r="C2034" s="362" t="s">
        <v>84</v>
      </c>
      <c r="D2034" s="560">
        <v>256852131</v>
      </c>
      <c r="E2034" s="560">
        <v>7842600</v>
      </c>
      <c r="F2034" s="560">
        <v>264694800</v>
      </c>
      <c r="G2034" s="560">
        <f t="shared" si="38"/>
        <v>-69</v>
      </c>
      <c r="H2034" s="362"/>
      <c r="I2034" s="362"/>
      <c r="J2034" s="362"/>
    </row>
    <row r="2035" spans="1:10" x14ac:dyDescent="0.25">
      <c r="A2035" s="362"/>
      <c r="B2035" s="609">
        <v>44186</v>
      </c>
      <c r="C2035" s="362" t="s">
        <v>4751</v>
      </c>
      <c r="D2035" s="560">
        <v>213416892</v>
      </c>
      <c r="E2035" s="560">
        <v>18883808</v>
      </c>
      <c r="F2035" s="560">
        <v>232300700</v>
      </c>
      <c r="G2035" s="560">
        <f t="shared" si="38"/>
        <v>0</v>
      </c>
      <c r="H2035" s="362"/>
      <c r="I2035" s="362"/>
      <c r="J2035" s="362"/>
    </row>
    <row r="2036" spans="1:10" x14ac:dyDescent="0.25">
      <c r="A2036" s="362"/>
      <c r="B2036" s="609">
        <v>44186</v>
      </c>
      <c r="C2036" s="362" t="s">
        <v>166</v>
      </c>
      <c r="D2036" s="560">
        <v>57966477</v>
      </c>
      <c r="E2036" s="362"/>
      <c r="F2036" s="560">
        <v>57966500</v>
      </c>
      <c r="G2036" s="560">
        <f t="shared" si="38"/>
        <v>-23</v>
      </c>
      <c r="H2036" s="362"/>
      <c r="I2036" s="362"/>
      <c r="J2036" s="362"/>
    </row>
    <row r="2037" spans="1:10" x14ac:dyDescent="0.25">
      <c r="A2037" s="362"/>
      <c r="B2037" s="609">
        <v>44186</v>
      </c>
      <c r="C2037" s="362" t="s">
        <v>3435</v>
      </c>
      <c r="D2037" s="560">
        <v>38910148</v>
      </c>
      <c r="E2037" s="362"/>
      <c r="F2037" s="560">
        <v>38910200</v>
      </c>
      <c r="G2037" s="560">
        <f t="shared" si="38"/>
        <v>-52</v>
      </c>
      <c r="H2037" s="362"/>
      <c r="I2037" s="362"/>
      <c r="J2037" s="362"/>
    </row>
    <row r="2038" spans="1:10" x14ac:dyDescent="0.25">
      <c r="A2038" s="362"/>
      <c r="B2038" s="609">
        <v>44186</v>
      </c>
      <c r="C2038" s="362" t="s">
        <v>85</v>
      </c>
      <c r="D2038" s="560">
        <v>43415700</v>
      </c>
      <c r="E2038" s="560"/>
      <c r="F2038" s="560">
        <v>43415700</v>
      </c>
      <c r="G2038" s="560">
        <f t="shared" si="38"/>
        <v>0</v>
      </c>
      <c r="H2038" s="362"/>
      <c r="I2038" s="362"/>
      <c r="J2038" s="362"/>
    </row>
    <row r="2039" spans="1:10" x14ac:dyDescent="0.25">
      <c r="A2039" s="530"/>
      <c r="B2039" s="530"/>
      <c r="C2039" s="530"/>
      <c r="D2039" s="562"/>
      <c r="E2039" s="562"/>
      <c r="F2039" s="530"/>
      <c r="G2039" s="560">
        <f t="shared" si="38"/>
        <v>0</v>
      </c>
      <c r="H2039" s="530"/>
      <c r="I2039" s="530"/>
      <c r="J2039" s="530"/>
    </row>
    <row r="2040" spans="1:10" x14ac:dyDescent="0.25">
      <c r="A2040" s="362"/>
      <c r="B2040" s="609">
        <v>44187</v>
      </c>
      <c r="C2040" s="362" t="s">
        <v>86</v>
      </c>
      <c r="D2040" s="560">
        <v>36998846</v>
      </c>
      <c r="E2040" s="560">
        <v>12993660</v>
      </c>
      <c r="F2040" s="560">
        <v>49992500</v>
      </c>
      <c r="G2040" s="560">
        <f t="shared" si="38"/>
        <v>6</v>
      </c>
      <c r="H2040" s="362"/>
      <c r="I2040" s="362"/>
      <c r="J2040" s="362"/>
    </row>
    <row r="2041" spans="1:10" x14ac:dyDescent="0.25">
      <c r="A2041" s="362"/>
      <c r="B2041" s="609">
        <v>44187</v>
      </c>
      <c r="C2041" s="362" t="s">
        <v>87</v>
      </c>
      <c r="D2041" s="560">
        <v>75438004</v>
      </c>
      <c r="E2041" s="560">
        <v>25785985</v>
      </c>
      <c r="F2041" s="560">
        <v>101224100</v>
      </c>
      <c r="G2041" s="560">
        <f t="shared" si="38"/>
        <v>-111</v>
      </c>
      <c r="H2041" s="362"/>
      <c r="I2041" s="362"/>
      <c r="J2041" s="362"/>
    </row>
    <row r="2042" spans="1:10" x14ac:dyDescent="0.25">
      <c r="A2042" s="362"/>
      <c r="B2042" s="609">
        <v>44187</v>
      </c>
      <c r="C2042" s="362" t="s">
        <v>88</v>
      </c>
      <c r="D2042" s="560">
        <v>299690724</v>
      </c>
      <c r="E2042" s="560">
        <v>30173861</v>
      </c>
      <c r="F2042" s="560">
        <v>329875000</v>
      </c>
      <c r="G2042" s="560">
        <f t="shared" si="38"/>
        <v>-10415</v>
      </c>
      <c r="H2042" s="362"/>
      <c r="I2042" s="362"/>
      <c r="J2042" s="362"/>
    </row>
    <row r="2043" spans="1:10" x14ac:dyDescent="0.25">
      <c r="A2043" s="362"/>
      <c r="B2043" s="609">
        <v>44187</v>
      </c>
      <c r="C2043" s="362" t="s">
        <v>82</v>
      </c>
      <c r="D2043" s="560">
        <v>65549836</v>
      </c>
      <c r="E2043" s="560">
        <v>1333626</v>
      </c>
      <c r="F2043" s="560">
        <v>66883500</v>
      </c>
      <c r="G2043" s="560">
        <f t="shared" si="38"/>
        <v>-38</v>
      </c>
      <c r="H2043" s="362"/>
      <c r="I2043" s="362"/>
      <c r="J2043" s="362"/>
    </row>
    <row r="2044" spans="1:10" x14ac:dyDescent="0.25">
      <c r="A2044" s="362"/>
      <c r="B2044" s="609">
        <v>44187</v>
      </c>
      <c r="C2044" s="362" t="s">
        <v>80</v>
      </c>
      <c r="D2044" s="560">
        <v>233624948</v>
      </c>
      <c r="E2044" s="560">
        <v>10318452</v>
      </c>
      <c r="F2044" s="560">
        <v>243943400</v>
      </c>
      <c r="G2044" s="560">
        <f t="shared" si="38"/>
        <v>0</v>
      </c>
      <c r="H2044" s="362"/>
      <c r="I2044" s="362"/>
      <c r="J2044" s="362"/>
    </row>
    <row r="2045" spans="1:10" x14ac:dyDescent="0.25">
      <c r="A2045" s="362"/>
      <c r="B2045" s="609">
        <v>44187</v>
      </c>
      <c r="C2045" s="362" t="s">
        <v>83</v>
      </c>
      <c r="D2045" s="560">
        <v>274858718</v>
      </c>
      <c r="E2045" s="560">
        <v>12724280</v>
      </c>
      <c r="F2045" s="560">
        <v>287583000</v>
      </c>
      <c r="G2045" s="560">
        <f t="shared" si="38"/>
        <v>-2</v>
      </c>
      <c r="H2045" s="362"/>
      <c r="I2045" s="362"/>
      <c r="J2045" s="362"/>
    </row>
    <row r="2046" spans="1:10" x14ac:dyDescent="0.25">
      <c r="A2046" s="362"/>
      <c r="B2046" s="609">
        <v>44187</v>
      </c>
      <c r="C2046" s="362" t="s">
        <v>78</v>
      </c>
      <c r="D2046" s="560">
        <v>68192734</v>
      </c>
      <c r="E2046" s="560">
        <v>2655066</v>
      </c>
      <c r="F2046" s="560">
        <v>70847800</v>
      </c>
      <c r="G2046" s="560">
        <f t="shared" si="38"/>
        <v>0</v>
      </c>
      <c r="H2046" s="362"/>
      <c r="I2046" s="362"/>
      <c r="J2046" s="362"/>
    </row>
    <row r="2047" spans="1:10" x14ac:dyDescent="0.25">
      <c r="A2047" s="362"/>
      <c r="B2047" s="609">
        <v>44187</v>
      </c>
      <c r="C2047" s="362" t="s">
        <v>141</v>
      </c>
      <c r="D2047" s="560">
        <v>55740174</v>
      </c>
      <c r="E2047" s="560">
        <v>1337800</v>
      </c>
      <c r="F2047" s="560">
        <v>57078000</v>
      </c>
      <c r="G2047" s="560">
        <f t="shared" si="38"/>
        <v>-26</v>
      </c>
      <c r="H2047" s="362"/>
      <c r="I2047" s="362"/>
      <c r="J2047" s="362"/>
    </row>
    <row r="2048" spans="1:10" x14ac:dyDescent="0.25">
      <c r="A2048" s="362"/>
      <c r="B2048" s="609">
        <v>44187</v>
      </c>
      <c r="C2048" s="362" t="s">
        <v>89</v>
      </c>
      <c r="D2048" s="560">
        <v>105546725</v>
      </c>
      <c r="E2048" s="560">
        <v>15187675</v>
      </c>
      <c r="F2048" s="560">
        <v>120734400</v>
      </c>
      <c r="G2048" s="560">
        <f t="shared" si="38"/>
        <v>0</v>
      </c>
      <c r="H2048" s="362"/>
      <c r="I2048" s="362"/>
      <c r="J2048" s="362"/>
    </row>
    <row r="2049" spans="1:10" x14ac:dyDescent="0.25">
      <c r="A2049" s="362"/>
      <c r="B2049" s="609">
        <v>44187</v>
      </c>
      <c r="C2049" s="362" t="s">
        <v>81</v>
      </c>
      <c r="D2049" s="560">
        <v>61683108</v>
      </c>
      <c r="E2049" s="560">
        <v>22478430</v>
      </c>
      <c r="F2049" s="560">
        <f>84161600</f>
        <v>84161600</v>
      </c>
      <c r="G2049" s="560">
        <f t="shared" si="38"/>
        <v>-62</v>
      </c>
      <c r="H2049" s="362"/>
      <c r="I2049" s="362"/>
      <c r="J2049" s="362"/>
    </row>
    <row r="2050" spans="1:10" x14ac:dyDescent="0.25">
      <c r="A2050" s="362"/>
      <c r="B2050" s="609">
        <v>44187</v>
      </c>
      <c r="C2050" s="362" t="s">
        <v>84</v>
      </c>
      <c r="D2050" s="560">
        <v>320711858</v>
      </c>
      <c r="E2050" s="560">
        <v>9670938</v>
      </c>
      <c r="F2050" s="560">
        <v>330383000</v>
      </c>
      <c r="G2050" s="560">
        <f t="shared" si="38"/>
        <v>-204</v>
      </c>
      <c r="H2050" s="362"/>
      <c r="I2050" s="362"/>
      <c r="J2050" s="362"/>
    </row>
    <row r="2051" spans="1:10" x14ac:dyDescent="0.25">
      <c r="A2051" s="362"/>
      <c r="B2051" s="609">
        <v>44187</v>
      </c>
      <c r="C2051" s="362" t="s">
        <v>4751</v>
      </c>
      <c r="D2051" s="560">
        <v>252709086</v>
      </c>
      <c r="E2051" s="560">
        <v>11183114</v>
      </c>
      <c r="F2051" s="560">
        <v>263892200</v>
      </c>
      <c r="G2051" s="560">
        <f t="shared" si="38"/>
        <v>0</v>
      </c>
      <c r="H2051" s="362"/>
      <c r="I2051" s="362"/>
      <c r="J2051" s="362"/>
    </row>
    <row r="2052" spans="1:10" x14ac:dyDescent="0.25">
      <c r="A2052" s="362"/>
      <c r="B2052" s="609">
        <v>44187</v>
      </c>
      <c r="C2052" s="362" t="s">
        <v>166</v>
      </c>
      <c r="D2052" s="560">
        <v>67349332</v>
      </c>
      <c r="E2052" s="560"/>
      <c r="F2052" s="560">
        <v>67349500</v>
      </c>
      <c r="G2052" s="560">
        <f t="shared" si="38"/>
        <v>-168</v>
      </c>
      <c r="H2052" s="362"/>
      <c r="I2052" s="362"/>
      <c r="J2052" s="362"/>
    </row>
    <row r="2053" spans="1:10" x14ac:dyDescent="0.25">
      <c r="A2053" s="362"/>
      <c r="B2053" s="609">
        <v>44187</v>
      </c>
      <c r="C2053" s="362" t="s">
        <v>3435</v>
      </c>
      <c r="D2053" s="560">
        <v>20013210</v>
      </c>
      <c r="E2053" s="560"/>
      <c r="F2053" s="560">
        <v>20013300</v>
      </c>
      <c r="G2053" s="560">
        <f t="shared" si="38"/>
        <v>-90</v>
      </c>
      <c r="H2053" s="362"/>
      <c r="I2053" s="362"/>
      <c r="J2053" s="362"/>
    </row>
    <row r="2054" spans="1:10" x14ac:dyDescent="0.25">
      <c r="A2054" s="362"/>
      <c r="B2054" s="609">
        <v>44187</v>
      </c>
      <c r="C2054" s="362" t="s">
        <v>85</v>
      </c>
      <c r="D2054" s="560">
        <v>26561500</v>
      </c>
      <c r="E2054" s="560"/>
      <c r="F2054" s="560">
        <v>26561500</v>
      </c>
      <c r="G2054" s="560">
        <f t="shared" si="38"/>
        <v>0</v>
      </c>
      <c r="H2054" s="362"/>
      <c r="I2054" s="362"/>
      <c r="J2054" s="362"/>
    </row>
    <row r="2055" spans="1:10" x14ac:dyDescent="0.25">
      <c r="A2055" s="530"/>
      <c r="B2055" s="530"/>
      <c r="C2055" s="530"/>
      <c r="D2055" s="562"/>
      <c r="E2055" s="562"/>
      <c r="F2055" s="562"/>
      <c r="G2055" s="560">
        <f t="shared" si="38"/>
        <v>0</v>
      </c>
      <c r="H2055" s="530"/>
      <c r="I2055" s="530"/>
      <c r="J2055" s="530"/>
    </row>
    <row r="2056" spans="1:10" x14ac:dyDescent="0.25">
      <c r="A2056" s="362"/>
      <c r="B2056" s="609">
        <v>44188</v>
      </c>
      <c r="C2056" s="362" t="s">
        <v>86</v>
      </c>
      <c r="D2056" s="560">
        <v>61718617</v>
      </c>
      <c r="E2056" s="560">
        <v>204128508</v>
      </c>
      <c r="F2056" s="560">
        <v>265847000</v>
      </c>
      <c r="G2056" s="560">
        <f t="shared" si="38"/>
        <v>125</v>
      </c>
      <c r="H2056" s="362"/>
      <c r="I2056" s="362"/>
      <c r="J2056" s="362"/>
    </row>
    <row r="2057" spans="1:10" x14ac:dyDescent="0.25">
      <c r="A2057" s="362"/>
      <c r="B2057" s="609">
        <v>44188</v>
      </c>
      <c r="C2057" s="362" t="s">
        <v>87</v>
      </c>
      <c r="D2057" s="560">
        <v>37327251</v>
      </c>
      <c r="E2057" s="560">
        <v>55951770</v>
      </c>
      <c r="F2057" s="560">
        <v>93279000</v>
      </c>
      <c r="G2057" s="560">
        <f t="shared" si="38"/>
        <v>21</v>
      </c>
      <c r="H2057" s="362"/>
      <c r="I2057" s="362"/>
      <c r="J2057" s="362"/>
    </row>
    <row r="2058" spans="1:10" x14ac:dyDescent="0.25">
      <c r="A2058" s="362"/>
      <c r="B2058" s="609">
        <v>44188</v>
      </c>
      <c r="C2058" s="362" t="s">
        <v>88</v>
      </c>
      <c r="D2058" s="560">
        <v>171185931</v>
      </c>
      <c r="E2058" s="560">
        <v>18132353</v>
      </c>
      <c r="F2058" s="560">
        <v>189318300</v>
      </c>
      <c r="G2058" s="560">
        <f t="shared" si="38"/>
        <v>-16</v>
      </c>
      <c r="H2058" s="362"/>
      <c r="I2058" s="362"/>
      <c r="J2058" s="362"/>
    </row>
    <row r="2059" spans="1:10" x14ac:dyDescent="0.25">
      <c r="A2059" s="362"/>
      <c r="B2059" s="609">
        <v>44188</v>
      </c>
      <c r="C2059" s="362" t="s">
        <v>82</v>
      </c>
      <c r="D2059" s="560">
        <v>247880544</v>
      </c>
      <c r="E2059" s="560"/>
      <c r="F2059" s="560">
        <v>250297600</v>
      </c>
      <c r="G2059" s="560">
        <f t="shared" si="38"/>
        <v>-2417056</v>
      </c>
      <c r="H2059" s="362"/>
      <c r="I2059" s="362"/>
      <c r="J2059" s="362"/>
    </row>
    <row r="2060" spans="1:10" x14ac:dyDescent="0.25">
      <c r="A2060" s="362"/>
      <c r="B2060" s="609">
        <v>44188</v>
      </c>
      <c r="C2060" s="362" t="s">
        <v>80</v>
      </c>
      <c r="D2060" s="560">
        <v>181736230</v>
      </c>
      <c r="E2060" s="560"/>
      <c r="F2060" s="560">
        <v>181727500</v>
      </c>
      <c r="G2060" s="560">
        <f t="shared" si="38"/>
        <v>8730</v>
      </c>
      <c r="H2060" s="362"/>
      <c r="I2060" s="362"/>
      <c r="J2060" s="362"/>
    </row>
    <row r="2061" spans="1:10" x14ac:dyDescent="0.25">
      <c r="A2061" s="362"/>
      <c r="B2061" s="609">
        <v>44188</v>
      </c>
      <c r="C2061" s="362" t="s">
        <v>83</v>
      </c>
      <c r="D2061" s="560">
        <v>103762682</v>
      </c>
      <c r="E2061" s="560">
        <v>21283018</v>
      </c>
      <c r="F2061" s="560">
        <v>125045700</v>
      </c>
      <c r="G2061" s="560">
        <f t="shared" si="38"/>
        <v>0</v>
      </c>
      <c r="H2061" s="362"/>
      <c r="I2061" s="362"/>
      <c r="J2061" s="362"/>
    </row>
    <row r="2062" spans="1:10" x14ac:dyDescent="0.25">
      <c r="A2062" s="362"/>
      <c r="B2062" s="609">
        <v>44188</v>
      </c>
      <c r="C2062" s="362" t="s">
        <v>78</v>
      </c>
      <c r="D2062" s="560">
        <v>69595933</v>
      </c>
      <c r="E2062" s="560">
        <v>1422767</v>
      </c>
      <c r="F2062" s="560">
        <v>71018700</v>
      </c>
      <c r="G2062" s="560">
        <f t="shared" si="38"/>
        <v>0</v>
      </c>
      <c r="H2062" s="362"/>
      <c r="I2062" s="362"/>
      <c r="J2062" s="362"/>
    </row>
    <row r="2063" spans="1:10" x14ac:dyDescent="0.25">
      <c r="A2063" s="362"/>
      <c r="B2063" s="609">
        <v>44188</v>
      </c>
      <c r="C2063" s="362" t="s">
        <v>141</v>
      </c>
      <c r="D2063" s="560">
        <v>85428174</v>
      </c>
      <c r="E2063" s="560">
        <v>2515611</v>
      </c>
      <c r="F2063" s="560">
        <v>87943800</v>
      </c>
      <c r="G2063" s="560">
        <f t="shared" si="38"/>
        <v>-15</v>
      </c>
      <c r="H2063" s="362"/>
      <c r="I2063" s="362"/>
      <c r="J2063" s="362"/>
    </row>
    <row r="2064" spans="1:10" x14ac:dyDescent="0.25">
      <c r="A2064" s="362"/>
      <c r="B2064" s="609">
        <v>44188</v>
      </c>
      <c r="C2064" s="362" t="s">
        <v>89</v>
      </c>
      <c r="D2064" s="560">
        <v>21602649</v>
      </c>
      <c r="E2064" s="560">
        <v>13165151</v>
      </c>
      <c r="F2064" s="560">
        <v>34767800</v>
      </c>
      <c r="G2064" s="560">
        <f t="shared" si="38"/>
        <v>0</v>
      </c>
      <c r="H2064" s="362"/>
      <c r="I2064" s="362"/>
      <c r="J2064" s="362"/>
    </row>
    <row r="2065" spans="1:10" x14ac:dyDescent="0.25">
      <c r="A2065" s="362"/>
      <c r="B2065" s="609">
        <v>44188</v>
      </c>
      <c r="C2065" s="362" t="s">
        <v>81</v>
      </c>
      <c r="D2065" s="560">
        <v>13146795</v>
      </c>
      <c r="E2065" s="560">
        <v>13947700</v>
      </c>
      <c r="F2065" s="560">
        <v>27094500</v>
      </c>
      <c r="G2065" s="560">
        <f t="shared" si="38"/>
        <v>-5</v>
      </c>
      <c r="H2065" s="362"/>
      <c r="I2065" s="362"/>
      <c r="J2065" s="362"/>
    </row>
    <row r="2066" spans="1:10" x14ac:dyDescent="0.25">
      <c r="A2066" s="362"/>
      <c r="B2066" s="609">
        <v>44188</v>
      </c>
      <c r="C2066" s="362" t="s">
        <v>84</v>
      </c>
      <c r="D2066" s="560">
        <v>238428429</v>
      </c>
      <c r="E2066" s="560">
        <v>19544219</v>
      </c>
      <c r="F2066" s="560">
        <v>257972700</v>
      </c>
      <c r="G2066" s="560">
        <f t="shared" si="38"/>
        <v>-52</v>
      </c>
      <c r="H2066" s="362"/>
      <c r="I2066" s="362"/>
      <c r="J2066" s="362"/>
    </row>
    <row r="2067" spans="1:10" x14ac:dyDescent="0.25">
      <c r="A2067" s="362"/>
      <c r="B2067" s="609">
        <v>44188</v>
      </c>
      <c r="C2067" s="362" t="s">
        <v>4751</v>
      </c>
      <c r="D2067" s="560">
        <v>91309375</v>
      </c>
      <c r="E2067" s="560">
        <v>8251625</v>
      </c>
      <c r="F2067" s="560">
        <v>99561000</v>
      </c>
      <c r="G2067" s="560">
        <f t="shared" si="38"/>
        <v>0</v>
      </c>
      <c r="H2067" s="362"/>
      <c r="I2067" s="362"/>
      <c r="J2067" s="362"/>
    </row>
    <row r="2068" spans="1:10" x14ac:dyDescent="0.25">
      <c r="A2068" s="362"/>
      <c r="B2068" s="609">
        <v>44188</v>
      </c>
      <c r="C2068" s="362" t="s">
        <v>166</v>
      </c>
      <c r="D2068" s="560">
        <v>8732337</v>
      </c>
      <c r="E2068" s="560"/>
      <c r="F2068" s="560">
        <v>8732500</v>
      </c>
      <c r="G2068" s="560">
        <f t="shared" si="38"/>
        <v>-163</v>
      </c>
      <c r="H2068" s="362"/>
      <c r="I2068" s="362"/>
      <c r="J2068" s="362"/>
    </row>
    <row r="2069" spans="1:10" x14ac:dyDescent="0.25">
      <c r="A2069" s="362"/>
      <c r="B2069" s="609">
        <v>44188</v>
      </c>
      <c r="C2069" s="362" t="s">
        <v>3435</v>
      </c>
      <c r="D2069" s="560">
        <v>43243974</v>
      </c>
      <c r="E2069" s="560"/>
      <c r="F2069" s="560">
        <v>43244000</v>
      </c>
      <c r="G2069" s="560">
        <f t="shared" si="38"/>
        <v>-26</v>
      </c>
      <c r="H2069" s="362"/>
      <c r="I2069" s="362"/>
      <c r="J2069" s="362"/>
    </row>
    <row r="2070" spans="1:10" x14ac:dyDescent="0.25">
      <c r="A2070" s="362"/>
      <c r="B2070" s="609">
        <v>44188</v>
      </c>
      <c r="C2070" s="362" t="s">
        <v>85</v>
      </c>
      <c r="D2070" s="560">
        <v>3920000</v>
      </c>
      <c r="E2070" s="560"/>
      <c r="F2070" s="560">
        <v>3923000</v>
      </c>
      <c r="G2070" s="560">
        <f t="shared" si="38"/>
        <v>-3000</v>
      </c>
      <c r="H2070" s="362"/>
      <c r="I2070" s="362"/>
      <c r="J2070" s="362"/>
    </row>
    <row r="2071" spans="1:10" x14ac:dyDescent="0.25">
      <c r="A2071" s="530"/>
      <c r="B2071" s="530"/>
      <c r="C2071" s="530"/>
      <c r="D2071" s="562"/>
      <c r="E2071" s="562"/>
      <c r="F2071" s="562"/>
      <c r="G2071" s="560">
        <f t="shared" si="38"/>
        <v>0</v>
      </c>
      <c r="H2071" s="530"/>
      <c r="I2071" s="530"/>
      <c r="J2071" s="530"/>
    </row>
    <row r="2072" spans="1:10" x14ac:dyDescent="0.25">
      <c r="A2072" s="362"/>
      <c r="B2072" s="609">
        <v>44189</v>
      </c>
      <c r="C2072" s="362" t="s">
        <v>86</v>
      </c>
      <c r="D2072" s="560">
        <v>94312899</v>
      </c>
      <c r="E2072" s="560">
        <v>78416709</v>
      </c>
      <c r="F2072" s="560">
        <v>172729600</v>
      </c>
      <c r="G2072" s="560">
        <f t="shared" si="38"/>
        <v>8</v>
      </c>
      <c r="H2072" s="362"/>
      <c r="I2072" s="362"/>
      <c r="J2072" s="362"/>
    </row>
    <row r="2073" spans="1:10" x14ac:dyDescent="0.25">
      <c r="A2073" s="362"/>
      <c r="B2073" s="609">
        <v>44189</v>
      </c>
      <c r="C2073" s="362" t="s">
        <v>87</v>
      </c>
      <c r="D2073" s="560">
        <v>66567882</v>
      </c>
      <c r="E2073" s="560">
        <v>33795422</v>
      </c>
      <c r="F2073" s="560">
        <v>100363400</v>
      </c>
      <c r="G2073" s="560">
        <f t="shared" si="38"/>
        <v>-96</v>
      </c>
      <c r="H2073" s="362"/>
      <c r="I2073" s="362"/>
      <c r="J2073" s="362"/>
    </row>
    <row r="2074" spans="1:10" x14ac:dyDescent="0.25">
      <c r="A2074" s="362"/>
      <c r="B2074" s="609">
        <v>44189</v>
      </c>
      <c r="C2074" s="362" t="s">
        <v>88</v>
      </c>
      <c r="D2074" s="560">
        <v>493246433</v>
      </c>
      <c r="E2074" s="560">
        <v>57412396</v>
      </c>
      <c r="F2074" s="560">
        <v>550658900</v>
      </c>
      <c r="G2074" s="560">
        <f t="shared" si="38"/>
        <v>-71</v>
      </c>
      <c r="H2074" s="362"/>
      <c r="I2074" s="362"/>
      <c r="J2074" s="362"/>
    </row>
    <row r="2075" spans="1:10" x14ac:dyDescent="0.25">
      <c r="A2075" s="362"/>
      <c r="B2075" s="609">
        <v>44189</v>
      </c>
      <c r="C2075" s="362" t="s">
        <v>82</v>
      </c>
      <c r="D2075" s="560">
        <v>77551844</v>
      </c>
      <c r="E2075" s="560">
        <v>264700</v>
      </c>
      <c r="F2075" s="560">
        <v>77816600</v>
      </c>
      <c r="G2075" s="560">
        <f t="shared" si="38"/>
        <v>-56</v>
      </c>
      <c r="H2075" s="362"/>
      <c r="I2075" s="362"/>
      <c r="J2075" s="362"/>
    </row>
    <row r="2076" spans="1:10" x14ac:dyDescent="0.25">
      <c r="A2076" s="362"/>
      <c r="B2076" s="609">
        <v>44189</v>
      </c>
      <c r="C2076" s="362" t="s">
        <v>80</v>
      </c>
      <c r="D2076" s="560">
        <v>260815523</v>
      </c>
      <c r="E2076" s="560">
        <v>38485177</v>
      </c>
      <c r="F2076" s="560">
        <v>299300700</v>
      </c>
      <c r="G2076" s="560">
        <f t="shared" si="38"/>
        <v>0</v>
      </c>
      <c r="H2076" s="362"/>
      <c r="I2076" s="362"/>
      <c r="J2076" s="362"/>
    </row>
    <row r="2077" spans="1:10" x14ac:dyDescent="0.25">
      <c r="A2077" s="362"/>
      <c r="B2077" s="609">
        <v>44189</v>
      </c>
      <c r="C2077" s="362" t="s">
        <v>83</v>
      </c>
      <c r="D2077" s="560">
        <v>191188274</v>
      </c>
      <c r="E2077" s="560">
        <v>256388240</v>
      </c>
      <c r="F2077" s="560">
        <v>447576600</v>
      </c>
      <c r="G2077" s="560">
        <f t="shared" si="38"/>
        <v>-86</v>
      </c>
      <c r="H2077" s="362"/>
      <c r="I2077" s="362"/>
      <c r="J2077" s="362"/>
    </row>
    <row r="2078" spans="1:10" x14ac:dyDescent="0.25">
      <c r="A2078" s="362"/>
      <c r="B2078" s="609">
        <v>44189</v>
      </c>
      <c r="C2078" s="362" t="s">
        <v>78</v>
      </c>
      <c r="D2078" s="560">
        <v>84839119</v>
      </c>
      <c r="E2078" s="560">
        <v>68381</v>
      </c>
      <c r="F2078" s="560">
        <v>84907500</v>
      </c>
      <c r="G2078" s="560">
        <f t="shared" si="38"/>
        <v>0</v>
      </c>
      <c r="H2078" s="362"/>
      <c r="I2078" s="362"/>
      <c r="J2078" s="362"/>
    </row>
    <row r="2079" spans="1:10" x14ac:dyDescent="0.25">
      <c r="A2079" s="362"/>
      <c r="B2079" s="609">
        <v>44189</v>
      </c>
      <c r="C2079" s="362" t="s">
        <v>141</v>
      </c>
      <c r="D2079" s="560">
        <v>101935650</v>
      </c>
      <c r="E2079" s="560">
        <v>637577</v>
      </c>
      <c r="F2079" s="560">
        <v>102573300</v>
      </c>
      <c r="G2079" s="560">
        <f t="shared" si="38"/>
        <v>-73</v>
      </c>
      <c r="H2079" s="362"/>
      <c r="I2079" s="362"/>
      <c r="J2079" s="362"/>
    </row>
    <row r="2080" spans="1:10" x14ac:dyDescent="0.25">
      <c r="A2080" s="362"/>
      <c r="B2080" s="609">
        <v>44189</v>
      </c>
      <c r="C2080" s="362" t="s">
        <v>89</v>
      </c>
      <c r="D2080" s="560">
        <v>133161811</v>
      </c>
      <c r="E2080" s="560">
        <v>3246189</v>
      </c>
      <c r="F2080" s="560">
        <v>136408000</v>
      </c>
      <c r="G2080" s="560">
        <f t="shared" si="38"/>
        <v>0</v>
      </c>
      <c r="H2080" s="362"/>
      <c r="I2080" s="362"/>
      <c r="J2080" s="362"/>
    </row>
    <row r="2081" spans="1:10" x14ac:dyDescent="0.25">
      <c r="A2081" s="362"/>
      <c r="B2081" s="609">
        <v>44189</v>
      </c>
      <c r="C2081" s="362" t="s">
        <v>81</v>
      </c>
      <c r="D2081" s="560">
        <v>101023408</v>
      </c>
      <c r="E2081" s="560">
        <v>30420121</v>
      </c>
      <c r="F2081" s="560">
        <v>131443600</v>
      </c>
      <c r="G2081" s="560">
        <f t="shared" si="38"/>
        <v>-71</v>
      </c>
      <c r="H2081" s="362"/>
      <c r="I2081" s="362"/>
      <c r="J2081" s="362"/>
    </row>
    <row r="2082" spans="1:10" x14ac:dyDescent="0.25">
      <c r="A2082" s="362"/>
      <c r="B2082" s="609">
        <v>44189</v>
      </c>
      <c r="C2082" s="362" t="s">
        <v>84</v>
      </c>
      <c r="D2082" s="560">
        <v>248609023</v>
      </c>
      <c r="E2082" s="560">
        <v>28284183</v>
      </c>
      <c r="F2082" s="560">
        <v>276893200</v>
      </c>
      <c r="G2082" s="560">
        <f t="shared" si="38"/>
        <v>6</v>
      </c>
      <c r="H2082" s="362"/>
      <c r="I2082" s="362"/>
      <c r="J2082" s="362"/>
    </row>
    <row r="2083" spans="1:10" x14ac:dyDescent="0.25">
      <c r="A2083" s="362"/>
      <c r="B2083" s="609">
        <v>44189</v>
      </c>
      <c r="C2083" s="362" t="s">
        <v>4751</v>
      </c>
      <c r="D2083" s="560">
        <v>168240994</v>
      </c>
      <c r="E2083" s="560">
        <v>138719906</v>
      </c>
      <c r="F2083" s="560">
        <v>306960900</v>
      </c>
      <c r="G2083" s="560">
        <f t="shared" si="38"/>
        <v>0</v>
      </c>
      <c r="H2083" s="362"/>
      <c r="I2083" s="362"/>
      <c r="J2083" s="362"/>
    </row>
    <row r="2084" spans="1:10" x14ac:dyDescent="0.25">
      <c r="A2084" s="362"/>
      <c r="B2084" s="609">
        <v>44189</v>
      </c>
      <c r="C2084" s="362" t="s">
        <v>166</v>
      </c>
      <c r="D2084" s="560">
        <v>73581211</v>
      </c>
      <c r="E2084" s="560"/>
      <c r="F2084" s="560">
        <v>73581500</v>
      </c>
      <c r="G2084" s="560">
        <f t="shared" si="38"/>
        <v>-289</v>
      </c>
      <c r="H2084" s="362"/>
      <c r="I2084" s="362"/>
      <c r="J2084" s="362"/>
    </row>
    <row r="2085" spans="1:10" x14ac:dyDescent="0.25">
      <c r="A2085" s="362"/>
      <c r="B2085" s="609">
        <v>44189</v>
      </c>
      <c r="C2085" s="362" t="s">
        <v>3435</v>
      </c>
      <c r="D2085" s="560">
        <v>38836925</v>
      </c>
      <c r="E2085" s="560"/>
      <c r="F2085" s="560">
        <v>38837000</v>
      </c>
      <c r="G2085" s="560">
        <f t="shared" si="38"/>
        <v>-75</v>
      </c>
      <c r="H2085" s="362"/>
      <c r="I2085" s="362"/>
      <c r="J2085" s="362"/>
    </row>
    <row r="2086" spans="1:10" x14ac:dyDescent="0.25">
      <c r="A2086" s="362"/>
      <c r="B2086" s="609">
        <v>44189</v>
      </c>
      <c r="C2086" s="362" t="s">
        <v>85</v>
      </c>
      <c r="D2086" s="560">
        <v>23566400</v>
      </c>
      <c r="E2086" s="560"/>
      <c r="F2086" s="560">
        <v>23566400</v>
      </c>
      <c r="G2086" s="560">
        <f t="shared" si="38"/>
        <v>0</v>
      </c>
      <c r="H2086" s="362"/>
      <c r="I2086" s="362"/>
      <c r="J2086" s="362"/>
    </row>
    <row r="2087" spans="1:10" x14ac:dyDescent="0.25">
      <c r="A2087" s="530"/>
      <c r="B2087" s="530"/>
      <c r="C2087" s="530"/>
      <c r="D2087" s="562"/>
      <c r="E2087" s="562"/>
      <c r="F2087" s="562"/>
      <c r="G2087" s="560">
        <f t="shared" si="38"/>
        <v>0</v>
      </c>
      <c r="H2087" s="530"/>
      <c r="I2087" s="530"/>
      <c r="J2087" s="530"/>
    </row>
    <row r="2088" spans="1:10" x14ac:dyDescent="0.25">
      <c r="A2088" s="362"/>
      <c r="B2088" s="609">
        <v>44190</v>
      </c>
      <c r="C2088" s="362" t="s">
        <v>86</v>
      </c>
      <c r="D2088" s="560">
        <v>25413656</v>
      </c>
      <c r="E2088" s="560">
        <v>31776860</v>
      </c>
      <c r="F2088" s="560">
        <v>57190300</v>
      </c>
      <c r="G2088" s="560">
        <f t="shared" si="38"/>
        <v>216</v>
      </c>
      <c r="H2088" s="362"/>
      <c r="I2088" s="362"/>
      <c r="J2088" s="362"/>
    </row>
    <row r="2089" spans="1:10" x14ac:dyDescent="0.25">
      <c r="A2089" s="362"/>
      <c r="B2089" s="609">
        <v>44190</v>
      </c>
      <c r="C2089" s="362" t="s">
        <v>87</v>
      </c>
      <c r="D2089" s="560">
        <v>76714224</v>
      </c>
      <c r="E2089" s="560">
        <v>81835005</v>
      </c>
      <c r="F2089" s="560">
        <v>158549300</v>
      </c>
      <c r="G2089" s="560">
        <f t="shared" ref="G2089:G2152" si="39">D2089+E2089-F2089</f>
        <v>-71</v>
      </c>
      <c r="H2089" s="362"/>
      <c r="I2089" s="362"/>
      <c r="J2089" s="362"/>
    </row>
    <row r="2090" spans="1:10" x14ac:dyDescent="0.25">
      <c r="A2090" s="362"/>
      <c r="B2090" s="609">
        <v>44190</v>
      </c>
      <c r="C2090" s="362" t="s">
        <v>88</v>
      </c>
      <c r="D2090" s="560">
        <v>114144060</v>
      </c>
      <c r="E2090" s="560">
        <v>6555923</v>
      </c>
      <c r="F2090" s="560">
        <v>120700000</v>
      </c>
      <c r="G2090" s="560">
        <f t="shared" si="39"/>
        <v>-17</v>
      </c>
      <c r="H2090" s="362"/>
      <c r="I2090" s="362"/>
      <c r="J2090" s="362"/>
    </row>
    <row r="2091" spans="1:10" x14ac:dyDescent="0.25">
      <c r="A2091" s="362"/>
      <c r="B2091" s="609">
        <v>44190</v>
      </c>
      <c r="C2091" s="362" t="s">
        <v>82</v>
      </c>
      <c r="D2091" s="560">
        <v>69237035</v>
      </c>
      <c r="E2091" s="560">
        <v>2332889</v>
      </c>
      <c r="F2091" s="560">
        <v>71570000</v>
      </c>
      <c r="G2091" s="560">
        <f t="shared" si="39"/>
        <v>-76</v>
      </c>
      <c r="H2091" s="362"/>
      <c r="I2091" s="362"/>
      <c r="J2091" s="362"/>
    </row>
    <row r="2092" spans="1:10" x14ac:dyDescent="0.25">
      <c r="A2092" s="362"/>
      <c r="B2092" s="609">
        <v>44190</v>
      </c>
      <c r="C2092" s="362" t="s">
        <v>80</v>
      </c>
      <c r="D2092" s="560">
        <v>127784124</v>
      </c>
      <c r="E2092" s="560">
        <v>14404500</v>
      </c>
      <c r="F2092" s="560">
        <v>142188500</v>
      </c>
      <c r="G2092" s="560">
        <f t="shared" si="39"/>
        <v>124</v>
      </c>
      <c r="H2092" s="362"/>
      <c r="I2092" s="362"/>
      <c r="J2092" s="362"/>
    </row>
    <row r="2093" spans="1:10" x14ac:dyDescent="0.25">
      <c r="A2093" s="362"/>
      <c r="B2093" s="609">
        <v>44190</v>
      </c>
      <c r="C2093" s="362" t="s">
        <v>83</v>
      </c>
      <c r="D2093" s="560">
        <v>242769856</v>
      </c>
      <c r="E2093" s="560">
        <v>5525170</v>
      </c>
      <c r="F2093" s="560">
        <v>248295100</v>
      </c>
      <c r="G2093" s="560">
        <f t="shared" si="39"/>
        <v>-74</v>
      </c>
      <c r="H2093" s="362"/>
      <c r="I2093" s="362"/>
      <c r="J2093" s="362"/>
    </row>
    <row r="2094" spans="1:10" x14ac:dyDescent="0.25">
      <c r="A2094" s="362"/>
      <c r="B2094" s="609">
        <v>44190</v>
      </c>
      <c r="C2094" s="362" t="s">
        <v>78</v>
      </c>
      <c r="D2094" s="560">
        <v>137993756</v>
      </c>
      <c r="E2094" s="560">
        <v>722744</v>
      </c>
      <c r="F2094" s="560">
        <v>138716500</v>
      </c>
      <c r="G2094" s="560">
        <f t="shared" si="39"/>
        <v>0</v>
      </c>
      <c r="H2094" s="362"/>
      <c r="I2094" s="362"/>
      <c r="J2094" s="362"/>
    </row>
    <row r="2095" spans="1:10" x14ac:dyDescent="0.25">
      <c r="A2095" s="362"/>
      <c r="B2095" s="609">
        <v>44190</v>
      </c>
      <c r="C2095" s="362" t="s">
        <v>141</v>
      </c>
      <c r="D2095" s="560">
        <v>68683718</v>
      </c>
      <c r="E2095" s="560">
        <v>1392200</v>
      </c>
      <c r="F2095" s="560">
        <v>70076000</v>
      </c>
      <c r="G2095" s="560">
        <f t="shared" si="39"/>
        <v>-82</v>
      </c>
      <c r="H2095" s="362"/>
      <c r="I2095" s="362"/>
      <c r="J2095" s="362"/>
    </row>
    <row r="2096" spans="1:10" x14ac:dyDescent="0.25">
      <c r="A2096" s="362"/>
      <c r="B2096" s="609">
        <v>44190</v>
      </c>
      <c r="C2096" s="362" t="s">
        <v>89</v>
      </c>
      <c r="D2096" s="560">
        <v>128989032</v>
      </c>
      <c r="E2096" s="560">
        <v>48545768</v>
      </c>
      <c r="F2096" s="560">
        <v>177534800</v>
      </c>
      <c r="G2096" s="560">
        <f t="shared" si="39"/>
        <v>0</v>
      </c>
      <c r="H2096" s="362"/>
      <c r="I2096" s="362"/>
      <c r="J2096" s="362"/>
    </row>
    <row r="2097" spans="1:10" x14ac:dyDescent="0.25">
      <c r="A2097" s="362"/>
      <c r="B2097" s="609">
        <v>44190</v>
      </c>
      <c r="C2097" s="362" t="s">
        <v>81</v>
      </c>
      <c r="D2097" s="560">
        <v>83443229</v>
      </c>
      <c r="E2097" s="560">
        <v>7490029</v>
      </c>
      <c r="F2097" s="560">
        <v>90933400</v>
      </c>
      <c r="G2097" s="560">
        <f t="shared" si="39"/>
        <v>-142</v>
      </c>
      <c r="H2097" s="362"/>
      <c r="I2097" s="362"/>
      <c r="J2097" s="362"/>
    </row>
    <row r="2098" spans="1:10" x14ac:dyDescent="0.25">
      <c r="A2098" s="362"/>
      <c r="B2098" s="609">
        <v>44190</v>
      </c>
      <c r="C2098" s="362" t="s">
        <v>84</v>
      </c>
      <c r="D2098" s="560">
        <v>161388633</v>
      </c>
      <c r="E2098" s="560">
        <v>8188638</v>
      </c>
      <c r="F2098" s="560">
        <v>169577900</v>
      </c>
      <c r="G2098" s="560">
        <f t="shared" si="39"/>
        <v>-629</v>
      </c>
      <c r="H2098" s="362"/>
      <c r="I2098" s="362"/>
      <c r="J2098" s="362"/>
    </row>
    <row r="2099" spans="1:10" x14ac:dyDescent="0.25">
      <c r="A2099" s="362"/>
      <c r="B2099" s="609">
        <v>44190</v>
      </c>
      <c r="C2099" s="362" t="s">
        <v>4751</v>
      </c>
      <c r="D2099" s="560">
        <v>171001260</v>
      </c>
      <c r="E2099" s="560">
        <v>6004640</v>
      </c>
      <c r="F2099" s="560">
        <v>177005900</v>
      </c>
      <c r="G2099" s="560">
        <f t="shared" si="39"/>
        <v>0</v>
      </c>
      <c r="H2099" s="362"/>
      <c r="I2099" s="362"/>
      <c r="J2099" s="362"/>
    </row>
    <row r="2100" spans="1:10" x14ac:dyDescent="0.25">
      <c r="A2100" s="362"/>
      <c r="B2100" s="609">
        <v>44190</v>
      </c>
      <c r="C2100" s="362" t="s">
        <v>166</v>
      </c>
      <c r="D2100" s="560">
        <v>31371660</v>
      </c>
      <c r="E2100" s="560"/>
      <c r="F2100" s="560">
        <v>31371700</v>
      </c>
      <c r="G2100" s="560">
        <f t="shared" si="39"/>
        <v>-40</v>
      </c>
      <c r="H2100" s="362"/>
      <c r="I2100" s="362"/>
      <c r="J2100" s="362"/>
    </row>
    <row r="2101" spans="1:10" x14ac:dyDescent="0.25">
      <c r="A2101" s="362"/>
      <c r="B2101" s="609">
        <v>44190</v>
      </c>
      <c r="C2101" s="362" t="s">
        <v>3435</v>
      </c>
      <c r="D2101" s="560">
        <v>34858540</v>
      </c>
      <c r="E2101" s="560"/>
      <c r="F2101" s="560">
        <v>34858600</v>
      </c>
      <c r="G2101" s="560">
        <f t="shared" si="39"/>
        <v>-60</v>
      </c>
      <c r="H2101" s="362"/>
      <c r="I2101" s="362"/>
      <c r="J2101" s="362"/>
    </row>
    <row r="2102" spans="1:10" x14ac:dyDescent="0.25">
      <c r="A2102" s="362"/>
      <c r="B2102" s="609">
        <v>44190</v>
      </c>
      <c r="C2102" s="362" t="s">
        <v>85</v>
      </c>
      <c r="D2102" s="560">
        <v>22297400</v>
      </c>
      <c r="E2102" s="560"/>
      <c r="F2102" s="560">
        <v>22297400</v>
      </c>
      <c r="G2102" s="560">
        <f t="shared" si="39"/>
        <v>0</v>
      </c>
      <c r="H2102" s="362"/>
      <c r="I2102" s="362"/>
      <c r="J2102" s="362"/>
    </row>
    <row r="2103" spans="1:10" x14ac:dyDescent="0.25">
      <c r="A2103" s="530"/>
      <c r="B2103" s="530"/>
      <c r="C2103" s="530"/>
      <c r="D2103" s="562"/>
      <c r="E2103" s="562"/>
      <c r="F2103" s="562"/>
      <c r="G2103" s="562">
        <f t="shared" si="39"/>
        <v>0</v>
      </c>
      <c r="H2103" s="530"/>
      <c r="I2103" s="530"/>
      <c r="J2103" s="530"/>
    </row>
    <row r="2104" spans="1:10" x14ac:dyDescent="0.25">
      <c r="A2104" s="362"/>
      <c r="B2104" s="609">
        <v>44191</v>
      </c>
      <c r="C2104" s="362" t="s">
        <v>86</v>
      </c>
      <c r="D2104" s="560">
        <v>57635631</v>
      </c>
      <c r="E2104" s="560">
        <v>145616879</v>
      </c>
      <c r="F2104" s="560">
        <v>203252500</v>
      </c>
      <c r="G2104" s="560">
        <f t="shared" si="39"/>
        <v>10</v>
      </c>
      <c r="H2104" s="362"/>
      <c r="I2104" s="362"/>
      <c r="J2104" s="362"/>
    </row>
    <row r="2105" spans="1:10" x14ac:dyDescent="0.25">
      <c r="A2105" s="362"/>
      <c r="B2105" s="609">
        <v>44191</v>
      </c>
      <c r="C2105" s="362" t="s">
        <v>87</v>
      </c>
      <c r="D2105" s="560">
        <v>73113416</v>
      </c>
      <c r="E2105" s="560">
        <v>102627487</v>
      </c>
      <c r="F2105" s="560">
        <v>175739800</v>
      </c>
      <c r="G2105" s="560">
        <f t="shared" si="39"/>
        <v>1103</v>
      </c>
      <c r="H2105" s="362"/>
      <c r="I2105" s="362"/>
      <c r="J2105" s="362"/>
    </row>
    <row r="2106" spans="1:10" x14ac:dyDescent="0.25">
      <c r="A2106" s="362"/>
      <c r="B2106" s="609">
        <v>44191</v>
      </c>
      <c r="C2106" s="362" t="s">
        <v>88</v>
      </c>
      <c r="D2106" s="560">
        <v>149436812</v>
      </c>
      <c r="E2106" s="560">
        <v>46236584</v>
      </c>
      <c r="F2106" s="560">
        <v>195673400</v>
      </c>
      <c r="G2106" s="560">
        <f t="shared" si="39"/>
        <v>-4</v>
      </c>
      <c r="H2106" s="362"/>
      <c r="I2106" s="362"/>
      <c r="J2106" s="362"/>
    </row>
    <row r="2107" spans="1:10" x14ac:dyDescent="0.25">
      <c r="A2107" s="362"/>
      <c r="B2107" s="609">
        <v>44191</v>
      </c>
      <c r="C2107" s="362" t="s">
        <v>82</v>
      </c>
      <c r="D2107" s="560">
        <v>324577453</v>
      </c>
      <c r="E2107" s="560">
        <v>1031336</v>
      </c>
      <c r="F2107" s="560">
        <v>325608800</v>
      </c>
      <c r="G2107" s="560">
        <f t="shared" si="39"/>
        <v>-11</v>
      </c>
      <c r="H2107" s="362"/>
      <c r="I2107" s="362"/>
      <c r="J2107" s="362"/>
    </row>
    <row r="2108" spans="1:10" x14ac:dyDescent="0.25">
      <c r="A2108" s="362"/>
      <c r="B2108" s="609">
        <v>44191</v>
      </c>
      <c r="C2108" s="362" t="s">
        <v>80</v>
      </c>
      <c r="D2108" s="560">
        <v>175822951</v>
      </c>
      <c r="E2108" s="560">
        <v>5910000</v>
      </c>
      <c r="F2108" s="560">
        <v>181732700</v>
      </c>
      <c r="G2108" s="560">
        <f t="shared" si="39"/>
        <v>251</v>
      </c>
      <c r="H2108" s="362"/>
      <c r="I2108" s="362"/>
      <c r="J2108" s="362"/>
    </row>
    <row r="2109" spans="1:10" x14ac:dyDescent="0.25">
      <c r="A2109" s="362"/>
      <c r="B2109" s="609">
        <v>44191</v>
      </c>
      <c r="C2109" s="362" t="s">
        <v>83</v>
      </c>
      <c r="D2109" s="560">
        <v>225124243</v>
      </c>
      <c r="E2109" s="560">
        <v>16107432</v>
      </c>
      <c r="F2109" s="560">
        <v>241231800</v>
      </c>
      <c r="G2109" s="560">
        <f t="shared" si="39"/>
        <v>-125</v>
      </c>
      <c r="H2109" s="362"/>
      <c r="I2109" s="362"/>
      <c r="J2109" s="362"/>
    </row>
    <row r="2110" spans="1:10" x14ac:dyDescent="0.25">
      <c r="A2110" s="362"/>
      <c r="B2110" s="609">
        <v>44191</v>
      </c>
      <c r="C2110" s="362" t="s">
        <v>78</v>
      </c>
      <c r="D2110" s="560">
        <v>111882385</v>
      </c>
      <c r="E2110" s="560">
        <v>1275315</v>
      </c>
      <c r="F2110" s="560">
        <v>113157700</v>
      </c>
      <c r="G2110" s="560">
        <f t="shared" si="39"/>
        <v>0</v>
      </c>
      <c r="H2110" s="362"/>
      <c r="I2110" s="362"/>
      <c r="J2110" s="362"/>
    </row>
    <row r="2111" spans="1:10" x14ac:dyDescent="0.25">
      <c r="A2111" s="362"/>
      <c r="B2111" s="609">
        <v>44191</v>
      </c>
      <c r="C2111" s="362" t="s">
        <v>141</v>
      </c>
      <c r="D2111" s="560">
        <v>33763025</v>
      </c>
      <c r="E2111" s="560">
        <v>7095652</v>
      </c>
      <c r="F2111" s="560">
        <v>40858700</v>
      </c>
      <c r="G2111" s="560">
        <f t="shared" si="39"/>
        <v>-23</v>
      </c>
      <c r="H2111" s="362"/>
      <c r="I2111" s="362"/>
      <c r="J2111" s="362"/>
    </row>
    <row r="2112" spans="1:10" x14ac:dyDescent="0.25">
      <c r="A2112" s="362"/>
      <c r="B2112" s="609">
        <v>44191</v>
      </c>
      <c r="C2112" s="362" t="s">
        <v>89</v>
      </c>
      <c r="D2112" s="560">
        <v>89689570</v>
      </c>
      <c r="E2112" s="560">
        <v>62789630</v>
      </c>
      <c r="F2112" s="560">
        <v>152479200</v>
      </c>
      <c r="G2112" s="560">
        <f t="shared" si="39"/>
        <v>0</v>
      </c>
      <c r="H2112" s="362"/>
      <c r="I2112" s="362"/>
      <c r="J2112" s="362"/>
    </row>
    <row r="2113" spans="1:10" x14ac:dyDescent="0.25">
      <c r="A2113" s="362"/>
      <c r="B2113" s="609">
        <v>44191</v>
      </c>
      <c r="C2113" s="362" t="s">
        <v>81</v>
      </c>
      <c r="D2113" s="560">
        <v>88124179</v>
      </c>
      <c r="E2113" s="560">
        <v>17493312</v>
      </c>
      <c r="F2113" s="560">
        <v>105617500</v>
      </c>
      <c r="G2113" s="560">
        <f t="shared" si="39"/>
        <v>-9</v>
      </c>
      <c r="H2113" s="362"/>
      <c r="I2113" s="362"/>
      <c r="J2113" s="362"/>
    </row>
    <row r="2114" spans="1:10" x14ac:dyDescent="0.25">
      <c r="A2114" s="362"/>
      <c r="B2114" s="609">
        <v>44191</v>
      </c>
      <c r="C2114" s="362" t="s">
        <v>84</v>
      </c>
      <c r="D2114" s="560">
        <v>175673918</v>
      </c>
      <c r="E2114" s="560">
        <v>6209874</v>
      </c>
      <c r="F2114" s="560">
        <v>181884400</v>
      </c>
      <c r="G2114" s="560">
        <f t="shared" si="39"/>
        <v>-608</v>
      </c>
      <c r="H2114" s="362"/>
      <c r="I2114" s="362"/>
      <c r="J2114" s="362"/>
    </row>
    <row r="2115" spans="1:10" x14ac:dyDescent="0.25">
      <c r="A2115" s="362"/>
      <c r="B2115" s="609">
        <v>44191</v>
      </c>
      <c r="C2115" s="362" t="s">
        <v>4751</v>
      </c>
      <c r="D2115" s="560">
        <v>224701472</v>
      </c>
      <c r="E2115" s="560">
        <v>6855528</v>
      </c>
      <c r="F2115" s="560">
        <v>231557000</v>
      </c>
      <c r="G2115" s="560">
        <f t="shared" si="39"/>
        <v>0</v>
      </c>
      <c r="H2115" s="362"/>
      <c r="I2115" s="362"/>
      <c r="J2115" s="362"/>
    </row>
    <row r="2116" spans="1:10" x14ac:dyDescent="0.25">
      <c r="A2116" s="362"/>
      <c r="B2116" s="609">
        <v>44191</v>
      </c>
      <c r="C2116" s="362" t="s">
        <v>166</v>
      </c>
      <c r="D2116" s="560"/>
      <c r="E2116" s="560"/>
      <c r="F2116" s="560"/>
      <c r="G2116" s="560">
        <f t="shared" si="39"/>
        <v>0</v>
      </c>
      <c r="H2116" s="362"/>
      <c r="I2116" s="362"/>
      <c r="J2116" s="362"/>
    </row>
    <row r="2117" spans="1:10" x14ac:dyDescent="0.25">
      <c r="A2117" s="362"/>
      <c r="B2117" s="609">
        <v>44191</v>
      </c>
      <c r="C2117" s="362" t="s">
        <v>3435</v>
      </c>
      <c r="D2117" s="560"/>
      <c r="E2117" s="560"/>
      <c r="F2117" s="560"/>
      <c r="G2117" s="560">
        <f t="shared" si="39"/>
        <v>0</v>
      </c>
      <c r="H2117" s="362"/>
      <c r="I2117" s="362"/>
      <c r="J2117" s="362"/>
    </row>
    <row r="2118" spans="1:10" x14ac:dyDescent="0.25">
      <c r="A2118" s="362"/>
      <c r="B2118" s="609">
        <v>44191</v>
      </c>
      <c r="C2118" s="362" t="s">
        <v>85</v>
      </c>
      <c r="D2118" s="560">
        <v>35303400</v>
      </c>
      <c r="E2118" s="560"/>
      <c r="F2118" s="560">
        <v>35303400</v>
      </c>
      <c r="G2118" s="560">
        <f t="shared" si="39"/>
        <v>0</v>
      </c>
      <c r="H2118" s="362"/>
      <c r="I2118" s="362"/>
      <c r="J2118" s="362"/>
    </row>
    <row r="2119" spans="1:10" x14ac:dyDescent="0.25">
      <c r="A2119" s="530"/>
      <c r="B2119" s="530"/>
      <c r="C2119" s="530"/>
      <c r="D2119" s="562"/>
      <c r="E2119" s="562"/>
      <c r="F2119" s="562"/>
      <c r="G2119" s="562">
        <f t="shared" si="39"/>
        <v>0</v>
      </c>
      <c r="H2119" s="530"/>
      <c r="I2119" s="530"/>
      <c r="J2119" s="530"/>
    </row>
    <row r="2120" spans="1:10" x14ac:dyDescent="0.25">
      <c r="A2120" s="362"/>
      <c r="B2120" s="609">
        <v>44193</v>
      </c>
      <c r="C2120" s="362" t="s">
        <v>86</v>
      </c>
      <c r="D2120" s="560">
        <v>55287731</v>
      </c>
      <c r="E2120" s="560">
        <v>35672228</v>
      </c>
      <c r="F2120" s="560">
        <v>90960000</v>
      </c>
      <c r="G2120" s="560">
        <f t="shared" si="39"/>
        <v>-41</v>
      </c>
      <c r="H2120" s="362"/>
      <c r="I2120" s="362"/>
      <c r="J2120" s="362"/>
    </row>
    <row r="2121" spans="1:10" x14ac:dyDescent="0.25">
      <c r="A2121" s="362"/>
      <c r="B2121" s="609">
        <v>44193</v>
      </c>
      <c r="C2121" s="362" t="s">
        <v>87</v>
      </c>
      <c r="D2121" s="560">
        <v>75503481</v>
      </c>
      <c r="E2121" s="560">
        <v>125170104</v>
      </c>
      <c r="F2121" s="560">
        <v>200673600</v>
      </c>
      <c r="G2121" s="560">
        <f t="shared" si="39"/>
        <v>-15</v>
      </c>
      <c r="H2121" s="362"/>
      <c r="I2121" s="362"/>
      <c r="J2121" s="362"/>
    </row>
    <row r="2122" spans="1:10" x14ac:dyDescent="0.25">
      <c r="A2122" s="362"/>
      <c r="B2122" s="609">
        <v>44193</v>
      </c>
      <c r="C2122" s="362" t="s">
        <v>88</v>
      </c>
      <c r="D2122" s="560">
        <v>386920613</v>
      </c>
      <c r="E2122" s="560">
        <v>67662384</v>
      </c>
      <c r="F2122" s="560">
        <v>454583000</v>
      </c>
      <c r="G2122" s="560">
        <f t="shared" si="39"/>
        <v>-3</v>
      </c>
      <c r="H2122" s="362"/>
      <c r="I2122" s="362"/>
      <c r="J2122" s="362"/>
    </row>
    <row r="2123" spans="1:10" x14ac:dyDescent="0.25">
      <c r="A2123" s="362"/>
      <c r="B2123" s="609">
        <v>44193</v>
      </c>
      <c r="C2123" s="362" t="s">
        <v>82</v>
      </c>
      <c r="D2123" s="560">
        <v>86995776</v>
      </c>
      <c r="E2123" s="560">
        <v>2592185</v>
      </c>
      <c r="F2123" s="560">
        <v>89588000</v>
      </c>
      <c r="G2123" s="560">
        <f t="shared" si="39"/>
        <v>-39</v>
      </c>
      <c r="H2123" s="362"/>
      <c r="I2123" s="362"/>
      <c r="J2123" s="362"/>
    </row>
    <row r="2124" spans="1:10" x14ac:dyDescent="0.25">
      <c r="A2124" s="362"/>
      <c r="B2124" s="609">
        <v>44193</v>
      </c>
      <c r="C2124" s="362" t="s">
        <v>80</v>
      </c>
      <c r="D2124" s="560">
        <v>251992856</v>
      </c>
      <c r="E2124" s="560">
        <v>21494175</v>
      </c>
      <c r="F2124" s="560">
        <v>273489000</v>
      </c>
      <c r="G2124" s="560">
        <f t="shared" si="39"/>
        <v>-1969</v>
      </c>
      <c r="H2124" s="362"/>
      <c r="I2124" s="362"/>
      <c r="J2124" s="362"/>
    </row>
    <row r="2125" spans="1:10" x14ac:dyDescent="0.25">
      <c r="A2125" s="362"/>
      <c r="B2125" s="609">
        <v>44193</v>
      </c>
      <c r="C2125" s="362" t="s">
        <v>83</v>
      </c>
      <c r="D2125" s="560">
        <v>229957985</v>
      </c>
      <c r="E2125" s="560">
        <v>132910581</v>
      </c>
      <c r="F2125" s="560">
        <v>362868600</v>
      </c>
      <c r="G2125" s="560">
        <f t="shared" si="39"/>
        <v>-34</v>
      </c>
      <c r="H2125" s="362"/>
      <c r="I2125" s="362"/>
      <c r="J2125" s="362"/>
    </row>
    <row r="2126" spans="1:10" x14ac:dyDescent="0.25">
      <c r="A2126" s="362"/>
      <c r="B2126" s="609">
        <v>44193</v>
      </c>
      <c r="C2126" s="362" t="s">
        <v>78</v>
      </c>
      <c r="D2126" s="560">
        <v>50745695</v>
      </c>
      <c r="E2126" s="560">
        <v>2313905</v>
      </c>
      <c r="F2126" s="560">
        <v>53059600</v>
      </c>
      <c r="G2126" s="560">
        <f t="shared" si="39"/>
        <v>0</v>
      </c>
      <c r="H2126" s="362"/>
      <c r="I2126" s="362"/>
      <c r="J2126" s="362"/>
    </row>
    <row r="2127" spans="1:10" x14ac:dyDescent="0.25">
      <c r="A2127" s="362"/>
      <c r="B2127" s="609">
        <v>44193</v>
      </c>
      <c r="C2127" s="362" t="s">
        <v>141</v>
      </c>
      <c r="D2127" s="560">
        <v>57336345</v>
      </c>
      <c r="E2127" s="560">
        <v>2369540</v>
      </c>
      <c r="F2127" s="560">
        <v>59706000</v>
      </c>
      <c r="G2127" s="560">
        <f t="shared" si="39"/>
        <v>-115</v>
      </c>
      <c r="H2127" s="362"/>
      <c r="I2127" s="362"/>
      <c r="J2127" s="362"/>
    </row>
    <row r="2128" spans="1:10" x14ac:dyDescent="0.25">
      <c r="A2128" s="362"/>
      <c r="B2128" s="609">
        <v>44193</v>
      </c>
      <c r="C2128" s="362" t="s">
        <v>89</v>
      </c>
      <c r="D2128" s="560">
        <v>107582038</v>
      </c>
      <c r="E2128" s="560">
        <v>62424962</v>
      </c>
      <c r="F2128" s="560">
        <v>170007000</v>
      </c>
      <c r="G2128" s="560">
        <f t="shared" si="39"/>
        <v>0</v>
      </c>
      <c r="H2128" s="362"/>
      <c r="I2128" s="362"/>
      <c r="J2128" s="362"/>
    </row>
    <row r="2129" spans="1:10" x14ac:dyDescent="0.25">
      <c r="A2129" s="362"/>
      <c r="B2129" s="609">
        <v>44193</v>
      </c>
      <c r="C2129" s="362" t="s">
        <v>81</v>
      </c>
      <c r="D2129" s="560">
        <v>70955771</v>
      </c>
      <c r="E2129" s="560">
        <v>11598030</v>
      </c>
      <c r="F2129" s="560">
        <v>82554400</v>
      </c>
      <c r="G2129" s="560">
        <f t="shared" si="39"/>
        <v>-599</v>
      </c>
      <c r="H2129" s="362"/>
      <c r="I2129" s="362"/>
      <c r="J2129" s="362"/>
    </row>
    <row r="2130" spans="1:10" x14ac:dyDescent="0.25">
      <c r="A2130" s="362"/>
      <c r="B2130" s="609">
        <v>44193</v>
      </c>
      <c r="C2130" s="362" t="s">
        <v>84</v>
      </c>
      <c r="D2130" s="560">
        <v>195071481</v>
      </c>
      <c r="E2130" s="560">
        <v>10771897</v>
      </c>
      <c r="F2130" s="560">
        <v>205843300</v>
      </c>
      <c r="G2130" s="560">
        <f t="shared" si="39"/>
        <v>78</v>
      </c>
      <c r="H2130" s="362"/>
      <c r="I2130" s="362"/>
      <c r="J2130" s="362"/>
    </row>
    <row r="2131" spans="1:10" x14ac:dyDescent="0.25">
      <c r="A2131" s="362"/>
      <c r="B2131" s="609">
        <v>44193</v>
      </c>
      <c r="C2131" s="362" t="s">
        <v>4751</v>
      </c>
      <c r="D2131" s="560">
        <v>178067544</v>
      </c>
      <c r="E2131" s="560">
        <v>24402956</v>
      </c>
      <c r="F2131" s="560">
        <v>202470500</v>
      </c>
      <c r="G2131" s="560">
        <f t="shared" si="39"/>
        <v>0</v>
      </c>
      <c r="H2131" s="362"/>
      <c r="I2131" s="362"/>
      <c r="J2131" s="362"/>
    </row>
    <row r="2132" spans="1:10" x14ac:dyDescent="0.25">
      <c r="A2132" s="362"/>
      <c r="B2132" s="609">
        <v>44193</v>
      </c>
      <c r="C2132" s="362" t="s">
        <v>166</v>
      </c>
      <c r="D2132" s="560">
        <v>43119803</v>
      </c>
      <c r="E2132" s="560"/>
      <c r="F2132" s="560">
        <v>43120000</v>
      </c>
      <c r="G2132" s="560">
        <f t="shared" si="39"/>
        <v>-197</v>
      </c>
      <c r="H2132" s="362"/>
      <c r="I2132" s="362"/>
      <c r="J2132" s="362"/>
    </row>
    <row r="2133" spans="1:10" x14ac:dyDescent="0.25">
      <c r="A2133" s="362"/>
      <c r="B2133" s="609">
        <v>44193</v>
      </c>
      <c r="C2133" s="362" t="s">
        <v>3435</v>
      </c>
      <c r="D2133" s="560">
        <v>38863365</v>
      </c>
      <c r="E2133" s="560"/>
      <c r="F2133" s="560">
        <v>38863400</v>
      </c>
      <c r="G2133" s="560">
        <f t="shared" si="39"/>
        <v>-35</v>
      </c>
      <c r="H2133" s="362"/>
      <c r="I2133" s="362"/>
      <c r="J2133" s="362"/>
    </row>
    <row r="2134" spans="1:10" x14ac:dyDescent="0.25">
      <c r="A2134" s="362"/>
      <c r="B2134" s="609">
        <v>44193</v>
      </c>
      <c r="C2134" s="362" t="s">
        <v>85</v>
      </c>
      <c r="D2134" s="560">
        <v>46505300</v>
      </c>
      <c r="E2134" s="560"/>
      <c r="F2134" s="560">
        <v>46505300</v>
      </c>
      <c r="G2134" s="560">
        <f t="shared" si="39"/>
        <v>0</v>
      </c>
      <c r="H2134" s="362"/>
      <c r="I2134" s="362"/>
      <c r="J2134" s="362"/>
    </row>
    <row r="2135" spans="1:10" x14ac:dyDescent="0.25">
      <c r="A2135" s="530"/>
      <c r="B2135" s="530"/>
      <c r="C2135" s="530"/>
      <c r="D2135" s="530"/>
      <c r="E2135" s="530"/>
      <c r="F2135" s="562"/>
      <c r="G2135" s="562">
        <f t="shared" si="39"/>
        <v>0</v>
      </c>
      <c r="H2135" s="530"/>
      <c r="I2135" s="530"/>
      <c r="J2135" s="530"/>
    </row>
    <row r="2136" spans="1:10" x14ac:dyDescent="0.25">
      <c r="A2136" s="362"/>
      <c r="B2136" s="609">
        <v>44194</v>
      </c>
      <c r="C2136" s="362" t="s">
        <v>86</v>
      </c>
      <c r="D2136" s="560">
        <v>62526008</v>
      </c>
      <c r="E2136" s="560">
        <v>66572484</v>
      </c>
      <c r="F2136" s="560">
        <v>129098700</v>
      </c>
      <c r="G2136" s="560">
        <f t="shared" si="39"/>
        <v>-208</v>
      </c>
      <c r="H2136" s="560"/>
      <c r="I2136" s="560"/>
      <c r="J2136" s="560"/>
    </row>
    <row r="2137" spans="1:10" x14ac:dyDescent="0.25">
      <c r="A2137" s="362"/>
      <c r="B2137" s="609">
        <v>44194</v>
      </c>
      <c r="C2137" s="362" t="s">
        <v>87</v>
      </c>
      <c r="D2137" s="560">
        <v>129121750</v>
      </c>
      <c r="E2137" s="560">
        <v>196027610</v>
      </c>
      <c r="F2137" s="560">
        <v>325149400</v>
      </c>
      <c r="G2137" s="560">
        <f t="shared" si="39"/>
        <v>-40</v>
      </c>
      <c r="H2137" s="560"/>
      <c r="I2137" s="560"/>
      <c r="J2137" s="560"/>
    </row>
    <row r="2138" spans="1:10" x14ac:dyDescent="0.25">
      <c r="A2138" s="362"/>
      <c r="B2138" s="609">
        <v>44194</v>
      </c>
      <c r="C2138" s="362" t="s">
        <v>88</v>
      </c>
      <c r="D2138" s="560">
        <v>128596758</v>
      </c>
      <c r="E2138" s="560">
        <v>42304867</v>
      </c>
      <c r="F2138" s="560">
        <v>170901700</v>
      </c>
      <c r="G2138" s="560">
        <f t="shared" si="39"/>
        <v>-75</v>
      </c>
      <c r="H2138" s="560"/>
      <c r="I2138" s="560"/>
      <c r="J2138" s="560"/>
    </row>
    <row r="2139" spans="1:10" x14ac:dyDescent="0.25">
      <c r="A2139" s="362"/>
      <c r="B2139" s="609">
        <v>44194</v>
      </c>
      <c r="C2139" s="362" t="s">
        <v>82</v>
      </c>
      <c r="D2139" s="560">
        <v>226268085</v>
      </c>
      <c r="E2139" s="560">
        <v>2320470</v>
      </c>
      <c r="F2139" s="560">
        <v>228588600</v>
      </c>
      <c r="G2139" s="560">
        <f t="shared" si="39"/>
        <v>-45</v>
      </c>
      <c r="H2139" s="560"/>
      <c r="I2139" s="560"/>
      <c r="J2139" s="560"/>
    </row>
    <row r="2140" spans="1:10" x14ac:dyDescent="0.25">
      <c r="A2140" s="362"/>
      <c r="B2140" s="609">
        <v>44194</v>
      </c>
      <c r="C2140" s="362" t="s">
        <v>80</v>
      </c>
      <c r="D2140" s="560">
        <v>342845500</v>
      </c>
      <c r="E2140" s="560">
        <v>2218100</v>
      </c>
      <c r="F2140" s="560">
        <v>345063600</v>
      </c>
      <c r="G2140" s="560">
        <f t="shared" si="39"/>
        <v>0</v>
      </c>
      <c r="H2140" s="560"/>
      <c r="I2140" s="560"/>
      <c r="J2140" s="560"/>
    </row>
    <row r="2141" spans="1:10" x14ac:dyDescent="0.25">
      <c r="A2141" s="362"/>
      <c r="B2141" s="609">
        <v>44194</v>
      </c>
      <c r="C2141" s="362" t="s">
        <v>83</v>
      </c>
      <c r="D2141" s="560">
        <v>274501863</v>
      </c>
      <c r="E2141" s="560">
        <v>161663811</v>
      </c>
      <c r="F2141" s="560">
        <v>436165700</v>
      </c>
      <c r="G2141" s="560">
        <f t="shared" si="39"/>
        <v>-26</v>
      </c>
      <c r="H2141" s="560"/>
      <c r="I2141" s="560"/>
      <c r="J2141" s="560"/>
    </row>
    <row r="2142" spans="1:10" x14ac:dyDescent="0.25">
      <c r="A2142" s="362"/>
      <c r="B2142" s="609">
        <v>44194</v>
      </c>
      <c r="C2142" s="362" t="s">
        <v>78</v>
      </c>
      <c r="D2142" s="560">
        <v>82596587</v>
      </c>
      <c r="E2142" s="560">
        <v>23651913</v>
      </c>
      <c r="F2142" s="560">
        <v>106248500</v>
      </c>
      <c r="G2142" s="560">
        <f t="shared" si="39"/>
        <v>0</v>
      </c>
      <c r="H2142" s="560"/>
      <c r="I2142" s="560"/>
      <c r="J2142" s="560"/>
    </row>
    <row r="2143" spans="1:10" x14ac:dyDescent="0.25">
      <c r="A2143" s="362"/>
      <c r="B2143" s="609">
        <v>44194</v>
      </c>
      <c r="C2143" s="362" t="s">
        <v>141</v>
      </c>
      <c r="D2143" s="560">
        <v>68299375</v>
      </c>
      <c r="E2143" s="560">
        <v>1449257</v>
      </c>
      <c r="F2143" s="560">
        <v>69748700</v>
      </c>
      <c r="G2143" s="560">
        <f t="shared" si="39"/>
        <v>-68</v>
      </c>
      <c r="H2143" s="560"/>
      <c r="I2143" s="560"/>
      <c r="J2143" s="560"/>
    </row>
    <row r="2144" spans="1:10" x14ac:dyDescent="0.25">
      <c r="A2144" s="362"/>
      <c r="B2144" s="609">
        <v>44194</v>
      </c>
      <c r="C2144" s="362" t="s">
        <v>89</v>
      </c>
      <c r="D2144" s="560">
        <v>124859899</v>
      </c>
      <c r="E2144" s="560">
        <v>32949701</v>
      </c>
      <c r="F2144" s="560">
        <v>157809600</v>
      </c>
      <c r="G2144" s="560">
        <f t="shared" si="39"/>
        <v>0</v>
      </c>
      <c r="H2144" s="560"/>
      <c r="I2144" s="560"/>
      <c r="J2144" s="560"/>
    </row>
    <row r="2145" spans="1:10" x14ac:dyDescent="0.25">
      <c r="A2145" s="362"/>
      <c r="B2145" s="609">
        <v>44194</v>
      </c>
      <c r="C2145" s="362" t="s">
        <v>81</v>
      </c>
      <c r="D2145" s="560">
        <v>85611610</v>
      </c>
      <c r="E2145" s="560">
        <v>20665140</v>
      </c>
      <c r="F2145" s="560">
        <v>106276700</v>
      </c>
      <c r="G2145" s="560">
        <f t="shared" si="39"/>
        <v>50</v>
      </c>
      <c r="H2145" s="560"/>
      <c r="I2145" s="560"/>
      <c r="J2145" s="560"/>
    </row>
    <row r="2146" spans="1:10" x14ac:dyDescent="0.25">
      <c r="A2146" s="362"/>
      <c r="B2146" s="609">
        <v>44194</v>
      </c>
      <c r="C2146" s="362" t="s">
        <v>84</v>
      </c>
      <c r="D2146" s="560">
        <v>190399930</v>
      </c>
      <c r="E2146" s="560">
        <v>43293826</v>
      </c>
      <c r="F2146" s="560">
        <v>233693700</v>
      </c>
      <c r="G2146" s="560">
        <f t="shared" si="39"/>
        <v>56</v>
      </c>
      <c r="H2146" s="560"/>
      <c r="I2146" s="560"/>
      <c r="J2146" s="560"/>
    </row>
    <row r="2147" spans="1:10" x14ac:dyDescent="0.25">
      <c r="A2147" s="362"/>
      <c r="B2147" s="609">
        <v>44194</v>
      </c>
      <c r="C2147" s="362" t="s">
        <v>4751</v>
      </c>
      <c r="D2147" s="560">
        <v>198350715</v>
      </c>
      <c r="E2147" s="560">
        <v>7590385</v>
      </c>
      <c r="F2147" s="560">
        <v>205941100</v>
      </c>
      <c r="G2147" s="560">
        <f t="shared" si="39"/>
        <v>0</v>
      </c>
      <c r="H2147" s="560"/>
      <c r="I2147" s="560"/>
      <c r="J2147" s="560"/>
    </row>
    <row r="2148" spans="1:10" x14ac:dyDescent="0.25">
      <c r="A2148" s="362"/>
      <c r="B2148" s="609">
        <v>44194</v>
      </c>
      <c r="C2148" s="362" t="s">
        <v>166</v>
      </c>
      <c r="D2148" s="560">
        <v>68177812</v>
      </c>
      <c r="E2148" s="560"/>
      <c r="F2148" s="560">
        <v>68177800</v>
      </c>
      <c r="G2148" s="560">
        <f t="shared" si="39"/>
        <v>12</v>
      </c>
      <c r="H2148" s="560"/>
      <c r="I2148" s="560"/>
      <c r="J2148" s="560"/>
    </row>
    <row r="2149" spans="1:10" x14ac:dyDescent="0.25">
      <c r="A2149" s="362"/>
      <c r="B2149" s="609">
        <v>44194</v>
      </c>
      <c r="C2149" s="362" t="s">
        <v>3435</v>
      </c>
      <c r="D2149" s="560">
        <v>170591458</v>
      </c>
      <c r="E2149" s="560"/>
      <c r="F2149" s="560">
        <v>170591500</v>
      </c>
      <c r="G2149" s="560">
        <f t="shared" si="39"/>
        <v>-42</v>
      </c>
      <c r="H2149" s="560"/>
      <c r="I2149" s="560"/>
      <c r="J2149" s="560"/>
    </row>
    <row r="2150" spans="1:10" x14ac:dyDescent="0.25">
      <c r="A2150" s="362"/>
      <c r="B2150" s="609">
        <v>44194</v>
      </c>
      <c r="C2150" s="362" t="s">
        <v>85</v>
      </c>
      <c r="D2150" s="560">
        <v>35820600</v>
      </c>
      <c r="E2150" s="560"/>
      <c r="F2150" s="560">
        <v>35820600</v>
      </c>
      <c r="G2150" s="560">
        <f t="shared" si="39"/>
        <v>0</v>
      </c>
      <c r="H2150" s="560"/>
      <c r="I2150" s="560"/>
      <c r="J2150" s="560"/>
    </row>
    <row r="2151" spans="1:10" x14ac:dyDescent="0.25">
      <c r="A2151" s="530"/>
      <c r="B2151" s="530"/>
      <c r="C2151" s="530"/>
      <c r="D2151" s="562"/>
      <c r="E2151" s="562"/>
      <c r="F2151" s="562"/>
      <c r="G2151" s="560">
        <f t="shared" si="39"/>
        <v>0</v>
      </c>
      <c r="H2151" s="562"/>
      <c r="I2151" s="562"/>
      <c r="J2151" s="562"/>
    </row>
    <row r="2152" spans="1:10" x14ac:dyDescent="0.25">
      <c r="A2152" s="362"/>
      <c r="B2152" s="609">
        <v>44195</v>
      </c>
      <c r="C2152" s="362" t="s">
        <v>86</v>
      </c>
      <c r="D2152" s="560">
        <v>46421223</v>
      </c>
      <c r="E2152" s="560">
        <v>94394077</v>
      </c>
      <c r="F2152" s="560">
        <v>141416900</v>
      </c>
      <c r="G2152" s="560">
        <f t="shared" si="39"/>
        <v>-601600</v>
      </c>
      <c r="H2152" s="560"/>
      <c r="I2152" s="560"/>
      <c r="J2152" s="560"/>
    </row>
    <row r="2153" spans="1:10" x14ac:dyDescent="0.25">
      <c r="A2153" s="362"/>
      <c r="B2153" s="609">
        <v>44195</v>
      </c>
      <c r="C2153" s="362" t="s">
        <v>87</v>
      </c>
      <c r="D2153" s="560">
        <v>199018373</v>
      </c>
      <c r="E2153" s="560">
        <v>145302279</v>
      </c>
      <c r="F2153" s="560">
        <v>347246900</v>
      </c>
      <c r="G2153" s="560">
        <f t="shared" ref="G2153:G2216" si="40">D2153+E2153-F2153</f>
        <v>-2926248</v>
      </c>
      <c r="H2153" s="560"/>
      <c r="I2153" s="560"/>
      <c r="J2153" s="560"/>
    </row>
    <row r="2154" spans="1:10" x14ac:dyDescent="0.25">
      <c r="A2154" s="362"/>
      <c r="B2154" s="609">
        <v>44195</v>
      </c>
      <c r="C2154" s="362" t="s">
        <v>88</v>
      </c>
      <c r="D2154" s="560">
        <v>304306656</v>
      </c>
      <c r="E2154" s="560">
        <v>66600256</v>
      </c>
      <c r="F2154" s="560">
        <v>460907000</v>
      </c>
      <c r="G2154" s="560">
        <f t="shared" si="40"/>
        <v>-90000088</v>
      </c>
      <c r="H2154" s="560"/>
      <c r="I2154" s="560"/>
      <c r="J2154" s="560"/>
    </row>
    <row r="2155" spans="1:10" x14ac:dyDescent="0.25">
      <c r="A2155" s="362"/>
      <c r="B2155" s="609">
        <v>44195</v>
      </c>
      <c r="C2155" s="362" t="s">
        <v>82</v>
      </c>
      <c r="D2155" s="560">
        <v>92089128</v>
      </c>
      <c r="E2155" s="560">
        <v>3731000</v>
      </c>
      <c r="F2155" s="560">
        <v>95820200</v>
      </c>
      <c r="G2155" s="560">
        <f t="shared" si="40"/>
        <v>-72</v>
      </c>
      <c r="H2155" s="560"/>
      <c r="I2155" s="560"/>
      <c r="J2155" s="560"/>
    </row>
    <row r="2156" spans="1:10" x14ac:dyDescent="0.25">
      <c r="A2156" s="362"/>
      <c r="B2156" s="609">
        <v>44195</v>
      </c>
      <c r="C2156" s="362" t="s">
        <v>80</v>
      </c>
      <c r="D2156" s="560">
        <v>287623927</v>
      </c>
      <c r="E2156" s="560">
        <v>160230716</v>
      </c>
      <c r="F2156" s="560">
        <v>448467300</v>
      </c>
      <c r="G2156" s="560">
        <f t="shared" si="40"/>
        <v>-612657</v>
      </c>
      <c r="H2156" s="560"/>
      <c r="I2156" s="560"/>
      <c r="J2156" s="560"/>
    </row>
    <row r="2157" spans="1:10" x14ac:dyDescent="0.25">
      <c r="A2157" s="362"/>
      <c r="B2157" s="609">
        <v>44195</v>
      </c>
      <c r="C2157" s="362" t="s">
        <v>83</v>
      </c>
      <c r="D2157" s="560">
        <v>269883027</v>
      </c>
      <c r="E2157" s="560">
        <v>393360373</v>
      </c>
      <c r="F2157" s="560">
        <v>659883000</v>
      </c>
      <c r="G2157" s="560">
        <f t="shared" si="40"/>
        <v>3360400</v>
      </c>
      <c r="H2157" s="560"/>
      <c r="I2157" s="560"/>
      <c r="J2157" s="560"/>
    </row>
    <row r="2158" spans="1:10" x14ac:dyDescent="0.25">
      <c r="A2158" s="362"/>
      <c r="B2158" s="609">
        <v>44195</v>
      </c>
      <c r="C2158" s="362" t="s">
        <v>78</v>
      </c>
      <c r="D2158" s="560">
        <v>91337436</v>
      </c>
      <c r="E2158" s="560">
        <v>1015964</v>
      </c>
      <c r="F2158" s="560">
        <v>92353400</v>
      </c>
      <c r="G2158" s="560">
        <f t="shared" si="40"/>
        <v>0</v>
      </c>
      <c r="H2158" s="560"/>
      <c r="I2158" s="560"/>
      <c r="J2158" s="560"/>
    </row>
    <row r="2159" spans="1:10" x14ac:dyDescent="0.25">
      <c r="A2159" s="362"/>
      <c r="B2159" s="609">
        <v>44195</v>
      </c>
      <c r="C2159" s="362" t="s">
        <v>141</v>
      </c>
      <c r="D2159" s="560">
        <v>73991440</v>
      </c>
      <c r="E2159" s="560">
        <v>1032965</v>
      </c>
      <c r="F2159" s="560">
        <v>75024500</v>
      </c>
      <c r="G2159" s="560">
        <f t="shared" si="40"/>
        <v>-95</v>
      </c>
      <c r="H2159" s="560"/>
      <c r="I2159" s="560"/>
      <c r="J2159" s="560"/>
    </row>
    <row r="2160" spans="1:10" x14ac:dyDescent="0.25">
      <c r="A2160" s="362"/>
      <c r="B2160" s="609">
        <v>44195</v>
      </c>
      <c r="C2160" s="362" t="s">
        <v>89</v>
      </c>
      <c r="D2160" s="560">
        <v>119919918</v>
      </c>
      <c r="E2160" s="560">
        <v>46670282</v>
      </c>
      <c r="F2160" s="560">
        <v>169320900</v>
      </c>
      <c r="G2160" s="560">
        <f t="shared" si="40"/>
        <v>-2730700</v>
      </c>
      <c r="H2160" s="560"/>
      <c r="I2160" s="560"/>
      <c r="J2160" s="560"/>
    </row>
    <row r="2161" spans="1:10" x14ac:dyDescent="0.25">
      <c r="A2161" s="362"/>
      <c r="B2161" s="609">
        <v>44195</v>
      </c>
      <c r="C2161" s="362" t="s">
        <v>81</v>
      </c>
      <c r="D2161" s="560">
        <v>99271367</v>
      </c>
      <c r="E2161" s="560">
        <v>18797648</v>
      </c>
      <c r="F2161" s="560">
        <v>224594000</v>
      </c>
      <c r="G2161" s="560">
        <f t="shared" si="40"/>
        <v>-106524985</v>
      </c>
      <c r="H2161" s="560"/>
      <c r="I2161" s="560"/>
      <c r="J2161" s="560"/>
    </row>
    <row r="2162" spans="1:10" x14ac:dyDescent="0.25">
      <c r="A2162" s="362"/>
      <c r="B2162" s="609">
        <v>44195</v>
      </c>
      <c r="C2162" s="362" t="s">
        <v>84</v>
      </c>
      <c r="D2162" s="560">
        <v>257511942</v>
      </c>
      <c r="E2162" s="560">
        <v>33082930</v>
      </c>
      <c r="F2162" s="560">
        <v>290594900</v>
      </c>
      <c r="G2162" s="560">
        <f t="shared" si="40"/>
        <v>-28</v>
      </c>
      <c r="H2162" s="560"/>
      <c r="I2162" s="560"/>
      <c r="J2162" s="560"/>
    </row>
    <row r="2163" spans="1:10" x14ac:dyDescent="0.25">
      <c r="A2163" s="362"/>
      <c r="B2163" s="609">
        <v>44195</v>
      </c>
      <c r="C2163" s="362" t="s">
        <v>4751</v>
      </c>
      <c r="D2163" s="560">
        <v>200835128</v>
      </c>
      <c r="E2163" s="560">
        <v>1473772</v>
      </c>
      <c r="F2163" s="560">
        <v>202308900</v>
      </c>
      <c r="G2163" s="560">
        <f t="shared" si="40"/>
        <v>0</v>
      </c>
      <c r="H2163" s="560"/>
      <c r="I2163" s="560"/>
      <c r="J2163" s="560"/>
    </row>
    <row r="2164" spans="1:10" x14ac:dyDescent="0.25">
      <c r="A2164" s="362"/>
      <c r="B2164" s="609">
        <v>44195</v>
      </c>
      <c r="C2164" s="362" t="s">
        <v>166</v>
      </c>
      <c r="D2164" s="560">
        <v>44784306</v>
      </c>
      <c r="E2164" s="560"/>
      <c r="F2164" s="560">
        <v>44784400</v>
      </c>
      <c r="G2164" s="560">
        <f t="shared" si="40"/>
        <v>-94</v>
      </c>
      <c r="H2164" s="560"/>
      <c r="I2164" s="560"/>
      <c r="J2164" s="560"/>
    </row>
    <row r="2165" spans="1:10" x14ac:dyDescent="0.25">
      <c r="A2165" s="362"/>
      <c r="B2165" s="609">
        <v>44195</v>
      </c>
      <c r="C2165" s="362" t="s">
        <v>3435</v>
      </c>
      <c r="D2165" s="560"/>
      <c r="E2165" s="560"/>
      <c r="F2165" s="560"/>
      <c r="G2165" s="560">
        <f t="shared" si="40"/>
        <v>0</v>
      </c>
      <c r="H2165" s="560"/>
      <c r="I2165" s="560"/>
      <c r="J2165" s="560"/>
    </row>
    <row r="2166" spans="1:10" x14ac:dyDescent="0.25">
      <c r="A2166" s="362"/>
      <c r="B2166" s="609">
        <v>44195</v>
      </c>
      <c r="C2166" s="362" t="s">
        <v>85</v>
      </c>
      <c r="D2166" s="560">
        <v>37720500</v>
      </c>
      <c r="E2166" s="560"/>
      <c r="F2166" s="560">
        <v>37720500</v>
      </c>
      <c r="G2166" s="560">
        <f t="shared" si="40"/>
        <v>0</v>
      </c>
      <c r="H2166" s="560"/>
      <c r="I2166" s="560"/>
      <c r="J2166" s="560"/>
    </row>
    <row r="2167" spans="1:10" x14ac:dyDescent="0.25">
      <c r="A2167" s="530"/>
      <c r="B2167" s="530"/>
      <c r="C2167" s="530"/>
      <c r="D2167" s="562"/>
      <c r="E2167" s="562"/>
      <c r="F2167" s="562"/>
      <c r="G2167" s="560">
        <f t="shared" si="40"/>
        <v>0</v>
      </c>
      <c r="H2167" s="562"/>
      <c r="I2167" s="562"/>
      <c r="J2167" s="562"/>
    </row>
    <row r="2168" spans="1:10" x14ac:dyDescent="0.25">
      <c r="A2168" s="362"/>
      <c r="B2168" s="609">
        <v>44196</v>
      </c>
      <c r="C2168" s="362" t="s">
        <v>86</v>
      </c>
      <c r="D2168" s="560"/>
      <c r="E2168" s="560"/>
      <c r="F2168" s="560"/>
      <c r="G2168" s="560">
        <f t="shared" si="40"/>
        <v>0</v>
      </c>
      <c r="H2168" s="560"/>
      <c r="I2168" s="560"/>
      <c r="J2168" s="560"/>
    </row>
    <row r="2169" spans="1:10" x14ac:dyDescent="0.25">
      <c r="A2169" s="362"/>
      <c r="B2169" s="609">
        <v>44196</v>
      </c>
      <c r="C2169" s="362" t="s">
        <v>87</v>
      </c>
      <c r="D2169" s="560"/>
      <c r="E2169" s="560"/>
      <c r="F2169" s="560"/>
      <c r="G2169" s="560">
        <f t="shared" si="40"/>
        <v>0</v>
      </c>
      <c r="H2169" s="560"/>
      <c r="I2169" s="560"/>
      <c r="J2169" s="560"/>
    </row>
    <row r="2170" spans="1:10" x14ac:dyDescent="0.25">
      <c r="A2170" s="362"/>
      <c r="B2170" s="609">
        <v>44196</v>
      </c>
      <c r="C2170" s="362" t="s">
        <v>88</v>
      </c>
      <c r="D2170" s="560"/>
      <c r="E2170" s="560"/>
      <c r="F2170" s="560"/>
      <c r="G2170" s="560">
        <f t="shared" si="40"/>
        <v>0</v>
      </c>
      <c r="H2170" s="560"/>
      <c r="I2170" s="560"/>
      <c r="J2170" s="560"/>
    </row>
    <row r="2171" spans="1:10" x14ac:dyDescent="0.25">
      <c r="A2171" s="362"/>
      <c r="B2171" s="609">
        <v>44196</v>
      </c>
      <c r="C2171" s="362" t="s">
        <v>82</v>
      </c>
      <c r="D2171" s="560"/>
      <c r="E2171" s="560"/>
      <c r="F2171" s="560"/>
      <c r="G2171" s="560">
        <f t="shared" si="40"/>
        <v>0</v>
      </c>
      <c r="H2171" s="560"/>
      <c r="I2171" s="560"/>
      <c r="J2171" s="560"/>
    </row>
    <row r="2172" spans="1:10" x14ac:dyDescent="0.25">
      <c r="A2172" s="362"/>
      <c r="B2172" s="609">
        <v>44196</v>
      </c>
      <c r="C2172" s="362" t="s">
        <v>80</v>
      </c>
      <c r="D2172" s="560"/>
      <c r="E2172" s="560"/>
      <c r="F2172" s="560"/>
      <c r="G2172" s="560">
        <f t="shared" si="40"/>
        <v>0</v>
      </c>
      <c r="H2172" s="560"/>
      <c r="I2172" s="560"/>
      <c r="J2172" s="560"/>
    </row>
    <row r="2173" spans="1:10" x14ac:dyDescent="0.25">
      <c r="A2173" s="362"/>
      <c r="B2173" s="609">
        <v>44196</v>
      </c>
      <c r="C2173" s="362" t="s">
        <v>83</v>
      </c>
      <c r="D2173" s="560"/>
      <c r="E2173" s="560"/>
      <c r="F2173" s="560"/>
      <c r="G2173" s="560">
        <f t="shared" si="40"/>
        <v>0</v>
      </c>
      <c r="H2173" s="560"/>
      <c r="I2173" s="560"/>
      <c r="J2173" s="560"/>
    </row>
    <row r="2174" spans="1:10" x14ac:dyDescent="0.25">
      <c r="A2174" s="362"/>
      <c r="B2174" s="609">
        <v>44196</v>
      </c>
      <c r="C2174" s="362" t="s">
        <v>78</v>
      </c>
      <c r="D2174" s="560">
        <v>94764100</v>
      </c>
      <c r="E2174" s="560"/>
      <c r="F2174" s="560">
        <v>94764100</v>
      </c>
      <c r="G2174" s="560">
        <f t="shared" si="40"/>
        <v>0</v>
      </c>
      <c r="H2174" s="560"/>
      <c r="I2174" s="560"/>
      <c r="J2174" s="560"/>
    </row>
    <row r="2175" spans="1:10" x14ac:dyDescent="0.25">
      <c r="A2175" s="362"/>
      <c r="B2175" s="609">
        <v>44196</v>
      </c>
      <c r="C2175" s="362" t="s">
        <v>141</v>
      </c>
      <c r="D2175" s="560">
        <v>16027535</v>
      </c>
      <c r="E2175" s="560"/>
      <c r="F2175" s="560">
        <v>16027600</v>
      </c>
      <c r="G2175" s="560">
        <f t="shared" si="40"/>
        <v>-65</v>
      </c>
      <c r="H2175" s="560"/>
      <c r="I2175" s="560"/>
      <c r="J2175" s="560"/>
    </row>
    <row r="2176" spans="1:10" x14ac:dyDescent="0.25">
      <c r="A2176" s="362"/>
      <c r="B2176" s="609">
        <v>44196</v>
      </c>
      <c r="C2176" s="362" t="s">
        <v>89</v>
      </c>
      <c r="D2176" s="560"/>
      <c r="E2176" s="560"/>
      <c r="F2176" s="560"/>
      <c r="G2176" s="560">
        <f t="shared" si="40"/>
        <v>0</v>
      </c>
      <c r="H2176" s="560"/>
      <c r="I2176" s="560"/>
      <c r="J2176" s="560"/>
    </row>
    <row r="2177" spans="1:10" x14ac:dyDescent="0.25">
      <c r="A2177" s="362"/>
      <c r="B2177" s="609">
        <v>44196</v>
      </c>
      <c r="C2177" s="362" t="s">
        <v>81</v>
      </c>
      <c r="D2177" s="560">
        <v>105527875</v>
      </c>
      <c r="E2177" s="560">
        <v>997062</v>
      </c>
      <c r="F2177" s="560">
        <v>106524985</v>
      </c>
      <c r="G2177" s="560">
        <f t="shared" si="40"/>
        <v>-48</v>
      </c>
      <c r="H2177" s="560"/>
      <c r="I2177" s="560"/>
      <c r="J2177" s="560"/>
    </row>
    <row r="2178" spans="1:10" x14ac:dyDescent="0.25">
      <c r="A2178" s="362"/>
      <c r="B2178" s="609">
        <v>44196</v>
      </c>
      <c r="C2178" s="362" t="s">
        <v>84</v>
      </c>
      <c r="D2178" s="560">
        <v>108883948</v>
      </c>
      <c r="E2178" s="560">
        <v>162000</v>
      </c>
      <c r="F2178" s="560">
        <v>109046000</v>
      </c>
      <c r="G2178" s="560">
        <f t="shared" si="40"/>
        <v>-52</v>
      </c>
      <c r="H2178" s="560"/>
      <c r="I2178" s="560"/>
      <c r="J2178" s="560"/>
    </row>
    <row r="2179" spans="1:10" x14ac:dyDescent="0.25">
      <c r="A2179" s="362"/>
      <c r="B2179" s="609">
        <v>44196</v>
      </c>
      <c r="C2179" s="362" t="s">
        <v>4751</v>
      </c>
      <c r="D2179" s="560">
        <v>204371560</v>
      </c>
      <c r="E2179" s="560">
        <v>37440</v>
      </c>
      <c r="F2179" s="560">
        <v>204409000</v>
      </c>
      <c r="G2179" s="560">
        <f t="shared" si="40"/>
        <v>0</v>
      </c>
      <c r="H2179" s="560"/>
      <c r="I2179" s="560"/>
      <c r="J2179" s="560"/>
    </row>
    <row r="2180" spans="1:10" x14ac:dyDescent="0.25">
      <c r="A2180" s="362"/>
      <c r="B2180" s="609">
        <v>44196</v>
      </c>
      <c r="C2180" s="362" t="s">
        <v>166</v>
      </c>
      <c r="D2180" s="560"/>
      <c r="E2180" s="560"/>
      <c r="F2180" s="560"/>
      <c r="G2180" s="560">
        <f t="shared" si="40"/>
        <v>0</v>
      </c>
      <c r="H2180" s="560"/>
      <c r="I2180" s="560"/>
      <c r="J2180" s="560"/>
    </row>
    <row r="2181" spans="1:10" x14ac:dyDescent="0.25">
      <c r="A2181" s="362"/>
      <c r="B2181" s="609">
        <v>44196</v>
      </c>
      <c r="C2181" s="362" t="s">
        <v>3435</v>
      </c>
      <c r="D2181" s="560"/>
      <c r="E2181" s="560"/>
      <c r="F2181" s="560"/>
      <c r="G2181" s="560">
        <f t="shared" si="40"/>
        <v>0</v>
      </c>
      <c r="H2181" s="560"/>
      <c r="I2181" s="560"/>
      <c r="J2181" s="560"/>
    </row>
    <row r="2182" spans="1:10" x14ac:dyDescent="0.25">
      <c r="A2182" s="362"/>
      <c r="B2182" s="609">
        <v>44196</v>
      </c>
      <c r="C2182" s="362" t="s">
        <v>85</v>
      </c>
      <c r="D2182" s="560">
        <v>31842100</v>
      </c>
      <c r="E2182" s="560"/>
      <c r="F2182" s="560">
        <v>31842100</v>
      </c>
      <c r="G2182" s="560">
        <f t="shared" si="40"/>
        <v>0</v>
      </c>
      <c r="H2182" s="560"/>
      <c r="I2182" s="560"/>
      <c r="J2182" s="560"/>
    </row>
    <row r="2183" spans="1:10" x14ac:dyDescent="0.25">
      <c r="A2183" s="530"/>
      <c r="B2183" s="530"/>
      <c r="C2183" s="530"/>
      <c r="D2183" s="562"/>
      <c r="E2183" s="562"/>
      <c r="F2183" s="562"/>
      <c r="G2183" s="562">
        <f t="shared" si="40"/>
        <v>0</v>
      </c>
      <c r="H2183" s="562"/>
      <c r="I2183" s="562"/>
      <c r="J2183" s="562"/>
    </row>
    <row r="2184" spans="1:10" x14ac:dyDescent="0.25">
      <c r="A2184" s="362"/>
      <c r="B2184" s="609">
        <v>44200</v>
      </c>
      <c r="C2184" s="362" t="s">
        <v>86</v>
      </c>
      <c r="D2184" s="560">
        <v>48218109</v>
      </c>
      <c r="E2184" s="560">
        <v>3777008</v>
      </c>
      <c r="F2184" s="560">
        <v>51995200</v>
      </c>
      <c r="G2184" s="560">
        <f t="shared" si="40"/>
        <v>-83</v>
      </c>
      <c r="H2184" s="560"/>
      <c r="I2184" s="560"/>
      <c r="J2184" s="560"/>
    </row>
    <row r="2185" spans="1:10" x14ac:dyDescent="0.25">
      <c r="A2185" s="362"/>
      <c r="B2185" s="609">
        <v>44200</v>
      </c>
      <c r="C2185" s="362" t="s">
        <v>87</v>
      </c>
      <c r="D2185" s="560">
        <v>82393812</v>
      </c>
      <c r="E2185" s="560">
        <v>15596828</v>
      </c>
      <c r="F2185" s="560">
        <v>97990800</v>
      </c>
      <c r="G2185" s="560">
        <f t="shared" si="40"/>
        <v>-160</v>
      </c>
      <c r="H2185" s="560"/>
      <c r="I2185" s="560"/>
      <c r="J2185" s="560"/>
    </row>
    <row r="2186" spans="1:10" x14ac:dyDescent="0.25">
      <c r="A2186" s="362"/>
      <c r="B2186" s="609">
        <v>44200</v>
      </c>
      <c r="C2186" s="362" t="s">
        <v>88</v>
      </c>
      <c r="D2186" s="560">
        <v>291295136</v>
      </c>
      <c r="E2186" s="560">
        <v>27834977</v>
      </c>
      <c r="F2186" s="560">
        <v>319130200</v>
      </c>
      <c r="G2186" s="560">
        <f t="shared" si="40"/>
        <v>-87</v>
      </c>
      <c r="H2186" s="560"/>
      <c r="I2186" s="560"/>
      <c r="J2186" s="560"/>
    </row>
    <row r="2187" spans="1:10" x14ac:dyDescent="0.25">
      <c r="A2187" s="362"/>
      <c r="B2187" s="609">
        <v>44200</v>
      </c>
      <c r="C2187" s="362" t="s">
        <v>82</v>
      </c>
      <c r="D2187" s="560">
        <v>78729799</v>
      </c>
      <c r="E2187" s="560">
        <v>1293700</v>
      </c>
      <c r="F2187" s="560">
        <v>80023600</v>
      </c>
      <c r="G2187" s="560">
        <f t="shared" si="40"/>
        <v>-101</v>
      </c>
      <c r="H2187" s="560"/>
      <c r="I2187" s="560"/>
      <c r="J2187" s="560"/>
    </row>
    <row r="2188" spans="1:10" x14ac:dyDescent="0.25">
      <c r="A2188" s="362"/>
      <c r="B2188" s="609">
        <v>44200</v>
      </c>
      <c r="C2188" s="362" t="s">
        <v>80</v>
      </c>
      <c r="D2188" s="560">
        <v>299374700</v>
      </c>
      <c r="E2188" s="560"/>
      <c r="F2188" s="560">
        <v>299374700</v>
      </c>
      <c r="G2188" s="560">
        <f t="shared" si="40"/>
        <v>0</v>
      </c>
      <c r="H2188" s="560"/>
      <c r="I2188" s="560"/>
      <c r="J2188" s="560"/>
    </row>
    <row r="2189" spans="1:10" x14ac:dyDescent="0.25">
      <c r="A2189" s="362"/>
      <c r="B2189" s="609">
        <v>44200</v>
      </c>
      <c r="C2189" s="362" t="s">
        <v>83</v>
      </c>
      <c r="D2189" s="560">
        <v>356632856</v>
      </c>
      <c r="E2189" s="560">
        <v>2321135</v>
      </c>
      <c r="F2189" s="560">
        <v>358954000</v>
      </c>
      <c r="G2189" s="560">
        <f t="shared" si="40"/>
        <v>-9</v>
      </c>
      <c r="H2189" s="560"/>
      <c r="I2189" s="560"/>
      <c r="J2189" s="560"/>
    </row>
    <row r="2190" spans="1:10" x14ac:dyDescent="0.25">
      <c r="A2190" s="362"/>
      <c r="B2190" s="609">
        <v>44200</v>
      </c>
      <c r="C2190" s="362" t="s">
        <v>78</v>
      </c>
      <c r="D2190" s="560">
        <v>174998283</v>
      </c>
      <c r="E2190" s="560">
        <v>2235417</v>
      </c>
      <c r="F2190" s="560">
        <v>177233700</v>
      </c>
      <c r="G2190" s="560">
        <f t="shared" si="40"/>
        <v>0</v>
      </c>
      <c r="H2190" s="560"/>
      <c r="I2190" s="560"/>
      <c r="J2190" s="560"/>
    </row>
    <row r="2191" spans="1:10" x14ac:dyDescent="0.25">
      <c r="A2191" s="362"/>
      <c r="B2191" s="609">
        <v>44200</v>
      </c>
      <c r="C2191" s="362" t="s">
        <v>141</v>
      </c>
      <c r="D2191" s="560">
        <v>96362153</v>
      </c>
      <c r="E2191" s="560">
        <v>1448988</v>
      </c>
      <c r="F2191" s="560">
        <v>97811200</v>
      </c>
      <c r="G2191" s="560">
        <f t="shared" si="40"/>
        <v>-59</v>
      </c>
      <c r="H2191" s="560"/>
      <c r="I2191" s="560"/>
      <c r="J2191" s="560"/>
    </row>
    <row r="2192" spans="1:10" x14ac:dyDescent="0.25">
      <c r="A2192" s="362"/>
      <c r="B2192" s="609">
        <v>44200</v>
      </c>
      <c r="C2192" s="362" t="s">
        <v>89</v>
      </c>
      <c r="D2192" s="560">
        <v>121896503</v>
      </c>
      <c r="E2192" s="560">
        <v>15060797</v>
      </c>
      <c r="F2192" s="560">
        <v>136957300</v>
      </c>
      <c r="G2192" s="560">
        <f t="shared" si="40"/>
        <v>0</v>
      </c>
      <c r="H2192" s="560"/>
      <c r="I2192" s="560"/>
      <c r="J2192" s="560"/>
    </row>
    <row r="2193" spans="1:10" x14ac:dyDescent="0.25">
      <c r="A2193" s="362"/>
      <c r="B2193" s="609">
        <v>44200</v>
      </c>
      <c r="C2193" s="362" t="s">
        <v>81</v>
      </c>
      <c r="D2193" s="560">
        <v>77277464</v>
      </c>
      <c r="E2193" s="560">
        <v>8338794</v>
      </c>
      <c r="F2193" s="560">
        <v>85616300</v>
      </c>
      <c r="G2193" s="560">
        <f t="shared" si="40"/>
        <v>-42</v>
      </c>
      <c r="H2193" s="560"/>
      <c r="I2193" s="560"/>
      <c r="J2193" s="560"/>
    </row>
    <row r="2194" spans="1:10" x14ac:dyDescent="0.25">
      <c r="A2194" s="362"/>
      <c r="B2194" s="609">
        <v>44200</v>
      </c>
      <c r="C2194" s="362" t="s">
        <v>84</v>
      </c>
      <c r="D2194" s="560">
        <v>254843359</v>
      </c>
      <c r="E2194" s="560">
        <v>2603853</v>
      </c>
      <c r="F2194" s="560">
        <v>257447300</v>
      </c>
      <c r="G2194" s="560">
        <f t="shared" si="40"/>
        <v>-88</v>
      </c>
      <c r="H2194" s="560"/>
      <c r="I2194" s="560"/>
      <c r="J2194" s="560"/>
    </row>
    <row r="2195" spans="1:10" x14ac:dyDescent="0.25">
      <c r="A2195" s="362"/>
      <c r="B2195" s="609">
        <v>44200</v>
      </c>
      <c r="C2195" s="362" t="s">
        <v>4751</v>
      </c>
      <c r="D2195" s="560">
        <v>223287461</v>
      </c>
      <c r="E2195" s="560">
        <v>5784939</v>
      </c>
      <c r="F2195" s="560">
        <v>229072500</v>
      </c>
      <c r="G2195" s="560">
        <f t="shared" si="40"/>
        <v>-100</v>
      </c>
      <c r="H2195" s="560"/>
      <c r="I2195" s="560"/>
      <c r="J2195" s="560"/>
    </row>
    <row r="2196" spans="1:10" x14ac:dyDescent="0.25">
      <c r="A2196" s="362"/>
      <c r="B2196" s="609">
        <v>44200</v>
      </c>
      <c r="C2196" s="362" t="s">
        <v>166</v>
      </c>
      <c r="D2196" s="560">
        <v>106096309</v>
      </c>
      <c r="E2196" s="560"/>
      <c r="F2196" s="560">
        <v>106096400</v>
      </c>
      <c r="G2196" s="560">
        <f t="shared" si="40"/>
        <v>-91</v>
      </c>
      <c r="H2196" s="560"/>
      <c r="I2196" s="560"/>
      <c r="J2196" s="560"/>
    </row>
    <row r="2197" spans="1:10" x14ac:dyDescent="0.25">
      <c r="A2197" s="362"/>
      <c r="B2197" s="609">
        <v>44200</v>
      </c>
      <c r="C2197" s="362" t="s">
        <v>3435</v>
      </c>
      <c r="D2197" s="560">
        <v>52895041</v>
      </c>
      <c r="E2197" s="560"/>
      <c r="F2197" s="560">
        <v>52895100</v>
      </c>
      <c r="G2197" s="560">
        <f t="shared" si="40"/>
        <v>-59</v>
      </c>
      <c r="H2197" s="560"/>
      <c r="I2197" s="560"/>
      <c r="J2197" s="560"/>
    </row>
    <row r="2198" spans="1:10" x14ac:dyDescent="0.25">
      <c r="A2198" s="362"/>
      <c r="B2198" s="609">
        <v>44200</v>
      </c>
      <c r="C2198" s="362" t="s">
        <v>85</v>
      </c>
      <c r="D2198" s="560">
        <v>61525800</v>
      </c>
      <c r="E2198" s="560"/>
      <c r="F2198" s="560">
        <v>61525800</v>
      </c>
      <c r="G2198" s="560">
        <f t="shared" si="40"/>
        <v>0</v>
      </c>
      <c r="H2198" s="560"/>
      <c r="I2198" s="560"/>
      <c r="J2198" s="560"/>
    </row>
    <row r="2199" spans="1:10" x14ac:dyDescent="0.25">
      <c r="A2199" s="530"/>
      <c r="B2199" s="530"/>
      <c r="C2199" s="530"/>
      <c r="D2199" s="562"/>
      <c r="E2199" s="562"/>
      <c r="F2199" s="562"/>
      <c r="G2199" s="560">
        <f t="shared" si="40"/>
        <v>0</v>
      </c>
      <c r="H2199" s="562"/>
      <c r="I2199" s="562"/>
      <c r="J2199" s="562"/>
    </row>
    <row r="2200" spans="1:10" x14ac:dyDescent="0.25">
      <c r="A2200" s="362"/>
      <c r="B2200" s="609">
        <v>44201</v>
      </c>
      <c r="C2200" s="362" t="s">
        <v>86</v>
      </c>
      <c r="D2200" s="560">
        <v>34799722</v>
      </c>
      <c r="E2200" s="560">
        <v>86288480</v>
      </c>
      <c r="F2200" s="560">
        <v>121088200</v>
      </c>
      <c r="G2200" s="560">
        <f t="shared" si="40"/>
        <v>2</v>
      </c>
      <c r="H2200" s="560"/>
      <c r="I2200" s="560"/>
      <c r="J2200" s="560"/>
    </row>
    <row r="2201" spans="1:10" x14ac:dyDescent="0.25">
      <c r="A2201" s="362"/>
      <c r="B2201" s="609">
        <v>44201</v>
      </c>
      <c r="C2201" s="362" t="s">
        <v>87</v>
      </c>
      <c r="D2201" s="560">
        <v>179941529</v>
      </c>
      <c r="E2201" s="560">
        <v>54530885</v>
      </c>
      <c r="F2201" s="560">
        <v>234472500</v>
      </c>
      <c r="G2201" s="560">
        <f t="shared" si="40"/>
        <v>-86</v>
      </c>
      <c r="H2201" s="560"/>
      <c r="I2201" s="560"/>
      <c r="J2201" s="560"/>
    </row>
    <row r="2202" spans="1:10" x14ac:dyDescent="0.25">
      <c r="A2202" s="362"/>
      <c r="B2202" s="609">
        <v>44201</v>
      </c>
      <c r="C2202" s="362" t="s">
        <v>88</v>
      </c>
      <c r="D2202" s="560">
        <v>267535601</v>
      </c>
      <c r="E2202" s="560">
        <v>15116242</v>
      </c>
      <c r="F2202" s="560">
        <v>282651900</v>
      </c>
      <c r="G2202" s="560">
        <f t="shared" si="40"/>
        <v>-57</v>
      </c>
      <c r="H2202" s="560"/>
      <c r="I2202" s="560"/>
      <c r="J2202" s="560"/>
    </row>
    <row r="2203" spans="1:10" x14ac:dyDescent="0.25">
      <c r="A2203" s="362"/>
      <c r="B2203" s="609">
        <v>44201</v>
      </c>
      <c r="C2203" s="362" t="s">
        <v>82</v>
      </c>
      <c r="D2203" s="560">
        <v>130271535</v>
      </c>
      <c r="E2203" s="560"/>
      <c r="F2203" s="560">
        <v>130271600</v>
      </c>
      <c r="G2203" s="560">
        <f t="shared" si="40"/>
        <v>-65</v>
      </c>
      <c r="H2203" s="560"/>
      <c r="I2203" s="560"/>
      <c r="J2203" s="560"/>
    </row>
    <row r="2204" spans="1:10" x14ac:dyDescent="0.25">
      <c r="A2204" s="362"/>
      <c r="B2204" s="609">
        <v>44201</v>
      </c>
      <c r="C2204" s="362" t="s">
        <v>80</v>
      </c>
      <c r="D2204" s="560">
        <v>310602000</v>
      </c>
      <c r="E2204" s="560"/>
      <c r="F2204" s="560">
        <v>310602600</v>
      </c>
      <c r="G2204" s="560">
        <f t="shared" si="40"/>
        <v>-600</v>
      </c>
      <c r="H2204" s="560"/>
      <c r="I2204" s="560"/>
      <c r="J2204" s="560"/>
    </row>
    <row r="2205" spans="1:10" x14ac:dyDescent="0.25">
      <c r="A2205" s="362"/>
      <c r="B2205" s="609">
        <v>44201</v>
      </c>
      <c r="C2205" s="362" t="s">
        <v>83</v>
      </c>
      <c r="D2205" s="560">
        <v>202568311</v>
      </c>
      <c r="E2205" s="560">
        <v>3207852</v>
      </c>
      <c r="F2205" s="560">
        <v>205776200</v>
      </c>
      <c r="G2205" s="560">
        <f t="shared" si="40"/>
        <v>-37</v>
      </c>
      <c r="H2205" s="560"/>
      <c r="I2205" s="560"/>
      <c r="J2205" s="560"/>
    </row>
    <row r="2206" spans="1:10" x14ac:dyDescent="0.25">
      <c r="A2206" s="362"/>
      <c r="B2206" s="609">
        <v>44201</v>
      </c>
      <c r="C2206" s="362" t="s">
        <v>78</v>
      </c>
      <c r="D2206" s="560">
        <v>73963448</v>
      </c>
      <c r="E2206" s="560">
        <v>4027752</v>
      </c>
      <c r="F2206" s="560">
        <v>77991200</v>
      </c>
      <c r="G2206" s="560">
        <f t="shared" si="40"/>
        <v>0</v>
      </c>
      <c r="H2206" s="560"/>
      <c r="I2206" s="560"/>
      <c r="J2206" s="560"/>
    </row>
    <row r="2207" spans="1:10" x14ac:dyDescent="0.25">
      <c r="A2207" s="362"/>
      <c r="B2207" s="609">
        <v>44201</v>
      </c>
      <c r="C2207" s="362" t="s">
        <v>141</v>
      </c>
      <c r="D2207" s="560">
        <v>47773844</v>
      </c>
      <c r="E2207" s="560"/>
      <c r="F2207" s="560">
        <v>47773900</v>
      </c>
      <c r="G2207" s="560">
        <f t="shared" si="40"/>
        <v>-56</v>
      </c>
      <c r="H2207" s="560"/>
      <c r="I2207" s="560"/>
      <c r="J2207" s="560"/>
    </row>
    <row r="2208" spans="1:10" x14ac:dyDescent="0.25">
      <c r="A2208" s="362"/>
      <c r="B2208" s="609">
        <v>44201</v>
      </c>
      <c r="C2208" s="362" t="s">
        <v>89</v>
      </c>
      <c r="D2208" s="560">
        <v>88079326</v>
      </c>
      <c r="E2208" s="560">
        <v>78450074</v>
      </c>
      <c r="F2208" s="560">
        <v>166529400</v>
      </c>
      <c r="G2208" s="560">
        <f t="shared" si="40"/>
        <v>0</v>
      </c>
      <c r="H2208" s="560"/>
      <c r="I2208" s="560"/>
      <c r="J2208" s="560"/>
    </row>
    <row r="2209" spans="1:10" x14ac:dyDescent="0.25">
      <c r="A2209" s="362"/>
      <c r="B2209" s="609">
        <v>44201</v>
      </c>
      <c r="C2209" s="362" t="s">
        <v>81</v>
      </c>
      <c r="D2209" s="560">
        <v>75502737</v>
      </c>
      <c r="E2209" s="560">
        <v>7410372</v>
      </c>
      <c r="F2209" s="560">
        <v>82913300</v>
      </c>
      <c r="G2209" s="560">
        <f t="shared" si="40"/>
        <v>-191</v>
      </c>
      <c r="H2209" s="560"/>
      <c r="I2209" s="560"/>
      <c r="J2209" s="560"/>
    </row>
    <row r="2210" spans="1:10" x14ac:dyDescent="0.25">
      <c r="A2210" s="362"/>
      <c r="B2210" s="609">
        <v>44201</v>
      </c>
      <c r="C2210" s="362" t="s">
        <v>84</v>
      </c>
      <c r="D2210" s="560">
        <v>328228018</v>
      </c>
      <c r="E2210" s="560">
        <v>8324810</v>
      </c>
      <c r="F2210" s="560">
        <v>336552900</v>
      </c>
      <c r="G2210" s="560">
        <f t="shared" si="40"/>
        <v>-72</v>
      </c>
      <c r="H2210" s="560"/>
      <c r="I2210" s="560"/>
      <c r="J2210" s="560"/>
    </row>
    <row r="2211" spans="1:10" x14ac:dyDescent="0.25">
      <c r="A2211" s="362"/>
      <c r="B2211" s="609">
        <v>44201</v>
      </c>
      <c r="C2211" s="362" t="s">
        <v>4751</v>
      </c>
      <c r="D2211" s="560">
        <v>217839794</v>
      </c>
      <c r="E2211" s="560">
        <v>7362706</v>
      </c>
      <c r="F2211" s="560">
        <v>225202500</v>
      </c>
      <c r="G2211" s="560">
        <f t="shared" si="40"/>
        <v>0</v>
      </c>
      <c r="H2211" s="560"/>
      <c r="I2211" s="560"/>
      <c r="J2211" s="560"/>
    </row>
    <row r="2212" spans="1:10" x14ac:dyDescent="0.25">
      <c r="A2212" s="362"/>
      <c r="B2212" s="609">
        <v>44201</v>
      </c>
      <c r="C2212" s="362" t="s">
        <v>166</v>
      </c>
      <c r="D2212" s="560"/>
      <c r="E2212" s="560"/>
      <c r="F2212" s="560">
        <v>85916900</v>
      </c>
      <c r="G2212" s="560">
        <f t="shared" si="40"/>
        <v>-85916900</v>
      </c>
      <c r="H2212" s="560"/>
      <c r="I2212" s="560"/>
      <c r="J2212" s="560"/>
    </row>
    <row r="2213" spans="1:10" x14ac:dyDescent="0.25">
      <c r="A2213" s="362"/>
      <c r="B2213" s="609">
        <v>44201</v>
      </c>
      <c r="C2213" s="362" t="s">
        <v>3435</v>
      </c>
      <c r="D2213" s="560">
        <v>45355943</v>
      </c>
      <c r="E2213" s="560"/>
      <c r="F2213" s="560">
        <v>45356000</v>
      </c>
      <c r="G2213" s="560">
        <f t="shared" si="40"/>
        <v>-57</v>
      </c>
      <c r="H2213" s="560"/>
      <c r="I2213" s="560"/>
      <c r="J2213" s="560"/>
    </row>
    <row r="2214" spans="1:10" x14ac:dyDescent="0.25">
      <c r="A2214" s="362"/>
      <c r="B2214" s="609">
        <v>44201</v>
      </c>
      <c r="C2214" s="362" t="s">
        <v>85</v>
      </c>
      <c r="D2214" s="560">
        <v>34464200</v>
      </c>
      <c r="E2214" s="560"/>
      <c r="F2214" s="560">
        <v>34464200</v>
      </c>
      <c r="G2214" s="560">
        <f t="shared" si="40"/>
        <v>0</v>
      </c>
      <c r="H2214" s="560"/>
      <c r="I2214" s="560"/>
      <c r="J2214" s="560"/>
    </row>
    <row r="2215" spans="1:10" x14ac:dyDescent="0.25">
      <c r="A2215" s="530"/>
      <c r="B2215" s="530"/>
      <c r="C2215" s="530"/>
      <c r="D2215" s="562"/>
      <c r="E2215" s="562"/>
      <c r="F2215" s="562"/>
      <c r="G2215" s="560">
        <f t="shared" si="40"/>
        <v>0</v>
      </c>
      <c r="H2215" s="562"/>
      <c r="I2215" s="562"/>
      <c r="J2215" s="562"/>
    </row>
    <row r="2216" spans="1:10" x14ac:dyDescent="0.25">
      <c r="A2216" s="362"/>
      <c r="B2216" s="609">
        <v>44202</v>
      </c>
      <c r="C2216" s="362" t="s">
        <v>86</v>
      </c>
      <c r="D2216" s="560">
        <v>78141189</v>
      </c>
      <c r="E2216" s="560">
        <v>82348881</v>
      </c>
      <c r="F2216" s="560"/>
      <c r="G2216" s="560">
        <f t="shared" si="40"/>
        <v>160490070</v>
      </c>
      <c r="H2216" s="560"/>
      <c r="I2216" s="560"/>
      <c r="J2216" s="560"/>
    </row>
    <row r="2217" spans="1:10" x14ac:dyDescent="0.25">
      <c r="A2217" s="362"/>
      <c r="B2217" s="609">
        <v>44202</v>
      </c>
      <c r="C2217" s="362" t="s">
        <v>87</v>
      </c>
      <c r="D2217" s="560">
        <v>167814441</v>
      </c>
      <c r="E2217" s="560">
        <v>131589738</v>
      </c>
      <c r="F2217" s="560"/>
      <c r="G2217" s="560">
        <f t="shared" ref="G2217:G2275" si="41">D2217+E2217-F2217</f>
        <v>299404179</v>
      </c>
      <c r="H2217" s="560"/>
      <c r="I2217" s="560"/>
      <c r="J2217" s="560"/>
    </row>
    <row r="2218" spans="1:10" x14ac:dyDescent="0.25">
      <c r="A2218" s="362"/>
      <c r="B2218" s="609">
        <v>44202</v>
      </c>
      <c r="C2218" s="362" t="s">
        <v>88</v>
      </c>
      <c r="D2218" s="560">
        <v>411660158</v>
      </c>
      <c r="E2218" s="560">
        <v>82136593</v>
      </c>
      <c r="F2218" s="560"/>
      <c r="G2218" s="560">
        <f t="shared" si="41"/>
        <v>493796751</v>
      </c>
      <c r="H2218" s="560"/>
      <c r="I2218" s="560"/>
      <c r="J2218" s="560"/>
    </row>
    <row r="2219" spans="1:10" x14ac:dyDescent="0.25">
      <c r="A2219" s="362"/>
      <c r="B2219" s="609">
        <v>44202</v>
      </c>
      <c r="C2219" s="362" t="s">
        <v>82</v>
      </c>
      <c r="D2219" s="560">
        <v>204811899</v>
      </c>
      <c r="E2219" s="560">
        <v>1849000</v>
      </c>
      <c r="F2219" s="560"/>
      <c r="G2219" s="560">
        <f t="shared" si="41"/>
        <v>206660899</v>
      </c>
      <c r="H2219" s="560"/>
      <c r="I2219" s="560"/>
      <c r="J2219" s="560"/>
    </row>
    <row r="2220" spans="1:10" x14ac:dyDescent="0.25">
      <c r="A2220" s="362"/>
      <c r="B2220" s="609">
        <v>44202</v>
      </c>
      <c r="C2220" s="362" t="s">
        <v>80</v>
      </c>
      <c r="D2220" s="560">
        <v>347687299</v>
      </c>
      <c r="E2220" s="560"/>
      <c r="F2220" s="560"/>
      <c r="G2220" s="560">
        <f t="shared" si="41"/>
        <v>347687299</v>
      </c>
      <c r="H2220" s="560"/>
      <c r="I2220" s="560"/>
      <c r="J2220" s="560"/>
    </row>
    <row r="2221" spans="1:10" x14ac:dyDescent="0.25">
      <c r="A2221" s="362"/>
      <c r="B2221" s="609">
        <v>44202</v>
      </c>
      <c r="C2221" s="362" t="s">
        <v>83</v>
      </c>
      <c r="D2221" s="560">
        <v>159568967</v>
      </c>
      <c r="E2221" s="560">
        <v>71616462</v>
      </c>
      <c r="F2221" s="560"/>
      <c r="G2221" s="560">
        <f t="shared" si="41"/>
        <v>231185429</v>
      </c>
      <c r="H2221" s="560"/>
      <c r="I2221" s="560"/>
      <c r="J2221" s="560"/>
    </row>
    <row r="2222" spans="1:10" x14ac:dyDescent="0.25">
      <c r="A2222" s="362"/>
      <c r="B2222" s="609">
        <v>44202</v>
      </c>
      <c r="C2222" s="362" t="s">
        <v>78</v>
      </c>
      <c r="D2222" s="560">
        <v>76690182</v>
      </c>
      <c r="E2222" s="560">
        <v>131518</v>
      </c>
      <c r="F2222" s="560"/>
      <c r="G2222" s="560">
        <f t="shared" si="41"/>
        <v>76821700</v>
      </c>
      <c r="H2222" s="560"/>
      <c r="I2222" s="560"/>
      <c r="J2222" s="560"/>
    </row>
    <row r="2223" spans="1:10" x14ac:dyDescent="0.25">
      <c r="A2223" s="362"/>
      <c r="B2223" s="609">
        <v>44202</v>
      </c>
      <c r="C2223" s="362" t="s">
        <v>141</v>
      </c>
      <c r="D2223" s="560">
        <v>118932439</v>
      </c>
      <c r="E2223" s="560"/>
      <c r="F2223" s="560"/>
      <c r="G2223" s="560">
        <f t="shared" si="41"/>
        <v>118932439</v>
      </c>
      <c r="H2223" s="560"/>
      <c r="I2223" s="560"/>
      <c r="J2223" s="560"/>
    </row>
    <row r="2224" spans="1:10" x14ac:dyDescent="0.25">
      <c r="A2224" s="362"/>
      <c r="B2224" s="609">
        <v>44202</v>
      </c>
      <c r="C2224" s="362" t="s">
        <v>89</v>
      </c>
      <c r="D2224" s="560">
        <v>175845049</v>
      </c>
      <c r="E2224" s="560">
        <v>44616851</v>
      </c>
      <c r="F2224" s="560"/>
      <c r="G2224" s="560">
        <f t="shared" si="41"/>
        <v>220461900</v>
      </c>
      <c r="H2224" s="560"/>
      <c r="I2224" s="560"/>
      <c r="J2224" s="560"/>
    </row>
    <row r="2225" spans="1:10" x14ac:dyDescent="0.25">
      <c r="A2225" s="362"/>
      <c r="B2225" s="609">
        <v>44202</v>
      </c>
      <c r="C2225" s="362" t="s">
        <v>81</v>
      </c>
      <c r="D2225" s="560">
        <v>119556911</v>
      </c>
      <c r="E2225" s="560">
        <v>17592817</v>
      </c>
      <c r="F2225" s="560"/>
      <c r="G2225" s="560">
        <f t="shared" si="41"/>
        <v>137149728</v>
      </c>
      <c r="H2225" s="560"/>
      <c r="I2225" s="560"/>
      <c r="J2225" s="560"/>
    </row>
    <row r="2226" spans="1:10" x14ac:dyDescent="0.25">
      <c r="A2226" s="362"/>
      <c r="B2226" s="609">
        <v>44202</v>
      </c>
      <c r="C2226" s="362" t="s">
        <v>84</v>
      </c>
      <c r="D2226" s="560">
        <v>359935531</v>
      </c>
      <c r="E2226" s="560">
        <v>14577425</v>
      </c>
      <c r="F2226" s="560"/>
      <c r="G2226" s="560">
        <f t="shared" si="41"/>
        <v>374512956</v>
      </c>
      <c r="H2226" s="560"/>
      <c r="I2226" s="560"/>
      <c r="J2226" s="560"/>
    </row>
    <row r="2227" spans="1:10" x14ac:dyDescent="0.25">
      <c r="A2227" s="362"/>
      <c r="B2227" s="609">
        <v>44202</v>
      </c>
      <c r="C2227" s="362" t="s">
        <v>4751</v>
      </c>
      <c r="D2227" s="560">
        <v>149017564</v>
      </c>
      <c r="E2227" s="560">
        <v>8562236</v>
      </c>
      <c r="F2227" s="560"/>
      <c r="G2227" s="560">
        <f t="shared" si="41"/>
        <v>157579800</v>
      </c>
      <c r="H2227" s="560"/>
      <c r="I2227" s="560"/>
      <c r="J2227" s="560"/>
    </row>
    <row r="2228" spans="1:10" x14ac:dyDescent="0.25">
      <c r="A2228" s="362"/>
      <c r="B2228" s="609">
        <v>44202</v>
      </c>
      <c r="C2228" s="362" t="s">
        <v>166</v>
      </c>
      <c r="D2228" s="560">
        <v>60018711</v>
      </c>
      <c r="E2228" s="560"/>
      <c r="F2228" s="560"/>
      <c r="G2228" s="560">
        <f t="shared" si="41"/>
        <v>60018711</v>
      </c>
      <c r="H2228" s="560"/>
      <c r="I2228" s="560"/>
      <c r="J2228" s="560"/>
    </row>
    <row r="2229" spans="1:10" x14ac:dyDescent="0.25">
      <c r="A2229" s="362"/>
      <c r="B2229" s="609">
        <v>44202</v>
      </c>
      <c r="C2229" s="362" t="s">
        <v>3435</v>
      </c>
      <c r="D2229" s="560">
        <v>113780078</v>
      </c>
      <c r="E2229" s="560"/>
      <c r="F2229" s="560"/>
      <c r="G2229" s="560">
        <f t="shared" si="41"/>
        <v>113780078</v>
      </c>
      <c r="H2229" s="560"/>
      <c r="I2229" s="560"/>
      <c r="J2229" s="560"/>
    </row>
    <row r="2230" spans="1:10" x14ac:dyDescent="0.25">
      <c r="A2230" s="362"/>
      <c r="B2230" s="609">
        <v>44202</v>
      </c>
      <c r="C2230" s="362" t="s">
        <v>85</v>
      </c>
      <c r="D2230" s="560">
        <v>44876700</v>
      </c>
      <c r="E2230" s="560"/>
      <c r="F2230" s="560"/>
      <c r="G2230" s="560">
        <f t="shared" si="41"/>
        <v>44876700</v>
      </c>
      <c r="H2230" s="560"/>
      <c r="I2230" s="560"/>
      <c r="J2230" s="560"/>
    </row>
    <row r="2231" spans="1:10" x14ac:dyDescent="0.25">
      <c r="A2231" s="530"/>
      <c r="B2231" s="530"/>
      <c r="C2231" s="530"/>
      <c r="D2231" s="562"/>
      <c r="E2231" s="562"/>
      <c r="F2231" s="562"/>
      <c r="G2231" s="562">
        <f t="shared" si="41"/>
        <v>0</v>
      </c>
      <c r="H2231" s="562"/>
      <c r="I2231" s="562"/>
      <c r="J2231" s="562"/>
    </row>
    <row r="2232" spans="1:10" x14ac:dyDescent="0.25">
      <c r="A2232" s="362"/>
      <c r="B2232" s="609">
        <v>44203</v>
      </c>
      <c r="C2232" s="362" t="s">
        <v>86</v>
      </c>
      <c r="D2232" s="560"/>
      <c r="E2232" s="560"/>
      <c r="F2232" s="560"/>
      <c r="G2232" s="560">
        <f t="shared" si="41"/>
        <v>0</v>
      </c>
      <c r="H2232" s="560"/>
      <c r="I2232" s="560"/>
      <c r="J2232" s="560"/>
    </row>
    <row r="2233" spans="1:10" x14ac:dyDescent="0.25">
      <c r="A2233" s="362"/>
      <c r="B2233" s="609">
        <v>44203</v>
      </c>
      <c r="C2233" s="362" t="s">
        <v>87</v>
      </c>
      <c r="D2233" s="560"/>
      <c r="E2233" s="560"/>
      <c r="F2233" s="560"/>
      <c r="G2233" s="560">
        <f t="shared" si="41"/>
        <v>0</v>
      </c>
      <c r="H2233" s="560"/>
      <c r="I2233" s="560"/>
      <c r="J2233" s="560"/>
    </row>
    <row r="2234" spans="1:10" x14ac:dyDescent="0.25">
      <c r="A2234" s="362"/>
      <c r="B2234" s="609">
        <v>44203</v>
      </c>
      <c r="C2234" s="362" t="s">
        <v>88</v>
      </c>
      <c r="D2234" s="560"/>
      <c r="E2234" s="560"/>
      <c r="F2234" s="560"/>
      <c r="G2234" s="560">
        <f t="shared" si="41"/>
        <v>0</v>
      </c>
      <c r="H2234" s="560"/>
      <c r="I2234" s="560"/>
      <c r="J2234" s="560"/>
    </row>
    <row r="2235" spans="1:10" x14ac:dyDescent="0.25">
      <c r="A2235" s="362"/>
      <c r="B2235" s="609">
        <v>44203</v>
      </c>
      <c r="C2235" s="362" t="s">
        <v>82</v>
      </c>
      <c r="D2235" s="560"/>
      <c r="E2235" s="560"/>
      <c r="F2235" s="560"/>
      <c r="G2235" s="560">
        <f t="shared" si="41"/>
        <v>0</v>
      </c>
      <c r="H2235" s="560"/>
      <c r="I2235" s="560"/>
      <c r="J2235" s="560"/>
    </row>
    <row r="2236" spans="1:10" x14ac:dyDescent="0.25">
      <c r="A2236" s="362"/>
      <c r="B2236" s="609">
        <v>44203</v>
      </c>
      <c r="C2236" s="362" t="s">
        <v>80</v>
      </c>
      <c r="D2236" s="560"/>
      <c r="E2236" s="560"/>
      <c r="F2236" s="560"/>
      <c r="G2236" s="560">
        <f t="shared" si="41"/>
        <v>0</v>
      </c>
      <c r="H2236" s="560"/>
      <c r="I2236" s="560"/>
      <c r="J2236" s="560"/>
    </row>
    <row r="2237" spans="1:10" x14ac:dyDescent="0.25">
      <c r="A2237" s="362"/>
      <c r="B2237" s="609">
        <v>44203</v>
      </c>
      <c r="C2237" s="362" t="s">
        <v>83</v>
      </c>
      <c r="D2237" s="560"/>
      <c r="E2237" s="560"/>
      <c r="F2237" s="560"/>
      <c r="G2237" s="560">
        <f t="shared" si="41"/>
        <v>0</v>
      </c>
      <c r="H2237" s="560"/>
      <c r="I2237" s="560"/>
      <c r="J2237" s="560"/>
    </row>
    <row r="2238" spans="1:10" x14ac:dyDescent="0.25">
      <c r="A2238" s="362"/>
      <c r="B2238" s="609">
        <v>44203</v>
      </c>
      <c r="C2238" s="362" t="s">
        <v>78</v>
      </c>
      <c r="D2238" s="560"/>
      <c r="E2238" s="560"/>
      <c r="F2238" s="560"/>
      <c r="G2238" s="560">
        <f t="shared" si="41"/>
        <v>0</v>
      </c>
      <c r="H2238" s="560"/>
      <c r="I2238" s="560"/>
      <c r="J2238" s="560"/>
    </row>
    <row r="2239" spans="1:10" x14ac:dyDescent="0.25">
      <c r="A2239" s="362"/>
      <c r="B2239" s="609">
        <v>44203</v>
      </c>
      <c r="C2239" s="362" t="s">
        <v>141</v>
      </c>
      <c r="D2239" s="560"/>
      <c r="E2239" s="560"/>
      <c r="F2239" s="560"/>
      <c r="G2239" s="560">
        <f t="shared" si="41"/>
        <v>0</v>
      </c>
      <c r="H2239" s="560"/>
      <c r="I2239" s="560"/>
      <c r="J2239" s="560"/>
    </row>
    <row r="2240" spans="1:10" x14ac:dyDescent="0.25">
      <c r="A2240" s="362"/>
      <c r="B2240" s="609">
        <v>44203</v>
      </c>
      <c r="C2240" s="362" t="s">
        <v>89</v>
      </c>
      <c r="D2240" s="560"/>
      <c r="E2240" s="560"/>
      <c r="F2240" s="560"/>
      <c r="G2240" s="560">
        <f t="shared" si="41"/>
        <v>0</v>
      </c>
      <c r="H2240" s="560"/>
      <c r="I2240" s="560"/>
      <c r="J2240" s="560"/>
    </row>
    <row r="2241" spans="1:10" x14ac:dyDescent="0.25">
      <c r="A2241" s="362"/>
      <c r="B2241" s="609">
        <v>44203</v>
      </c>
      <c r="C2241" s="362" t="s">
        <v>81</v>
      </c>
      <c r="D2241" s="560"/>
      <c r="E2241" s="560"/>
      <c r="F2241" s="560"/>
      <c r="G2241" s="560">
        <f t="shared" si="41"/>
        <v>0</v>
      </c>
      <c r="H2241" s="560"/>
      <c r="I2241" s="560"/>
      <c r="J2241" s="560"/>
    </row>
    <row r="2242" spans="1:10" x14ac:dyDescent="0.25">
      <c r="A2242" s="362"/>
      <c r="B2242" s="609">
        <v>44203</v>
      </c>
      <c r="C2242" s="362" t="s">
        <v>84</v>
      </c>
      <c r="D2242" s="560"/>
      <c r="E2242" s="560"/>
      <c r="F2242" s="560"/>
      <c r="G2242" s="560">
        <f t="shared" si="41"/>
        <v>0</v>
      </c>
      <c r="H2242" s="560"/>
      <c r="I2242" s="560"/>
      <c r="J2242" s="560"/>
    </row>
    <row r="2243" spans="1:10" x14ac:dyDescent="0.25">
      <c r="A2243" s="362"/>
      <c r="B2243" s="609">
        <v>44203</v>
      </c>
      <c r="C2243" s="362" t="s">
        <v>4751</v>
      </c>
      <c r="D2243" s="560"/>
      <c r="E2243" s="560"/>
      <c r="F2243" s="560"/>
      <c r="G2243" s="560">
        <f t="shared" si="41"/>
        <v>0</v>
      </c>
      <c r="H2243" s="560"/>
      <c r="I2243" s="560"/>
      <c r="J2243" s="560"/>
    </row>
    <row r="2244" spans="1:10" x14ac:dyDescent="0.25">
      <c r="A2244" s="362"/>
      <c r="B2244" s="609">
        <v>44203</v>
      </c>
      <c r="C2244" s="362" t="s">
        <v>166</v>
      </c>
      <c r="D2244" s="560"/>
      <c r="E2244" s="560"/>
      <c r="F2244" s="560"/>
      <c r="G2244" s="560">
        <f t="shared" si="41"/>
        <v>0</v>
      </c>
      <c r="H2244" s="560"/>
      <c r="I2244" s="560"/>
      <c r="J2244" s="560"/>
    </row>
    <row r="2245" spans="1:10" x14ac:dyDescent="0.25">
      <c r="A2245" s="362"/>
      <c r="B2245" s="609">
        <v>44203</v>
      </c>
      <c r="C2245" s="362" t="s">
        <v>3435</v>
      </c>
      <c r="D2245" s="560"/>
      <c r="E2245" s="560"/>
      <c r="F2245" s="560"/>
      <c r="G2245" s="560">
        <f t="shared" si="41"/>
        <v>0</v>
      </c>
      <c r="H2245" s="560"/>
      <c r="I2245" s="560"/>
      <c r="J2245" s="560"/>
    </row>
    <row r="2246" spans="1:10" x14ac:dyDescent="0.25">
      <c r="A2246" s="362"/>
      <c r="B2246" s="609">
        <v>44203</v>
      </c>
      <c r="C2246" s="362" t="s">
        <v>85</v>
      </c>
      <c r="D2246" s="560"/>
      <c r="E2246" s="560"/>
      <c r="F2246" s="560"/>
      <c r="G2246" s="560">
        <f t="shared" si="41"/>
        <v>0</v>
      </c>
      <c r="H2246" s="560"/>
      <c r="I2246" s="560"/>
      <c r="J2246" s="560"/>
    </row>
    <row r="2247" spans="1:10" x14ac:dyDescent="0.25">
      <c r="A2247" s="530"/>
      <c r="B2247" s="530"/>
      <c r="C2247" s="530"/>
      <c r="D2247" s="562"/>
      <c r="E2247" s="562"/>
      <c r="F2247" s="562"/>
      <c r="G2247" s="562">
        <f t="shared" si="41"/>
        <v>0</v>
      </c>
      <c r="H2247" s="562"/>
      <c r="I2247" s="562"/>
      <c r="J2247" s="562"/>
    </row>
    <row r="2248" spans="1:10" x14ac:dyDescent="0.25">
      <c r="A2248" s="362"/>
      <c r="B2248" s="609">
        <v>44204</v>
      </c>
      <c r="C2248" s="362" t="s">
        <v>86</v>
      </c>
      <c r="D2248" s="560"/>
      <c r="E2248" s="560"/>
      <c r="F2248" s="560"/>
      <c r="G2248" s="560">
        <f t="shared" si="41"/>
        <v>0</v>
      </c>
      <c r="H2248" s="560"/>
      <c r="I2248" s="560"/>
      <c r="J2248" s="560"/>
    </row>
    <row r="2249" spans="1:10" x14ac:dyDescent="0.25">
      <c r="A2249" s="362"/>
      <c r="B2249" s="609">
        <v>44204</v>
      </c>
      <c r="C2249" s="362" t="s">
        <v>87</v>
      </c>
      <c r="D2249" s="560"/>
      <c r="E2249" s="560"/>
      <c r="F2249" s="560"/>
      <c r="G2249" s="560">
        <f t="shared" si="41"/>
        <v>0</v>
      </c>
      <c r="H2249" s="560"/>
      <c r="I2249" s="560"/>
      <c r="J2249" s="560"/>
    </row>
    <row r="2250" spans="1:10" x14ac:dyDescent="0.25">
      <c r="A2250" s="362"/>
      <c r="B2250" s="609">
        <v>44204</v>
      </c>
      <c r="C2250" s="362" t="s">
        <v>88</v>
      </c>
      <c r="D2250" s="560"/>
      <c r="E2250" s="560"/>
      <c r="F2250" s="560"/>
      <c r="G2250" s="560">
        <f t="shared" si="41"/>
        <v>0</v>
      </c>
      <c r="H2250" s="560"/>
      <c r="I2250" s="560"/>
      <c r="J2250" s="560"/>
    </row>
    <row r="2251" spans="1:10" x14ac:dyDescent="0.25">
      <c r="A2251" s="362"/>
      <c r="B2251" s="609">
        <v>44204</v>
      </c>
      <c r="C2251" s="362" t="s">
        <v>82</v>
      </c>
      <c r="D2251" s="560"/>
      <c r="E2251" s="560"/>
      <c r="F2251" s="560"/>
      <c r="G2251" s="560">
        <f t="shared" si="41"/>
        <v>0</v>
      </c>
      <c r="H2251" s="560"/>
      <c r="I2251" s="560"/>
      <c r="J2251" s="560"/>
    </row>
    <row r="2252" spans="1:10" x14ac:dyDescent="0.25">
      <c r="A2252" s="362"/>
      <c r="B2252" s="609">
        <v>44204</v>
      </c>
      <c r="C2252" s="362" t="s">
        <v>80</v>
      </c>
      <c r="D2252" s="560"/>
      <c r="E2252" s="560"/>
      <c r="F2252" s="560"/>
      <c r="G2252" s="560">
        <f t="shared" si="41"/>
        <v>0</v>
      </c>
      <c r="H2252" s="560"/>
      <c r="I2252" s="560"/>
      <c r="J2252" s="560"/>
    </row>
    <row r="2253" spans="1:10" x14ac:dyDescent="0.25">
      <c r="A2253" s="362"/>
      <c r="B2253" s="609">
        <v>44204</v>
      </c>
      <c r="C2253" s="362" t="s">
        <v>83</v>
      </c>
      <c r="D2253" s="560"/>
      <c r="E2253" s="560"/>
      <c r="F2253" s="560"/>
      <c r="G2253" s="560">
        <f t="shared" si="41"/>
        <v>0</v>
      </c>
      <c r="H2253" s="560"/>
      <c r="I2253" s="560"/>
      <c r="J2253" s="560"/>
    </row>
    <row r="2254" spans="1:10" x14ac:dyDescent="0.25">
      <c r="A2254" s="362"/>
      <c r="B2254" s="609">
        <v>44204</v>
      </c>
      <c r="C2254" s="362" t="s">
        <v>78</v>
      </c>
      <c r="D2254" s="560"/>
      <c r="E2254" s="560"/>
      <c r="F2254" s="560"/>
      <c r="G2254" s="560">
        <f t="shared" si="41"/>
        <v>0</v>
      </c>
      <c r="H2254" s="560"/>
      <c r="I2254" s="560"/>
      <c r="J2254" s="560"/>
    </row>
    <row r="2255" spans="1:10" x14ac:dyDescent="0.25">
      <c r="A2255" s="362"/>
      <c r="B2255" s="609">
        <v>44204</v>
      </c>
      <c r="C2255" s="362" t="s">
        <v>141</v>
      </c>
      <c r="D2255" s="560"/>
      <c r="E2255" s="560"/>
      <c r="F2255" s="560"/>
      <c r="G2255" s="560">
        <f t="shared" si="41"/>
        <v>0</v>
      </c>
      <c r="H2255" s="560"/>
      <c r="I2255" s="560"/>
      <c r="J2255" s="560"/>
    </row>
    <row r="2256" spans="1:10" x14ac:dyDescent="0.25">
      <c r="A2256" s="362"/>
      <c r="B2256" s="609">
        <v>44204</v>
      </c>
      <c r="C2256" s="362" t="s">
        <v>89</v>
      </c>
      <c r="D2256" s="560"/>
      <c r="E2256" s="560"/>
      <c r="F2256" s="560"/>
      <c r="G2256" s="560">
        <f t="shared" si="41"/>
        <v>0</v>
      </c>
      <c r="H2256" s="560"/>
      <c r="I2256" s="560"/>
      <c r="J2256" s="560"/>
    </row>
    <row r="2257" spans="1:10" x14ac:dyDescent="0.25">
      <c r="A2257" s="362"/>
      <c r="B2257" s="609">
        <v>44204</v>
      </c>
      <c r="C2257" s="362" t="s">
        <v>81</v>
      </c>
      <c r="D2257" s="560"/>
      <c r="E2257" s="560"/>
      <c r="F2257" s="560"/>
      <c r="G2257" s="560">
        <f t="shared" si="41"/>
        <v>0</v>
      </c>
      <c r="H2257" s="560"/>
      <c r="I2257" s="560"/>
      <c r="J2257" s="560"/>
    </row>
    <row r="2258" spans="1:10" x14ac:dyDescent="0.25">
      <c r="A2258" s="362"/>
      <c r="B2258" s="609">
        <v>44204</v>
      </c>
      <c r="C2258" s="362" t="s">
        <v>84</v>
      </c>
      <c r="D2258" s="560"/>
      <c r="E2258" s="560"/>
      <c r="F2258" s="560"/>
      <c r="G2258" s="560">
        <f t="shared" si="41"/>
        <v>0</v>
      </c>
      <c r="H2258" s="560"/>
      <c r="I2258" s="560"/>
      <c r="J2258" s="560"/>
    </row>
    <row r="2259" spans="1:10" x14ac:dyDescent="0.25">
      <c r="A2259" s="362"/>
      <c r="B2259" s="609">
        <v>44204</v>
      </c>
      <c r="C2259" s="362" t="s">
        <v>4751</v>
      </c>
      <c r="D2259" s="560"/>
      <c r="E2259" s="560"/>
      <c r="F2259" s="560"/>
      <c r="G2259" s="560">
        <f t="shared" si="41"/>
        <v>0</v>
      </c>
      <c r="H2259" s="560"/>
      <c r="I2259" s="560"/>
      <c r="J2259" s="560"/>
    </row>
    <row r="2260" spans="1:10" x14ac:dyDescent="0.25">
      <c r="A2260" s="362"/>
      <c r="B2260" s="609">
        <v>44204</v>
      </c>
      <c r="C2260" s="362" t="s">
        <v>166</v>
      </c>
      <c r="D2260" s="560"/>
      <c r="E2260" s="560"/>
      <c r="F2260" s="560"/>
      <c r="G2260" s="560">
        <f t="shared" si="41"/>
        <v>0</v>
      </c>
      <c r="H2260" s="560"/>
      <c r="I2260" s="560"/>
      <c r="J2260" s="560"/>
    </row>
    <row r="2261" spans="1:10" x14ac:dyDescent="0.25">
      <c r="A2261" s="362"/>
      <c r="B2261" s="609">
        <v>44204</v>
      </c>
      <c r="C2261" s="362" t="s">
        <v>3435</v>
      </c>
      <c r="D2261" s="560"/>
      <c r="E2261" s="560"/>
      <c r="F2261" s="560"/>
      <c r="G2261" s="560">
        <f t="shared" si="41"/>
        <v>0</v>
      </c>
      <c r="H2261" s="560"/>
      <c r="I2261" s="560"/>
      <c r="J2261" s="560"/>
    </row>
    <row r="2262" spans="1:10" x14ac:dyDescent="0.25">
      <c r="A2262" s="362"/>
      <c r="B2262" s="609">
        <v>44204</v>
      </c>
      <c r="C2262" s="362" t="s">
        <v>85</v>
      </c>
      <c r="D2262" s="560"/>
      <c r="E2262" s="560"/>
      <c r="F2262" s="560"/>
      <c r="G2262" s="560">
        <f t="shared" si="41"/>
        <v>0</v>
      </c>
      <c r="H2262" s="560"/>
      <c r="I2262" s="560"/>
      <c r="J2262" s="560"/>
    </row>
    <row r="2263" spans="1:10" x14ac:dyDescent="0.25">
      <c r="A2263" s="530"/>
      <c r="B2263" s="530"/>
      <c r="C2263" s="530"/>
      <c r="D2263" s="562"/>
      <c r="E2263" s="562"/>
      <c r="F2263" s="562"/>
      <c r="G2263" s="562">
        <f t="shared" si="41"/>
        <v>0</v>
      </c>
      <c r="H2263" s="562"/>
      <c r="I2263" s="562"/>
      <c r="J2263" s="562"/>
    </row>
    <row r="2264" spans="1:10" x14ac:dyDescent="0.25">
      <c r="A2264" s="362"/>
      <c r="B2264" s="609">
        <v>44205</v>
      </c>
      <c r="C2264" s="362" t="s">
        <v>86</v>
      </c>
      <c r="D2264" s="560"/>
      <c r="E2264" s="560"/>
      <c r="F2264" s="560"/>
      <c r="G2264" s="560">
        <f t="shared" si="41"/>
        <v>0</v>
      </c>
      <c r="H2264" s="560"/>
      <c r="I2264" s="560"/>
      <c r="J2264" s="560"/>
    </row>
    <row r="2265" spans="1:10" x14ac:dyDescent="0.25">
      <c r="A2265" s="362"/>
      <c r="B2265" s="609">
        <v>44205</v>
      </c>
      <c r="C2265" s="362" t="s">
        <v>87</v>
      </c>
      <c r="D2265" s="560"/>
      <c r="E2265" s="560"/>
      <c r="F2265" s="560"/>
      <c r="G2265" s="560">
        <f t="shared" si="41"/>
        <v>0</v>
      </c>
      <c r="H2265" s="560"/>
      <c r="I2265" s="560"/>
      <c r="J2265" s="560"/>
    </row>
    <row r="2266" spans="1:10" x14ac:dyDescent="0.25">
      <c r="A2266" s="362"/>
      <c r="B2266" s="609">
        <v>44205</v>
      </c>
      <c r="C2266" s="362" t="s">
        <v>88</v>
      </c>
      <c r="D2266" s="560"/>
      <c r="E2266" s="560"/>
      <c r="F2266" s="560"/>
      <c r="G2266" s="560">
        <f t="shared" si="41"/>
        <v>0</v>
      </c>
      <c r="H2266" s="560"/>
      <c r="I2266" s="560"/>
      <c r="J2266" s="560"/>
    </row>
    <row r="2267" spans="1:10" x14ac:dyDescent="0.25">
      <c r="A2267" s="362"/>
      <c r="B2267" s="609">
        <v>44205</v>
      </c>
      <c r="C2267" s="362" t="s">
        <v>82</v>
      </c>
      <c r="D2267" s="560"/>
      <c r="E2267" s="560"/>
      <c r="F2267" s="560"/>
      <c r="G2267" s="560">
        <f t="shared" si="41"/>
        <v>0</v>
      </c>
      <c r="H2267" s="560"/>
      <c r="I2267" s="560"/>
      <c r="J2267" s="560"/>
    </row>
    <row r="2268" spans="1:10" x14ac:dyDescent="0.25">
      <c r="A2268" s="362"/>
      <c r="B2268" s="609">
        <v>44205</v>
      </c>
      <c r="C2268" s="362" t="s">
        <v>80</v>
      </c>
      <c r="D2268" s="560"/>
      <c r="E2268" s="560"/>
      <c r="F2268" s="560"/>
      <c r="G2268" s="560">
        <f t="shared" si="41"/>
        <v>0</v>
      </c>
      <c r="H2268" s="560"/>
      <c r="I2268" s="560"/>
      <c r="J2268" s="560"/>
    </row>
    <row r="2269" spans="1:10" x14ac:dyDescent="0.25">
      <c r="A2269" s="362"/>
      <c r="B2269" s="609">
        <v>44205</v>
      </c>
      <c r="C2269" s="362" t="s">
        <v>83</v>
      </c>
      <c r="D2269" s="560"/>
      <c r="E2269" s="560"/>
      <c r="F2269" s="560"/>
      <c r="G2269" s="560">
        <f t="shared" si="41"/>
        <v>0</v>
      </c>
      <c r="H2269" s="560"/>
      <c r="I2269" s="560"/>
      <c r="J2269" s="560"/>
    </row>
    <row r="2270" spans="1:10" x14ac:dyDescent="0.25">
      <c r="A2270" s="362"/>
      <c r="B2270" s="609">
        <v>44205</v>
      </c>
      <c r="C2270" s="362" t="s">
        <v>78</v>
      </c>
      <c r="D2270" s="560"/>
      <c r="E2270" s="560"/>
      <c r="F2270" s="560"/>
      <c r="G2270" s="560">
        <f t="shared" si="41"/>
        <v>0</v>
      </c>
      <c r="H2270" s="560"/>
      <c r="I2270" s="560"/>
      <c r="J2270" s="560"/>
    </row>
    <row r="2271" spans="1:10" x14ac:dyDescent="0.25">
      <c r="A2271" s="362"/>
      <c r="B2271" s="609">
        <v>44205</v>
      </c>
      <c r="C2271" s="362" t="s">
        <v>141</v>
      </c>
      <c r="D2271" s="560"/>
      <c r="E2271" s="560"/>
      <c r="F2271" s="560"/>
      <c r="G2271" s="560">
        <f t="shared" si="41"/>
        <v>0</v>
      </c>
      <c r="H2271" s="560"/>
      <c r="I2271" s="560"/>
      <c r="J2271" s="560"/>
    </row>
    <row r="2272" spans="1:10" x14ac:dyDescent="0.25">
      <c r="A2272" s="362"/>
      <c r="B2272" s="609">
        <v>44205</v>
      </c>
      <c r="C2272" s="362" t="s">
        <v>89</v>
      </c>
      <c r="D2272" s="560"/>
      <c r="E2272" s="560"/>
      <c r="F2272" s="560"/>
      <c r="G2272" s="560">
        <f t="shared" si="41"/>
        <v>0</v>
      </c>
      <c r="H2272" s="560"/>
      <c r="I2272" s="560"/>
      <c r="J2272" s="560"/>
    </row>
    <row r="2273" spans="1:10" x14ac:dyDescent="0.25">
      <c r="A2273" s="362"/>
      <c r="B2273" s="609">
        <v>44205</v>
      </c>
      <c r="C2273" s="362" t="s">
        <v>81</v>
      </c>
      <c r="D2273" s="560"/>
      <c r="E2273" s="560"/>
      <c r="F2273" s="560"/>
      <c r="G2273" s="560">
        <f t="shared" si="41"/>
        <v>0</v>
      </c>
      <c r="H2273" s="560"/>
      <c r="I2273" s="560"/>
      <c r="J2273" s="560"/>
    </row>
    <row r="2274" spans="1:10" x14ac:dyDescent="0.25">
      <c r="A2274" s="362"/>
      <c r="B2274" s="609">
        <v>44205</v>
      </c>
      <c r="C2274" s="362" t="s">
        <v>84</v>
      </c>
      <c r="D2274" s="560"/>
      <c r="E2274" s="560"/>
      <c r="F2274" s="560"/>
      <c r="G2274" s="560">
        <f t="shared" si="41"/>
        <v>0</v>
      </c>
      <c r="H2274" s="560"/>
      <c r="I2274" s="560"/>
      <c r="J2274" s="560"/>
    </row>
    <row r="2275" spans="1:10" x14ac:dyDescent="0.25">
      <c r="A2275" s="362"/>
      <c r="B2275" s="609">
        <v>44205</v>
      </c>
      <c r="C2275" s="362" t="s">
        <v>4751</v>
      </c>
      <c r="D2275" s="560"/>
      <c r="E2275" s="560"/>
      <c r="F2275" s="560"/>
      <c r="G2275" s="560">
        <f t="shared" si="41"/>
        <v>0</v>
      </c>
      <c r="H2275" s="560"/>
      <c r="I2275" s="560"/>
      <c r="J2275" s="560"/>
    </row>
    <row r="2276" spans="1:10" x14ac:dyDescent="0.25">
      <c r="A2276" s="362"/>
      <c r="B2276" s="609">
        <v>44205</v>
      </c>
      <c r="C2276" s="362" t="s">
        <v>166</v>
      </c>
      <c r="D2276" s="560"/>
      <c r="E2276" s="560"/>
      <c r="F2276" s="560"/>
      <c r="G2276" s="560"/>
      <c r="H2276" s="560"/>
      <c r="I2276" s="560"/>
      <c r="J2276" s="560"/>
    </row>
    <row r="2277" spans="1:10" x14ac:dyDescent="0.25">
      <c r="A2277" s="362"/>
      <c r="B2277" s="609">
        <v>44205</v>
      </c>
      <c r="C2277" s="362" t="s">
        <v>3435</v>
      </c>
      <c r="D2277" s="560"/>
      <c r="E2277" s="560"/>
      <c r="F2277" s="560"/>
      <c r="G2277" s="560"/>
      <c r="H2277" s="560"/>
      <c r="I2277" s="560"/>
      <c r="J2277" s="560"/>
    </row>
    <row r="2278" spans="1:10" s="565" customFormat="1" x14ac:dyDescent="0.25">
      <c r="A2278" s="370"/>
      <c r="B2278" s="850">
        <v>44205</v>
      </c>
      <c r="C2278" s="370" t="s">
        <v>85</v>
      </c>
      <c r="D2278" s="563"/>
      <c r="E2278" s="563"/>
      <c r="F2278" s="563"/>
      <c r="G2278" s="563"/>
      <c r="H2278" s="563"/>
      <c r="I2278" s="563"/>
      <c r="J2278" s="563"/>
    </row>
    <row r="2279" spans="1:10" x14ac:dyDescent="0.25">
      <c r="A2279" s="530"/>
      <c r="B2279" s="530"/>
      <c r="C2279" s="530"/>
      <c r="D2279" s="562"/>
      <c r="E2279" s="562"/>
      <c r="F2279" s="562"/>
      <c r="G2279" s="562"/>
      <c r="H2279" s="562"/>
      <c r="I2279" s="562"/>
      <c r="J2279" s="562"/>
    </row>
    <row r="2280" spans="1:10" x14ac:dyDescent="0.25">
      <c r="A2280" s="362"/>
      <c r="B2280" s="609">
        <v>44207</v>
      </c>
      <c r="C2280" s="362" t="s">
        <v>86</v>
      </c>
      <c r="D2280" s="560"/>
      <c r="E2280" s="560"/>
      <c r="F2280" s="560"/>
      <c r="G2280" s="560"/>
      <c r="H2280" s="560"/>
      <c r="I2280" s="560"/>
      <c r="J2280" s="560"/>
    </row>
    <row r="2281" spans="1:10" x14ac:dyDescent="0.25">
      <c r="A2281" s="362"/>
      <c r="B2281" s="609">
        <v>44207</v>
      </c>
      <c r="C2281" s="362" t="s">
        <v>87</v>
      </c>
      <c r="D2281" s="560"/>
      <c r="E2281" s="560"/>
      <c r="F2281" s="560"/>
      <c r="G2281" s="560"/>
      <c r="H2281" s="560"/>
      <c r="I2281" s="560"/>
      <c r="J2281" s="560"/>
    </row>
    <row r="2282" spans="1:10" x14ac:dyDescent="0.25">
      <c r="A2282" s="362"/>
      <c r="B2282" s="609">
        <v>44207</v>
      </c>
      <c r="C2282" s="362" t="s">
        <v>88</v>
      </c>
      <c r="D2282" s="560"/>
      <c r="E2282" s="560"/>
      <c r="F2282" s="560"/>
      <c r="G2282" s="560"/>
      <c r="H2282" s="560"/>
      <c r="I2282" s="560"/>
      <c r="J2282" s="560"/>
    </row>
    <row r="2283" spans="1:10" x14ac:dyDescent="0.25">
      <c r="A2283" s="362"/>
      <c r="B2283" s="609">
        <v>44207</v>
      </c>
      <c r="C2283" s="362" t="s">
        <v>82</v>
      </c>
      <c r="D2283" s="560"/>
      <c r="E2283" s="560"/>
      <c r="F2283" s="560"/>
      <c r="G2283" s="560"/>
      <c r="H2283" s="560"/>
      <c r="I2283" s="560"/>
      <c r="J2283" s="560"/>
    </row>
    <row r="2284" spans="1:10" x14ac:dyDescent="0.25">
      <c r="A2284" s="362"/>
      <c r="B2284" s="609">
        <v>44207</v>
      </c>
      <c r="C2284" s="362" t="s">
        <v>80</v>
      </c>
      <c r="D2284" s="560"/>
      <c r="E2284" s="560"/>
      <c r="F2284" s="560"/>
      <c r="G2284" s="560"/>
      <c r="H2284" s="560"/>
      <c r="I2284" s="560"/>
      <c r="J2284" s="560"/>
    </row>
    <row r="2285" spans="1:10" x14ac:dyDescent="0.25">
      <c r="A2285" s="362"/>
      <c r="B2285" s="609">
        <v>44207</v>
      </c>
      <c r="C2285" s="362" t="s">
        <v>83</v>
      </c>
      <c r="D2285" s="560"/>
      <c r="E2285" s="560"/>
      <c r="F2285" s="560"/>
      <c r="G2285" s="560"/>
      <c r="H2285" s="560"/>
      <c r="I2285" s="560"/>
      <c r="J2285" s="560"/>
    </row>
    <row r="2286" spans="1:10" x14ac:dyDescent="0.25">
      <c r="A2286" s="362"/>
      <c r="B2286" s="609">
        <v>44207</v>
      </c>
      <c r="C2286" s="362" t="s">
        <v>78</v>
      </c>
      <c r="D2286" s="560"/>
      <c r="E2286" s="560"/>
      <c r="F2286" s="560"/>
      <c r="G2286" s="560"/>
      <c r="H2286" s="560"/>
      <c r="I2286" s="560"/>
      <c r="J2286" s="560"/>
    </row>
    <row r="2287" spans="1:10" x14ac:dyDescent="0.25">
      <c r="A2287" s="362"/>
      <c r="B2287" s="609">
        <v>44207</v>
      </c>
      <c r="C2287" s="362" t="s">
        <v>141</v>
      </c>
      <c r="D2287" s="560"/>
      <c r="E2287" s="560"/>
      <c r="F2287" s="560"/>
      <c r="G2287" s="560"/>
      <c r="H2287" s="560"/>
      <c r="I2287" s="560"/>
      <c r="J2287" s="560"/>
    </row>
    <row r="2288" spans="1:10" x14ac:dyDescent="0.25">
      <c r="A2288" s="362"/>
      <c r="B2288" s="609">
        <v>44207</v>
      </c>
      <c r="C2288" s="362" t="s">
        <v>89</v>
      </c>
      <c r="D2288" s="560"/>
      <c r="E2288" s="560"/>
      <c r="F2288" s="560"/>
      <c r="G2288" s="560"/>
      <c r="H2288" s="560"/>
      <c r="I2288" s="560"/>
      <c r="J2288" s="560"/>
    </row>
    <row r="2289" spans="1:10" x14ac:dyDescent="0.25">
      <c r="A2289" s="362"/>
      <c r="B2289" s="609">
        <v>44207</v>
      </c>
      <c r="C2289" s="362" t="s">
        <v>81</v>
      </c>
      <c r="D2289" s="560"/>
      <c r="E2289" s="560"/>
      <c r="F2289" s="560"/>
      <c r="G2289" s="560"/>
      <c r="H2289" s="560"/>
      <c r="I2289" s="560"/>
      <c r="J2289" s="560"/>
    </row>
    <row r="2290" spans="1:10" x14ac:dyDescent="0.25">
      <c r="A2290" s="362"/>
      <c r="B2290" s="609">
        <v>44207</v>
      </c>
      <c r="C2290" s="362" t="s">
        <v>84</v>
      </c>
      <c r="D2290" s="560"/>
      <c r="E2290" s="560"/>
      <c r="F2290" s="560"/>
      <c r="G2290" s="560"/>
      <c r="H2290" s="560"/>
      <c r="I2290" s="560"/>
      <c r="J2290" s="560"/>
    </row>
    <row r="2291" spans="1:10" x14ac:dyDescent="0.25">
      <c r="A2291" s="362"/>
      <c r="B2291" s="609">
        <v>44207</v>
      </c>
      <c r="C2291" s="362" t="s">
        <v>4751</v>
      </c>
      <c r="D2291" s="560"/>
      <c r="E2291" s="560"/>
      <c r="F2291" s="560"/>
      <c r="G2291" s="560"/>
      <c r="H2291" s="560"/>
      <c r="I2291" s="560"/>
      <c r="J2291" s="560"/>
    </row>
    <row r="2292" spans="1:10" x14ac:dyDescent="0.25">
      <c r="A2292" s="362"/>
      <c r="B2292" s="609">
        <v>44207</v>
      </c>
      <c r="C2292" s="362" t="s">
        <v>166</v>
      </c>
      <c r="D2292" s="560"/>
      <c r="E2292" s="560"/>
      <c r="F2292" s="560"/>
      <c r="G2292" s="560"/>
      <c r="H2292" s="560"/>
      <c r="I2292" s="560"/>
      <c r="J2292" s="560"/>
    </row>
    <row r="2293" spans="1:10" x14ac:dyDescent="0.25">
      <c r="A2293" s="362"/>
      <c r="B2293" s="609">
        <v>44207</v>
      </c>
      <c r="C2293" s="362" t="s">
        <v>3435</v>
      </c>
      <c r="D2293" s="560"/>
      <c r="E2293" s="560"/>
      <c r="F2293" s="560"/>
      <c r="G2293" s="560"/>
      <c r="H2293" s="560"/>
      <c r="I2293" s="560"/>
      <c r="J2293" s="560"/>
    </row>
    <row r="2294" spans="1:10" x14ac:dyDescent="0.25">
      <c r="A2294" s="362"/>
      <c r="B2294" s="609">
        <v>44207</v>
      </c>
      <c r="C2294" s="370" t="s">
        <v>85</v>
      </c>
      <c r="D2294" s="560"/>
      <c r="E2294" s="560"/>
      <c r="F2294" s="560"/>
      <c r="G2294" s="560"/>
      <c r="H2294" s="560"/>
      <c r="I2294" s="560"/>
      <c r="J2294" s="560"/>
    </row>
    <row r="2295" spans="1:10" x14ac:dyDescent="0.25">
      <c r="A2295" s="530"/>
      <c r="B2295" s="530"/>
      <c r="C2295" s="530"/>
      <c r="D2295" s="562"/>
      <c r="E2295" s="562"/>
      <c r="F2295" s="562"/>
      <c r="G2295" s="562"/>
      <c r="H2295" s="562"/>
      <c r="I2295" s="562"/>
      <c r="J2295" s="562"/>
    </row>
    <row r="2296" spans="1:10" x14ac:dyDescent="0.25">
      <c r="A2296" s="362"/>
      <c r="B2296" s="609">
        <v>44208</v>
      </c>
      <c r="C2296" s="362" t="s">
        <v>86</v>
      </c>
      <c r="D2296" s="560">
        <v>72826590</v>
      </c>
      <c r="E2296" s="560">
        <v>47657653</v>
      </c>
      <c r="F2296" s="560"/>
      <c r="G2296" s="560"/>
      <c r="H2296" s="560"/>
      <c r="I2296" s="560"/>
      <c r="J2296" s="560"/>
    </row>
    <row r="2297" spans="1:10" x14ac:dyDescent="0.25">
      <c r="A2297" s="362"/>
      <c r="B2297" s="609">
        <v>44208</v>
      </c>
      <c r="C2297" s="362" t="s">
        <v>87</v>
      </c>
      <c r="D2297" s="560">
        <v>116609635</v>
      </c>
      <c r="E2297" s="560">
        <v>72246278</v>
      </c>
      <c r="F2297" s="560"/>
      <c r="G2297" s="560"/>
      <c r="H2297" s="560"/>
      <c r="I2297" s="560"/>
      <c r="J2297" s="560"/>
    </row>
    <row r="2298" spans="1:10" x14ac:dyDescent="0.25">
      <c r="A2298" s="362"/>
      <c r="B2298" s="609">
        <v>44208</v>
      </c>
      <c r="C2298" s="362" t="s">
        <v>88</v>
      </c>
      <c r="D2298" s="560">
        <v>168802423</v>
      </c>
      <c r="E2298" s="560">
        <v>80414638</v>
      </c>
      <c r="F2298" s="560"/>
      <c r="G2298" s="560"/>
      <c r="H2298" s="560"/>
      <c r="I2298" s="560"/>
      <c r="J2298" s="560"/>
    </row>
    <row r="2299" spans="1:10" x14ac:dyDescent="0.25">
      <c r="A2299" s="362"/>
      <c r="B2299" s="609">
        <v>44208</v>
      </c>
      <c r="C2299" s="362" t="s">
        <v>82</v>
      </c>
      <c r="D2299" s="560">
        <v>70945094</v>
      </c>
      <c r="E2299" s="560">
        <v>760342</v>
      </c>
      <c r="F2299" s="560"/>
      <c r="G2299" s="560"/>
      <c r="H2299" s="560"/>
      <c r="I2299" s="560"/>
      <c r="J2299" s="560"/>
    </row>
    <row r="2300" spans="1:10" x14ac:dyDescent="0.25">
      <c r="A2300" s="362"/>
      <c r="B2300" s="609">
        <v>44208</v>
      </c>
      <c r="C2300" s="362" t="s">
        <v>80</v>
      </c>
      <c r="D2300" s="560">
        <v>286796716</v>
      </c>
      <c r="E2300" s="560"/>
      <c r="F2300" s="560"/>
      <c r="G2300" s="560"/>
      <c r="H2300" s="560"/>
      <c r="I2300" s="560"/>
      <c r="J2300" s="560"/>
    </row>
    <row r="2301" spans="1:10" x14ac:dyDescent="0.25">
      <c r="A2301" s="362"/>
      <c r="B2301" s="609">
        <v>44208</v>
      </c>
      <c r="C2301" s="362" t="s">
        <v>83</v>
      </c>
      <c r="D2301" s="560">
        <v>189104629</v>
      </c>
      <c r="E2301" s="560">
        <v>29821796</v>
      </c>
      <c r="F2301" s="560"/>
      <c r="G2301" s="560"/>
      <c r="H2301" s="560"/>
      <c r="I2301" s="560"/>
      <c r="J2301" s="560"/>
    </row>
    <row r="2302" spans="1:10" x14ac:dyDescent="0.25">
      <c r="A2302" s="362"/>
      <c r="B2302" s="609">
        <v>44208</v>
      </c>
      <c r="C2302" s="362" t="s">
        <v>78</v>
      </c>
      <c r="D2302" s="560">
        <v>91165299</v>
      </c>
      <c r="E2302" s="560">
        <v>2390101</v>
      </c>
      <c r="F2302" s="560"/>
      <c r="G2302" s="560"/>
      <c r="H2302" s="560"/>
      <c r="I2302" s="560"/>
      <c r="J2302" s="560"/>
    </row>
    <row r="2303" spans="1:10" x14ac:dyDescent="0.25">
      <c r="A2303" s="362"/>
      <c r="B2303" s="609">
        <v>44208</v>
      </c>
      <c r="C2303" s="362" t="s">
        <v>141</v>
      </c>
      <c r="D2303" s="560">
        <v>60596909</v>
      </c>
      <c r="E2303" s="560"/>
      <c r="F2303" s="560"/>
      <c r="G2303" s="560"/>
      <c r="H2303" s="560"/>
      <c r="I2303" s="560"/>
      <c r="J2303" s="560"/>
    </row>
    <row r="2304" spans="1:10" x14ac:dyDescent="0.25">
      <c r="A2304" s="362"/>
      <c r="B2304" s="609">
        <v>44208</v>
      </c>
      <c r="C2304" s="362" t="s">
        <v>89</v>
      </c>
      <c r="D2304" s="560">
        <v>130113199</v>
      </c>
      <c r="E2304" s="560">
        <v>57792301</v>
      </c>
      <c r="F2304" s="560"/>
      <c r="G2304" s="560"/>
      <c r="H2304" s="560"/>
      <c r="I2304" s="560"/>
      <c r="J2304" s="560"/>
    </row>
    <row r="2305" spans="1:10" x14ac:dyDescent="0.25">
      <c r="A2305" s="362"/>
      <c r="B2305" s="609">
        <v>44208</v>
      </c>
      <c r="C2305" s="362" t="s">
        <v>81</v>
      </c>
      <c r="D2305" s="560">
        <v>100453980</v>
      </c>
      <c r="E2305" s="560">
        <v>8030369</v>
      </c>
      <c r="F2305" s="560"/>
      <c r="G2305" s="560"/>
      <c r="H2305" s="560"/>
      <c r="I2305" s="560"/>
      <c r="J2305" s="560"/>
    </row>
    <row r="2306" spans="1:10" x14ac:dyDescent="0.25">
      <c r="A2306" s="362"/>
      <c r="B2306" s="609">
        <v>44208</v>
      </c>
      <c r="C2306" s="362" t="s">
        <v>84</v>
      </c>
      <c r="D2306" s="560">
        <v>193403753</v>
      </c>
      <c r="E2306" s="560">
        <v>10711422</v>
      </c>
      <c r="F2306" s="560"/>
      <c r="G2306" s="560"/>
      <c r="H2306" s="560"/>
      <c r="I2306" s="560"/>
      <c r="J2306" s="560"/>
    </row>
    <row r="2307" spans="1:10" x14ac:dyDescent="0.25">
      <c r="A2307" s="362"/>
      <c r="B2307" s="609">
        <v>44208</v>
      </c>
      <c r="C2307" s="362" t="s">
        <v>4751</v>
      </c>
      <c r="D2307" s="560">
        <v>148014066</v>
      </c>
      <c r="E2307" s="560">
        <v>16670734</v>
      </c>
      <c r="F2307" s="560"/>
      <c r="G2307" s="560"/>
      <c r="H2307" s="560"/>
      <c r="I2307" s="560"/>
      <c r="J2307" s="560"/>
    </row>
    <row r="2308" spans="1:10" x14ac:dyDescent="0.25">
      <c r="A2308" s="362"/>
      <c r="B2308" s="609">
        <v>44208</v>
      </c>
      <c r="C2308" s="362" t="s">
        <v>166</v>
      </c>
      <c r="D2308" s="560">
        <v>58750327</v>
      </c>
      <c r="E2308" s="560"/>
      <c r="F2308" s="560"/>
      <c r="G2308" s="560"/>
      <c r="H2308" s="560"/>
      <c r="I2308" s="560"/>
      <c r="J2308" s="560"/>
    </row>
    <row r="2309" spans="1:10" x14ac:dyDescent="0.25">
      <c r="A2309" s="362"/>
      <c r="B2309" s="609">
        <v>44208</v>
      </c>
      <c r="C2309" s="362" t="s">
        <v>3435</v>
      </c>
      <c r="D2309" s="560">
        <v>133085341</v>
      </c>
      <c r="E2309" s="560"/>
      <c r="F2309" s="560"/>
      <c r="G2309" s="560"/>
      <c r="H2309" s="560"/>
      <c r="I2309" s="560"/>
      <c r="J2309" s="560"/>
    </row>
    <row r="2310" spans="1:10" x14ac:dyDescent="0.25">
      <c r="A2310" s="362"/>
      <c r="B2310" s="609">
        <v>44208</v>
      </c>
      <c r="C2310" s="370" t="s">
        <v>85</v>
      </c>
      <c r="D2310" s="560">
        <v>26992100</v>
      </c>
      <c r="E2310" s="560"/>
      <c r="F2310" s="560"/>
      <c r="G2310" s="560"/>
      <c r="H2310" s="560"/>
      <c r="I2310" s="560"/>
      <c r="J2310" s="560"/>
    </row>
    <row r="2311" spans="1:10" x14ac:dyDescent="0.25">
      <c r="A2311" s="530"/>
      <c r="B2311" s="530"/>
      <c r="C2311" s="530" t="s">
        <v>5963</v>
      </c>
      <c r="D2311" s="562">
        <f>SUM(D2296:D2310)</f>
        <v>1847660061</v>
      </c>
      <c r="E2311" s="562">
        <f>SUM(E2296:E2310)</f>
        <v>326495634</v>
      </c>
      <c r="F2311" s="562">
        <f>SUM(F2296:F2310)</f>
        <v>0</v>
      </c>
      <c r="G2311" s="562">
        <f>SUM(G2296:G2310)</f>
        <v>0</v>
      </c>
      <c r="H2311" s="562"/>
      <c r="I2311" s="562"/>
      <c r="J2311" s="562"/>
    </row>
    <row r="2312" spans="1:10" x14ac:dyDescent="0.25">
      <c r="A2312" s="362"/>
      <c r="B2312" s="609">
        <v>44209</v>
      </c>
      <c r="C2312" s="362" t="s">
        <v>86</v>
      </c>
      <c r="D2312" s="560"/>
      <c r="E2312" s="560"/>
      <c r="F2312" s="560"/>
      <c r="G2312" s="560"/>
      <c r="H2312" s="560"/>
      <c r="I2312" s="560"/>
      <c r="J2312" s="560"/>
    </row>
    <row r="2313" spans="1:10" x14ac:dyDescent="0.25">
      <c r="A2313" s="362"/>
      <c r="B2313" s="609">
        <v>44209</v>
      </c>
      <c r="C2313" s="362" t="s">
        <v>87</v>
      </c>
      <c r="D2313" s="560"/>
      <c r="E2313" s="560"/>
      <c r="F2313" s="560"/>
      <c r="G2313" s="560"/>
      <c r="H2313" s="560"/>
      <c r="I2313" s="560"/>
      <c r="J2313" s="560"/>
    </row>
    <row r="2314" spans="1:10" x14ac:dyDescent="0.25">
      <c r="A2314" s="362"/>
      <c r="B2314" s="609">
        <v>44209</v>
      </c>
      <c r="C2314" s="362" t="s">
        <v>88</v>
      </c>
      <c r="D2314" s="560"/>
      <c r="E2314" s="560"/>
      <c r="F2314" s="560"/>
      <c r="G2314" s="560"/>
      <c r="H2314" s="560"/>
      <c r="I2314" s="560"/>
      <c r="J2314" s="560"/>
    </row>
    <row r="2315" spans="1:10" x14ac:dyDescent="0.25">
      <c r="A2315" s="362"/>
      <c r="B2315" s="609">
        <v>44209</v>
      </c>
      <c r="C2315" s="362" t="s">
        <v>82</v>
      </c>
      <c r="D2315" s="560"/>
      <c r="E2315" s="560"/>
      <c r="F2315" s="560"/>
      <c r="G2315" s="560"/>
      <c r="H2315" s="560"/>
      <c r="I2315" s="560"/>
      <c r="J2315" s="560"/>
    </row>
    <row r="2316" spans="1:10" x14ac:dyDescent="0.25">
      <c r="A2316" s="362"/>
      <c r="B2316" s="609">
        <v>44209</v>
      </c>
      <c r="C2316" s="362" t="s">
        <v>80</v>
      </c>
      <c r="D2316" s="560"/>
      <c r="E2316" s="560"/>
      <c r="F2316" s="560"/>
      <c r="G2316" s="560"/>
      <c r="H2316" s="560"/>
      <c r="I2316" s="560"/>
      <c r="J2316" s="560"/>
    </row>
    <row r="2317" spans="1:10" x14ac:dyDescent="0.25">
      <c r="A2317" s="362"/>
      <c r="B2317" s="609">
        <v>44209</v>
      </c>
      <c r="C2317" s="362" t="s">
        <v>83</v>
      </c>
      <c r="D2317" s="560"/>
      <c r="E2317" s="560"/>
      <c r="F2317" s="560"/>
      <c r="G2317" s="560"/>
      <c r="H2317" s="560"/>
      <c r="I2317" s="560"/>
      <c r="J2317" s="560"/>
    </row>
    <row r="2318" spans="1:10" x14ac:dyDescent="0.25">
      <c r="A2318" s="362"/>
      <c r="B2318" s="609">
        <v>44209</v>
      </c>
      <c r="C2318" s="362" t="s">
        <v>78</v>
      </c>
      <c r="D2318" s="560"/>
      <c r="E2318" s="560"/>
      <c r="F2318" s="560"/>
      <c r="G2318" s="560"/>
      <c r="H2318" s="560"/>
      <c r="I2318" s="560"/>
      <c r="J2318" s="560"/>
    </row>
    <row r="2319" spans="1:10" x14ac:dyDescent="0.25">
      <c r="A2319" s="362"/>
      <c r="B2319" s="609">
        <v>44209</v>
      </c>
      <c r="C2319" s="362" t="s">
        <v>141</v>
      </c>
      <c r="D2319" s="560"/>
      <c r="E2319" s="560"/>
      <c r="F2319" s="560"/>
      <c r="G2319" s="560"/>
      <c r="H2319" s="560"/>
      <c r="I2319" s="560"/>
      <c r="J2319" s="560"/>
    </row>
    <row r="2320" spans="1:10" x14ac:dyDescent="0.25">
      <c r="A2320" s="362"/>
      <c r="B2320" s="609">
        <v>44209</v>
      </c>
      <c r="C2320" s="362" t="s">
        <v>89</v>
      </c>
      <c r="D2320" s="560"/>
      <c r="E2320" s="560"/>
      <c r="F2320" s="560"/>
      <c r="G2320" s="560"/>
      <c r="H2320" s="560"/>
      <c r="I2320" s="560"/>
      <c r="J2320" s="560"/>
    </row>
    <row r="2321" spans="1:10" x14ac:dyDescent="0.25">
      <c r="A2321" s="362"/>
      <c r="B2321" s="609">
        <v>44209</v>
      </c>
      <c r="C2321" s="362" t="s">
        <v>81</v>
      </c>
      <c r="D2321" s="560"/>
      <c r="E2321" s="560"/>
      <c r="F2321" s="560"/>
      <c r="G2321" s="560"/>
      <c r="H2321" s="560"/>
      <c r="I2321" s="560"/>
      <c r="J2321" s="560"/>
    </row>
    <row r="2322" spans="1:10" x14ac:dyDescent="0.25">
      <c r="A2322" s="362"/>
      <c r="B2322" s="609">
        <v>44209</v>
      </c>
      <c r="C2322" s="362" t="s">
        <v>84</v>
      </c>
      <c r="D2322" s="560"/>
      <c r="E2322" s="560"/>
      <c r="F2322" s="560"/>
      <c r="G2322" s="560"/>
      <c r="H2322" s="560"/>
      <c r="I2322" s="560"/>
      <c r="J2322" s="560"/>
    </row>
    <row r="2323" spans="1:10" x14ac:dyDescent="0.25">
      <c r="A2323" s="362"/>
      <c r="B2323" s="609">
        <v>44209</v>
      </c>
      <c r="C2323" s="362" t="s">
        <v>4751</v>
      </c>
      <c r="D2323" s="560"/>
      <c r="E2323" s="560"/>
      <c r="F2323" s="560"/>
      <c r="G2323" s="560"/>
      <c r="H2323" s="560"/>
      <c r="I2323" s="560"/>
      <c r="J2323" s="560"/>
    </row>
    <row r="2324" spans="1:10" x14ac:dyDescent="0.25">
      <c r="A2324" s="362"/>
      <c r="B2324" s="609">
        <v>44209</v>
      </c>
      <c r="C2324" s="362" t="s">
        <v>166</v>
      </c>
      <c r="D2324" s="560"/>
      <c r="E2324" s="560"/>
      <c r="F2324" s="560"/>
      <c r="G2324" s="560"/>
      <c r="H2324" s="560"/>
      <c r="I2324" s="560"/>
      <c r="J2324" s="560"/>
    </row>
    <row r="2325" spans="1:10" x14ac:dyDescent="0.25">
      <c r="A2325" s="362"/>
      <c r="B2325" s="609">
        <v>44209</v>
      </c>
      <c r="C2325" s="362" t="s">
        <v>3435</v>
      </c>
      <c r="D2325" s="560"/>
      <c r="E2325" s="560"/>
      <c r="F2325" s="560"/>
      <c r="G2325" s="560"/>
      <c r="H2325" s="560"/>
      <c r="I2325" s="560"/>
      <c r="J2325" s="560"/>
    </row>
    <row r="2326" spans="1:10" x14ac:dyDescent="0.25">
      <c r="A2326" s="362"/>
      <c r="B2326" s="609">
        <v>44209</v>
      </c>
      <c r="C2326" s="370" t="s">
        <v>85</v>
      </c>
      <c r="D2326" s="560"/>
      <c r="E2326" s="560"/>
      <c r="F2326" s="560"/>
      <c r="G2326" s="560"/>
      <c r="H2326" s="560"/>
      <c r="I2326" s="560"/>
      <c r="J2326" s="560"/>
    </row>
    <row r="2327" spans="1:10" x14ac:dyDescent="0.25">
      <c r="A2327" s="530"/>
      <c r="B2327" s="530"/>
      <c r="C2327" s="530"/>
      <c r="D2327" s="562"/>
      <c r="E2327" s="562"/>
      <c r="F2327" s="562"/>
      <c r="G2327" s="562"/>
      <c r="H2327" s="562"/>
      <c r="I2327" s="562"/>
      <c r="J2327" s="562"/>
    </row>
    <row r="2328" spans="1:10" x14ac:dyDescent="0.25">
      <c r="A2328" s="362"/>
      <c r="B2328" s="609">
        <v>44210</v>
      </c>
      <c r="C2328" s="362" t="s">
        <v>86</v>
      </c>
      <c r="D2328" s="560"/>
      <c r="E2328" s="560"/>
      <c r="F2328" s="560"/>
      <c r="G2328" s="560"/>
      <c r="H2328" s="560"/>
      <c r="I2328" s="560"/>
      <c r="J2328" s="560"/>
    </row>
    <row r="2329" spans="1:10" x14ac:dyDescent="0.25">
      <c r="A2329" s="362"/>
      <c r="B2329" s="609">
        <v>44210</v>
      </c>
      <c r="C2329" s="362" t="s">
        <v>87</v>
      </c>
      <c r="D2329" s="560"/>
      <c r="E2329" s="560"/>
      <c r="F2329" s="560"/>
      <c r="G2329" s="560"/>
      <c r="H2329" s="560"/>
      <c r="I2329" s="560"/>
      <c r="J2329" s="560"/>
    </row>
    <row r="2330" spans="1:10" x14ac:dyDescent="0.25">
      <c r="A2330" s="362"/>
      <c r="B2330" s="609">
        <v>44210</v>
      </c>
      <c r="C2330" s="362" t="s">
        <v>88</v>
      </c>
      <c r="D2330" s="560"/>
      <c r="E2330" s="560"/>
      <c r="F2330" s="560"/>
      <c r="G2330" s="560"/>
      <c r="H2330" s="560"/>
      <c r="I2330" s="560"/>
      <c r="J2330" s="560"/>
    </row>
    <row r="2331" spans="1:10" x14ac:dyDescent="0.25">
      <c r="A2331" s="362"/>
      <c r="B2331" s="609">
        <v>44210</v>
      </c>
      <c r="C2331" s="362" t="s">
        <v>82</v>
      </c>
      <c r="D2331" s="560"/>
      <c r="E2331" s="560"/>
      <c r="F2331" s="560"/>
      <c r="G2331" s="560"/>
      <c r="H2331" s="560"/>
      <c r="I2331" s="560"/>
      <c r="J2331" s="560"/>
    </row>
    <row r="2332" spans="1:10" x14ac:dyDescent="0.25">
      <c r="A2332" s="362"/>
      <c r="B2332" s="609">
        <v>44210</v>
      </c>
      <c r="C2332" s="362" t="s">
        <v>80</v>
      </c>
      <c r="D2332" s="560"/>
      <c r="E2332" s="560"/>
      <c r="F2332" s="560"/>
      <c r="G2332" s="560"/>
      <c r="H2332" s="560"/>
      <c r="I2332" s="560"/>
      <c r="J2332" s="560"/>
    </row>
    <row r="2333" spans="1:10" x14ac:dyDescent="0.25">
      <c r="A2333" s="362"/>
      <c r="B2333" s="609">
        <v>44210</v>
      </c>
      <c r="C2333" s="362" t="s">
        <v>83</v>
      </c>
      <c r="D2333" s="560"/>
      <c r="E2333" s="560"/>
      <c r="F2333" s="560"/>
      <c r="G2333" s="560"/>
      <c r="H2333" s="560"/>
      <c r="I2333" s="560"/>
      <c r="J2333" s="560"/>
    </row>
    <row r="2334" spans="1:10" x14ac:dyDescent="0.25">
      <c r="A2334" s="362"/>
      <c r="B2334" s="609">
        <v>44210</v>
      </c>
      <c r="C2334" s="362" t="s">
        <v>78</v>
      </c>
      <c r="D2334" s="560"/>
      <c r="E2334" s="560"/>
      <c r="F2334" s="560"/>
      <c r="G2334" s="560"/>
      <c r="H2334" s="560"/>
      <c r="I2334" s="560"/>
      <c r="J2334" s="560"/>
    </row>
    <row r="2335" spans="1:10" x14ac:dyDescent="0.25">
      <c r="A2335" s="362"/>
      <c r="B2335" s="609">
        <v>44210</v>
      </c>
      <c r="C2335" s="362" t="s">
        <v>141</v>
      </c>
      <c r="D2335" s="560"/>
      <c r="E2335" s="560"/>
      <c r="F2335" s="560"/>
      <c r="G2335" s="560"/>
      <c r="H2335" s="560"/>
      <c r="I2335" s="560"/>
      <c r="J2335" s="560"/>
    </row>
    <row r="2336" spans="1:10" x14ac:dyDescent="0.25">
      <c r="A2336" s="362"/>
      <c r="B2336" s="609">
        <v>44210</v>
      </c>
      <c r="C2336" s="362" t="s">
        <v>89</v>
      </c>
      <c r="D2336" s="560"/>
      <c r="E2336" s="560"/>
      <c r="F2336" s="560"/>
      <c r="G2336" s="560"/>
      <c r="H2336" s="560"/>
      <c r="I2336" s="560"/>
      <c r="J2336" s="560"/>
    </row>
    <row r="2337" spans="1:10" x14ac:dyDescent="0.25">
      <c r="A2337" s="362"/>
      <c r="B2337" s="609">
        <v>44210</v>
      </c>
      <c r="C2337" s="362" t="s">
        <v>81</v>
      </c>
      <c r="D2337" s="560"/>
      <c r="E2337" s="560"/>
      <c r="F2337" s="560"/>
      <c r="G2337" s="560"/>
      <c r="H2337" s="560"/>
      <c r="I2337" s="560"/>
      <c r="J2337" s="560"/>
    </row>
    <row r="2338" spans="1:10" x14ac:dyDescent="0.25">
      <c r="A2338" s="362"/>
      <c r="B2338" s="609">
        <v>44210</v>
      </c>
      <c r="C2338" s="362" t="s">
        <v>84</v>
      </c>
      <c r="D2338" s="560"/>
      <c r="E2338" s="560"/>
      <c r="F2338" s="560"/>
      <c r="G2338" s="560"/>
      <c r="H2338" s="560"/>
      <c r="I2338" s="560"/>
      <c r="J2338" s="560"/>
    </row>
    <row r="2339" spans="1:10" x14ac:dyDescent="0.25">
      <c r="A2339" s="362"/>
      <c r="B2339" s="609">
        <v>44210</v>
      </c>
      <c r="C2339" s="362" t="s">
        <v>4751</v>
      </c>
      <c r="D2339" s="560"/>
      <c r="E2339" s="560"/>
      <c r="F2339" s="560"/>
      <c r="G2339" s="560"/>
      <c r="H2339" s="560"/>
      <c r="I2339" s="560"/>
      <c r="J2339" s="560"/>
    </row>
    <row r="2340" spans="1:10" x14ac:dyDescent="0.25">
      <c r="A2340" s="362"/>
      <c r="B2340" s="609">
        <v>44210</v>
      </c>
      <c r="C2340" s="362" t="s">
        <v>166</v>
      </c>
      <c r="D2340" s="560"/>
      <c r="E2340" s="560"/>
      <c r="F2340" s="560"/>
      <c r="G2340" s="560"/>
      <c r="H2340" s="560"/>
      <c r="I2340" s="560"/>
      <c r="J2340" s="560"/>
    </row>
    <row r="2341" spans="1:10" x14ac:dyDescent="0.25">
      <c r="A2341" s="362"/>
      <c r="B2341" s="609">
        <v>44210</v>
      </c>
      <c r="C2341" s="362" t="s">
        <v>3435</v>
      </c>
      <c r="D2341" s="560"/>
      <c r="E2341" s="560"/>
      <c r="F2341" s="560"/>
      <c r="G2341" s="560"/>
      <c r="H2341" s="560"/>
      <c r="I2341" s="560"/>
      <c r="J2341" s="560"/>
    </row>
    <row r="2342" spans="1:10" x14ac:dyDescent="0.25">
      <c r="A2342" s="362"/>
      <c r="B2342" s="609">
        <v>44210</v>
      </c>
      <c r="C2342" s="370" t="s">
        <v>85</v>
      </c>
      <c r="D2342" s="560"/>
      <c r="E2342" s="560"/>
      <c r="F2342" s="560"/>
      <c r="G2342" s="560"/>
      <c r="H2342" s="560"/>
      <c r="I2342" s="560"/>
      <c r="J2342" s="560"/>
    </row>
    <row r="2343" spans="1:10" x14ac:dyDescent="0.25">
      <c r="A2343" s="530"/>
      <c r="B2343" s="530"/>
      <c r="C2343" s="530"/>
      <c r="D2343" s="562"/>
      <c r="E2343" s="562"/>
      <c r="F2343" s="562"/>
      <c r="G2343" s="562"/>
      <c r="H2343" s="562"/>
      <c r="I2343" s="562"/>
      <c r="J2343" s="562"/>
    </row>
    <row r="2344" spans="1:10" x14ac:dyDescent="0.25">
      <c r="A2344" s="362"/>
      <c r="B2344" s="609">
        <v>44211</v>
      </c>
      <c r="C2344" s="362" t="s">
        <v>86</v>
      </c>
      <c r="D2344" s="560"/>
      <c r="E2344" s="560"/>
      <c r="F2344" s="560"/>
      <c r="G2344" s="560"/>
      <c r="H2344" s="560"/>
      <c r="I2344" s="560"/>
      <c r="J2344" s="560"/>
    </row>
    <row r="2345" spans="1:10" x14ac:dyDescent="0.25">
      <c r="A2345" s="362"/>
      <c r="B2345" s="609">
        <v>44211</v>
      </c>
      <c r="C2345" s="362" t="s">
        <v>87</v>
      </c>
      <c r="D2345" s="560"/>
      <c r="E2345" s="560"/>
      <c r="F2345" s="560"/>
      <c r="G2345" s="560"/>
      <c r="H2345" s="560"/>
      <c r="I2345" s="560"/>
      <c r="J2345" s="560"/>
    </row>
    <row r="2346" spans="1:10" x14ac:dyDescent="0.25">
      <c r="A2346" s="362"/>
      <c r="B2346" s="609">
        <v>44211</v>
      </c>
      <c r="C2346" s="362" t="s">
        <v>88</v>
      </c>
      <c r="D2346" s="560"/>
      <c r="E2346" s="560"/>
      <c r="F2346" s="560"/>
      <c r="G2346" s="560"/>
      <c r="H2346" s="560"/>
      <c r="I2346" s="560"/>
      <c r="J2346" s="560"/>
    </row>
    <row r="2347" spans="1:10" x14ac:dyDescent="0.25">
      <c r="A2347" s="362"/>
      <c r="B2347" s="609">
        <v>44211</v>
      </c>
      <c r="C2347" s="362" t="s">
        <v>82</v>
      </c>
      <c r="D2347" s="560"/>
      <c r="E2347" s="560"/>
      <c r="F2347" s="560"/>
      <c r="G2347" s="560"/>
      <c r="H2347" s="560"/>
      <c r="I2347" s="560"/>
      <c r="J2347" s="560"/>
    </row>
    <row r="2348" spans="1:10" x14ac:dyDescent="0.25">
      <c r="A2348" s="362"/>
      <c r="B2348" s="609">
        <v>44211</v>
      </c>
      <c r="C2348" s="362" t="s">
        <v>80</v>
      </c>
      <c r="D2348" s="560"/>
      <c r="E2348" s="560"/>
      <c r="F2348" s="560"/>
      <c r="G2348" s="560"/>
      <c r="H2348" s="560"/>
      <c r="I2348" s="560"/>
      <c r="J2348" s="560"/>
    </row>
    <row r="2349" spans="1:10" x14ac:dyDescent="0.25">
      <c r="A2349" s="362"/>
      <c r="B2349" s="609">
        <v>44211</v>
      </c>
      <c r="C2349" s="362" t="s">
        <v>83</v>
      </c>
      <c r="D2349" s="560"/>
      <c r="E2349" s="560"/>
      <c r="F2349" s="560"/>
      <c r="G2349" s="560"/>
      <c r="H2349" s="560"/>
      <c r="I2349" s="560"/>
      <c r="J2349" s="560"/>
    </row>
    <row r="2350" spans="1:10" x14ac:dyDescent="0.25">
      <c r="A2350" s="362"/>
      <c r="B2350" s="609">
        <v>44211</v>
      </c>
      <c r="C2350" s="362" t="s">
        <v>78</v>
      </c>
      <c r="D2350" s="560"/>
      <c r="E2350" s="560"/>
      <c r="F2350" s="560"/>
      <c r="G2350" s="560"/>
      <c r="H2350" s="560"/>
      <c r="I2350" s="560"/>
      <c r="J2350" s="560"/>
    </row>
    <row r="2351" spans="1:10" x14ac:dyDescent="0.25">
      <c r="A2351" s="362"/>
      <c r="B2351" s="609">
        <v>44211</v>
      </c>
      <c r="C2351" s="362" t="s">
        <v>141</v>
      </c>
      <c r="D2351" s="560"/>
      <c r="E2351" s="560"/>
      <c r="F2351" s="560"/>
      <c r="G2351" s="560"/>
      <c r="H2351" s="560"/>
      <c r="I2351" s="560"/>
      <c r="J2351" s="560"/>
    </row>
    <row r="2352" spans="1:10" x14ac:dyDescent="0.25">
      <c r="A2352" s="362"/>
      <c r="B2352" s="609">
        <v>44211</v>
      </c>
      <c r="C2352" s="362" t="s">
        <v>89</v>
      </c>
      <c r="D2352" s="560"/>
      <c r="E2352" s="560"/>
      <c r="F2352" s="560"/>
      <c r="G2352" s="560"/>
      <c r="H2352" s="560"/>
      <c r="I2352" s="560"/>
      <c r="J2352" s="560"/>
    </row>
    <row r="2353" spans="1:10" x14ac:dyDescent="0.25">
      <c r="A2353" s="362"/>
      <c r="B2353" s="609">
        <v>44211</v>
      </c>
      <c r="C2353" s="362" t="s">
        <v>81</v>
      </c>
      <c r="D2353" s="560"/>
      <c r="E2353" s="560"/>
      <c r="F2353" s="560"/>
      <c r="G2353" s="560"/>
      <c r="H2353" s="560"/>
      <c r="I2353" s="560"/>
      <c r="J2353" s="560"/>
    </row>
    <row r="2354" spans="1:10" x14ac:dyDescent="0.25">
      <c r="A2354" s="362"/>
      <c r="B2354" s="609">
        <v>44211</v>
      </c>
      <c r="C2354" s="362" t="s">
        <v>84</v>
      </c>
      <c r="D2354" s="560"/>
      <c r="E2354" s="560"/>
      <c r="F2354" s="560"/>
      <c r="G2354" s="560"/>
      <c r="H2354" s="560"/>
      <c r="I2354" s="560"/>
      <c r="J2354" s="560"/>
    </row>
    <row r="2355" spans="1:10" x14ac:dyDescent="0.25">
      <c r="A2355" s="362"/>
      <c r="B2355" s="609">
        <v>44211</v>
      </c>
      <c r="C2355" s="362" t="s">
        <v>4751</v>
      </c>
      <c r="D2355" s="560"/>
      <c r="E2355" s="560"/>
      <c r="F2355" s="560"/>
      <c r="G2355" s="560"/>
      <c r="H2355" s="560"/>
      <c r="I2355" s="560"/>
      <c r="J2355" s="560"/>
    </row>
    <row r="2356" spans="1:10" x14ac:dyDescent="0.25">
      <c r="A2356" s="362"/>
      <c r="B2356" s="609">
        <v>44211</v>
      </c>
      <c r="C2356" s="362" t="s">
        <v>166</v>
      </c>
      <c r="D2356" s="560"/>
      <c r="E2356" s="560"/>
      <c r="F2356" s="560"/>
      <c r="G2356" s="560"/>
      <c r="H2356" s="560"/>
      <c r="I2356" s="560"/>
      <c r="J2356" s="560"/>
    </row>
    <row r="2357" spans="1:10" x14ac:dyDescent="0.25">
      <c r="A2357" s="362"/>
      <c r="B2357" s="609">
        <v>44211</v>
      </c>
      <c r="C2357" s="362" t="s">
        <v>3435</v>
      </c>
      <c r="D2357" s="560"/>
      <c r="E2357" s="560"/>
      <c r="F2357" s="560"/>
      <c r="G2357" s="560"/>
      <c r="H2357" s="560"/>
      <c r="I2357" s="560"/>
      <c r="J2357" s="560"/>
    </row>
    <row r="2358" spans="1:10" x14ac:dyDescent="0.25">
      <c r="A2358" s="362"/>
      <c r="B2358" s="609">
        <v>44211</v>
      </c>
      <c r="C2358" s="370" t="s">
        <v>85</v>
      </c>
      <c r="D2358" s="560"/>
      <c r="E2358" s="560"/>
      <c r="F2358" s="560"/>
      <c r="G2358" s="560"/>
      <c r="H2358" s="560"/>
      <c r="I2358" s="560"/>
      <c r="J2358" s="560"/>
    </row>
    <row r="2359" spans="1:10" x14ac:dyDescent="0.25">
      <c r="A2359" s="530"/>
      <c r="B2359" s="530"/>
      <c r="C2359" s="530"/>
      <c r="D2359" s="562"/>
      <c r="E2359" s="562"/>
      <c r="F2359" s="562"/>
      <c r="G2359" s="562"/>
      <c r="H2359" s="562"/>
      <c r="I2359" s="562"/>
      <c r="J2359" s="562"/>
    </row>
    <row r="2360" spans="1:10" x14ac:dyDescent="0.25">
      <c r="A2360" s="362"/>
      <c r="B2360" s="609">
        <v>44212</v>
      </c>
      <c r="C2360" s="362" t="s">
        <v>86</v>
      </c>
      <c r="D2360" s="560"/>
      <c r="E2360" s="560"/>
      <c r="F2360" s="560"/>
      <c r="G2360" s="560"/>
      <c r="H2360" s="560"/>
      <c r="I2360" s="560"/>
      <c r="J2360" s="560"/>
    </row>
    <row r="2361" spans="1:10" x14ac:dyDescent="0.25">
      <c r="A2361" s="362"/>
      <c r="B2361" s="609">
        <v>44212</v>
      </c>
      <c r="C2361" s="362" t="s">
        <v>87</v>
      </c>
      <c r="D2361" s="560"/>
      <c r="E2361" s="560"/>
      <c r="F2361" s="560"/>
      <c r="G2361" s="560"/>
      <c r="H2361" s="560"/>
      <c r="I2361" s="560"/>
      <c r="J2361" s="560"/>
    </row>
    <row r="2362" spans="1:10" x14ac:dyDescent="0.25">
      <c r="A2362" s="362"/>
      <c r="B2362" s="609">
        <v>44212</v>
      </c>
      <c r="C2362" s="362" t="s">
        <v>88</v>
      </c>
      <c r="D2362" s="560"/>
      <c r="E2362" s="560"/>
      <c r="F2362" s="560"/>
      <c r="G2362" s="560"/>
      <c r="H2362" s="560"/>
      <c r="I2362" s="560"/>
      <c r="J2362" s="560"/>
    </row>
    <row r="2363" spans="1:10" x14ac:dyDescent="0.25">
      <c r="A2363" s="362"/>
      <c r="B2363" s="609">
        <v>44212</v>
      </c>
      <c r="C2363" s="362" t="s">
        <v>82</v>
      </c>
      <c r="D2363" s="560"/>
      <c r="E2363" s="560"/>
      <c r="F2363" s="560"/>
      <c r="G2363" s="560"/>
      <c r="H2363" s="560"/>
      <c r="I2363" s="560"/>
      <c r="J2363" s="560"/>
    </row>
    <row r="2364" spans="1:10" x14ac:dyDescent="0.25">
      <c r="A2364" s="362"/>
      <c r="B2364" s="609">
        <v>44212</v>
      </c>
      <c r="C2364" s="362" t="s">
        <v>80</v>
      </c>
      <c r="D2364" s="560"/>
      <c r="E2364" s="560"/>
      <c r="F2364" s="560"/>
      <c r="G2364" s="560"/>
      <c r="H2364" s="560"/>
      <c r="I2364" s="560"/>
      <c r="J2364" s="560"/>
    </row>
    <row r="2365" spans="1:10" x14ac:dyDescent="0.25">
      <c r="A2365" s="362"/>
      <c r="B2365" s="609">
        <v>44212</v>
      </c>
      <c r="C2365" s="362" t="s">
        <v>83</v>
      </c>
      <c r="D2365" s="560"/>
      <c r="E2365" s="560"/>
      <c r="F2365" s="560"/>
      <c r="G2365" s="560"/>
      <c r="H2365" s="560"/>
      <c r="I2365" s="560"/>
      <c r="J2365" s="560"/>
    </row>
    <row r="2366" spans="1:10" x14ac:dyDescent="0.25">
      <c r="A2366" s="362"/>
      <c r="B2366" s="609">
        <v>44212</v>
      </c>
      <c r="C2366" s="362" t="s">
        <v>78</v>
      </c>
      <c r="D2366" s="560"/>
      <c r="E2366" s="560"/>
      <c r="F2366" s="560"/>
      <c r="G2366" s="560"/>
      <c r="H2366" s="560"/>
      <c r="I2366" s="560"/>
      <c r="J2366" s="560"/>
    </row>
    <row r="2367" spans="1:10" x14ac:dyDescent="0.25">
      <c r="A2367" s="362"/>
      <c r="B2367" s="609">
        <v>44212</v>
      </c>
      <c r="C2367" s="362" t="s">
        <v>141</v>
      </c>
      <c r="D2367" s="560"/>
      <c r="E2367" s="560"/>
      <c r="F2367" s="560"/>
      <c r="G2367" s="560"/>
      <c r="H2367" s="560"/>
      <c r="I2367" s="560"/>
      <c r="J2367" s="560"/>
    </row>
    <row r="2368" spans="1:10" x14ac:dyDescent="0.25">
      <c r="A2368" s="362"/>
      <c r="B2368" s="609">
        <v>44212</v>
      </c>
      <c r="C2368" s="362" t="s">
        <v>89</v>
      </c>
      <c r="D2368" s="560"/>
      <c r="E2368" s="560"/>
      <c r="F2368" s="560"/>
      <c r="G2368" s="560"/>
      <c r="H2368" s="560"/>
      <c r="I2368" s="560"/>
      <c r="J2368" s="560"/>
    </row>
    <row r="2369" spans="1:10" x14ac:dyDescent="0.25">
      <c r="A2369" s="362"/>
      <c r="B2369" s="609">
        <v>44212</v>
      </c>
      <c r="C2369" s="362" t="s">
        <v>81</v>
      </c>
      <c r="D2369" s="560"/>
      <c r="E2369" s="560"/>
      <c r="F2369" s="560"/>
      <c r="G2369" s="560"/>
      <c r="H2369" s="560"/>
      <c r="I2369" s="560"/>
      <c r="J2369" s="560"/>
    </row>
    <row r="2370" spans="1:10" x14ac:dyDescent="0.25">
      <c r="A2370" s="362"/>
      <c r="B2370" s="609">
        <v>44212</v>
      </c>
      <c r="C2370" s="362" t="s">
        <v>84</v>
      </c>
      <c r="D2370" s="560"/>
      <c r="E2370" s="560"/>
      <c r="F2370" s="560"/>
      <c r="G2370" s="560"/>
      <c r="H2370" s="560"/>
      <c r="I2370" s="560"/>
      <c r="J2370" s="560"/>
    </row>
    <row r="2371" spans="1:10" x14ac:dyDescent="0.25">
      <c r="A2371" s="362"/>
      <c r="B2371" s="609">
        <v>44212</v>
      </c>
      <c r="C2371" s="362" t="s">
        <v>4751</v>
      </c>
      <c r="D2371" s="560"/>
      <c r="E2371" s="560"/>
      <c r="F2371" s="560"/>
      <c r="G2371" s="560"/>
      <c r="H2371" s="560"/>
      <c r="I2371" s="560"/>
      <c r="J2371" s="560"/>
    </row>
    <row r="2372" spans="1:10" x14ac:dyDescent="0.25">
      <c r="A2372" s="362"/>
      <c r="B2372" s="609">
        <v>44212</v>
      </c>
      <c r="C2372" s="362" t="s">
        <v>166</v>
      </c>
      <c r="D2372" s="560"/>
      <c r="E2372" s="560"/>
      <c r="F2372" s="560"/>
      <c r="G2372" s="560"/>
      <c r="H2372" s="560"/>
      <c r="I2372" s="560"/>
      <c r="J2372" s="560"/>
    </row>
    <row r="2373" spans="1:10" x14ac:dyDescent="0.25">
      <c r="A2373" s="362"/>
      <c r="B2373" s="609">
        <v>44212</v>
      </c>
      <c r="C2373" s="362" t="s">
        <v>3435</v>
      </c>
      <c r="D2373" s="560"/>
      <c r="E2373" s="560"/>
      <c r="F2373" s="560"/>
      <c r="G2373" s="560"/>
      <c r="H2373" s="560"/>
      <c r="I2373" s="560"/>
      <c r="J2373" s="560"/>
    </row>
    <row r="2374" spans="1:10" x14ac:dyDescent="0.25">
      <c r="A2374" s="362"/>
      <c r="B2374" s="609">
        <v>44212</v>
      </c>
      <c r="C2374" s="370" t="s">
        <v>85</v>
      </c>
      <c r="D2374" s="560"/>
      <c r="E2374" s="560"/>
      <c r="F2374" s="560"/>
      <c r="G2374" s="560"/>
      <c r="H2374" s="560"/>
      <c r="I2374" s="560"/>
      <c r="J2374" s="560"/>
    </row>
    <row r="2375" spans="1:10" x14ac:dyDescent="0.25">
      <c r="A2375" s="530"/>
      <c r="B2375" s="530"/>
      <c r="C2375" s="530"/>
      <c r="D2375" s="562"/>
      <c r="E2375" s="562"/>
      <c r="F2375" s="562"/>
      <c r="G2375" s="562"/>
      <c r="H2375" s="562"/>
      <c r="I2375" s="562"/>
      <c r="J2375" s="562"/>
    </row>
    <row r="2376" spans="1:10" x14ac:dyDescent="0.25">
      <c r="A2376" s="362"/>
      <c r="B2376" s="609">
        <v>44214</v>
      </c>
      <c r="C2376" s="362" t="s">
        <v>86</v>
      </c>
      <c r="D2376" s="560"/>
      <c r="E2376" s="560"/>
      <c r="F2376" s="560"/>
      <c r="G2376" s="560"/>
      <c r="H2376" s="560"/>
      <c r="I2376" s="560"/>
      <c r="J2376" s="560"/>
    </row>
    <row r="2377" spans="1:10" x14ac:dyDescent="0.25">
      <c r="A2377" s="362"/>
      <c r="B2377" s="609">
        <v>44214</v>
      </c>
      <c r="C2377" s="362" t="s">
        <v>87</v>
      </c>
      <c r="D2377" s="560"/>
      <c r="E2377" s="560"/>
      <c r="F2377" s="560"/>
      <c r="G2377" s="560"/>
      <c r="H2377" s="560"/>
      <c r="I2377" s="560"/>
      <c r="J2377" s="560"/>
    </row>
    <row r="2378" spans="1:10" x14ac:dyDescent="0.25">
      <c r="A2378" s="362"/>
      <c r="B2378" s="609">
        <v>44214</v>
      </c>
      <c r="C2378" s="362" t="s">
        <v>88</v>
      </c>
      <c r="D2378" s="560"/>
      <c r="E2378" s="560"/>
      <c r="F2378" s="560"/>
      <c r="G2378" s="560"/>
      <c r="H2378" s="560"/>
      <c r="I2378" s="560"/>
      <c r="J2378" s="560"/>
    </row>
    <row r="2379" spans="1:10" x14ac:dyDescent="0.25">
      <c r="A2379" s="362"/>
      <c r="B2379" s="609">
        <v>44214</v>
      </c>
      <c r="C2379" s="362" t="s">
        <v>82</v>
      </c>
      <c r="D2379" s="560"/>
      <c r="E2379" s="560"/>
      <c r="F2379" s="560"/>
      <c r="G2379" s="560"/>
      <c r="H2379" s="560"/>
      <c r="I2379" s="560"/>
      <c r="J2379" s="560"/>
    </row>
    <row r="2380" spans="1:10" x14ac:dyDescent="0.25">
      <c r="A2380" s="362"/>
      <c r="B2380" s="609">
        <v>44214</v>
      </c>
      <c r="C2380" s="362" t="s">
        <v>80</v>
      </c>
      <c r="D2380" s="560"/>
      <c r="E2380" s="560"/>
      <c r="F2380" s="560"/>
      <c r="G2380" s="560"/>
      <c r="H2380" s="560"/>
      <c r="I2380" s="560"/>
      <c r="J2380" s="560"/>
    </row>
    <row r="2381" spans="1:10" x14ac:dyDescent="0.25">
      <c r="A2381" s="362"/>
      <c r="B2381" s="609">
        <v>44214</v>
      </c>
      <c r="C2381" s="362" t="s">
        <v>83</v>
      </c>
      <c r="D2381" s="560"/>
      <c r="E2381" s="560"/>
      <c r="F2381" s="560"/>
      <c r="G2381" s="560"/>
      <c r="H2381" s="560"/>
      <c r="I2381" s="560"/>
      <c r="J2381" s="560"/>
    </row>
    <row r="2382" spans="1:10" x14ac:dyDescent="0.25">
      <c r="A2382" s="362"/>
      <c r="B2382" s="609">
        <v>44214</v>
      </c>
      <c r="C2382" s="362" t="s">
        <v>78</v>
      </c>
      <c r="D2382" s="560"/>
      <c r="E2382" s="560"/>
      <c r="F2382" s="560"/>
      <c r="G2382" s="560"/>
      <c r="H2382" s="560"/>
      <c r="I2382" s="560"/>
      <c r="J2382" s="560"/>
    </row>
    <row r="2383" spans="1:10" x14ac:dyDescent="0.25">
      <c r="A2383" s="362"/>
      <c r="B2383" s="609">
        <v>44214</v>
      </c>
      <c r="C2383" s="362" t="s">
        <v>141</v>
      </c>
      <c r="D2383" s="560"/>
      <c r="E2383" s="560"/>
      <c r="F2383" s="560"/>
      <c r="G2383" s="560"/>
      <c r="H2383" s="560"/>
      <c r="I2383" s="560"/>
      <c r="J2383" s="560"/>
    </row>
    <row r="2384" spans="1:10" x14ac:dyDescent="0.25">
      <c r="A2384" s="362"/>
      <c r="B2384" s="609">
        <v>44214</v>
      </c>
      <c r="C2384" s="362" t="s">
        <v>89</v>
      </c>
      <c r="D2384" s="560"/>
      <c r="E2384" s="560"/>
      <c r="F2384" s="560"/>
      <c r="G2384" s="560"/>
      <c r="H2384" s="560"/>
      <c r="I2384" s="560"/>
      <c r="J2384" s="560"/>
    </row>
    <row r="2385" spans="1:10" x14ac:dyDescent="0.25">
      <c r="A2385" s="362"/>
      <c r="B2385" s="609">
        <v>44214</v>
      </c>
      <c r="C2385" s="362" t="s">
        <v>81</v>
      </c>
      <c r="D2385" s="560"/>
      <c r="E2385" s="560"/>
      <c r="F2385" s="560"/>
      <c r="G2385" s="560"/>
      <c r="H2385" s="560"/>
      <c r="I2385" s="560"/>
      <c r="J2385" s="560"/>
    </row>
    <row r="2386" spans="1:10" x14ac:dyDescent="0.25">
      <c r="A2386" s="362"/>
      <c r="B2386" s="609">
        <v>44214</v>
      </c>
      <c r="C2386" s="362" t="s">
        <v>84</v>
      </c>
      <c r="D2386" s="560"/>
      <c r="E2386" s="560"/>
      <c r="F2386" s="560"/>
      <c r="G2386" s="560"/>
      <c r="H2386" s="560"/>
      <c r="I2386" s="560"/>
      <c r="J2386" s="560"/>
    </row>
    <row r="2387" spans="1:10" x14ac:dyDescent="0.25">
      <c r="A2387" s="362"/>
      <c r="B2387" s="609">
        <v>44214</v>
      </c>
      <c r="C2387" s="362" t="s">
        <v>4751</v>
      </c>
      <c r="D2387" s="560"/>
      <c r="E2387" s="560"/>
      <c r="F2387" s="560"/>
      <c r="G2387" s="560"/>
      <c r="H2387" s="560"/>
      <c r="I2387" s="560"/>
      <c r="J2387" s="560"/>
    </row>
    <row r="2388" spans="1:10" x14ac:dyDescent="0.25">
      <c r="A2388" s="362"/>
      <c r="B2388" s="609">
        <v>44214</v>
      </c>
      <c r="C2388" s="362" t="s">
        <v>166</v>
      </c>
      <c r="D2388" s="560"/>
      <c r="E2388" s="560"/>
      <c r="F2388" s="560"/>
      <c r="G2388" s="560"/>
      <c r="H2388" s="560"/>
      <c r="I2388" s="560"/>
      <c r="J2388" s="560"/>
    </row>
    <row r="2389" spans="1:10" x14ac:dyDescent="0.25">
      <c r="A2389" s="362"/>
      <c r="B2389" s="609">
        <v>44214</v>
      </c>
      <c r="C2389" s="362" t="s">
        <v>3435</v>
      </c>
      <c r="D2389" s="560"/>
      <c r="E2389" s="560"/>
      <c r="F2389" s="560"/>
      <c r="G2389" s="560"/>
      <c r="H2389" s="560"/>
      <c r="I2389" s="560"/>
      <c r="J2389" s="560"/>
    </row>
    <row r="2390" spans="1:10" x14ac:dyDescent="0.25">
      <c r="A2390" s="362"/>
      <c r="B2390" s="609">
        <v>44214</v>
      </c>
      <c r="C2390" s="370" t="s">
        <v>85</v>
      </c>
      <c r="D2390" s="560"/>
      <c r="E2390" s="560"/>
      <c r="F2390" s="560"/>
      <c r="G2390" s="560"/>
      <c r="H2390" s="560"/>
      <c r="I2390" s="560"/>
      <c r="J2390" s="560"/>
    </row>
    <row r="2391" spans="1:10" x14ac:dyDescent="0.25">
      <c r="A2391" s="530"/>
      <c r="B2391" s="530"/>
      <c r="C2391" s="530"/>
      <c r="D2391" s="562"/>
      <c r="E2391" s="562"/>
      <c r="F2391" s="562"/>
      <c r="G2391" s="562"/>
      <c r="H2391" s="562"/>
      <c r="I2391" s="562"/>
      <c r="J2391" s="562"/>
    </row>
    <row r="2392" spans="1:10" x14ac:dyDescent="0.25">
      <c r="A2392" s="362"/>
      <c r="B2392" s="609">
        <v>44215</v>
      </c>
      <c r="C2392" s="362" t="s">
        <v>86</v>
      </c>
      <c r="D2392" s="560"/>
      <c r="E2392" s="560"/>
      <c r="F2392" s="560"/>
      <c r="G2392" s="560"/>
      <c r="H2392" s="560"/>
      <c r="I2392" s="560"/>
      <c r="J2392" s="560"/>
    </row>
    <row r="2393" spans="1:10" x14ac:dyDescent="0.25">
      <c r="A2393" s="362"/>
      <c r="B2393" s="609">
        <v>44215</v>
      </c>
      <c r="C2393" s="362" t="s">
        <v>87</v>
      </c>
      <c r="D2393" s="560"/>
      <c r="E2393" s="560"/>
      <c r="F2393" s="560"/>
      <c r="G2393" s="560"/>
      <c r="H2393" s="560"/>
      <c r="I2393" s="560"/>
      <c r="J2393" s="560"/>
    </row>
    <row r="2394" spans="1:10" x14ac:dyDescent="0.25">
      <c r="A2394" s="362"/>
      <c r="B2394" s="609">
        <v>44215</v>
      </c>
      <c r="C2394" s="362" t="s">
        <v>88</v>
      </c>
      <c r="D2394" s="560"/>
      <c r="E2394" s="560"/>
      <c r="F2394" s="560"/>
      <c r="G2394" s="560"/>
      <c r="H2394" s="560"/>
      <c r="I2394" s="560"/>
      <c r="J2394" s="560"/>
    </row>
    <row r="2395" spans="1:10" x14ac:dyDescent="0.25">
      <c r="A2395" s="362"/>
      <c r="B2395" s="609">
        <v>44215</v>
      </c>
      <c r="C2395" s="362" t="s">
        <v>82</v>
      </c>
      <c r="D2395" s="560"/>
      <c r="E2395" s="560"/>
      <c r="F2395" s="560"/>
      <c r="G2395" s="560"/>
      <c r="H2395" s="560"/>
      <c r="I2395" s="560"/>
      <c r="J2395" s="560"/>
    </row>
    <row r="2396" spans="1:10" x14ac:dyDescent="0.25">
      <c r="A2396" s="362"/>
      <c r="B2396" s="609">
        <v>44215</v>
      </c>
      <c r="C2396" s="362" t="s">
        <v>80</v>
      </c>
      <c r="D2396" s="560"/>
      <c r="E2396" s="560"/>
      <c r="F2396" s="560"/>
      <c r="G2396" s="560"/>
      <c r="H2396" s="560"/>
      <c r="I2396" s="560"/>
      <c r="J2396" s="560"/>
    </row>
    <row r="2397" spans="1:10" x14ac:dyDescent="0.25">
      <c r="A2397" s="362"/>
      <c r="B2397" s="609">
        <v>44215</v>
      </c>
      <c r="C2397" s="362" t="s">
        <v>83</v>
      </c>
      <c r="D2397" s="560"/>
      <c r="E2397" s="560"/>
      <c r="F2397" s="560"/>
      <c r="G2397" s="560"/>
      <c r="H2397" s="560"/>
      <c r="I2397" s="560"/>
      <c r="J2397" s="560"/>
    </row>
    <row r="2398" spans="1:10" x14ac:dyDescent="0.25">
      <c r="A2398" s="362"/>
      <c r="B2398" s="609">
        <v>44215</v>
      </c>
      <c r="C2398" s="362" t="s">
        <v>78</v>
      </c>
      <c r="D2398" s="560"/>
      <c r="E2398" s="560"/>
      <c r="F2398" s="560"/>
      <c r="G2398" s="560"/>
      <c r="H2398" s="560"/>
      <c r="I2398" s="560"/>
      <c r="J2398" s="560"/>
    </row>
    <row r="2399" spans="1:10" x14ac:dyDescent="0.25">
      <c r="A2399" s="362"/>
      <c r="B2399" s="609">
        <v>44215</v>
      </c>
      <c r="C2399" s="362" t="s">
        <v>141</v>
      </c>
      <c r="D2399" s="560"/>
      <c r="E2399" s="560"/>
      <c r="F2399" s="560"/>
      <c r="G2399" s="560"/>
      <c r="H2399" s="560"/>
      <c r="I2399" s="560"/>
      <c r="J2399" s="560"/>
    </row>
    <row r="2400" spans="1:10" x14ac:dyDescent="0.25">
      <c r="A2400" s="362"/>
      <c r="B2400" s="609">
        <v>44215</v>
      </c>
      <c r="C2400" s="362" t="s">
        <v>89</v>
      </c>
      <c r="D2400" s="560"/>
      <c r="E2400" s="560"/>
      <c r="F2400" s="560"/>
      <c r="G2400" s="560"/>
      <c r="H2400" s="560"/>
      <c r="I2400" s="560"/>
      <c r="J2400" s="560"/>
    </row>
    <row r="2401" spans="1:10" x14ac:dyDescent="0.25">
      <c r="A2401" s="362"/>
      <c r="B2401" s="609">
        <v>44215</v>
      </c>
      <c r="C2401" s="362" t="s">
        <v>81</v>
      </c>
      <c r="D2401" s="560"/>
      <c r="E2401" s="560"/>
      <c r="F2401" s="560"/>
      <c r="G2401" s="560"/>
      <c r="H2401" s="560"/>
      <c r="I2401" s="560"/>
      <c r="J2401" s="560"/>
    </row>
    <row r="2402" spans="1:10" x14ac:dyDescent="0.25">
      <c r="A2402" s="362"/>
      <c r="B2402" s="609">
        <v>44215</v>
      </c>
      <c r="C2402" s="362" t="s">
        <v>84</v>
      </c>
      <c r="D2402" s="560"/>
      <c r="E2402" s="560"/>
      <c r="F2402" s="560"/>
      <c r="G2402" s="560"/>
      <c r="H2402" s="560"/>
      <c r="I2402" s="560"/>
      <c r="J2402" s="560"/>
    </row>
    <row r="2403" spans="1:10" x14ac:dyDescent="0.25">
      <c r="A2403" s="362"/>
      <c r="B2403" s="609">
        <v>44215</v>
      </c>
      <c r="C2403" s="362" t="s">
        <v>4751</v>
      </c>
      <c r="D2403" s="560"/>
      <c r="E2403" s="560"/>
      <c r="F2403" s="560"/>
      <c r="G2403" s="560"/>
      <c r="H2403" s="560"/>
      <c r="I2403" s="560"/>
      <c r="J2403" s="560"/>
    </row>
    <row r="2404" spans="1:10" x14ac:dyDescent="0.25">
      <c r="A2404" s="362"/>
      <c r="B2404" s="609">
        <v>44215</v>
      </c>
      <c r="C2404" s="362" t="s">
        <v>166</v>
      </c>
      <c r="D2404" s="560"/>
      <c r="E2404" s="560"/>
      <c r="F2404" s="560"/>
      <c r="G2404" s="560"/>
      <c r="H2404" s="560"/>
      <c r="I2404" s="560"/>
      <c r="J2404" s="560"/>
    </row>
    <row r="2405" spans="1:10" x14ac:dyDescent="0.25">
      <c r="A2405" s="362"/>
      <c r="B2405" s="609">
        <v>44215</v>
      </c>
      <c r="C2405" s="362" t="s">
        <v>3435</v>
      </c>
      <c r="D2405" s="560"/>
      <c r="E2405" s="560"/>
      <c r="F2405" s="560"/>
      <c r="G2405" s="560"/>
      <c r="H2405" s="560"/>
      <c r="I2405" s="560"/>
      <c r="J2405" s="560"/>
    </row>
    <row r="2406" spans="1:10" x14ac:dyDescent="0.25">
      <c r="A2406" s="362"/>
      <c r="B2406" s="609">
        <v>44215</v>
      </c>
      <c r="C2406" s="370" t="s">
        <v>85</v>
      </c>
      <c r="D2406" s="560"/>
      <c r="E2406" s="560"/>
      <c r="F2406" s="560"/>
      <c r="G2406" s="560"/>
      <c r="H2406" s="560"/>
      <c r="I2406" s="560"/>
      <c r="J2406" s="560"/>
    </row>
    <row r="2407" spans="1:10" x14ac:dyDescent="0.25">
      <c r="A2407" s="530"/>
      <c r="B2407" s="530"/>
      <c r="C2407" s="530"/>
      <c r="D2407" s="562"/>
      <c r="E2407" s="562"/>
      <c r="F2407" s="562"/>
      <c r="G2407" s="562"/>
      <c r="H2407" s="562"/>
      <c r="I2407" s="562"/>
      <c r="J2407" s="562"/>
    </row>
    <row r="2408" spans="1:10" x14ac:dyDescent="0.25">
      <c r="A2408" s="362"/>
      <c r="B2408" s="609">
        <v>44216</v>
      </c>
      <c r="C2408" s="362" t="s">
        <v>86</v>
      </c>
      <c r="D2408" s="560"/>
      <c r="E2408" s="560"/>
      <c r="F2408" s="560"/>
      <c r="G2408" s="560"/>
      <c r="H2408" s="560"/>
      <c r="I2408" s="560"/>
      <c r="J2408" s="560"/>
    </row>
    <row r="2409" spans="1:10" x14ac:dyDescent="0.25">
      <c r="A2409" s="362"/>
      <c r="B2409" s="609">
        <v>44216</v>
      </c>
      <c r="C2409" s="362" t="s">
        <v>87</v>
      </c>
      <c r="D2409" s="560"/>
      <c r="E2409" s="560"/>
      <c r="F2409" s="560"/>
      <c r="G2409" s="560"/>
      <c r="H2409" s="560"/>
      <c r="I2409" s="560"/>
      <c r="J2409" s="560"/>
    </row>
    <row r="2410" spans="1:10" x14ac:dyDescent="0.25">
      <c r="A2410" s="362"/>
      <c r="B2410" s="609">
        <v>44216</v>
      </c>
      <c r="C2410" s="362" t="s">
        <v>88</v>
      </c>
      <c r="D2410" s="560"/>
      <c r="E2410" s="560"/>
      <c r="F2410" s="560"/>
      <c r="G2410" s="560"/>
      <c r="H2410" s="560"/>
      <c r="I2410" s="560"/>
      <c r="J2410" s="560"/>
    </row>
    <row r="2411" spans="1:10" x14ac:dyDescent="0.25">
      <c r="A2411" s="362"/>
      <c r="B2411" s="609">
        <v>44216</v>
      </c>
      <c r="C2411" s="362" t="s">
        <v>82</v>
      </c>
      <c r="D2411" s="560"/>
      <c r="E2411" s="560"/>
      <c r="F2411" s="560"/>
      <c r="G2411" s="560"/>
      <c r="H2411" s="560"/>
      <c r="I2411" s="560"/>
      <c r="J2411" s="560"/>
    </row>
    <row r="2412" spans="1:10" x14ac:dyDescent="0.25">
      <c r="A2412" s="362"/>
      <c r="B2412" s="609">
        <v>44216</v>
      </c>
      <c r="C2412" s="362" t="s">
        <v>80</v>
      </c>
      <c r="D2412" s="560"/>
      <c r="E2412" s="560"/>
      <c r="F2412" s="560"/>
      <c r="G2412" s="560"/>
      <c r="H2412" s="560"/>
      <c r="I2412" s="560"/>
      <c r="J2412" s="560"/>
    </row>
    <row r="2413" spans="1:10" x14ac:dyDescent="0.25">
      <c r="A2413" s="362"/>
      <c r="B2413" s="609">
        <v>44216</v>
      </c>
      <c r="C2413" s="362" t="s">
        <v>83</v>
      </c>
      <c r="D2413" s="560"/>
      <c r="E2413" s="560"/>
      <c r="F2413" s="560"/>
      <c r="G2413" s="560"/>
      <c r="H2413" s="560"/>
      <c r="I2413" s="560"/>
      <c r="J2413" s="560"/>
    </row>
    <row r="2414" spans="1:10" x14ac:dyDescent="0.25">
      <c r="A2414" s="362"/>
      <c r="B2414" s="609">
        <v>44216</v>
      </c>
      <c r="C2414" s="362" t="s">
        <v>78</v>
      </c>
      <c r="D2414" s="560"/>
      <c r="E2414" s="560"/>
      <c r="F2414" s="560"/>
      <c r="G2414" s="560"/>
      <c r="H2414" s="560"/>
      <c r="I2414" s="560"/>
      <c r="J2414" s="560"/>
    </row>
    <row r="2415" spans="1:10" x14ac:dyDescent="0.25">
      <c r="A2415" s="362"/>
      <c r="B2415" s="609">
        <v>44216</v>
      </c>
      <c r="C2415" s="362" t="s">
        <v>141</v>
      </c>
      <c r="D2415" s="560"/>
      <c r="E2415" s="560"/>
      <c r="F2415" s="560"/>
      <c r="G2415" s="560"/>
      <c r="H2415" s="560"/>
      <c r="I2415" s="560"/>
      <c r="J2415" s="560"/>
    </row>
    <row r="2416" spans="1:10" x14ac:dyDescent="0.25">
      <c r="A2416" s="362"/>
      <c r="B2416" s="609">
        <v>44216</v>
      </c>
      <c r="C2416" s="362" t="s">
        <v>89</v>
      </c>
      <c r="D2416" s="560"/>
      <c r="E2416" s="560"/>
      <c r="F2416" s="560"/>
      <c r="G2416" s="560"/>
      <c r="H2416" s="560"/>
      <c r="I2416" s="560"/>
      <c r="J2416" s="560"/>
    </row>
    <row r="2417" spans="1:10" x14ac:dyDescent="0.25">
      <c r="A2417" s="362"/>
      <c r="B2417" s="609">
        <v>44216</v>
      </c>
      <c r="C2417" s="362" t="s">
        <v>81</v>
      </c>
      <c r="D2417" s="560"/>
      <c r="E2417" s="560"/>
      <c r="F2417" s="560"/>
      <c r="G2417" s="560"/>
      <c r="H2417" s="560"/>
      <c r="I2417" s="560"/>
      <c r="J2417" s="560"/>
    </row>
    <row r="2418" spans="1:10" x14ac:dyDescent="0.25">
      <c r="A2418" s="362"/>
      <c r="B2418" s="609">
        <v>44216</v>
      </c>
      <c r="C2418" s="362" t="s">
        <v>84</v>
      </c>
      <c r="D2418" s="560"/>
      <c r="E2418" s="560"/>
      <c r="F2418" s="560"/>
      <c r="G2418" s="560"/>
      <c r="H2418" s="560"/>
      <c r="I2418" s="560"/>
      <c r="J2418" s="560"/>
    </row>
    <row r="2419" spans="1:10" x14ac:dyDescent="0.25">
      <c r="A2419" s="362"/>
      <c r="B2419" s="609">
        <v>44216</v>
      </c>
      <c r="C2419" s="362" t="s">
        <v>4751</v>
      </c>
      <c r="D2419" s="560"/>
      <c r="E2419" s="560"/>
      <c r="F2419" s="560"/>
      <c r="G2419" s="560"/>
      <c r="H2419" s="560"/>
      <c r="I2419" s="560"/>
      <c r="J2419" s="560"/>
    </row>
    <row r="2420" spans="1:10" x14ac:dyDescent="0.25">
      <c r="A2420" s="362"/>
      <c r="B2420" s="609">
        <v>44216</v>
      </c>
      <c r="C2420" s="362" t="s">
        <v>166</v>
      </c>
      <c r="D2420" s="560"/>
      <c r="E2420" s="560"/>
      <c r="F2420" s="560"/>
      <c r="G2420" s="560"/>
      <c r="H2420" s="560"/>
      <c r="I2420" s="560"/>
      <c r="J2420" s="560"/>
    </row>
    <row r="2421" spans="1:10" x14ac:dyDescent="0.25">
      <c r="A2421" s="362"/>
      <c r="B2421" s="609">
        <v>44216</v>
      </c>
      <c r="C2421" s="362" t="s">
        <v>3435</v>
      </c>
      <c r="D2421" s="560"/>
      <c r="E2421" s="560"/>
      <c r="F2421" s="560"/>
      <c r="G2421" s="560"/>
      <c r="H2421" s="560"/>
      <c r="I2421" s="560"/>
      <c r="J2421" s="560"/>
    </row>
    <row r="2422" spans="1:10" x14ac:dyDescent="0.25">
      <c r="A2422" s="362"/>
      <c r="B2422" s="609">
        <v>44216</v>
      </c>
      <c r="C2422" s="370" t="s">
        <v>85</v>
      </c>
      <c r="D2422" s="560"/>
      <c r="E2422" s="560"/>
      <c r="F2422" s="560"/>
      <c r="G2422" s="560"/>
      <c r="H2422" s="560"/>
      <c r="I2422" s="560"/>
      <c r="J2422" s="560"/>
    </row>
    <row r="2423" spans="1:10" x14ac:dyDescent="0.25">
      <c r="A2423" s="530"/>
      <c r="B2423" s="530"/>
      <c r="C2423" s="530"/>
      <c r="D2423" s="562"/>
      <c r="E2423" s="562"/>
      <c r="F2423" s="562"/>
      <c r="G2423" s="562"/>
      <c r="H2423" s="562"/>
      <c r="I2423" s="562"/>
      <c r="J2423" s="562"/>
    </row>
    <row r="2424" spans="1:10" x14ac:dyDescent="0.25">
      <c r="A2424" s="362"/>
      <c r="B2424" s="609">
        <v>44217</v>
      </c>
      <c r="C2424" s="362" t="s">
        <v>86</v>
      </c>
      <c r="D2424" s="560"/>
      <c r="E2424" s="560"/>
      <c r="F2424" s="560"/>
      <c r="G2424" s="560"/>
      <c r="H2424" s="560"/>
      <c r="I2424" s="560"/>
      <c r="J2424" s="560"/>
    </row>
    <row r="2425" spans="1:10" x14ac:dyDescent="0.25">
      <c r="A2425" s="362"/>
      <c r="B2425" s="609">
        <v>44217</v>
      </c>
      <c r="C2425" s="362" t="s">
        <v>87</v>
      </c>
      <c r="D2425" s="560"/>
      <c r="E2425" s="560"/>
      <c r="F2425" s="560"/>
      <c r="G2425" s="560"/>
      <c r="H2425" s="560"/>
      <c r="I2425" s="560"/>
      <c r="J2425" s="560"/>
    </row>
    <row r="2426" spans="1:10" x14ac:dyDescent="0.25">
      <c r="A2426" s="362"/>
      <c r="B2426" s="609">
        <v>44217</v>
      </c>
      <c r="C2426" s="362" t="s">
        <v>88</v>
      </c>
      <c r="D2426" s="560"/>
      <c r="E2426" s="560"/>
      <c r="F2426" s="560"/>
      <c r="G2426" s="560"/>
      <c r="H2426" s="560"/>
      <c r="I2426" s="560"/>
      <c r="J2426" s="560"/>
    </row>
    <row r="2427" spans="1:10" x14ac:dyDescent="0.25">
      <c r="A2427" s="362"/>
      <c r="B2427" s="609">
        <v>44217</v>
      </c>
      <c r="C2427" s="362" t="s">
        <v>82</v>
      </c>
      <c r="D2427" s="560"/>
      <c r="E2427" s="560"/>
      <c r="F2427" s="560"/>
      <c r="G2427" s="560"/>
      <c r="H2427" s="560"/>
      <c r="I2427" s="560"/>
      <c r="J2427" s="560"/>
    </row>
    <row r="2428" spans="1:10" x14ac:dyDescent="0.25">
      <c r="A2428" s="362"/>
      <c r="B2428" s="609">
        <v>44217</v>
      </c>
      <c r="C2428" s="362" t="s">
        <v>80</v>
      </c>
      <c r="D2428" s="560"/>
      <c r="E2428" s="560"/>
      <c r="F2428" s="560"/>
      <c r="G2428" s="560"/>
      <c r="H2428" s="560"/>
      <c r="I2428" s="560"/>
      <c r="J2428" s="560"/>
    </row>
    <row r="2429" spans="1:10" x14ac:dyDescent="0.25">
      <c r="A2429" s="362"/>
      <c r="B2429" s="609">
        <v>44217</v>
      </c>
      <c r="C2429" s="362" t="s">
        <v>83</v>
      </c>
      <c r="D2429" s="560"/>
      <c r="E2429" s="560"/>
      <c r="F2429" s="560"/>
      <c r="G2429" s="560"/>
      <c r="H2429" s="560"/>
      <c r="I2429" s="560"/>
      <c r="J2429" s="560"/>
    </row>
    <row r="2430" spans="1:10" x14ac:dyDescent="0.25">
      <c r="A2430" s="362"/>
      <c r="B2430" s="609">
        <v>44217</v>
      </c>
      <c r="C2430" s="362" t="s">
        <v>78</v>
      </c>
      <c r="D2430" s="560"/>
      <c r="E2430" s="560"/>
      <c r="F2430" s="560"/>
      <c r="G2430" s="560"/>
      <c r="H2430" s="560"/>
      <c r="I2430" s="560"/>
      <c r="J2430" s="560"/>
    </row>
    <row r="2431" spans="1:10" x14ac:dyDescent="0.25">
      <c r="A2431" s="362"/>
      <c r="B2431" s="609">
        <v>44217</v>
      </c>
      <c r="C2431" s="362" t="s">
        <v>141</v>
      </c>
      <c r="D2431" s="560"/>
      <c r="E2431" s="560"/>
      <c r="F2431" s="560"/>
      <c r="G2431" s="560"/>
      <c r="H2431" s="560"/>
      <c r="I2431" s="560"/>
      <c r="J2431" s="560"/>
    </row>
    <row r="2432" spans="1:10" x14ac:dyDescent="0.25">
      <c r="A2432" s="362"/>
      <c r="B2432" s="609">
        <v>44217</v>
      </c>
      <c r="C2432" s="362" t="s">
        <v>89</v>
      </c>
      <c r="D2432" s="560"/>
      <c r="E2432" s="560"/>
      <c r="F2432" s="560"/>
      <c r="G2432" s="560"/>
      <c r="H2432" s="560"/>
      <c r="I2432" s="560"/>
      <c r="J2432" s="560"/>
    </row>
    <row r="2433" spans="1:10" x14ac:dyDescent="0.25">
      <c r="A2433" s="362"/>
      <c r="B2433" s="609">
        <v>44217</v>
      </c>
      <c r="C2433" s="362" t="s">
        <v>81</v>
      </c>
      <c r="D2433" s="560"/>
      <c r="E2433" s="560"/>
      <c r="F2433" s="560"/>
      <c r="G2433" s="560"/>
      <c r="H2433" s="560"/>
      <c r="I2433" s="560"/>
      <c r="J2433" s="560"/>
    </row>
    <row r="2434" spans="1:10" x14ac:dyDescent="0.25">
      <c r="A2434" s="362"/>
      <c r="B2434" s="609">
        <v>44217</v>
      </c>
      <c r="C2434" s="362" t="s">
        <v>84</v>
      </c>
      <c r="D2434" s="560"/>
      <c r="E2434" s="560"/>
      <c r="F2434" s="560"/>
      <c r="G2434" s="560"/>
      <c r="H2434" s="560"/>
      <c r="I2434" s="560"/>
      <c r="J2434" s="560"/>
    </row>
    <row r="2435" spans="1:10" x14ac:dyDescent="0.25">
      <c r="A2435" s="362"/>
      <c r="B2435" s="609">
        <v>44217</v>
      </c>
      <c r="C2435" s="362" t="s">
        <v>4751</v>
      </c>
      <c r="D2435" s="560"/>
      <c r="E2435" s="560"/>
      <c r="F2435" s="560"/>
      <c r="G2435" s="560"/>
      <c r="H2435" s="560"/>
      <c r="I2435" s="560"/>
      <c r="J2435" s="560"/>
    </row>
    <row r="2436" spans="1:10" x14ac:dyDescent="0.25">
      <c r="A2436" s="362"/>
      <c r="B2436" s="609">
        <v>44217</v>
      </c>
      <c r="C2436" s="362" t="s">
        <v>166</v>
      </c>
      <c r="D2436" s="560"/>
      <c r="E2436" s="560"/>
      <c r="F2436" s="560"/>
      <c r="G2436" s="560"/>
      <c r="H2436" s="560"/>
      <c r="I2436" s="560"/>
      <c r="J2436" s="560"/>
    </row>
    <row r="2437" spans="1:10" x14ac:dyDescent="0.25">
      <c r="A2437" s="362"/>
      <c r="B2437" s="609">
        <v>44217</v>
      </c>
      <c r="C2437" s="362" t="s">
        <v>3435</v>
      </c>
      <c r="D2437" s="560"/>
      <c r="E2437" s="560"/>
      <c r="F2437" s="560"/>
      <c r="G2437" s="560"/>
      <c r="H2437" s="560"/>
      <c r="I2437" s="560"/>
      <c r="J2437" s="560"/>
    </row>
    <row r="2438" spans="1:10" x14ac:dyDescent="0.25">
      <c r="A2438" s="362"/>
      <c r="B2438" s="609">
        <v>44217</v>
      </c>
      <c r="C2438" s="370" t="s">
        <v>85</v>
      </c>
      <c r="D2438" s="560"/>
      <c r="E2438" s="560"/>
      <c r="F2438" s="560"/>
      <c r="G2438" s="560"/>
      <c r="H2438" s="560"/>
      <c r="I2438" s="560"/>
      <c r="J2438" s="560"/>
    </row>
    <row r="2439" spans="1:10" x14ac:dyDescent="0.25">
      <c r="A2439" s="530"/>
      <c r="B2439" s="530"/>
      <c r="C2439" s="530"/>
      <c r="D2439" s="562"/>
      <c r="E2439" s="562"/>
      <c r="F2439" s="562"/>
      <c r="G2439" s="562"/>
      <c r="H2439" s="562"/>
      <c r="I2439" s="562"/>
      <c r="J2439" s="562"/>
    </row>
    <row r="2440" spans="1:10" x14ac:dyDescent="0.25">
      <c r="A2440" s="362"/>
      <c r="B2440" s="609">
        <v>44218</v>
      </c>
      <c r="C2440" s="362" t="s">
        <v>86</v>
      </c>
      <c r="D2440" s="560"/>
      <c r="E2440" s="560"/>
      <c r="F2440" s="560"/>
      <c r="G2440" s="560"/>
      <c r="H2440" s="560"/>
      <c r="I2440" s="560"/>
      <c r="J2440" s="560"/>
    </row>
    <row r="2441" spans="1:10" x14ac:dyDescent="0.25">
      <c r="A2441" s="362"/>
      <c r="B2441" s="609">
        <v>44218</v>
      </c>
      <c r="C2441" s="362" t="s">
        <v>87</v>
      </c>
      <c r="D2441" s="560"/>
      <c r="E2441" s="560"/>
      <c r="F2441" s="560"/>
      <c r="G2441" s="560"/>
      <c r="H2441" s="560"/>
      <c r="I2441" s="560"/>
      <c r="J2441" s="560"/>
    </row>
    <row r="2442" spans="1:10" x14ac:dyDescent="0.25">
      <c r="A2442" s="362"/>
      <c r="B2442" s="609">
        <v>44218</v>
      </c>
      <c r="C2442" s="362" t="s">
        <v>88</v>
      </c>
      <c r="D2442" s="560"/>
      <c r="E2442" s="560"/>
      <c r="F2442" s="560"/>
      <c r="G2442" s="560"/>
      <c r="H2442" s="560"/>
      <c r="I2442" s="560"/>
      <c r="J2442" s="560"/>
    </row>
    <row r="2443" spans="1:10" x14ac:dyDescent="0.25">
      <c r="A2443" s="362"/>
      <c r="B2443" s="609">
        <v>44218</v>
      </c>
      <c r="C2443" s="362" t="s">
        <v>82</v>
      </c>
      <c r="D2443" s="560"/>
      <c r="E2443" s="560"/>
      <c r="F2443" s="560"/>
      <c r="G2443" s="560"/>
      <c r="H2443" s="560"/>
      <c r="I2443" s="560"/>
      <c r="J2443" s="560"/>
    </row>
    <row r="2444" spans="1:10" x14ac:dyDescent="0.25">
      <c r="A2444" s="362"/>
      <c r="B2444" s="609">
        <v>44218</v>
      </c>
      <c r="C2444" s="362" t="s">
        <v>80</v>
      </c>
      <c r="D2444" s="560"/>
      <c r="E2444" s="560"/>
      <c r="F2444" s="560"/>
      <c r="G2444" s="560"/>
      <c r="H2444" s="560"/>
      <c r="I2444" s="560"/>
      <c r="J2444" s="560"/>
    </row>
    <row r="2445" spans="1:10" x14ac:dyDescent="0.25">
      <c r="A2445" s="362"/>
      <c r="B2445" s="609">
        <v>44218</v>
      </c>
      <c r="C2445" s="362" t="s">
        <v>83</v>
      </c>
      <c r="D2445" s="560"/>
      <c r="E2445" s="560"/>
      <c r="F2445" s="560"/>
      <c r="G2445" s="560"/>
      <c r="H2445" s="560"/>
      <c r="I2445" s="560"/>
      <c r="J2445" s="560"/>
    </row>
    <row r="2446" spans="1:10" x14ac:dyDescent="0.25">
      <c r="A2446" s="362"/>
      <c r="B2446" s="609">
        <v>44218</v>
      </c>
      <c r="C2446" s="362" t="s">
        <v>78</v>
      </c>
      <c r="D2446" s="560"/>
      <c r="E2446" s="560"/>
      <c r="F2446" s="560"/>
      <c r="G2446" s="560"/>
      <c r="H2446" s="560"/>
      <c r="I2446" s="560"/>
      <c r="J2446" s="560"/>
    </row>
    <row r="2447" spans="1:10" x14ac:dyDescent="0.25">
      <c r="A2447" s="362"/>
      <c r="B2447" s="609">
        <v>44218</v>
      </c>
      <c r="C2447" s="362" t="s">
        <v>141</v>
      </c>
      <c r="D2447" s="560"/>
      <c r="E2447" s="560"/>
      <c r="F2447" s="560"/>
      <c r="G2447" s="560"/>
      <c r="H2447" s="560"/>
      <c r="I2447" s="560"/>
      <c r="J2447" s="560"/>
    </row>
    <row r="2448" spans="1:10" x14ac:dyDescent="0.25">
      <c r="A2448" s="362"/>
      <c r="B2448" s="609">
        <v>44218</v>
      </c>
      <c r="C2448" s="362" t="s">
        <v>89</v>
      </c>
      <c r="D2448" s="560"/>
      <c r="E2448" s="560"/>
      <c r="F2448" s="560"/>
      <c r="G2448" s="560"/>
      <c r="H2448" s="560"/>
      <c r="I2448" s="560"/>
      <c r="J2448" s="560"/>
    </row>
    <row r="2449" spans="1:10" x14ac:dyDescent="0.25">
      <c r="A2449" s="362"/>
      <c r="B2449" s="609">
        <v>44218</v>
      </c>
      <c r="C2449" s="362" t="s">
        <v>81</v>
      </c>
      <c r="D2449" s="560"/>
      <c r="E2449" s="560"/>
      <c r="F2449" s="560"/>
      <c r="G2449" s="560"/>
      <c r="H2449" s="560"/>
      <c r="I2449" s="560"/>
      <c r="J2449" s="560"/>
    </row>
    <row r="2450" spans="1:10" x14ac:dyDescent="0.25">
      <c r="A2450" s="362"/>
      <c r="B2450" s="609">
        <v>44218</v>
      </c>
      <c r="C2450" s="362" t="s">
        <v>84</v>
      </c>
      <c r="D2450" s="560"/>
      <c r="E2450" s="560"/>
      <c r="F2450" s="560"/>
      <c r="G2450" s="560"/>
      <c r="H2450" s="560"/>
      <c r="I2450" s="560"/>
      <c r="J2450" s="560"/>
    </row>
    <row r="2451" spans="1:10" x14ac:dyDescent="0.25">
      <c r="A2451" s="362"/>
      <c r="B2451" s="609">
        <v>44218</v>
      </c>
      <c r="C2451" s="362" t="s">
        <v>4751</v>
      </c>
      <c r="D2451" s="560"/>
      <c r="E2451" s="560"/>
      <c r="F2451" s="560"/>
      <c r="G2451" s="560"/>
      <c r="H2451" s="560"/>
      <c r="I2451" s="560"/>
      <c r="J2451" s="560"/>
    </row>
    <row r="2452" spans="1:10" x14ac:dyDescent="0.25">
      <c r="A2452" s="362"/>
      <c r="B2452" s="609">
        <v>44218</v>
      </c>
      <c r="C2452" s="362" t="s">
        <v>166</v>
      </c>
      <c r="D2452" s="560"/>
      <c r="E2452" s="560"/>
      <c r="F2452" s="560"/>
      <c r="G2452" s="560"/>
      <c r="H2452" s="560"/>
      <c r="I2452" s="560"/>
      <c r="J2452" s="560"/>
    </row>
    <row r="2453" spans="1:10" x14ac:dyDescent="0.25">
      <c r="A2453" s="362"/>
      <c r="B2453" s="609">
        <v>44218</v>
      </c>
      <c r="C2453" s="362" t="s">
        <v>3435</v>
      </c>
      <c r="D2453" s="560"/>
      <c r="E2453" s="560"/>
      <c r="F2453" s="560"/>
      <c r="G2453" s="560"/>
      <c r="H2453" s="560"/>
      <c r="I2453" s="560"/>
      <c r="J2453" s="560"/>
    </row>
    <row r="2454" spans="1:10" x14ac:dyDescent="0.25">
      <c r="A2454" s="362"/>
      <c r="B2454" s="609">
        <v>44218</v>
      </c>
      <c r="C2454" s="370" t="s">
        <v>85</v>
      </c>
      <c r="D2454" s="560"/>
      <c r="E2454" s="560"/>
      <c r="F2454" s="560"/>
      <c r="G2454" s="560"/>
      <c r="H2454" s="560"/>
      <c r="I2454" s="560"/>
      <c r="J2454" s="560"/>
    </row>
    <row r="2455" spans="1:10" x14ac:dyDescent="0.25">
      <c r="A2455" s="530"/>
      <c r="B2455" s="530"/>
      <c r="C2455" s="530"/>
      <c r="D2455" s="562"/>
      <c r="E2455" s="562"/>
      <c r="F2455" s="562"/>
      <c r="G2455" s="562"/>
      <c r="H2455" s="562"/>
      <c r="I2455" s="562"/>
      <c r="J2455" s="562"/>
    </row>
    <row r="2456" spans="1:10" x14ac:dyDescent="0.25">
      <c r="A2456" s="362"/>
      <c r="B2456" s="609">
        <v>44219</v>
      </c>
      <c r="C2456" s="362" t="s">
        <v>86</v>
      </c>
      <c r="D2456" s="560"/>
      <c r="E2456" s="560"/>
      <c r="F2456" s="560"/>
      <c r="G2456" s="560"/>
      <c r="H2456" s="560"/>
      <c r="I2456" s="560"/>
      <c r="J2456" s="560"/>
    </row>
    <row r="2457" spans="1:10" x14ac:dyDescent="0.25">
      <c r="A2457" s="362"/>
      <c r="B2457" s="609">
        <v>44219</v>
      </c>
      <c r="C2457" s="362" t="s">
        <v>87</v>
      </c>
      <c r="D2457" s="560"/>
      <c r="E2457" s="560"/>
      <c r="F2457" s="560"/>
      <c r="G2457" s="560"/>
      <c r="H2457" s="560"/>
      <c r="I2457" s="560"/>
      <c r="J2457" s="560"/>
    </row>
    <row r="2458" spans="1:10" x14ac:dyDescent="0.25">
      <c r="A2458" s="362"/>
      <c r="B2458" s="609">
        <v>44219</v>
      </c>
      <c r="C2458" s="362" t="s">
        <v>88</v>
      </c>
      <c r="D2458" s="560"/>
      <c r="E2458" s="560"/>
      <c r="F2458" s="560"/>
      <c r="G2458" s="560"/>
      <c r="H2458" s="560"/>
      <c r="I2458" s="560"/>
      <c r="J2458" s="560"/>
    </row>
    <row r="2459" spans="1:10" x14ac:dyDescent="0.25">
      <c r="A2459" s="362"/>
      <c r="B2459" s="609">
        <v>44219</v>
      </c>
      <c r="C2459" s="362" t="s">
        <v>82</v>
      </c>
      <c r="D2459" s="560"/>
      <c r="E2459" s="560"/>
      <c r="F2459" s="560"/>
      <c r="G2459" s="560"/>
      <c r="H2459" s="560"/>
      <c r="I2459" s="560"/>
      <c r="J2459" s="560"/>
    </row>
    <row r="2460" spans="1:10" x14ac:dyDescent="0.25">
      <c r="A2460" s="362"/>
      <c r="B2460" s="609">
        <v>44219</v>
      </c>
      <c r="C2460" s="362" t="s">
        <v>80</v>
      </c>
      <c r="D2460" s="560"/>
      <c r="E2460" s="560"/>
      <c r="F2460" s="560"/>
      <c r="G2460" s="560"/>
      <c r="H2460" s="560"/>
      <c r="I2460" s="560"/>
      <c r="J2460" s="560"/>
    </row>
    <row r="2461" spans="1:10" x14ac:dyDescent="0.25">
      <c r="A2461" s="362"/>
      <c r="B2461" s="609">
        <v>44219</v>
      </c>
      <c r="C2461" s="362" t="s">
        <v>83</v>
      </c>
      <c r="D2461" s="560"/>
      <c r="E2461" s="560"/>
      <c r="F2461" s="560"/>
      <c r="G2461" s="560"/>
      <c r="H2461" s="560"/>
      <c r="I2461" s="560"/>
      <c r="J2461" s="560"/>
    </row>
    <row r="2462" spans="1:10" x14ac:dyDescent="0.25">
      <c r="A2462" s="362"/>
      <c r="B2462" s="609">
        <v>44219</v>
      </c>
      <c r="C2462" s="362" t="s">
        <v>78</v>
      </c>
      <c r="D2462" s="560"/>
      <c r="E2462" s="560"/>
      <c r="F2462" s="560"/>
      <c r="G2462" s="560"/>
      <c r="H2462" s="560"/>
      <c r="I2462" s="560"/>
      <c r="J2462" s="560"/>
    </row>
    <row r="2463" spans="1:10" x14ac:dyDescent="0.25">
      <c r="A2463" s="362"/>
      <c r="B2463" s="609">
        <v>44219</v>
      </c>
      <c r="C2463" s="362" t="s">
        <v>141</v>
      </c>
      <c r="D2463" s="560"/>
      <c r="E2463" s="560"/>
      <c r="F2463" s="560"/>
      <c r="G2463" s="560"/>
      <c r="H2463" s="560"/>
      <c r="I2463" s="560"/>
      <c r="J2463" s="560"/>
    </row>
    <row r="2464" spans="1:10" x14ac:dyDescent="0.25">
      <c r="A2464" s="362"/>
      <c r="B2464" s="609">
        <v>44219</v>
      </c>
      <c r="C2464" s="362" t="s">
        <v>89</v>
      </c>
      <c r="D2464" s="560"/>
      <c r="E2464" s="560"/>
      <c r="F2464" s="560"/>
      <c r="G2464" s="560"/>
      <c r="H2464" s="560"/>
      <c r="I2464" s="560"/>
      <c r="J2464" s="560"/>
    </row>
    <row r="2465" spans="1:10" x14ac:dyDescent="0.25">
      <c r="A2465" s="362"/>
      <c r="B2465" s="609">
        <v>44219</v>
      </c>
      <c r="C2465" s="362" t="s">
        <v>81</v>
      </c>
      <c r="D2465" s="560"/>
      <c r="E2465" s="560"/>
      <c r="F2465" s="560"/>
      <c r="G2465" s="560"/>
      <c r="H2465" s="560"/>
      <c r="I2465" s="560"/>
      <c r="J2465" s="560"/>
    </row>
    <row r="2466" spans="1:10" x14ac:dyDescent="0.25">
      <c r="A2466" s="362"/>
      <c r="B2466" s="609">
        <v>44219</v>
      </c>
      <c r="C2466" s="362" t="s">
        <v>84</v>
      </c>
      <c r="D2466" s="560"/>
      <c r="E2466" s="560"/>
      <c r="F2466" s="560"/>
      <c r="G2466" s="560"/>
      <c r="H2466" s="560"/>
      <c r="I2466" s="560"/>
      <c r="J2466" s="560"/>
    </row>
    <row r="2467" spans="1:10" x14ac:dyDescent="0.25">
      <c r="A2467" s="362"/>
      <c r="B2467" s="609">
        <v>44219</v>
      </c>
      <c r="C2467" s="362" t="s">
        <v>4751</v>
      </c>
      <c r="D2467" s="560"/>
      <c r="E2467" s="560"/>
      <c r="F2467" s="560"/>
      <c r="G2467" s="560"/>
      <c r="H2467" s="560"/>
      <c r="I2467" s="560"/>
      <c r="J2467" s="560"/>
    </row>
    <row r="2468" spans="1:10" x14ac:dyDescent="0.25">
      <c r="A2468" s="362"/>
      <c r="B2468" s="609">
        <v>44219</v>
      </c>
      <c r="C2468" s="362" t="s">
        <v>166</v>
      </c>
      <c r="D2468" s="560"/>
      <c r="E2468" s="560"/>
      <c r="F2468" s="560"/>
      <c r="G2468" s="560"/>
      <c r="H2468" s="560"/>
      <c r="I2468" s="560"/>
      <c r="J2468" s="560"/>
    </row>
    <row r="2469" spans="1:10" x14ac:dyDescent="0.25">
      <c r="A2469" s="362"/>
      <c r="B2469" s="609">
        <v>44219</v>
      </c>
      <c r="C2469" s="362" t="s">
        <v>3435</v>
      </c>
      <c r="D2469" s="560"/>
      <c r="E2469" s="560"/>
      <c r="F2469" s="560"/>
      <c r="G2469" s="560"/>
      <c r="H2469" s="560"/>
      <c r="I2469" s="560"/>
      <c r="J2469" s="560"/>
    </row>
    <row r="2470" spans="1:10" x14ac:dyDescent="0.25">
      <c r="A2470" s="362"/>
      <c r="B2470" s="609">
        <v>44219</v>
      </c>
      <c r="C2470" s="370" t="s">
        <v>85</v>
      </c>
      <c r="D2470" s="560"/>
      <c r="E2470" s="560"/>
      <c r="F2470" s="560"/>
      <c r="G2470" s="560"/>
      <c r="H2470" s="560"/>
      <c r="I2470" s="560"/>
      <c r="J2470" s="560"/>
    </row>
    <row r="2471" spans="1:10" x14ac:dyDescent="0.25">
      <c r="A2471" s="530"/>
      <c r="B2471" s="530"/>
      <c r="C2471" s="530"/>
      <c r="D2471" s="562"/>
      <c r="E2471" s="562"/>
      <c r="F2471" s="562"/>
      <c r="G2471" s="562"/>
      <c r="H2471" s="562"/>
      <c r="I2471" s="562"/>
      <c r="J2471" s="562"/>
    </row>
    <row r="2472" spans="1:10" x14ac:dyDescent="0.25">
      <c r="A2472" s="362"/>
      <c r="B2472" s="609">
        <v>44221</v>
      </c>
      <c r="C2472" s="362" t="s">
        <v>86</v>
      </c>
      <c r="D2472" s="560"/>
      <c r="E2472" s="560"/>
      <c r="F2472" s="560"/>
      <c r="G2472" s="560"/>
      <c r="H2472" s="560"/>
      <c r="I2472" s="560"/>
      <c r="J2472" s="560"/>
    </row>
    <row r="2473" spans="1:10" x14ac:dyDescent="0.25">
      <c r="A2473" s="362"/>
      <c r="B2473" s="609">
        <v>44221</v>
      </c>
      <c r="C2473" s="362" t="s">
        <v>87</v>
      </c>
      <c r="D2473" s="560"/>
      <c r="E2473" s="560"/>
      <c r="F2473" s="560"/>
      <c r="G2473" s="560"/>
      <c r="H2473" s="560"/>
      <c r="I2473" s="560"/>
      <c r="J2473" s="560"/>
    </row>
    <row r="2474" spans="1:10" x14ac:dyDescent="0.25">
      <c r="A2474" s="362"/>
      <c r="B2474" s="609">
        <v>44221</v>
      </c>
      <c r="C2474" s="362" t="s">
        <v>88</v>
      </c>
      <c r="D2474" s="560"/>
      <c r="E2474" s="560"/>
      <c r="F2474" s="560"/>
      <c r="G2474" s="560"/>
      <c r="H2474" s="560"/>
      <c r="I2474" s="560"/>
      <c r="J2474" s="560"/>
    </row>
    <row r="2475" spans="1:10" x14ac:dyDescent="0.25">
      <c r="A2475" s="362"/>
      <c r="B2475" s="609">
        <v>44221</v>
      </c>
      <c r="C2475" s="362" t="s">
        <v>82</v>
      </c>
      <c r="D2475" s="560"/>
      <c r="E2475" s="560"/>
      <c r="F2475" s="560"/>
      <c r="G2475" s="560"/>
      <c r="H2475" s="560"/>
      <c r="I2475" s="560"/>
      <c r="J2475" s="560"/>
    </row>
    <row r="2476" spans="1:10" x14ac:dyDescent="0.25">
      <c r="A2476" s="362"/>
      <c r="B2476" s="609">
        <v>44221</v>
      </c>
      <c r="C2476" s="362" t="s">
        <v>80</v>
      </c>
      <c r="D2476" s="560"/>
      <c r="E2476" s="560"/>
      <c r="F2476" s="560"/>
      <c r="G2476" s="560"/>
      <c r="H2476" s="560"/>
      <c r="I2476" s="560"/>
      <c r="J2476" s="560"/>
    </row>
    <row r="2477" spans="1:10" x14ac:dyDescent="0.25">
      <c r="A2477" s="362"/>
      <c r="B2477" s="609">
        <v>44221</v>
      </c>
      <c r="C2477" s="362" t="s">
        <v>83</v>
      </c>
      <c r="D2477" s="560"/>
      <c r="E2477" s="560"/>
      <c r="F2477" s="560"/>
      <c r="G2477" s="560"/>
      <c r="H2477" s="560"/>
      <c r="I2477" s="560"/>
      <c r="J2477" s="560"/>
    </row>
    <row r="2478" spans="1:10" x14ac:dyDescent="0.25">
      <c r="A2478" s="362"/>
      <c r="B2478" s="609">
        <v>44221</v>
      </c>
      <c r="C2478" s="362" t="s">
        <v>78</v>
      </c>
      <c r="D2478" s="560"/>
      <c r="E2478" s="560"/>
      <c r="F2478" s="560"/>
      <c r="G2478" s="560"/>
      <c r="H2478" s="560"/>
      <c r="I2478" s="560"/>
      <c r="J2478" s="560"/>
    </row>
    <row r="2479" spans="1:10" x14ac:dyDescent="0.25">
      <c r="A2479" s="362"/>
      <c r="B2479" s="609">
        <v>44221</v>
      </c>
      <c r="C2479" s="362" t="s">
        <v>141</v>
      </c>
      <c r="D2479" s="560"/>
      <c r="E2479" s="560"/>
      <c r="F2479" s="560"/>
      <c r="G2479" s="560"/>
      <c r="H2479" s="560"/>
      <c r="I2479" s="560"/>
      <c r="J2479" s="560"/>
    </row>
    <row r="2480" spans="1:10" x14ac:dyDescent="0.25">
      <c r="A2480" s="362"/>
      <c r="B2480" s="609">
        <v>44221</v>
      </c>
      <c r="C2480" s="362" t="s">
        <v>89</v>
      </c>
      <c r="D2480" s="560"/>
      <c r="E2480" s="560"/>
      <c r="F2480" s="560"/>
      <c r="G2480" s="560"/>
      <c r="H2480" s="560"/>
      <c r="I2480" s="560"/>
      <c r="J2480" s="560"/>
    </row>
    <row r="2481" spans="1:10" x14ac:dyDescent="0.25">
      <c r="A2481" s="362"/>
      <c r="B2481" s="609">
        <v>44221</v>
      </c>
      <c r="C2481" s="362" t="s">
        <v>81</v>
      </c>
      <c r="D2481" s="560"/>
      <c r="E2481" s="560"/>
      <c r="F2481" s="560"/>
      <c r="G2481" s="560"/>
      <c r="H2481" s="560"/>
      <c r="I2481" s="560"/>
      <c r="J2481" s="560"/>
    </row>
    <row r="2482" spans="1:10" x14ac:dyDescent="0.25">
      <c r="A2482" s="362"/>
      <c r="B2482" s="609">
        <v>44221</v>
      </c>
      <c r="C2482" s="362" t="s">
        <v>84</v>
      </c>
      <c r="D2482" s="560"/>
      <c r="E2482" s="560"/>
      <c r="F2482" s="560"/>
      <c r="G2482" s="560"/>
      <c r="H2482" s="560"/>
      <c r="I2482" s="560"/>
      <c r="J2482" s="560"/>
    </row>
    <row r="2483" spans="1:10" x14ac:dyDescent="0.25">
      <c r="A2483" s="362"/>
      <c r="B2483" s="609">
        <v>44221</v>
      </c>
      <c r="C2483" s="362" t="s">
        <v>4751</v>
      </c>
      <c r="D2483" s="560"/>
      <c r="E2483" s="560"/>
      <c r="F2483" s="560"/>
      <c r="G2483" s="560"/>
      <c r="H2483" s="560"/>
      <c r="I2483" s="560"/>
      <c r="J2483" s="560"/>
    </row>
    <row r="2484" spans="1:10" x14ac:dyDescent="0.25">
      <c r="A2484" s="362"/>
      <c r="B2484" s="609">
        <v>44221</v>
      </c>
      <c r="C2484" s="362" t="s">
        <v>166</v>
      </c>
      <c r="D2484" s="560"/>
      <c r="E2484" s="560"/>
      <c r="F2484" s="560"/>
      <c r="G2484" s="560"/>
      <c r="H2484" s="560"/>
      <c r="I2484" s="560"/>
      <c r="J2484" s="560"/>
    </row>
    <row r="2485" spans="1:10" x14ac:dyDescent="0.25">
      <c r="A2485" s="362"/>
      <c r="B2485" s="609">
        <v>44221</v>
      </c>
      <c r="C2485" s="362" t="s">
        <v>3435</v>
      </c>
      <c r="D2485" s="560"/>
      <c r="E2485" s="560"/>
      <c r="F2485" s="560"/>
      <c r="G2485" s="560"/>
      <c r="H2485" s="560"/>
      <c r="I2485" s="560"/>
      <c r="J2485" s="560"/>
    </row>
    <row r="2486" spans="1:10" x14ac:dyDescent="0.25">
      <c r="A2486" s="362"/>
      <c r="B2486" s="609">
        <v>44221</v>
      </c>
      <c r="C2486" s="370" t="s">
        <v>85</v>
      </c>
      <c r="D2486" s="560"/>
      <c r="E2486" s="560"/>
      <c r="F2486" s="560"/>
      <c r="G2486" s="560"/>
      <c r="H2486" s="560"/>
      <c r="I2486" s="560"/>
      <c r="J2486" s="560"/>
    </row>
    <row r="2487" spans="1:10" x14ac:dyDescent="0.25">
      <c r="A2487" s="530"/>
      <c r="B2487" s="530"/>
      <c r="C2487" s="530"/>
      <c r="D2487" s="562"/>
      <c r="E2487" s="562"/>
      <c r="F2487" s="562"/>
      <c r="G2487" s="562"/>
      <c r="H2487" s="562"/>
      <c r="I2487" s="562"/>
      <c r="J2487" s="562"/>
    </row>
    <row r="2488" spans="1:10" x14ac:dyDescent="0.25">
      <c r="A2488" s="362"/>
      <c r="B2488" s="609">
        <v>44222</v>
      </c>
      <c r="C2488" s="362" t="s">
        <v>86</v>
      </c>
      <c r="D2488" s="560"/>
      <c r="E2488" s="560"/>
      <c r="F2488" s="560"/>
      <c r="G2488" s="560"/>
      <c r="H2488" s="560"/>
      <c r="I2488" s="560"/>
      <c r="J2488" s="560"/>
    </row>
    <row r="2489" spans="1:10" x14ac:dyDescent="0.25">
      <c r="A2489" s="362"/>
      <c r="B2489" s="609">
        <v>44222</v>
      </c>
      <c r="C2489" s="362" t="s">
        <v>87</v>
      </c>
      <c r="D2489" s="560"/>
      <c r="E2489" s="560"/>
      <c r="F2489" s="560"/>
      <c r="G2489" s="560"/>
      <c r="H2489" s="560"/>
      <c r="I2489" s="560"/>
      <c r="J2489" s="560"/>
    </row>
    <row r="2490" spans="1:10" x14ac:dyDescent="0.25">
      <c r="A2490" s="362"/>
      <c r="B2490" s="609">
        <v>44222</v>
      </c>
      <c r="C2490" s="362" t="s">
        <v>88</v>
      </c>
      <c r="D2490" s="560"/>
      <c r="E2490" s="560"/>
      <c r="F2490" s="560"/>
      <c r="G2490" s="560"/>
      <c r="H2490" s="560"/>
      <c r="I2490" s="560"/>
      <c r="J2490" s="560"/>
    </row>
    <row r="2491" spans="1:10" x14ac:dyDescent="0.25">
      <c r="A2491" s="362"/>
      <c r="B2491" s="609">
        <v>44222</v>
      </c>
      <c r="C2491" s="362" t="s">
        <v>82</v>
      </c>
      <c r="D2491" s="560"/>
      <c r="E2491" s="560"/>
      <c r="F2491" s="560"/>
      <c r="G2491" s="560"/>
      <c r="H2491" s="560"/>
      <c r="I2491" s="560"/>
      <c r="J2491" s="560"/>
    </row>
    <row r="2492" spans="1:10" x14ac:dyDescent="0.25">
      <c r="A2492" s="362"/>
      <c r="B2492" s="609">
        <v>44222</v>
      </c>
      <c r="C2492" s="362" t="s">
        <v>80</v>
      </c>
      <c r="D2492" s="560"/>
      <c r="E2492" s="560"/>
      <c r="F2492" s="560"/>
      <c r="G2492" s="560"/>
      <c r="H2492" s="560"/>
      <c r="I2492" s="560"/>
      <c r="J2492" s="560"/>
    </row>
    <row r="2493" spans="1:10" x14ac:dyDescent="0.25">
      <c r="A2493" s="362"/>
      <c r="B2493" s="609">
        <v>44222</v>
      </c>
      <c r="C2493" s="362" t="s">
        <v>83</v>
      </c>
      <c r="D2493" s="560"/>
      <c r="E2493" s="560"/>
      <c r="F2493" s="560"/>
      <c r="G2493" s="560"/>
      <c r="H2493" s="560"/>
      <c r="I2493" s="560"/>
      <c r="J2493" s="560"/>
    </row>
    <row r="2494" spans="1:10" x14ac:dyDescent="0.25">
      <c r="A2494" s="362"/>
      <c r="B2494" s="609">
        <v>44222</v>
      </c>
      <c r="C2494" s="362" t="s">
        <v>78</v>
      </c>
      <c r="D2494" s="560"/>
      <c r="E2494" s="560"/>
      <c r="F2494" s="560"/>
      <c r="G2494" s="560"/>
      <c r="H2494" s="560"/>
      <c r="I2494" s="560"/>
      <c r="J2494" s="560"/>
    </row>
    <row r="2495" spans="1:10" x14ac:dyDescent="0.25">
      <c r="A2495" s="362"/>
      <c r="B2495" s="609">
        <v>44222</v>
      </c>
      <c r="C2495" s="362" t="s">
        <v>141</v>
      </c>
      <c r="D2495" s="560"/>
      <c r="E2495" s="560"/>
      <c r="F2495" s="560"/>
      <c r="G2495" s="560"/>
      <c r="H2495" s="560"/>
      <c r="I2495" s="560"/>
      <c r="J2495" s="560"/>
    </row>
    <row r="2496" spans="1:10" x14ac:dyDescent="0.25">
      <c r="A2496" s="362"/>
      <c r="B2496" s="609">
        <v>44222</v>
      </c>
      <c r="C2496" s="362" t="s">
        <v>89</v>
      </c>
      <c r="D2496" s="560"/>
      <c r="E2496" s="560"/>
      <c r="F2496" s="560"/>
      <c r="G2496" s="560"/>
      <c r="H2496" s="560"/>
      <c r="I2496" s="560"/>
      <c r="J2496" s="560"/>
    </row>
    <row r="2497" spans="1:10" x14ac:dyDescent="0.25">
      <c r="A2497" s="362"/>
      <c r="B2497" s="609">
        <v>44222</v>
      </c>
      <c r="C2497" s="362" t="s">
        <v>81</v>
      </c>
      <c r="D2497" s="560"/>
      <c r="E2497" s="560"/>
      <c r="F2497" s="560"/>
      <c r="G2497" s="560"/>
      <c r="H2497" s="560"/>
      <c r="I2497" s="560"/>
      <c r="J2497" s="560"/>
    </row>
    <row r="2498" spans="1:10" x14ac:dyDescent="0.25">
      <c r="A2498" s="362"/>
      <c r="B2498" s="609">
        <v>44222</v>
      </c>
      <c r="C2498" s="362" t="s">
        <v>84</v>
      </c>
      <c r="D2498" s="560"/>
      <c r="E2498" s="560"/>
      <c r="F2498" s="560"/>
      <c r="G2498" s="560"/>
      <c r="H2498" s="560"/>
      <c r="I2498" s="560"/>
      <c r="J2498" s="560"/>
    </row>
    <row r="2499" spans="1:10" x14ac:dyDescent="0.25">
      <c r="A2499" s="362"/>
      <c r="B2499" s="609">
        <v>44222</v>
      </c>
      <c r="C2499" s="362" t="s">
        <v>4751</v>
      </c>
      <c r="D2499" s="560"/>
      <c r="E2499" s="560"/>
      <c r="F2499" s="560"/>
      <c r="G2499" s="560"/>
      <c r="H2499" s="560"/>
      <c r="I2499" s="560"/>
      <c r="J2499" s="560"/>
    </row>
    <row r="2500" spans="1:10" x14ac:dyDescent="0.25">
      <c r="A2500" s="362"/>
      <c r="B2500" s="609">
        <v>44222</v>
      </c>
      <c r="C2500" s="362" t="s">
        <v>166</v>
      </c>
      <c r="D2500" s="560"/>
      <c r="E2500" s="560"/>
      <c r="F2500" s="560"/>
      <c r="G2500" s="560"/>
      <c r="H2500" s="560"/>
      <c r="I2500" s="560"/>
      <c r="J2500" s="560"/>
    </row>
    <row r="2501" spans="1:10" x14ac:dyDescent="0.25">
      <c r="A2501" s="362"/>
      <c r="B2501" s="609">
        <v>44222</v>
      </c>
      <c r="C2501" s="362" t="s">
        <v>3435</v>
      </c>
      <c r="D2501" s="560"/>
      <c r="E2501" s="560"/>
      <c r="F2501" s="560"/>
      <c r="G2501" s="560"/>
      <c r="H2501" s="560"/>
      <c r="I2501" s="560"/>
      <c r="J2501" s="560"/>
    </row>
    <row r="2502" spans="1:10" x14ac:dyDescent="0.25">
      <c r="A2502" s="362"/>
      <c r="B2502" s="609">
        <v>44222</v>
      </c>
      <c r="C2502" s="370" t="s">
        <v>85</v>
      </c>
      <c r="D2502" s="560"/>
      <c r="E2502" s="560"/>
      <c r="F2502" s="560"/>
      <c r="G2502" s="560"/>
      <c r="H2502" s="560"/>
      <c r="I2502" s="560"/>
      <c r="J2502" s="560"/>
    </row>
    <row r="2503" spans="1:10" x14ac:dyDescent="0.25">
      <c r="A2503" s="530"/>
      <c r="B2503" s="530"/>
      <c r="C2503" s="530"/>
      <c r="D2503" s="562"/>
      <c r="E2503" s="562"/>
      <c r="F2503" s="562"/>
      <c r="G2503" s="562"/>
      <c r="H2503" s="562"/>
      <c r="I2503" s="562"/>
      <c r="J2503" s="562"/>
    </row>
    <row r="2504" spans="1:10" x14ac:dyDescent="0.25">
      <c r="A2504" s="362"/>
      <c r="B2504" s="609">
        <v>44223</v>
      </c>
      <c r="C2504" s="362" t="s">
        <v>86</v>
      </c>
      <c r="D2504" s="560"/>
      <c r="E2504" s="560"/>
      <c r="F2504" s="560"/>
      <c r="G2504" s="560"/>
      <c r="H2504" s="560"/>
      <c r="I2504" s="560"/>
      <c r="J2504" s="560"/>
    </row>
    <row r="2505" spans="1:10" x14ac:dyDescent="0.25">
      <c r="A2505" s="362"/>
      <c r="B2505" s="609">
        <v>44223</v>
      </c>
      <c r="C2505" s="362" t="s">
        <v>87</v>
      </c>
      <c r="D2505" s="560"/>
      <c r="E2505" s="560"/>
      <c r="F2505" s="560"/>
      <c r="G2505" s="560"/>
      <c r="H2505" s="560"/>
      <c r="I2505" s="560"/>
      <c r="J2505" s="560"/>
    </row>
    <row r="2506" spans="1:10" x14ac:dyDescent="0.25">
      <c r="A2506" s="362"/>
      <c r="B2506" s="609">
        <v>44223</v>
      </c>
      <c r="C2506" s="362" t="s">
        <v>88</v>
      </c>
      <c r="D2506" s="560"/>
      <c r="E2506" s="560"/>
      <c r="F2506" s="560"/>
      <c r="G2506" s="560"/>
      <c r="H2506" s="560"/>
      <c r="I2506" s="560"/>
      <c r="J2506" s="560"/>
    </row>
    <row r="2507" spans="1:10" x14ac:dyDescent="0.25">
      <c r="A2507" s="362"/>
      <c r="B2507" s="609">
        <v>44223</v>
      </c>
      <c r="C2507" s="362" t="s">
        <v>82</v>
      </c>
      <c r="D2507" s="560"/>
      <c r="E2507" s="560"/>
      <c r="F2507" s="560"/>
      <c r="G2507" s="560"/>
      <c r="H2507" s="560"/>
      <c r="I2507" s="560"/>
      <c r="J2507" s="560"/>
    </row>
    <row r="2508" spans="1:10" x14ac:dyDescent="0.25">
      <c r="A2508" s="362"/>
      <c r="B2508" s="609">
        <v>44223</v>
      </c>
      <c r="C2508" s="362" t="s">
        <v>80</v>
      </c>
      <c r="D2508" s="560"/>
      <c r="E2508" s="560"/>
      <c r="F2508" s="560"/>
      <c r="G2508" s="560"/>
      <c r="H2508" s="560"/>
      <c r="I2508" s="560"/>
      <c r="J2508" s="560"/>
    </row>
    <row r="2509" spans="1:10" x14ac:dyDescent="0.25">
      <c r="A2509" s="362"/>
      <c r="B2509" s="609">
        <v>44223</v>
      </c>
      <c r="C2509" s="362" t="s">
        <v>83</v>
      </c>
      <c r="D2509" s="560"/>
      <c r="E2509" s="560"/>
      <c r="F2509" s="560"/>
      <c r="G2509" s="560"/>
      <c r="H2509" s="560"/>
      <c r="I2509" s="560"/>
      <c r="J2509" s="560"/>
    </row>
    <row r="2510" spans="1:10" x14ac:dyDescent="0.25">
      <c r="A2510" s="362"/>
      <c r="B2510" s="609">
        <v>44223</v>
      </c>
      <c r="C2510" s="362" t="s">
        <v>78</v>
      </c>
      <c r="D2510" s="560"/>
      <c r="E2510" s="560"/>
      <c r="F2510" s="560"/>
      <c r="G2510" s="560"/>
      <c r="H2510" s="560"/>
      <c r="I2510" s="560"/>
      <c r="J2510" s="560"/>
    </row>
    <row r="2511" spans="1:10" x14ac:dyDescent="0.25">
      <c r="A2511" s="362"/>
      <c r="B2511" s="609">
        <v>44223</v>
      </c>
      <c r="C2511" s="362" t="s">
        <v>141</v>
      </c>
      <c r="D2511" s="560"/>
      <c r="E2511" s="560"/>
      <c r="F2511" s="560"/>
      <c r="G2511" s="560"/>
      <c r="H2511" s="560"/>
      <c r="I2511" s="560"/>
      <c r="J2511" s="560"/>
    </row>
    <row r="2512" spans="1:10" x14ac:dyDescent="0.25">
      <c r="A2512" s="362"/>
      <c r="B2512" s="609">
        <v>44223</v>
      </c>
      <c r="C2512" s="362" t="s">
        <v>89</v>
      </c>
      <c r="D2512" s="560"/>
      <c r="E2512" s="560"/>
      <c r="F2512" s="560"/>
      <c r="G2512" s="560"/>
      <c r="H2512" s="560"/>
      <c r="I2512" s="560"/>
      <c r="J2512" s="560"/>
    </row>
    <row r="2513" spans="1:10" x14ac:dyDescent="0.25">
      <c r="A2513" s="362"/>
      <c r="B2513" s="609">
        <v>44223</v>
      </c>
      <c r="C2513" s="362" t="s">
        <v>81</v>
      </c>
      <c r="D2513" s="560"/>
      <c r="E2513" s="560"/>
      <c r="F2513" s="560"/>
      <c r="G2513" s="560"/>
      <c r="H2513" s="560"/>
      <c r="I2513" s="560"/>
      <c r="J2513" s="560"/>
    </row>
    <row r="2514" spans="1:10" x14ac:dyDescent="0.25">
      <c r="A2514" s="362"/>
      <c r="B2514" s="609">
        <v>44223</v>
      </c>
      <c r="C2514" s="362" t="s">
        <v>84</v>
      </c>
      <c r="D2514" s="560"/>
      <c r="E2514" s="560"/>
      <c r="F2514" s="560"/>
      <c r="G2514" s="560"/>
      <c r="H2514" s="560"/>
      <c r="I2514" s="560"/>
      <c r="J2514" s="560"/>
    </row>
    <row r="2515" spans="1:10" x14ac:dyDescent="0.25">
      <c r="A2515" s="362"/>
      <c r="B2515" s="609">
        <v>44223</v>
      </c>
      <c r="C2515" s="362" t="s">
        <v>4751</v>
      </c>
      <c r="D2515" s="560"/>
      <c r="E2515" s="560"/>
      <c r="F2515" s="560"/>
      <c r="G2515" s="560"/>
      <c r="H2515" s="560"/>
      <c r="I2515" s="560"/>
      <c r="J2515" s="560"/>
    </row>
    <row r="2516" spans="1:10" x14ac:dyDescent="0.25">
      <c r="A2516" s="362"/>
      <c r="B2516" s="609">
        <v>44223</v>
      </c>
      <c r="C2516" s="362" t="s">
        <v>166</v>
      </c>
      <c r="D2516" s="560"/>
      <c r="E2516" s="560"/>
      <c r="F2516" s="560"/>
      <c r="G2516" s="560"/>
      <c r="H2516" s="560"/>
      <c r="I2516" s="560"/>
      <c r="J2516" s="560"/>
    </row>
    <row r="2517" spans="1:10" x14ac:dyDescent="0.25">
      <c r="A2517" s="362"/>
      <c r="B2517" s="609">
        <v>44223</v>
      </c>
      <c r="C2517" s="362" t="s">
        <v>3435</v>
      </c>
      <c r="D2517" s="560"/>
      <c r="E2517" s="560"/>
      <c r="F2517" s="560"/>
      <c r="G2517" s="560"/>
      <c r="H2517" s="560"/>
      <c r="I2517" s="560"/>
      <c r="J2517" s="560"/>
    </row>
    <row r="2518" spans="1:10" x14ac:dyDescent="0.25">
      <c r="A2518" s="362"/>
      <c r="B2518" s="609">
        <v>44223</v>
      </c>
      <c r="C2518" s="370" t="s">
        <v>85</v>
      </c>
      <c r="D2518" s="560"/>
      <c r="E2518" s="560"/>
      <c r="F2518" s="560"/>
      <c r="G2518" s="560"/>
      <c r="H2518" s="560"/>
      <c r="I2518" s="560"/>
      <c r="J2518" s="560"/>
    </row>
    <row r="2519" spans="1:10" x14ac:dyDescent="0.25">
      <c r="A2519" s="530"/>
      <c r="B2519" s="530"/>
      <c r="C2519" s="530"/>
      <c r="D2519" s="562"/>
      <c r="E2519" s="562"/>
      <c r="F2519" s="562"/>
      <c r="G2519" s="562"/>
      <c r="H2519" s="562"/>
      <c r="I2519" s="562"/>
      <c r="J2519" s="562"/>
    </row>
    <row r="2520" spans="1:10" x14ac:dyDescent="0.25">
      <c r="A2520" s="362"/>
      <c r="B2520" s="609">
        <v>44224</v>
      </c>
      <c r="C2520" s="362" t="s">
        <v>86</v>
      </c>
      <c r="D2520" s="560"/>
      <c r="E2520" s="560"/>
      <c r="F2520" s="560"/>
      <c r="G2520" s="560"/>
      <c r="H2520" s="560"/>
      <c r="I2520" s="560"/>
      <c r="J2520" s="560"/>
    </row>
    <row r="2521" spans="1:10" x14ac:dyDescent="0.25">
      <c r="A2521" s="362"/>
      <c r="B2521" s="609">
        <v>44224</v>
      </c>
      <c r="C2521" s="362" t="s">
        <v>87</v>
      </c>
      <c r="D2521" s="560"/>
      <c r="E2521" s="560"/>
      <c r="F2521" s="560"/>
      <c r="G2521" s="560"/>
      <c r="H2521" s="560"/>
      <c r="I2521" s="560"/>
      <c r="J2521" s="560"/>
    </row>
    <row r="2522" spans="1:10" x14ac:dyDescent="0.25">
      <c r="A2522" s="362"/>
      <c r="B2522" s="609">
        <v>44224</v>
      </c>
      <c r="C2522" s="362" t="s">
        <v>88</v>
      </c>
      <c r="D2522" s="560"/>
      <c r="E2522" s="560"/>
      <c r="F2522" s="560"/>
      <c r="G2522" s="560"/>
      <c r="H2522" s="560"/>
      <c r="I2522" s="560"/>
      <c r="J2522" s="560"/>
    </row>
    <row r="2523" spans="1:10" x14ac:dyDescent="0.25">
      <c r="A2523" s="362"/>
      <c r="B2523" s="609">
        <v>44224</v>
      </c>
      <c r="C2523" s="362" t="s">
        <v>82</v>
      </c>
      <c r="D2523" s="560"/>
      <c r="E2523" s="560"/>
      <c r="F2523" s="560"/>
      <c r="G2523" s="560"/>
      <c r="H2523" s="560"/>
      <c r="I2523" s="560"/>
      <c r="J2523" s="560"/>
    </row>
    <row r="2524" spans="1:10" x14ac:dyDescent="0.25">
      <c r="A2524" s="362"/>
      <c r="B2524" s="609">
        <v>44224</v>
      </c>
      <c r="C2524" s="362" t="s">
        <v>80</v>
      </c>
      <c r="D2524" s="560"/>
      <c r="E2524" s="560"/>
      <c r="F2524" s="560"/>
      <c r="G2524" s="560"/>
      <c r="H2524" s="560"/>
      <c r="I2524" s="560"/>
      <c r="J2524" s="560"/>
    </row>
    <row r="2525" spans="1:10" x14ac:dyDescent="0.25">
      <c r="A2525" s="362"/>
      <c r="B2525" s="609">
        <v>44224</v>
      </c>
      <c r="C2525" s="362" t="s">
        <v>83</v>
      </c>
      <c r="D2525" s="560"/>
      <c r="E2525" s="560"/>
      <c r="F2525" s="560"/>
      <c r="G2525" s="560"/>
      <c r="H2525" s="560"/>
      <c r="I2525" s="560"/>
      <c r="J2525" s="560"/>
    </row>
    <row r="2526" spans="1:10" x14ac:dyDescent="0.25">
      <c r="A2526" s="362"/>
      <c r="B2526" s="609">
        <v>44224</v>
      </c>
      <c r="C2526" s="362" t="s">
        <v>78</v>
      </c>
      <c r="D2526" s="560"/>
      <c r="E2526" s="560"/>
      <c r="F2526" s="560"/>
      <c r="G2526" s="560"/>
      <c r="H2526" s="560"/>
      <c r="I2526" s="560"/>
      <c r="J2526" s="560"/>
    </row>
    <row r="2527" spans="1:10" x14ac:dyDescent="0.25">
      <c r="A2527" s="362"/>
      <c r="B2527" s="609">
        <v>44224</v>
      </c>
      <c r="C2527" s="362" t="s">
        <v>141</v>
      </c>
      <c r="D2527" s="560"/>
      <c r="E2527" s="560"/>
      <c r="F2527" s="560"/>
      <c r="G2527" s="560"/>
      <c r="H2527" s="560"/>
      <c r="I2527" s="560"/>
      <c r="J2527" s="560"/>
    </row>
    <row r="2528" spans="1:10" x14ac:dyDescent="0.25">
      <c r="A2528" s="362"/>
      <c r="B2528" s="609">
        <v>44224</v>
      </c>
      <c r="C2528" s="362" t="s">
        <v>89</v>
      </c>
      <c r="D2528" s="560"/>
      <c r="E2528" s="560"/>
      <c r="F2528" s="560"/>
      <c r="G2528" s="560"/>
      <c r="H2528" s="560"/>
      <c r="I2528" s="560"/>
      <c r="J2528" s="560"/>
    </row>
    <row r="2529" spans="1:10" x14ac:dyDescent="0.25">
      <c r="A2529" s="362"/>
      <c r="B2529" s="609">
        <v>44224</v>
      </c>
      <c r="C2529" s="362" t="s">
        <v>81</v>
      </c>
      <c r="D2529" s="560"/>
      <c r="E2529" s="560"/>
      <c r="F2529" s="560"/>
      <c r="G2529" s="560"/>
      <c r="H2529" s="560"/>
      <c r="I2529" s="560"/>
      <c r="J2529" s="560"/>
    </row>
    <row r="2530" spans="1:10" x14ac:dyDescent="0.25">
      <c r="A2530" s="362"/>
      <c r="B2530" s="609">
        <v>44224</v>
      </c>
      <c r="C2530" s="362" t="s">
        <v>84</v>
      </c>
      <c r="D2530" s="560"/>
      <c r="E2530" s="560"/>
      <c r="F2530" s="560"/>
      <c r="G2530" s="560"/>
      <c r="H2530" s="560"/>
      <c r="I2530" s="560"/>
      <c r="J2530" s="560"/>
    </row>
    <row r="2531" spans="1:10" x14ac:dyDescent="0.25">
      <c r="A2531" s="362"/>
      <c r="B2531" s="609">
        <v>44224</v>
      </c>
      <c r="C2531" s="362" t="s">
        <v>4751</v>
      </c>
      <c r="D2531" s="560"/>
      <c r="E2531" s="560"/>
      <c r="F2531" s="560"/>
      <c r="G2531" s="560"/>
      <c r="H2531" s="560"/>
      <c r="I2531" s="560"/>
      <c r="J2531" s="560"/>
    </row>
    <row r="2532" spans="1:10" x14ac:dyDescent="0.25">
      <c r="A2532" s="362"/>
      <c r="B2532" s="609">
        <v>44224</v>
      </c>
      <c r="C2532" s="362" t="s">
        <v>166</v>
      </c>
      <c r="D2532" s="560"/>
      <c r="E2532" s="560"/>
      <c r="F2532" s="560"/>
      <c r="G2532" s="560"/>
      <c r="H2532" s="560"/>
      <c r="I2532" s="560"/>
      <c r="J2532" s="560"/>
    </row>
    <row r="2533" spans="1:10" x14ac:dyDescent="0.25">
      <c r="A2533" s="362"/>
      <c r="B2533" s="609">
        <v>44224</v>
      </c>
      <c r="C2533" s="362" t="s">
        <v>3435</v>
      </c>
      <c r="D2533" s="560"/>
      <c r="E2533" s="560"/>
      <c r="F2533" s="560"/>
      <c r="G2533" s="560"/>
      <c r="H2533" s="560"/>
      <c r="I2533" s="560"/>
      <c r="J2533" s="560"/>
    </row>
    <row r="2534" spans="1:10" x14ac:dyDescent="0.25">
      <c r="A2534" s="362"/>
      <c r="B2534" s="609">
        <v>44224</v>
      </c>
      <c r="C2534" s="370" t="s">
        <v>85</v>
      </c>
      <c r="D2534" s="560"/>
      <c r="E2534" s="560"/>
      <c r="F2534" s="560"/>
      <c r="G2534" s="560"/>
      <c r="H2534" s="560"/>
      <c r="I2534" s="560"/>
      <c r="J2534" s="560"/>
    </row>
    <row r="2535" spans="1:10" x14ac:dyDescent="0.25">
      <c r="A2535" s="530"/>
      <c r="B2535" s="530"/>
      <c r="C2535" s="530"/>
      <c r="D2535" s="562"/>
      <c r="E2535" s="562"/>
      <c r="F2535" s="562"/>
      <c r="G2535" s="562"/>
      <c r="H2535" s="562"/>
      <c r="I2535" s="562"/>
      <c r="J2535" s="562"/>
    </row>
    <row r="2536" spans="1:10" x14ac:dyDescent="0.25">
      <c r="A2536" s="362"/>
      <c r="B2536" s="609">
        <v>44225</v>
      </c>
      <c r="C2536" s="362" t="s">
        <v>86</v>
      </c>
      <c r="D2536" s="560"/>
      <c r="E2536" s="560"/>
      <c r="F2536" s="560"/>
      <c r="G2536" s="560"/>
      <c r="H2536" s="560"/>
      <c r="I2536" s="560"/>
      <c r="J2536" s="560"/>
    </row>
    <row r="2537" spans="1:10" x14ac:dyDescent="0.25">
      <c r="A2537" s="362"/>
      <c r="B2537" s="609">
        <v>44225</v>
      </c>
      <c r="C2537" s="362" t="s">
        <v>87</v>
      </c>
      <c r="D2537" s="560"/>
      <c r="E2537" s="560"/>
      <c r="F2537" s="560"/>
      <c r="G2537" s="560"/>
      <c r="H2537" s="560"/>
      <c r="I2537" s="560"/>
      <c r="J2537" s="560"/>
    </row>
    <row r="2538" spans="1:10" x14ac:dyDescent="0.25">
      <c r="A2538" s="362"/>
      <c r="B2538" s="609">
        <v>44225</v>
      </c>
      <c r="C2538" s="362" t="s">
        <v>88</v>
      </c>
      <c r="D2538" s="560"/>
      <c r="E2538" s="560"/>
      <c r="F2538" s="560"/>
      <c r="G2538" s="560"/>
      <c r="H2538" s="560"/>
      <c r="I2538" s="560"/>
      <c r="J2538" s="560"/>
    </row>
    <row r="2539" spans="1:10" x14ac:dyDescent="0.25">
      <c r="A2539" s="362"/>
      <c r="B2539" s="609">
        <v>44225</v>
      </c>
      <c r="C2539" s="362" t="s">
        <v>82</v>
      </c>
      <c r="D2539" s="560"/>
      <c r="E2539" s="560"/>
      <c r="F2539" s="560"/>
      <c r="G2539" s="560"/>
      <c r="H2539" s="560"/>
      <c r="I2539" s="560"/>
      <c r="J2539" s="560"/>
    </row>
    <row r="2540" spans="1:10" x14ac:dyDescent="0.25">
      <c r="A2540" s="362"/>
      <c r="B2540" s="609">
        <v>44225</v>
      </c>
      <c r="C2540" s="362" t="s">
        <v>80</v>
      </c>
      <c r="D2540" s="560"/>
      <c r="E2540" s="560"/>
      <c r="F2540" s="560"/>
      <c r="G2540" s="560"/>
      <c r="H2540" s="560"/>
      <c r="I2540" s="560"/>
      <c r="J2540" s="560"/>
    </row>
    <row r="2541" spans="1:10" x14ac:dyDescent="0.25">
      <c r="A2541" s="362"/>
      <c r="B2541" s="609">
        <v>44225</v>
      </c>
      <c r="C2541" s="362" t="s">
        <v>83</v>
      </c>
      <c r="D2541" s="560"/>
      <c r="E2541" s="560"/>
      <c r="F2541" s="560"/>
      <c r="G2541" s="560"/>
      <c r="H2541" s="560"/>
      <c r="I2541" s="560"/>
      <c r="J2541" s="560"/>
    </row>
    <row r="2542" spans="1:10" x14ac:dyDescent="0.25">
      <c r="A2542" s="362"/>
      <c r="B2542" s="609">
        <v>44225</v>
      </c>
      <c r="C2542" s="362" t="s">
        <v>78</v>
      </c>
      <c r="D2542" s="560"/>
      <c r="E2542" s="560"/>
      <c r="F2542" s="560"/>
      <c r="G2542" s="560"/>
      <c r="H2542" s="560"/>
      <c r="I2542" s="560"/>
      <c r="J2542" s="560"/>
    </row>
    <row r="2543" spans="1:10" x14ac:dyDescent="0.25">
      <c r="A2543" s="362"/>
      <c r="B2543" s="609">
        <v>44225</v>
      </c>
      <c r="C2543" s="362" t="s">
        <v>141</v>
      </c>
      <c r="D2543" s="560"/>
      <c r="E2543" s="560"/>
      <c r="F2543" s="560"/>
      <c r="G2543" s="560"/>
      <c r="H2543" s="560"/>
      <c r="I2543" s="560"/>
      <c r="J2543" s="560"/>
    </row>
    <row r="2544" spans="1:10" x14ac:dyDescent="0.25">
      <c r="A2544" s="362"/>
      <c r="B2544" s="609">
        <v>44225</v>
      </c>
      <c r="C2544" s="362" t="s">
        <v>89</v>
      </c>
      <c r="D2544" s="560"/>
      <c r="E2544" s="560"/>
      <c r="F2544" s="560"/>
      <c r="G2544" s="560"/>
      <c r="H2544" s="560"/>
      <c r="I2544" s="560"/>
      <c r="J2544" s="560"/>
    </row>
    <row r="2545" spans="1:10" x14ac:dyDescent="0.25">
      <c r="A2545" s="362"/>
      <c r="B2545" s="609">
        <v>44225</v>
      </c>
      <c r="C2545" s="362" t="s">
        <v>81</v>
      </c>
      <c r="D2545" s="560"/>
      <c r="E2545" s="560"/>
      <c r="F2545" s="560"/>
      <c r="G2545" s="560"/>
      <c r="H2545" s="560"/>
      <c r="I2545" s="560"/>
      <c r="J2545" s="560"/>
    </row>
    <row r="2546" spans="1:10" x14ac:dyDescent="0.25">
      <c r="A2546" s="362"/>
      <c r="B2546" s="609">
        <v>44225</v>
      </c>
      <c r="C2546" s="362" t="s">
        <v>84</v>
      </c>
      <c r="D2546" s="560"/>
      <c r="E2546" s="560"/>
      <c r="F2546" s="560"/>
      <c r="G2546" s="560"/>
      <c r="H2546" s="560"/>
      <c r="I2546" s="560"/>
      <c r="J2546" s="560"/>
    </row>
    <row r="2547" spans="1:10" x14ac:dyDescent="0.25">
      <c r="A2547" s="362"/>
      <c r="B2547" s="609">
        <v>44225</v>
      </c>
      <c r="C2547" s="362" t="s">
        <v>4751</v>
      </c>
      <c r="D2547" s="560"/>
      <c r="E2547" s="560"/>
      <c r="F2547" s="560"/>
      <c r="G2547" s="560"/>
      <c r="H2547" s="560"/>
      <c r="I2547" s="560"/>
      <c r="J2547" s="560"/>
    </row>
    <row r="2548" spans="1:10" x14ac:dyDescent="0.25">
      <c r="A2548" s="362"/>
      <c r="B2548" s="609">
        <v>44225</v>
      </c>
      <c r="C2548" s="362" t="s">
        <v>166</v>
      </c>
      <c r="D2548" s="560"/>
      <c r="E2548" s="560"/>
      <c r="F2548" s="560"/>
      <c r="G2548" s="560"/>
      <c r="H2548" s="560"/>
      <c r="I2548" s="560"/>
      <c r="J2548" s="560"/>
    </row>
    <row r="2549" spans="1:10" x14ac:dyDescent="0.25">
      <c r="A2549" s="362"/>
      <c r="B2549" s="609">
        <v>44225</v>
      </c>
      <c r="C2549" s="362" t="s">
        <v>3435</v>
      </c>
      <c r="D2549" s="560"/>
      <c r="E2549" s="560"/>
      <c r="F2549" s="560"/>
      <c r="G2549" s="560"/>
      <c r="H2549" s="560"/>
      <c r="I2549" s="560"/>
      <c r="J2549" s="560"/>
    </row>
    <row r="2550" spans="1:10" x14ac:dyDescent="0.25">
      <c r="A2550" s="362"/>
      <c r="B2550" s="609">
        <v>44225</v>
      </c>
      <c r="C2550" s="370" t="s">
        <v>85</v>
      </c>
      <c r="D2550" s="560"/>
      <c r="E2550" s="560"/>
      <c r="F2550" s="560"/>
      <c r="G2550" s="560"/>
      <c r="H2550" s="560"/>
      <c r="I2550" s="560"/>
      <c r="J2550" s="560"/>
    </row>
    <row r="2551" spans="1:10" x14ac:dyDescent="0.25">
      <c r="A2551" s="530"/>
      <c r="B2551" s="530"/>
      <c r="C2551" s="530"/>
      <c r="D2551" s="562"/>
      <c r="E2551" s="562"/>
      <c r="F2551" s="562"/>
      <c r="G2551" s="562"/>
      <c r="H2551" s="562"/>
      <c r="I2551" s="562"/>
      <c r="J2551" s="562"/>
    </row>
    <row r="2552" spans="1:10" x14ac:dyDescent="0.25">
      <c r="A2552" s="362"/>
      <c r="B2552" s="609">
        <v>44226</v>
      </c>
      <c r="C2552" s="362" t="s">
        <v>86</v>
      </c>
      <c r="D2552" s="560"/>
      <c r="E2552" s="560"/>
      <c r="F2552" s="560">
        <v>191738100</v>
      </c>
      <c r="G2552" s="560"/>
      <c r="H2552" s="560"/>
      <c r="I2552" s="560"/>
      <c r="J2552" s="560"/>
    </row>
    <row r="2553" spans="1:10" x14ac:dyDescent="0.25">
      <c r="A2553" s="362"/>
      <c r="B2553" s="609">
        <v>44226</v>
      </c>
      <c r="C2553" s="362" t="s">
        <v>87</v>
      </c>
      <c r="D2553" s="560"/>
      <c r="E2553" s="560"/>
      <c r="F2553" s="560">
        <v>133439000</v>
      </c>
      <c r="G2553" s="560"/>
      <c r="H2553" s="560"/>
      <c r="I2553" s="560"/>
      <c r="J2553" s="560"/>
    </row>
    <row r="2554" spans="1:10" x14ac:dyDescent="0.25">
      <c r="A2554" s="362"/>
      <c r="B2554" s="609">
        <v>44226</v>
      </c>
      <c r="C2554" s="362" t="s">
        <v>88</v>
      </c>
      <c r="D2554" s="560"/>
      <c r="E2554" s="560"/>
      <c r="F2554" s="560">
        <v>155203000</v>
      </c>
      <c r="G2554" s="560"/>
      <c r="H2554" s="560"/>
      <c r="I2554" s="560"/>
      <c r="J2554" s="560"/>
    </row>
    <row r="2555" spans="1:10" x14ac:dyDescent="0.25">
      <c r="A2555" s="362"/>
      <c r="B2555" s="609">
        <v>44226</v>
      </c>
      <c r="C2555" s="362" t="s">
        <v>82</v>
      </c>
      <c r="D2555" s="560"/>
      <c r="E2555" s="560"/>
      <c r="F2555" s="560">
        <v>167573600</v>
      </c>
      <c r="G2555" s="560"/>
      <c r="H2555" s="560"/>
      <c r="I2555" s="560"/>
      <c r="J2555" s="560"/>
    </row>
    <row r="2556" spans="1:10" x14ac:dyDescent="0.25">
      <c r="A2556" s="362"/>
      <c r="B2556" s="609">
        <v>44226</v>
      </c>
      <c r="C2556" s="362" t="s">
        <v>80</v>
      </c>
      <c r="D2556" s="560"/>
      <c r="E2556" s="560"/>
      <c r="F2556" s="560">
        <v>256414500</v>
      </c>
      <c r="G2556" s="560"/>
      <c r="H2556" s="560"/>
      <c r="I2556" s="560"/>
      <c r="J2556" s="560"/>
    </row>
    <row r="2557" spans="1:10" x14ac:dyDescent="0.25">
      <c r="A2557" s="362"/>
      <c r="B2557" s="609">
        <v>44226</v>
      </c>
      <c r="C2557" s="362" t="s">
        <v>83</v>
      </c>
      <c r="D2557" s="560"/>
      <c r="E2557" s="560"/>
      <c r="F2557" s="560">
        <v>253175600</v>
      </c>
      <c r="G2557" s="560"/>
      <c r="H2557" s="560"/>
      <c r="I2557" s="560"/>
      <c r="J2557" s="560"/>
    </row>
    <row r="2558" spans="1:10" x14ac:dyDescent="0.25">
      <c r="A2558" s="362"/>
      <c r="B2558" s="609">
        <v>44226</v>
      </c>
      <c r="C2558" s="362" t="s">
        <v>78</v>
      </c>
      <c r="D2558" s="560"/>
      <c r="E2558" s="560"/>
      <c r="F2558" s="560">
        <v>165872600</v>
      </c>
      <c r="G2558" s="560"/>
      <c r="H2558" s="560"/>
      <c r="I2558" s="560"/>
      <c r="J2558" s="560"/>
    </row>
    <row r="2559" spans="1:10" x14ac:dyDescent="0.25">
      <c r="A2559" s="362"/>
      <c r="B2559" s="609">
        <v>44226</v>
      </c>
      <c r="C2559" s="362" t="s">
        <v>141</v>
      </c>
      <c r="D2559" s="560"/>
      <c r="E2559" s="560"/>
      <c r="F2559" s="560">
        <v>39351700</v>
      </c>
      <c r="G2559" s="560"/>
      <c r="H2559" s="560"/>
      <c r="I2559" s="560"/>
      <c r="J2559" s="560"/>
    </row>
    <row r="2560" spans="1:10" x14ac:dyDescent="0.25">
      <c r="A2560" s="362"/>
      <c r="B2560" s="609">
        <v>44226</v>
      </c>
      <c r="C2560" s="362" t="s">
        <v>89</v>
      </c>
      <c r="D2560" s="560"/>
      <c r="E2560" s="560"/>
      <c r="F2560" s="560">
        <v>156573500</v>
      </c>
      <c r="G2560" s="560"/>
      <c r="H2560" s="560"/>
      <c r="I2560" s="560"/>
      <c r="J2560" s="560"/>
    </row>
    <row r="2561" spans="1:10" x14ac:dyDescent="0.25">
      <c r="A2561" s="362"/>
      <c r="B2561" s="609">
        <v>44226</v>
      </c>
      <c r="C2561" s="362" t="s">
        <v>81</v>
      </c>
      <c r="D2561" s="560"/>
      <c r="E2561" s="560"/>
      <c r="F2561" s="560">
        <v>116671700</v>
      </c>
      <c r="G2561" s="560"/>
      <c r="H2561" s="560"/>
      <c r="I2561" s="560"/>
      <c r="J2561" s="560"/>
    </row>
    <row r="2562" spans="1:10" x14ac:dyDescent="0.25">
      <c r="A2562" s="362"/>
      <c r="B2562" s="609">
        <v>44226</v>
      </c>
      <c r="C2562" s="362" t="s">
        <v>84</v>
      </c>
      <c r="D2562" s="560"/>
      <c r="E2562" s="560"/>
      <c r="F2562" s="560">
        <v>263460000</v>
      </c>
      <c r="G2562" s="560"/>
      <c r="H2562" s="560"/>
      <c r="I2562" s="560"/>
      <c r="J2562" s="560"/>
    </row>
    <row r="2563" spans="1:10" x14ac:dyDescent="0.25">
      <c r="A2563" s="362"/>
      <c r="B2563" s="609">
        <v>44226</v>
      </c>
      <c r="C2563" s="362" t="s">
        <v>4751</v>
      </c>
      <c r="D2563" s="560"/>
      <c r="E2563" s="560"/>
      <c r="F2563" s="560">
        <v>341703700</v>
      </c>
      <c r="G2563" s="560"/>
      <c r="H2563" s="560"/>
      <c r="I2563" s="560"/>
      <c r="J2563" s="560"/>
    </row>
    <row r="2564" spans="1:10" x14ac:dyDescent="0.25">
      <c r="A2564" s="362"/>
      <c r="B2564" s="609">
        <v>44226</v>
      </c>
      <c r="C2564" s="362" t="s">
        <v>166</v>
      </c>
      <c r="D2564" s="560"/>
      <c r="E2564" s="560"/>
      <c r="F2564" s="560">
        <v>42665500</v>
      </c>
      <c r="G2564" s="560"/>
      <c r="H2564" s="560"/>
      <c r="I2564" s="560"/>
      <c r="J2564" s="560"/>
    </row>
    <row r="2565" spans="1:10" x14ac:dyDescent="0.25">
      <c r="A2565" s="362"/>
      <c r="B2565" s="609">
        <v>44226</v>
      </c>
      <c r="C2565" s="362" t="s">
        <v>3435</v>
      </c>
      <c r="D2565" s="560"/>
      <c r="E2565" s="560"/>
      <c r="F2565" s="560"/>
      <c r="G2565" s="560"/>
      <c r="H2565" s="560"/>
      <c r="I2565" s="560"/>
      <c r="J2565" s="560"/>
    </row>
    <row r="2566" spans="1:10" x14ac:dyDescent="0.25">
      <c r="A2566" s="362"/>
      <c r="B2566" s="609">
        <v>44226</v>
      </c>
      <c r="C2566" s="370" t="s">
        <v>85</v>
      </c>
      <c r="D2566" s="560"/>
      <c r="E2566" s="560"/>
      <c r="F2566" s="560">
        <v>25425100</v>
      </c>
      <c r="G2566" s="560"/>
      <c r="H2566" s="560"/>
      <c r="I2566" s="560"/>
      <c r="J2566" s="560"/>
    </row>
    <row r="2567" spans="1:10" x14ac:dyDescent="0.25">
      <c r="A2567" s="530"/>
      <c r="B2567" s="530"/>
      <c r="C2567" s="530"/>
      <c r="D2567" s="530"/>
      <c r="E2567" s="530"/>
      <c r="F2567" s="530"/>
      <c r="G2567" s="530"/>
      <c r="H2567" s="530"/>
      <c r="I2567" s="530"/>
      <c r="J2567" s="530"/>
    </row>
    <row r="2568" spans="1:10" x14ac:dyDescent="0.25">
      <c r="A2568" s="1613">
        <v>44228</v>
      </c>
      <c r="B2568" s="1616"/>
      <c r="C2568" s="1616"/>
      <c r="D2568" s="1616"/>
      <c r="E2568" s="1616"/>
      <c r="F2568" s="1616"/>
      <c r="G2568" s="1616"/>
      <c r="H2568" s="1616"/>
      <c r="I2568" s="1616"/>
      <c r="J2568" s="1617"/>
    </row>
    <row r="2569" spans="1:10" x14ac:dyDescent="0.25">
      <c r="A2569" s="362"/>
      <c r="B2569" s="609">
        <v>44228</v>
      </c>
      <c r="C2569" s="362" t="s">
        <v>86</v>
      </c>
      <c r="D2569" s="560">
        <v>46278595</v>
      </c>
      <c r="E2569" s="560">
        <v>11801800</v>
      </c>
      <c r="F2569" s="560">
        <v>58080400</v>
      </c>
      <c r="G2569" s="560">
        <f>D2569+E2569-F2569</f>
        <v>-5</v>
      </c>
      <c r="H2569" s="560"/>
      <c r="I2569" s="560"/>
      <c r="J2569" s="560"/>
    </row>
    <row r="2570" spans="1:10" x14ac:dyDescent="0.25">
      <c r="A2570" s="362"/>
      <c r="B2570" s="609">
        <v>44228</v>
      </c>
      <c r="C2570" s="362" t="s">
        <v>87</v>
      </c>
      <c r="D2570" s="560">
        <v>100676918</v>
      </c>
      <c r="E2570" s="560">
        <v>66681170</v>
      </c>
      <c r="F2570" s="560">
        <v>167358100</v>
      </c>
      <c r="G2570" s="560">
        <f t="shared" ref="G2570:G2633" si="42">D2570+E2570-F2570</f>
        <v>-12</v>
      </c>
      <c r="H2570" s="560"/>
      <c r="I2570" s="560"/>
      <c r="J2570" s="560"/>
    </row>
    <row r="2571" spans="1:10" x14ac:dyDescent="0.25">
      <c r="A2571" s="362"/>
      <c r="B2571" s="609">
        <v>44228</v>
      </c>
      <c r="C2571" s="362" t="s">
        <v>88</v>
      </c>
      <c r="D2571" s="560">
        <v>208707144</v>
      </c>
      <c r="E2571" s="560">
        <v>16908080</v>
      </c>
      <c r="F2571" s="560">
        <v>225615300</v>
      </c>
      <c r="G2571" s="560">
        <f t="shared" si="42"/>
        <v>-76</v>
      </c>
      <c r="H2571" s="560"/>
      <c r="I2571" s="560"/>
      <c r="J2571" s="560"/>
    </row>
    <row r="2572" spans="1:10" x14ac:dyDescent="0.25">
      <c r="A2572" s="362"/>
      <c r="B2572" s="609">
        <v>44228</v>
      </c>
      <c r="C2572" s="362" t="s">
        <v>82</v>
      </c>
      <c r="D2572" s="560">
        <v>46755962</v>
      </c>
      <c r="E2572" s="560">
        <v>3631700</v>
      </c>
      <c r="F2572" s="560">
        <v>50387800</v>
      </c>
      <c r="G2572" s="560">
        <f t="shared" si="42"/>
        <v>-138</v>
      </c>
      <c r="H2572" s="560"/>
      <c r="I2572" s="560"/>
      <c r="J2572" s="560"/>
    </row>
    <row r="2573" spans="1:10" x14ac:dyDescent="0.25">
      <c r="A2573" s="362"/>
      <c r="B2573" s="609">
        <v>44228</v>
      </c>
      <c r="C2573" s="362" t="s">
        <v>80</v>
      </c>
      <c r="D2573" s="560">
        <v>193660800</v>
      </c>
      <c r="E2573" s="560"/>
      <c r="F2573" s="560">
        <v>193660800</v>
      </c>
      <c r="G2573" s="560">
        <f t="shared" si="42"/>
        <v>0</v>
      </c>
      <c r="H2573" s="560"/>
      <c r="I2573" s="560"/>
      <c r="J2573" s="560"/>
    </row>
    <row r="2574" spans="1:10" x14ac:dyDescent="0.25">
      <c r="A2574" s="362"/>
      <c r="B2574" s="609">
        <v>44228</v>
      </c>
      <c r="C2574" s="362" t="s">
        <v>83</v>
      </c>
      <c r="D2574" s="560">
        <v>388926685</v>
      </c>
      <c r="E2574" s="560">
        <v>25834615</v>
      </c>
      <c r="F2574" s="560">
        <v>414761300</v>
      </c>
      <c r="G2574" s="560">
        <f t="shared" si="42"/>
        <v>0</v>
      </c>
      <c r="H2574" s="560"/>
      <c r="I2574" s="560"/>
      <c r="J2574" s="560"/>
    </row>
    <row r="2575" spans="1:10" x14ac:dyDescent="0.25">
      <c r="A2575" s="362"/>
      <c r="B2575" s="609">
        <v>44228</v>
      </c>
      <c r="C2575" s="362" t="s">
        <v>78</v>
      </c>
      <c r="D2575" s="560">
        <v>135319603</v>
      </c>
      <c r="E2575" s="560">
        <v>1645197</v>
      </c>
      <c r="F2575" s="560">
        <v>136964800</v>
      </c>
      <c r="G2575" s="560">
        <f t="shared" si="42"/>
        <v>0</v>
      </c>
      <c r="H2575" s="560"/>
      <c r="I2575" s="560"/>
      <c r="J2575" s="560"/>
    </row>
    <row r="2576" spans="1:10" x14ac:dyDescent="0.25">
      <c r="A2576" s="362"/>
      <c r="B2576" s="609">
        <v>44228</v>
      </c>
      <c r="C2576" s="362" t="s">
        <v>141</v>
      </c>
      <c r="D2576" s="560">
        <v>98248252</v>
      </c>
      <c r="E2576" s="560">
        <v>3166289</v>
      </c>
      <c r="F2576" s="560">
        <v>101414600</v>
      </c>
      <c r="G2576" s="560">
        <f t="shared" si="42"/>
        <v>-59</v>
      </c>
      <c r="H2576" s="560"/>
      <c r="I2576" s="560"/>
      <c r="J2576" s="560"/>
    </row>
    <row r="2577" spans="1:10" x14ac:dyDescent="0.25">
      <c r="A2577" s="362"/>
      <c r="B2577" s="609">
        <v>44228</v>
      </c>
      <c r="C2577" s="362" t="s">
        <v>89</v>
      </c>
      <c r="D2577" s="560">
        <v>148028255</v>
      </c>
      <c r="E2577" s="560">
        <v>5534645</v>
      </c>
      <c r="F2577" s="560">
        <v>153562900</v>
      </c>
      <c r="G2577" s="560">
        <f t="shared" si="42"/>
        <v>0</v>
      </c>
      <c r="H2577" s="560"/>
      <c r="I2577" s="560"/>
      <c r="J2577" s="560"/>
    </row>
    <row r="2578" spans="1:10" x14ac:dyDescent="0.25">
      <c r="A2578" s="362"/>
      <c r="B2578" s="609">
        <v>44228</v>
      </c>
      <c r="C2578" s="362" t="s">
        <v>81</v>
      </c>
      <c r="D2578" s="560">
        <v>43413905</v>
      </c>
      <c r="E2578" s="560">
        <v>7777174</v>
      </c>
      <c r="F2578" s="560">
        <v>51191100</v>
      </c>
      <c r="G2578" s="560">
        <f t="shared" si="42"/>
        <v>-21</v>
      </c>
      <c r="H2578" s="560"/>
      <c r="I2578" s="560"/>
      <c r="J2578" s="560"/>
    </row>
    <row r="2579" spans="1:10" x14ac:dyDescent="0.25">
      <c r="A2579" s="362"/>
      <c r="B2579" s="609">
        <v>44228</v>
      </c>
      <c r="C2579" s="362" t="s">
        <v>84</v>
      </c>
      <c r="D2579" s="560">
        <v>301679184</v>
      </c>
      <c r="E2579" s="560">
        <v>10129593</v>
      </c>
      <c r="F2579" s="560">
        <v>311809000</v>
      </c>
      <c r="G2579" s="560">
        <f t="shared" si="42"/>
        <v>-223</v>
      </c>
      <c r="H2579" s="560"/>
      <c r="I2579" s="560"/>
      <c r="J2579" s="560"/>
    </row>
    <row r="2580" spans="1:10" x14ac:dyDescent="0.25">
      <c r="A2580" s="362"/>
      <c r="B2580" s="609">
        <v>44228</v>
      </c>
      <c r="C2580" s="362" t="s">
        <v>4751</v>
      </c>
      <c r="D2580" s="560">
        <v>172993558</v>
      </c>
      <c r="E2580" s="560">
        <v>7529742</v>
      </c>
      <c r="F2580" s="560">
        <v>180523500</v>
      </c>
      <c r="G2580" s="560">
        <f t="shared" si="42"/>
        <v>-200</v>
      </c>
      <c r="H2580" s="560"/>
      <c r="I2580" s="560"/>
      <c r="J2580" s="560"/>
    </row>
    <row r="2581" spans="1:10" x14ac:dyDescent="0.25">
      <c r="A2581" s="362"/>
      <c r="B2581" s="609">
        <v>44228</v>
      </c>
      <c r="C2581" s="362" t="s">
        <v>166</v>
      </c>
      <c r="D2581" s="560">
        <v>84515072</v>
      </c>
      <c r="E2581" s="560"/>
      <c r="F2581" s="560">
        <v>84515100</v>
      </c>
      <c r="G2581" s="560">
        <f t="shared" si="42"/>
        <v>-28</v>
      </c>
      <c r="H2581" s="560"/>
      <c r="I2581" s="560"/>
      <c r="J2581" s="560"/>
    </row>
    <row r="2582" spans="1:10" x14ac:dyDescent="0.25">
      <c r="A2582" s="362"/>
      <c r="B2582" s="609">
        <v>44228</v>
      </c>
      <c r="C2582" s="362" t="s">
        <v>3435</v>
      </c>
      <c r="D2582" s="560">
        <v>40171523</v>
      </c>
      <c r="E2582" s="560"/>
      <c r="F2582" s="560">
        <v>40171600</v>
      </c>
      <c r="G2582" s="560">
        <f t="shared" si="42"/>
        <v>-77</v>
      </c>
      <c r="H2582" s="560"/>
      <c r="I2582" s="560"/>
      <c r="J2582" s="560"/>
    </row>
    <row r="2583" spans="1:10" x14ac:dyDescent="0.25">
      <c r="A2583" s="362"/>
      <c r="B2583" s="609">
        <v>44228</v>
      </c>
      <c r="C2583" s="370" t="s">
        <v>85</v>
      </c>
      <c r="D2583" s="560">
        <v>46374100</v>
      </c>
      <c r="E2583" s="560"/>
      <c r="F2583" s="560">
        <v>46374100</v>
      </c>
      <c r="G2583" s="560">
        <f t="shared" si="42"/>
        <v>0</v>
      </c>
      <c r="H2583" s="560"/>
      <c r="I2583" s="560"/>
      <c r="J2583" s="560"/>
    </row>
    <row r="2584" spans="1:10" x14ac:dyDescent="0.25">
      <c r="A2584" s="896"/>
      <c r="B2584" s="896"/>
      <c r="C2584" s="896"/>
      <c r="D2584" s="897">
        <f>SUM(D2569:D2583)</f>
        <v>2055749556</v>
      </c>
      <c r="E2584" s="897">
        <f>SUM(E2569:E2583)</f>
        <v>160640005</v>
      </c>
      <c r="F2584" s="897">
        <f>SUM(F2569:F2583)</f>
        <v>2216390400</v>
      </c>
      <c r="G2584" s="560">
        <f t="shared" si="42"/>
        <v>-839</v>
      </c>
      <c r="H2584" s="897"/>
      <c r="I2584" s="897"/>
      <c r="J2584" s="897"/>
    </row>
    <row r="2585" spans="1:10" x14ac:dyDescent="0.25">
      <c r="A2585" s="362"/>
      <c r="B2585" s="609">
        <v>44229</v>
      </c>
      <c r="C2585" s="362" t="s">
        <v>86</v>
      </c>
      <c r="D2585" s="560">
        <v>46478553</v>
      </c>
      <c r="E2585" s="560">
        <v>27611650</v>
      </c>
      <c r="F2585" s="560">
        <v>74090200</v>
      </c>
      <c r="G2585" s="560">
        <f t="shared" si="42"/>
        <v>3</v>
      </c>
      <c r="H2585" s="560"/>
      <c r="I2585" s="560"/>
      <c r="J2585" s="560"/>
    </row>
    <row r="2586" spans="1:10" x14ac:dyDescent="0.25">
      <c r="A2586" s="362"/>
      <c r="B2586" s="609">
        <v>44229</v>
      </c>
      <c r="C2586" s="362" t="s">
        <v>87</v>
      </c>
      <c r="D2586" s="560">
        <v>158856264</v>
      </c>
      <c r="E2586" s="560">
        <v>36363670</v>
      </c>
      <c r="F2586" s="560">
        <v>195220000</v>
      </c>
      <c r="G2586" s="560">
        <f t="shared" si="42"/>
        <v>-66</v>
      </c>
      <c r="H2586" s="560"/>
      <c r="I2586" s="560"/>
      <c r="J2586" s="560"/>
    </row>
    <row r="2587" spans="1:10" x14ac:dyDescent="0.25">
      <c r="A2587" s="362"/>
      <c r="B2587" s="609">
        <v>44229</v>
      </c>
      <c r="C2587" s="362" t="s">
        <v>88</v>
      </c>
      <c r="D2587" s="560">
        <v>231083277</v>
      </c>
      <c r="E2587" s="560">
        <v>8888884</v>
      </c>
      <c r="F2587" s="560">
        <v>239972200</v>
      </c>
      <c r="G2587" s="560">
        <f t="shared" si="42"/>
        <v>-39</v>
      </c>
      <c r="H2587" s="560"/>
      <c r="I2587" s="560"/>
      <c r="J2587" s="560"/>
    </row>
    <row r="2588" spans="1:10" x14ac:dyDescent="0.25">
      <c r="A2588" s="362"/>
      <c r="B2588" s="609">
        <v>44229</v>
      </c>
      <c r="C2588" s="362" t="s">
        <v>82</v>
      </c>
      <c r="D2588" s="560">
        <v>170690211</v>
      </c>
      <c r="E2588" s="560"/>
      <c r="F2588" s="560">
        <v>170690300</v>
      </c>
      <c r="G2588" s="560">
        <f t="shared" si="42"/>
        <v>-89</v>
      </c>
      <c r="H2588" s="560"/>
      <c r="I2588" s="560"/>
      <c r="J2588" s="560"/>
    </row>
    <row r="2589" spans="1:10" x14ac:dyDescent="0.25">
      <c r="A2589" s="362"/>
      <c r="B2589" s="609">
        <v>44229</v>
      </c>
      <c r="C2589" s="362" t="s">
        <v>80</v>
      </c>
      <c r="D2589" s="560">
        <v>276816000</v>
      </c>
      <c r="E2589" s="560"/>
      <c r="F2589" s="560">
        <v>276816000</v>
      </c>
      <c r="G2589" s="560">
        <f t="shared" si="42"/>
        <v>0</v>
      </c>
      <c r="H2589" s="560"/>
      <c r="I2589" s="560"/>
      <c r="J2589" s="560"/>
    </row>
    <row r="2590" spans="1:10" x14ac:dyDescent="0.25">
      <c r="A2590" s="362"/>
      <c r="B2590" s="609">
        <v>44229</v>
      </c>
      <c r="C2590" s="362" t="s">
        <v>83</v>
      </c>
      <c r="D2590" s="560">
        <v>263866136</v>
      </c>
      <c r="E2590" s="560">
        <v>62604927</v>
      </c>
      <c r="F2590" s="560">
        <v>326471100</v>
      </c>
      <c r="G2590" s="560">
        <f t="shared" si="42"/>
        <v>-37</v>
      </c>
      <c r="H2590" s="560"/>
      <c r="I2590" s="560"/>
      <c r="J2590" s="560"/>
    </row>
    <row r="2591" spans="1:10" x14ac:dyDescent="0.25">
      <c r="A2591" s="362"/>
      <c r="B2591" s="609">
        <v>44229</v>
      </c>
      <c r="C2591" s="362" t="s">
        <v>78</v>
      </c>
      <c r="D2591" s="560">
        <v>88001040</v>
      </c>
      <c r="E2591" s="560">
        <v>3168560</v>
      </c>
      <c r="F2591" s="560">
        <v>91169600</v>
      </c>
      <c r="G2591" s="560">
        <f t="shared" si="42"/>
        <v>0</v>
      </c>
      <c r="H2591" s="560"/>
      <c r="I2591" s="560"/>
      <c r="J2591" s="560"/>
    </row>
    <row r="2592" spans="1:10" x14ac:dyDescent="0.25">
      <c r="A2592" s="362"/>
      <c r="B2592" s="609">
        <v>44229</v>
      </c>
      <c r="C2592" s="362" t="s">
        <v>141</v>
      </c>
      <c r="D2592" s="560">
        <v>48628507</v>
      </c>
      <c r="E2592" s="560">
        <v>292000</v>
      </c>
      <c r="F2592" s="560">
        <v>48920600</v>
      </c>
      <c r="G2592" s="560">
        <f t="shared" si="42"/>
        <v>-93</v>
      </c>
      <c r="H2592" s="560"/>
      <c r="I2592" s="560"/>
      <c r="J2592" s="560"/>
    </row>
    <row r="2593" spans="1:10" x14ac:dyDescent="0.25">
      <c r="A2593" s="362"/>
      <c r="B2593" s="609">
        <v>44229</v>
      </c>
      <c r="C2593" s="362" t="s">
        <v>89</v>
      </c>
      <c r="D2593" s="560">
        <v>151088503</v>
      </c>
      <c r="E2593" s="560">
        <v>3321497</v>
      </c>
      <c r="F2593" s="560">
        <v>154410000</v>
      </c>
      <c r="G2593" s="560">
        <f t="shared" si="42"/>
        <v>0</v>
      </c>
      <c r="H2593" s="560"/>
      <c r="I2593" s="560"/>
      <c r="J2593" s="560"/>
    </row>
    <row r="2594" spans="1:10" x14ac:dyDescent="0.25">
      <c r="A2594" s="362"/>
      <c r="B2594" s="609">
        <v>44229</v>
      </c>
      <c r="C2594" s="362" t="s">
        <v>81</v>
      </c>
      <c r="D2594" s="560">
        <v>71683347</v>
      </c>
      <c r="E2594" s="560">
        <v>8240509</v>
      </c>
      <c r="F2594" s="560">
        <v>79923900</v>
      </c>
      <c r="G2594" s="560">
        <f t="shared" si="42"/>
        <v>-44</v>
      </c>
      <c r="H2594" s="560"/>
      <c r="I2594" s="560"/>
      <c r="J2594" s="560"/>
    </row>
    <row r="2595" spans="1:10" x14ac:dyDescent="0.25">
      <c r="A2595" s="362"/>
      <c r="B2595" s="609">
        <v>44229</v>
      </c>
      <c r="C2595" s="362" t="s">
        <v>84</v>
      </c>
      <c r="D2595" s="560">
        <v>203542459</v>
      </c>
      <c r="E2595" s="560">
        <v>15079333</v>
      </c>
      <c r="F2595" s="560">
        <v>217621800</v>
      </c>
      <c r="G2595" s="560">
        <f t="shared" si="42"/>
        <v>999992</v>
      </c>
      <c r="H2595" s="560"/>
      <c r="I2595" s="560"/>
      <c r="J2595" s="560"/>
    </row>
    <row r="2596" spans="1:10" x14ac:dyDescent="0.25">
      <c r="A2596" s="362"/>
      <c r="B2596" s="609">
        <v>44229</v>
      </c>
      <c r="C2596" s="362" t="s">
        <v>4751</v>
      </c>
      <c r="D2596" s="560">
        <v>270956298</v>
      </c>
      <c r="E2596" s="560">
        <v>13200202</v>
      </c>
      <c r="F2596" s="560">
        <v>284156500</v>
      </c>
      <c r="G2596" s="560">
        <f t="shared" si="42"/>
        <v>0</v>
      </c>
      <c r="H2596" s="560"/>
      <c r="I2596" s="560"/>
      <c r="J2596" s="560"/>
    </row>
    <row r="2597" spans="1:10" x14ac:dyDescent="0.25">
      <c r="A2597" s="362"/>
      <c r="B2597" s="609">
        <v>44229</v>
      </c>
      <c r="C2597" s="362" t="s">
        <v>166</v>
      </c>
      <c r="D2597" s="560">
        <v>69197023</v>
      </c>
      <c r="E2597" s="560"/>
      <c r="F2597" s="560">
        <v>69197100</v>
      </c>
      <c r="G2597" s="560">
        <f t="shared" si="42"/>
        <v>-77</v>
      </c>
      <c r="H2597" s="560"/>
      <c r="I2597" s="560"/>
      <c r="J2597" s="560"/>
    </row>
    <row r="2598" spans="1:10" x14ac:dyDescent="0.25">
      <c r="A2598" s="362"/>
      <c r="B2598" s="609">
        <v>44229</v>
      </c>
      <c r="C2598" s="362" t="s">
        <v>3435</v>
      </c>
      <c r="D2598" s="560">
        <v>45251663</v>
      </c>
      <c r="E2598" s="560"/>
      <c r="F2598" s="560">
        <v>45251700</v>
      </c>
      <c r="G2598" s="560">
        <f t="shared" si="42"/>
        <v>-37</v>
      </c>
      <c r="H2598" s="560"/>
      <c r="I2598" s="560"/>
      <c r="J2598" s="560"/>
    </row>
    <row r="2599" spans="1:10" x14ac:dyDescent="0.25">
      <c r="A2599" s="362"/>
      <c r="B2599" s="609">
        <v>44229</v>
      </c>
      <c r="C2599" s="370" t="s">
        <v>85</v>
      </c>
      <c r="D2599" s="560">
        <v>38086000</v>
      </c>
      <c r="E2599" s="560"/>
      <c r="F2599" s="560">
        <v>38086000</v>
      </c>
      <c r="G2599" s="560">
        <f t="shared" si="42"/>
        <v>0</v>
      </c>
      <c r="H2599" s="560"/>
      <c r="I2599" s="560"/>
      <c r="J2599" s="560"/>
    </row>
    <row r="2600" spans="1:10" x14ac:dyDescent="0.25">
      <c r="A2600" s="530"/>
      <c r="B2600" s="530"/>
      <c r="C2600" s="530"/>
      <c r="D2600" s="562">
        <f>SUM(D2585:D2599)</f>
        <v>2134225281</v>
      </c>
      <c r="E2600" s="562">
        <f>SUM(E2585:E2599)</f>
        <v>178771232</v>
      </c>
      <c r="F2600" s="562">
        <f>SUM(F2585:F2599)</f>
        <v>2311997000</v>
      </c>
      <c r="G2600" s="560">
        <f t="shared" si="42"/>
        <v>999513</v>
      </c>
      <c r="H2600" s="562"/>
      <c r="I2600" s="562"/>
      <c r="J2600" s="562"/>
    </row>
    <row r="2601" spans="1:10" x14ac:dyDescent="0.25">
      <c r="A2601" s="362"/>
      <c r="B2601" s="609">
        <v>44230</v>
      </c>
      <c r="C2601" s="362" t="s">
        <v>86</v>
      </c>
      <c r="D2601" s="560">
        <v>60072069</v>
      </c>
      <c r="E2601" s="560">
        <v>31942511</v>
      </c>
      <c r="F2601" s="560">
        <v>92014600</v>
      </c>
      <c r="G2601" s="560">
        <f t="shared" si="42"/>
        <v>-20</v>
      </c>
      <c r="H2601" s="560"/>
      <c r="I2601" s="560"/>
      <c r="J2601" s="560"/>
    </row>
    <row r="2602" spans="1:10" x14ac:dyDescent="0.25">
      <c r="A2602" s="362"/>
      <c r="B2602" s="609">
        <v>44230</v>
      </c>
      <c r="C2602" s="362" t="s">
        <v>87</v>
      </c>
      <c r="D2602" s="560">
        <v>103019972</v>
      </c>
      <c r="E2602" s="560">
        <v>5162209</v>
      </c>
      <c r="F2602" s="560">
        <v>108182100</v>
      </c>
      <c r="G2602" s="560">
        <f t="shared" si="42"/>
        <v>81</v>
      </c>
      <c r="H2602" s="560"/>
      <c r="I2602" s="560"/>
      <c r="J2602" s="560"/>
    </row>
    <row r="2603" spans="1:10" x14ac:dyDescent="0.25">
      <c r="A2603" s="362"/>
      <c r="B2603" s="609">
        <v>44230</v>
      </c>
      <c r="C2603" s="362" t="s">
        <v>88</v>
      </c>
      <c r="D2603" s="560">
        <v>266727093</v>
      </c>
      <c r="E2603" s="560">
        <v>30148637</v>
      </c>
      <c r="F2603" s="560">
        <v>296875800</v>
      </c>
      <c r="G2603" s="560">
        <f t="shared" si="42"/>
        <v>-70</v>
      </c>
      <c r="H2603" s="560"/>
      <c r="I2603" s="560"/>
      <c r="J2603" s="560"/>
    </row>
    <row r="2604" spans="1:10" x14ac:dyDescent="0.25">
      <c r="A2604" s="362"/>
      <c r="B2604" s="609">
        <v>44230</v>
      </c>
      <c r="C2604" s="362" t="s">
        <v>82</v>
      </c>
      <c r="D2604" s="560">
        <v>118922457</v>
      </c>
      <c r="E2604" s="560">
        <v>4103254</v>
      </c>
      <c r="F2604" s="560">
        <v>123025800</v>
      </c>
      <c r="G2604" s="560">
        <f t="shared" si="42"/>
        <v>-89</v>
      </c>
      <c r="H2604" s="560"/>
      <c r="I2604" s="560"/>
      <c r="J2604" s="560"/>
    </row>
    <row r="2605" spans="1:10" x14ac:dyDescent="0.25">
      <c r="A2605" s="362"/>
      <c r="B2605" s="609">
        <v>44230</v>
      </c>
      <c r="C2605" s="362" t="s">
        <v>80</v>
      </c>
      <c r="D2605" s="560">
        <v>206459848</v>
      </c>
      <c r="E2605" s="560">
        <v>10318452</v>
      </c>
      <c r="F2605" s="560">
        <v>216778300</v>
      </c>
      <c r="G2605" s="560">
        <f t="shared" si="42"/>
        <v>0</v>
      </c>
      <c r="H2605" s="560"/>
      <c r="I2605" s="560"/>
      <c r="J2605" s="560"/>
    </row>
    <row r="2606" spans="1:10" x14ac:dyDescent="0.25">
      <c r="A2606" s="362"/>
      <c r="B2606" s="609">
        <v>44230</v>
      </c>
      <c r="C2606" s="362" t="s">
        <v>83</v>
      </c>
      <c r="D2606" s="560">
        <v>182808973</v>
      </c>
      <c r="E2606" s="560">
        <v>16803430</v>
      </c>
      <c r="F2606" s="560">
        <v>199612500</v>
      </c>
      <c r="G2606" s="560">
        <f t="shared" si="42"/>
        <v>-97</v>
      </c>
      <c r="H2606" s="560"/>
      <c r="I2606" s="560"/>
      <c r="J2606" s="560"/>
    </row>
    <row r="2607" spans="1:10" x14ac:dyDescent="0.25">
      <c r="A2607" s="362"/>
      <c r="B2607" s="609">
        <v>44230</v>
      </c>
      <c r="C2607" s="362" t="s">
        <v>78</v>
      </c>
      <c r="D2607" s="560">
        <v>110332046</v>
      </c>
      <c r="E2607" s="560">
        <v>1736154</v>
      </c>
      <c r="F2607" s="560">
        <v>112068200</v>
      </c>
      <c r="G2607" s="560">
        <f t="shared" si="42"/>
        <v>0</v>
      </c>
      <c r="H2607" s="560"/>
      <c r="I2607" s="560"/>
      <c r="J2607" s="560"/>
    </row>
    <row r="2608" spans="1:10" x14ac:dyDescent="0.25">
      <c r="A2608" s="362"/>
      <c r="B2608" s="609">
        <v>44230</v>
      </c>
      <c r="C2608" s="362" t="s">
        <v>141</v>
      </c>
      <c r="D2608" s="560">
        <v>109145168</v>
      </c>
      <c r="E2608" s="560">
        <v>656866</v>
      </c>
      <c r="F2608" s="560">
        <v>109802100</v>
      </c>
      <c r="G2608" s="560">
        <f t="shared" si="42"/>
        <v>-66</v>
      </c>
      <c r="H2608" s="560"/>
      <c r="I2608" s="560"/>
      <c r="J2608" s="560"/>
    </row>
    <row r="2609" spans="1:10" x14ac:dyDescent="0.25">
      <c r="A2609" s="362"/>
      <c r="B2609" s="609">
        <v>44230</v>
      </c>
      <c r="C2609" s="362" t="s">
        <v>89</v>
      </c>
      <c r="D2609" s="560">
        <v>144635215</v>
      </c>
      <c r="E2609" s="560">
        <v>9083985</v>
      </c>
      <c r="F2609" s="560">
        <v>153719200</v>
      </c>
      <c r="G2609" s="560">
        <f t="shared" si="42"/>
        <v>0</v>
      </c>
      <c r="H2609" s="560"/>
      <c r="I2609" s="560"/>
      <c r="J2609" s="560"/>
    </row>
    <row r="2610" spans="1:10" x14ac:dyDescent="0.25">
      <c r="A2610" s="362"/>
      <c r="B2610" s="609">
        <v>44230</v>
      </c>
      <c r="C2610" s="362" t="s">
        <v>81</v>
      </c>
      <c r="D2610" s="560">
        <v>68150133</v>
      </c>
      <c r="E2610" s="560">
        <v>4807363</v>
      </c>
      <c r="F2610" s="560">
        <v>72957496</v>
      </c>
      <c r="G2610" s="560">
        <f t="shared" si="42"/>
        <v>0</v>
      </c>
      <c r="H2610" s="560"/>
      <c r="I2610" s="560"/>
      <c r="J2610" s="560"/>
    </row>
    <row r="2611" spans="1:10" x14ac:dyDescent="0.25">
      <c r="A2611" s="362"/>
      <c r="B2611" s="609">
        <v>44230</v>
      </c>
      <c r="C2611" s="362" t="s">
        <v>84</v>
      </c>
      <c r="D2611" s="560">
        <v>474545266</v>
      </c>
      <c r="E2611" s="560">
        <v>12349782</v>
      </c>
      <c r="F2611" s="560">
        <v>486895100</v>
      </c>
      <c r="G2611" s="560">
        <f t="shared" si="42"/>
        <v>-52</v>
      </c>
      <c r="H2611" s="560"/>
      <c r="I2611" s="560"/>
      <c r="J2611" s="560"/>
    </row>
    <row r="2612" spans="1:10" x14ac:dyDescent="0.25">
      <c r="A2612" s="362"/>
      <c r="B2612" s="609">
        <v>44230</v>
      </c>
      <c r="C2612" s="362" t="s">
        <v>4751</v>
      </c>
      <c r="D2612" s="560">
        <v>132502433</v>
      </c>
      <c r="E2612" s="560">
        <v>3922767</v>
      </c>
      <c r="F2612" s="560">
        <v>136425200</v>
      </c>
      <c r="G2612" s="560">
        <f t="shared" si="42"/>
        <v>0</v>
      </c>
      <c r="H2612" s="560"/>
      <c r="I2612" s="560"/>
      <c r="J2612" s="560"/>
    </row>
    <row r="2613" spans="1:10" x14ac:dyDescent="0.25">
      <c r="A2613" s="362"/>
      <c r="B2613" s="609">
        <v>44230</v>
      </c>
      <c r="C2613" s="362" t="s">
        <v>166</v>
      </c>
      <c r="D2613" s="560">
        <v>48353320</v>
      </c>
      <c r="E2613" s="560"/>
      <c r="F2613" s="560">
        <v>48353300</v>
      </c>
      <c r="G2613" s="560">
        <f t="shared" si="42"/>
        <v>20</v>
      </c>
      <c r="H2613" s="560"/>
      <c r="I2613" s="560"/>
      <c r="J2613" s="560"/>
    </row>
    <row r="2614" spans="1:10" x14ac:dyDescent="0.25">
      <c r="A2614" s="362"/>
      <c r="B2614" s="609">
        <v>44230</v>
      </c>
      <c r="C2614" s="362" t="s">
        <v>3435</v>
      </c>
      <c r="D2614" s="560">
        <v>134791982</v>
      </c>
      <c r="E2614" s="560"/>
      <c r="F2614" s="560">
        <v>134792000</v>
      </c>
      <c r="G2614" s="560">
        <f t="shared" si="42"/>
        <v>-18</v>
      </c>
      <c r="H2614" s="560"/>
      <c r="I2614" s="560"/>
      <c r="J2614" s="560"/>
    </row>
    <row r="2615" spans="1:10" x14ac:dyDescent="0.25">
      <c r="A2615" s="362"/>
      <c r="B2615" s="609">
        <v>44230</v>
      </c>
      <c r="C2615" s="370" t="s">
        <v>85</v>
      </c>
      <c r="D2615" s="560">
        <v>42582400</v>
      </c>
      <c r="E2615" s="560"/>
      <c r="F2615" s="560">
        <v>42582400</v>
      </c>
      <c r="G2615" s="560">
        <f t="shared" si="42"/>
        <v>0</v>
      </c>
      <c r="H2615" s="560"/>
      <c r="I2615" s="560"/>
      <c r="J2615" s="560"/>
    </row>
    <row r="2616" spans="1:10" x14ac:dyDescent="0.25">
      <c r="A2616" s="530"/>
      <c r="B2616" s="530"/>
      <c r="C2616" s="530"/>
      <c r="D2616" s="562">
        <f>SUM(D2601:D2615)</f>
        <v>2203048375</v>
      </c>
      <c r="E2616" s="562">
        <f>SUM(E2601:E2615)</f>
        <v>131035410</v>
      </c>
      <c r="F2616" s="562">
        <f>SUM(F2601:F2615)</f>
        <v>2334084096</v>
      </c>
      <c r="G2616" s="562">
        <f t="shared" si="42"/>
        <v>-311</v>
      </c>
      <c r="H2616" s="562"/>
      <c r="I2616" s="562"/>
      <c r="J2616" s="562"/>
    </row>
    <row r="2617" spans="1:10" x14ac:dyDescent="0.25">
      <c r="A2617" s="362"/>
      <c r="B2617" s="609">
        <v>44231</v>
      </c>
      <c r="C2617" s="362" t="s">
        <v>86</v>
      </c>
      <c r="D2617" s="560">
        <v>80303769</v>
      </c>
      <c r="E2617" s="560">
        <v>58155086</v>
      </c>
      <c r="F2617" s="560">
        <v>138458800</v>
      </c>
      <c r="G2617" s="560">
        <f t="shared" si="42"/>
        <v>55</v>
      </c>
      <c r="H2617" s="560"/>
      <c r="I2617" s="560"/>
      <c r="J2617" s="560"/>
    </row>
    <row r="2618" spans="1:10" x14ac:dyDescent="0.25">
      <c r="A2618" s="362"/>
      <c r="B2618" s="609">
        <v>44231</v>
      </c>
      <c r="C2618" s="362" t="s">
        <v>87</v>
      </c>
      <c r="D2618" s="560">
        <v>73930046</v>
      </c>
      <c r="E2618" s="560">
        <v>103755555</v>
      </c>
      <c r="F2618" s="560">
        <v>177685700</v>
      </c>
      <c r="G2618" s="560">
        <f t="shared" si="42"/>
        <v>-99</v>
      </c>
      <c r="H2618" s="560"/>
      <c r="I2618" s="560"/>
      <c r="J2618" s="560"/>
    </row>
    <row r="2619" spans="1:10" x14ac:dyDescent="0.25">
      <c r="A2619" s="362"/>
      <c r="B2619" s="609">
        <v>44231</v>
      </c>
      <c r="C2619" s="362" t="s">
        <v>88</v>
      </c>
      <c r="D2619" s="560">
        <v>219343940</v>
      </c>
      <c r="E2619" s="560">
        <v>13347912</v>
      </c>
      <c r="F2619" s="560">
        <v>232691900</v>
      </c>
      <c r="G2619" s="560">
        <f t="shared" si="42"/>
        <v>-48</v>
      </c>
      <c r="H2619" s="560"/>
      <c r="I2619" s="560"/>
      <c r="J2619" s="560"/>
    </row>
    <row r="2620" spans="1:10" x14ac:dyDescent="0.25">
      <c r="A2620" s="362"/>
      <c r="B2620" s="609">
        <v>44231</v>
      </c>
      <c r="C2620" s="362" t="s">
        <v>82</v>
      </c>
      <c r="D2620" s="560">
        <v>102373117</v>
      </c>
      <c r="E2620" s="560">
        <v>765000</v>
      </c>
      <c r="F2620" s="560">
        <v>103138200</v>
      </c>
      <c r="G2620" s="560">
        <f t="shared" si="42"/>
        <v>-83</v>
      </c>
      <c r="H2620" s="560"/>
      <c r="I2620" s="560"/>
      <c r="J2620" s="560"/>
    </row>
    <row r="2621" spans="1:10" x14ac:dyDescent="0.25">
      <c r="A2621" s="362"/>
      <c r="B2621" s="609">
        <v>44231</v>
      </c>
      <c r="C2621" s="362" t="s">
        <v>80</v>
      </c>
      <c r="D2621" s="560">
        <v>280377500</v>
      </c>
      <c r="E2621" s="560"/>
      <c r="F2621" s="560">
        <v>280377500</v>
      </c>
      <c r="G2621" s="560">
        <f t="shared" si="42"/>
        <v>0</v>
      </c>
      <c r="H2621" s="560"/>
      <c r="I2621" s="560"/>
      <c r="J2621" s="560"/>
    </row>
    <row r="2622" spans="1:10" x14ac:dyDescent="0.25">
      <c r="A2622" s="362"/>
      <c r="B2622" s="609">
        <v>44231</v>
      </c>
      <c r="C2622" s="362" t="s">
        <v>83</v>
      </c>
      <c r="D2622" s="560">
        <v>189314492</v>
      </c>
      <c r="E2622" s="560">
        <v>14588708</v>
      </c>
      <c r="F2622" s="560">
        <v>203903200</v>
      </c>
      <c r="G2622" s="560">
        <f t="shared" si="42"/>
        <v>0</v>
      </c>
      <c r="H2622" s="560"/>
      <c r="I2622" s="560"/>
      <c r="J2622" s="560"/>
    </row>
    <row r="2623" spans="1:10" x14ac:dyDescent="0.25">
      <c r="A2623" s="362"/>
      <c r="B2623" s="609">
        <v>44231</v>
      </c>
      <c r="C2623" s="362" t="s">
        <v>78</v>
      </c>
      <c r="D2623" s="560">
        <v>139213434</v>
      </c>
      <c r="E2623" s="560">
        <v>1609366</v>
      </c>
      <c r="F2623" s="560">
        <v>140822800</v>
      </c>
      <c r="G2623" s="560">
        <f t="shared" si="42"/>
        <v>0</v>
      </c>
      <c r="H2623" s="560"/>
      <c r="I2623" s="560"/>
      <c r="J2623" s="560"/>
    </row>
    <row r="2624" spans="1:10" x14ac:dyDescent="0.25">
      <c r="A2624" s="362"/>
      <c r="B2624" s="609">
        <v>44231</v>
      </c>
      <c r="C2624" s="362" t="s">
        <v>141</v>
      </c>
      <c r="D2624" s="560">
        <v>71394750</v>
      </c>
      <c r="E2624" s="560">
        <v>4529025</v>
      </c>
      <c r="F2624" s="560">
        <v>75923800</v>
      </c>
      <c r="G2624" s="560">
        <f t="shared" si="42"/>
        <v>-25</v>
      </c>
      <c r="H2624" s="560"/>
      <c r="I2624" s="560"/>
      <c r="J2624" s="560"/>
    </row>
    <row r="2625" spans="1:10" x14ac:dyDescent="0.25">
      <c r="A2625" s="362"/>
      <c r="B2625" s="609">
        <v>44231</v>
      </c>
      <c r="C2625" s="362" t="s">
        <v>89</v>
      </c>
      <c r="D2625" s="560">
        <v>156641591</v>
      </c>
      <c r="E2625" s="560">
        <v>17387809</v>
      </c>
      <c r="F2625" s="560">
        <v>174029400</v>
      </c>
      <c r="G2625" s="560">
        <f t="shared" si="42"/>
        <v>0</v>
      </c>
      <c r="H2625" s="560"/>
      <c r="I2625" s="560"/>
      <c r="J2625" s="560"/>
    </row>
    <row r="2626" spans="1:10" x14ac:dyDescent="0.25">
      <c r="A2626" s="362"/>
      <c r="B2626" s="609">
        <v>44231</v>
      </c>
      <c r="C2626" s="362" t="s">
        <v>81</v>
      </c>
      <c r="D2626" s="560">
        <v>87938231</v>
      </c>
      <c r="E2626" s="560">
        <v>21359735</v>
      </c>
      <c r="F2626" s="560">
        <v>109298000</v>
      </c>
      <c r="G2626" s="560">
        <f t="shared" si="42"/>
        <v>-34</v>
      </c>
      <c r="H2626" s="560"/>
      <c r="I2626" s="560"/>
      <c r="J2626" s="560"/>
    </row>
    <row r="2627" spans="1:10" x14ac:dyDescent="0.25">
      <c r="A2627" s="362"/>
      <c r="B2627" s="609">
        <v>44231</v>
      </c>
      <c r="C2627" s="362" t="s">
        <v>84</v>
      </c>
      <c r="D2627" s="560">
        <v>276069940</v>
      </c>
      <c r="E2627" s="560">
        <v>10042833</v>
      </c>
      <c r="F2627" s="560">
        <v>286112800</v>
      </c>
      <c r="G2627" s="560">
        <f t="shared" si="42"/>
        <v>-27</v>
      </c>
      <c r="H2627" s="560"/>
      <c r="I2627" s="560"/>
      <c r="J2627" s="560"/>
    </row>
    <row r="2628" spans="1:10" x14ac:dyDescent="0.25">
      <c r="A2628" s="362"/>
      <c r="B2628" s="609">
        <v>44231</v>
      </c>
      <c r="C2628" s="362" t="s">
        <v>4751</v>
      </c>
      <c r="D2628" s="560">
        <v>182166000</v>
      </c>
      <c r="E2628" s="560">
        <v>4054100</v>
      </c>
      <c r="F2628" s="560">
        <v>186220100</v>
      </c>
      <c r="G2628" s="560">
        <f t="shared" si="42"/>
        <v>0</v>
      </c>
      <c r="H2628" s="560"/>
      <c r="I2628" s="560"/>
      <c r="J2628" s="560"/>
    </row>
    <row r="2629" spans="1:10" x14ac:dyDescent="0.25">
      <c r="A2629" s="362"/>
      <c r="B2629" s="609">
        <v>44231</v>
      </c>
      <c r="C2629" s="362" t="s">
        <v>166</v>
      </c>
      <c r="D2629" s="560">
        <v>97616586</v>
      </c>
      <c r="E2629" s="560"/>
      <c r="F2629" s="560">
        <v>97616600</v>
      </c>
      <c r="G2629" s="560">
        <f t="shared" si="42"/>
        <v>-14</v>
      </c>
      <c r="H2629" s="560"/>
      <c r="I2629" s="560"/>
      <c r="J2629" s="560"/>
    </row>
    <row r="2630" spans="1:10" x14ac:dyDescent="0.25">
      <c r="A2630" s="362"/>
      <c r="B2630" s="609">
        <v>44231</v>
      </c>
      <c r="C2630" s="362" t="s">
        <v>3435</v>
      </c>
      <c r="D2630" s="560">
        <v>168428189</v>
      </c>
      <c r="E2630" s="560"/>
      <c r="F2630" s="560">
        <v>168428200</v>
      </c>
      <c r="G2630" s="560">
        <f t="shared" si="42"/>
        <v>-11</v>
      </c>
      <c r="H2630" s="560"/>
      <c r="I2630" s="560"/>
      <c r="J2630" s="560"/>
    </row>
    <row r="2631" spans="1:10" x14ac:dyDescent="0.25">
      <c r="A2631" s="362"/>
      <c r="B2631" s="609">
        <v>44231</v>
      </c>
      <c r="C2631" s="370" t="s">
        <v>85</v>
      </c>
      <c r="D2631" s="560">
        <v>21376300</v>
      </c>
      <c r="E2631" s="560"/>
      <c r="F2631" s="560">
        <v>21376300</v>
      </c>
      <c r="G2631" s="560">
        <f t="shared" si="42"/>
        <v>0</v>
      </c>
      <c r="H2631" s="560"/>
      <c r="I2631" s="560"/>
      <c r="J2631" s="560"/>
    </row>
    <row r="2632" spans="1:10" x14ac:dyDescent="0.25">
      <c r="A2632" s="530"/>
      <c r="B2632" s="530"/>
      <c r="C2632" s="530"/>
      <c r="D2632" s="562">
        <f>SUM(D2617:D2631)</f>
        <v>2146487885</v>
      </c>
      <c r="E2632" s="562">
        <f>SUM(E2617:E2631)</f>
        <v>249595129</v>
      </c>
      <c r="F2632" s="562">
        <f>SUM(F2617:F2631)</f>
        <v>2396083300</v>
      </c>
      <c r="G2632" s="562">
        <f t="shared" si="42"/>
        <v>-286</v>
      </c>
      <c r="H2632" s="562"/>
      <c r="I2632" s="562"/>
      <c r="J2632" s="562"/>
    </row>
    <row r="2633" spans="1:10" x14ac:dyDescent="0.25">
      <c r="A2633" s="362"/>
      <c r="B2633" s="609">
        <v>44232</v>
      </c>
      <c r="C2633" s="362" t="s">
        <v>86</v>
      </c>
      <c r="D2633" s="560">
        <v>42463473</v>
      </c>
      <c r="E2633" s="560">
        <v>107071577</v>
      </c>
      <c r="F2633" s="560">
        <v>149535000</v>
      </c>
      <c r="G2633" s="560">
        <f t="shared" si="42"/>
        <v>50</v>
      </c>
      <c r="H2633" s="560"/>
      <c r="I2633" s="560"/>
      <c r="J2633" s="560"/>
    </row>
    <row r="2634" spans="1:10" x14ac:dyDescent="0.25">
      <c r="A2634" s="362"/>
      <c r="B2634" s="609">
        <v>44232</v>
      </c>
      <c r="C2634" s="362" t="s">
        <v>87</v>
      </c>
      <c r="D2634" s="560">
        <v>67309367</v>
      </c>
      <c r="E2634" s="560">
        <v>153113710</v>
      </c>
      <c r="F2634" s="560">
        <v>220423100</v>
      </c>
      <c r="G2634" s="560">
        <f t="shared" ref="G2634:G2697" si="43">D2634+E2634-F2634</f>
        <v>-23</v>
      </c>
      <c r="H2634" s="560"/>
      <c r="I2634" s="560"/>
      <c r="J2634" s="560"/>
    </row>
    <row r="2635" spans="1:10" x14ac:dyDescent="0.25">
      <c r="A2635" s="362"/>
      <c r="B2635" s="609">
        <v>44232</v>
      </c>
      <c r="C2635" s="362" t="s">
        <v>88</v>
      </c>
      <c r="D2635" s="560">
        <v>265478129</v>
      </c>
      <c r="E2635" s="560">
        <v>38631069</v>
      </c>
      <c r="F2635" s="560">
        <v>304109200</v>
      </c>
      <c r="G2635" s="560">
        <f t="shared" si="43"/>
        <v>-2</v>
      </c>
      <c r="H2635" s="560"/>
      <c r="I2635" s="560"/>
      <c r="J2635" s="560"/>
    </row>
    <row r="2636" spans="1:10" x14ac:dyDescent="0.25">
      <c r="A2636" s="362"/>
      <c r="B2636" s="609">
        <v>44232</v>
      </c>
      <c r="C2636" s="362" t="s">
        <v>82</v>
      </c>
      <c r="D2636" s="560">
        <v>184984650</v>
      </c>
      <c r="E2636" s="560">
        <v>3920407</v>
      </c>
      <c r="F2636" s="560">
        <v>188905100</v>
      </c>
      <c r="G2636" s="560">
        <f t="shared" si="43"/>
        <v>-43</v>
      </c>
      <c r="H2636" s="560"/>
      <c r="I2636" s="560"/>
      <c r="J2636" s="560"/>
    </row>
    <row r="2637" spans="1:10" x14ac:dyDescent="0.25">
      <c r="A2637" s="362"/>
      <c r="B2637" s="609">
        <v>44232</v>
      </c>
      <c r="C2637" s="362" t="s">
        <v>80</v>
      </c>
      <c r="D2637" s="560">
        <v>304948288</v>
      </c>
      <c r="E2637" s="560">
        <v>75300126</v>
      </c>
      <c r="F2637" s="560">
        <v>380248400</v>
      </c>
      <c r="G2637" s="560">
        <f t="shared" si="43"/>
        <v>14</v>
      </c>
      <c r="H2637" s="560"/>
      <c r="I2637" s="560"/>
      <c r="J2637" s="560"/>
    </row>
    <row r="2638" spans="1:10" x14ac:dyDescent="0.25">
      <c r="A2638" s="362"/>
      <c r="B2638" s="609">
        <v>44232</v>
      </c>
      <c r="C2638" s="362" t="s">
        <v>83</v>
      </c>
      <c r="D2638" s="560">
        <v>309796846</v>
      </c>
      <c r="E2638" s="560">
        <v>103044112</v>
      </c>
      <c r="F2638" s="560">
        <v>412841000</v>
      </c>
      <c r="G2638" s="560">
        <f t="shared" si="43"/>
        <v>-42</v>
      </c>
      <c r="H2638" s="560"/>
      <c r="I2638" s="560"/>
      <c r="J2638" s="560"/>
    </row>
    <row r="2639" spans="1:10" x14ac:dyDescent="0.25">
      <c r="A2639" s="362"/>
      <c r="B2639" s="609">
        <v>44232</v>
      </c>
      <c r="C2639" s="362" t="s">
        <v>78</v>
      </c>
      <c r="D2639" s="560">
        <v>128401776</v>
      </c>
      <c r="E2639" s="560">
        <v>1634324</v>
      </c>
      <c r="F2639" s="560">
        <v>130036100</v>
      </c>
      <c r="G2639" s="560">
        <f t="shared" si="43"/>
        <v>0</v>
      </c>
      <c r="H2639" s="560"/>
      <c r="I2639" s="560"/>
      <c r="J2639" s="560"/>
    </row>
    <row r="2640" spans="1:10" x14ac:dyDescent="0.25">
      <c r="A2640" s="362"/>
      <c r="B2640" s="609">
        <v>44232</v>
      </c>
      <c r="C2640" s="362" t="s">
        <v>141</v>
      </c>
      <c r="D2640" s="560">
        <v>69677082</v>
      </c>
      <c r="E2640" s="560">
        <v>613925</v>
      </c>
      <c r="F2640" s="560">
        <v>70290100</v>
      </c>
      <c r="G2640" s="560">
        <f t="shared" si="43"/>
        <v>907</v>
      </c>
      <c r="H2640" s="560"/>
      <c r="I2640" s="560"/>
      <c r="J2640" s="560"/>
    </row>
    <row r="2641" spans="1:10" x14ac:dyDescent="0.25">
      <c r="A2641" s="362"/>
      <c r="B2641" s="609">
        <v>44232</v>
      </c>
      <c r="C2641" s="362" t="s">
        <v>89</v>
      </c>
      <c r="D2641" s="560">
        <v>170619333</v>
      </c>
      <c r="E2641" s="560">
        <v>124632567</v>
      </c>
      <c r="F2641" s="560">
        <v>295251900</v>
      </c>
      <c r="G2641" s="560">
        <f t="shared" si="43"/>
        <v>0</v>
      </c>
      <c r="H2641" s="560"/>
      <c r="I2641" s="560"/>
      <c r="J2641" s="560"/>
    </row>
    <row r="2642" spans="1:10" x14ac:dyDescent="0.25">
      <c r="A2642" s="362"/>
      <c r="B2642" s="609">
        <v>44232</v>
      </c>
      <c r="C2642" s="362" t="s">
        <v>81</v>
      </c>
      <c r="D2642" s="560">
        <v>98195249</v>
      </c>
      <c r="E2642" s="560">
        <v>36421436</v>
      </c>
      <c r="F2642" s="560">
        <v>134616700</v>
      </c>
      <c r="G2642" s="560">
        <f t="shared" si="43"/>
        <v>-15</v>
      </c>
      <c r="H2642" s="560"/>
      <c r="I2642" s="560"/>
      <c r="J2642" s="560"/>
    </row>
    <row r="2643" spans="1:10" x14ac:dyDescent="0.25">
      <c r="A2643" s="362"/>
      <c r="B2643" s="609">
        <v>44232</v>
      </c>
      <c r="C2643" s="362" t="s">
        <v>84</v>
      </c>
      <c r="D2643" s="560">
        <v>153306847</v>
      </c>
      <c r="E2643" s="560">
        <v>10311290</v>
      </c>
      <c r="F2643" s="560">
        <v>163618200</v>
      </c>
      <c r="G2643" s="560">
        <f t="shared" si="43"/>
        <v>-63</v>
      </c>
      <c r="H2643" s="560"/>
      <c r="I2643" s="560"/>
      <c r="J2643" s="560"/>
    </row>
    <row r="2644" spans="1:10" x14ac:dyDescent="0.25">
      <c r="A2644" s="362"/>
      <c r="B2644" s="609">
        <v>44232</v>
      </c>
      <c r="C2644" s="362" t="s">
        <v>4751</v>
      </c>
      <c r="D2644" s="560">
        <v>192086849</v>
      </c>
      <c r="E2644" s="560">
        <v>5643351</v>
      </c>
      <c r="F2644" s="560">
        <v>197730200</v>
      </c>
      <c r="G2644" s="560">
        <f t="shared" si="43"/>
        <v>0</v>
      </c>
      <c r="H2644" s="560"/>
      <c r="I2644" s="560"/>
      <c r="J2644" s="560"/>
    </row>
    <row r="2645" spans="1:10" x14ac:dyDescent="0.25">
      <c r="A2645" s="362"/>
      <c r="B2645" s="609">
        <v>44232</v>
      </c>
      <c r="C2645" s="362" t="s">
        <v>166</v>
      </c>
      <c r="D2645" s="560">
        <v>28621586</v>
      </c>
      <c r="E2645" s="560"/>
      <c r="F2645" s="560">
        <v>28621600</v>
      </c>
      <c r="G2645" s="560">
        <f t="shared" si="43"/>
        <v>-14</v>
      </c>
      <c r="H2645" s="560"/>
      <c r="I2645" s="560"/>
      <c r="J2645" s="560"/>
    </row>
    <row r="2646" spans="1:10" x14ac:dyDescent="0.25">
      <c r="A2646" s="362"/>
      <c r="B2646" s="609">
        <v>44232</v>
      </c>
      <c r="C2646" s="362" t="s">
        <v>3435</v>
      </c>
      <c r="D2646" s="560">
        <v>56181895</v>
      </c>
      <c r="E2646" s="560"/>
      <c r="F2646" s="560">
        <v>56181900</v>
      </c>
      <c r="G2646" s="560">
        <f t="shared" si="43"/>
        <v>-5</v>
      </c>
      <c r="H2646" s="560"/>
      <c r="I2646" s="560"/>
      <c r="J2646" s="560"/>
    </row>
    <row r="2647" spans="1:10" x14ac:dyDescent="0.25">
      <c r="A2647" s="362"/>
      <c r="B2647" s="609">
        <v>44232</v>
      </c>
      <c r="C2647" s="370" t="s">
        <v>85</v>
      </c>
      <c r="D2647" s="560">
        <v>19222700</v>
      </c>
      <c r="E2647" s="560"/>
      <c r="F2647" s="560">
        <v>19222700</v>
      </c>
      <c r="G2647" s="560">
        <f t="shared" si="43"/>
        <v>0</v>
      </c>
      <c r="H2647" s="560"/>
      <c r="I2647" s="560"/>
      <c r="J2647" s="560"/>
    </row>
    <row r="2648" spans="1:10" x14ac:dyDescent="0.25">
      <c r="A2648" s="530"/>
      <c r="B2648" s="530"/>
      <c r="C2648" s="530"/>
      <c r="D2648" s="562">
        <f>SUM(D2633:D2647)</f>
        <v>2091294070</v>
      </c>
      <c r="E2648" s="562">
        <f>SUM(E2633:E2647)</f>
        <v>660337894</v>
      </c>
      <c r="F2648" s="562">
        <f>SUM(F2633:F2647)</f>
        <v>2751631200</v>
      </c>
      <c r="G2648" s="562">
        <f t="shared" si="43"/>
        <v>764</v>
      </c>
      <c r="H2648" s="562"/>
      <c r="I2648" s="562"/>
      <c r="J2648" s="562"/>
    </row>
    <row r="2649" spans="1:10" x14ac:dyDescent="0.25">
      <c r="A2649" s="362"/>
      <c r="B2649" s="609">
        <v>44233</v>
      </c>
      <c r="C2649" s="362" t="s">
        <v>86</v>
      </c>
      <c r="D2649" s="560">
        <v>53225803</v>
      </c>
      <c r="E2649" s="560">
        <v>91159550</v>
      </c>
      <c r="F2649" s="560">
        <v>144385400</v>
      </c>
      <c r="G2649" s="560">
        <f t="shared" si="43"/>
        <v>-47</v>
      </c>
      <c r="H2649" s="560"/>
      <c r="I2649" s="560"/>
      <c r="J2649" s="560"/>
    </row>
    <row r="2650" spans="1:10" x14ac:dyDescent="0.25">
      <c r="A2650" s="362"/>
      <c r="B2650" s="609">
        <v>44233</v>
      </c>
      <c r="C2650" s="362" t="s">
        <v>87</v>
      </c>
      <c r="D2650" s="560">
        <v>41525048</v>
      </c>
      <c r="E2650" s="560">
        <v>107222691</v>
      </c>
      <c r="F2650" s="560">
        <v>148747800</v>
      </c>
      <c r="G2650" s="560">
        <f t="shared" si="43"/>
        <v>-61</v>
      </c>
      <c r="H2650" s="560"/>
      <c r="I2650" s="560"/>
      <c r="J2650" s="560"/>
    </row>
    <row r="2651" spans="1:10" x14ac:dyDescent="0.25">
      <c r="A2651" s="362"/>
      <c r="B2651" s="609">
        <v>44233</v>
      </c>
      <c r="C2651" s="362" t="s">
        <v>88</v>
      </c>
      <c r="D2651" s="560">
        <v>49490659</v>
      </c>
      <c r="E2651" s="560">
        <v>6974356</v>
      </c>
      <c r="F2651" s="560">
        <v>56465100</v>
      </c>
      <c r="G2651" s="560">
        <f t="shared" si="43"/>
        <v>-85</v>
      </c>
      <c r="H2651" s="560"/>
      <c r="I2651" s="560"/>
      <c r="J2651" s="560"/>
    </row>
    <row r="2652" spans="1:10" x14ac:dyDescent="0.25">
      <c r="A2652" s="362"/>
      <c r="B2652" s="609">
        <v>44233</v>
      </c>
      <c r="C2652" s="362" t="s">
        <v>82</v>
      </c>
      <c r="D2652" s="560">
        <v>21959947</v>
      </c>
      <c r="E2652" s="560">
        <v>7744500</v>
      </c>
      <c r="F2652" s="560">
        <v>29704500</v>
      </c>
      <c r="G2652" s="560">
        <f t="shared" si="43"/>
        <v>-53</v>
      </c>
      <c r="H2652" s="560"/>
      <c r="I2652" s="560"/>
      <c r="J2652" s="560"/>
    </row>
    <row r="2653" spans="1:10" x14ac:dyDescent="0.25">
      <c r="A2653" s="362"/>
      <c r="B2653" s="609">
        <v>44233</v>
      </c>
      <c r="C2653" s="362" t="s">
        <v>80</v>
      </c>
      <c r="D2653" s="560">
        <v>11932191</v>
      </c>
      <c r="E2653" s="560"/>
      <c r="F2653" s="560">
        <v>11932000</v>
      </c>
      <c r="G2653" s="560">
        <f t="shared" si="43"/>
        <v>191</v>
      </c>
      <c r="H2653" s="560"/>
      <c r="I2653" s="560"/>
      <c r="J2653" s="560"/>
    </row>
    <row r="2654" spans="1:10" x14ac:dyDescent="0.25">
      <c r="A2654" s="362"/>
      <c r="B2654" s="609">
        <v>44233</v>
      </c>
      <c r="C2654" s="362" t="s">
        <v>83</v>
      </c>
      <c r="D2654" s="560">
        <v>249482822</v>
      </c>
      <c r="E2654" s="560">
        <v>35271198</v>
      </c>
      <c r="F2654" s="560">
        <v>284754000</v>
      </c>
      <c r="G2654" s="560">
        <f t="shared" si="43"/>
        <v>20</v>
      </c>
      <c r="H2654" s="560"/>
      <c r="I2654" s="560"/>
      <c r="J2654" s="560"/>
    </row>
    <row r="2655" spans="1:10" x14ac:dyDescent="0.25">
      <c r="A2655" s="362"/>
      <c r="B2655" s="609">
        <v>44233</v>
      </c>
      <c r="C2655" s="362" t="s">
        <v>78</v>
      </c>
      <c r="D2655" s="560">
        <v>126372858</v>
      </c>
      <c r="E2655" s="560">
        <v>6979442</v>
      </c>
      <c r="F2655" s="560">
        <v>133352300</v>
      </c>
      <c r="G2655" s="560">
        <f t="shared" si="43"/>
        <v>0</v>
      </c>
      <c r="H2655" s="560"/>
      <c r="I2655" s="560"/>
      <c r="J2655" s="560"/>
    </row>
    <row r="2656" spans="1:10" x14ac:dyDescent="0.25">
      <c r="A2656" s="362"/>
      <c r="B2656" s="609">
        <v>44233</v>
      </c>
      <c r="C2656" s="362" t="s">
        <v>141</v>
      </c>
      <c r="D2656" s="560">
        <v>19664446</v>
      </c>
      <c r="E2656" s="560">
        <v>701700</v>
      </c>
      <c r="F2656" s="560">
        <v>20366200</v>
      </c>
      <c r="G2656" s="560">
        <f t="shared" si="43"/>
        <v>-54</v>
      </c>
      <c r="H2656" s="560"/>
      <c r="I2656" s="560"/>
      <c r="J2656" s="560"/>
    </row>
    <row r="2657" spans="1:10" x14ac:dyDescent="0.25">
      <c r="A2657" s="362"/>
      <c r="B2657" s="609">
        <v>44233</v>
      </c>
      <c r="C2657" s="362" t="s">
        <v>89</v>
      </c>
      <c r="D2657" s="560">
        <v>92772748</v>
      </c>
      <c r="E2657" s="560">
        <v>70194652</v>
      </c>
      <c r="F2657" s="560">
        <v>162967400</v>
      </c>
      <c r="G2657" s="560">
        <f t="shared" si="43"/>
        <v>0</v>
      </c>
      <c r="H2657" s="560"/>
      <c r="I2657" s="560"/>
      <c r="J2657" s="560"/>
    </row>
    <row r="2658" spans="1:10" x14ac:dyDescent="0.25">
      <c r="A2658" s="362"/>
      <c r="B2658" s="609">
        <v>44233</v>
      </c>
      <c r="C2658" s="362" t="s">
        <v>81</v>
      </c>
      <c r="D2658" s="560">
        <v>81368879</v>
      </c>
      <c r="E2658" s="560">
        <v>19548440</v>
      </c>
      <c r="F2658" s="560">
        <f>48493700+52423700</f>
        <v>100917400</v>
      </c>
      <c r="G2658" s="560">
        <f t="shared" si="43"/>
        <v>-81</v>
      </c>
      <c r="H2658" s="560"/>
      <c r="I2658" s="560"/>
      <c r="J2658" s="560"/>
    </row>
    <row r="2659" spans="1:10" x14ac:dyDescent="0.25">
      <c r="A2659" s="362"/>
      <c r="B2659" s="609">
        <v>44233</v>
      </c>
      <c r="C2659" s="362" t="s">
        <v>84</v>
      </c>
      <c r="D2659" s="560">
        <v>197209721</v>
      </c>
      <c r="E2659" s="560">
        <v>25951169</v>
      </c>
      <c r="F2659" s="560">
        <v>223161600</v>
      </c>
      <c r="G2659" s="560">
        <f t="shared" si="43"/>
        <v>-710</v>
      </c>
      <c r="H2659" s="560"/>
      <c r="I2659" s="560"/>
      <c r="J2659" s="560"/>
    </row>
    <row r="2660" spans="1:10" x14ac:dyDescent="0.25">
      <c r="A2660" s="362"/>
      <c r="B2660" s="609">
        <v>44233</v>
      </c>
      <c r="C2660" s="362" t="s">
        <v>4751</v>
      </c>
      <c r="D2660" s="560">
        <v>242101150</v>
      </c>
      <c r="E2660" s="560">
        <v>9978650</v>
      </c>
      <c r="F2660" s="560">
        <v>252079800</v>
      </c>
      <c r="G2660" s="560">
        <f t="shared" si="43"/>
        <v>0</v>
      </c>
      <c r="H2660" s="560"/>
      <c r="I2660" s="560"/>
      <c r="J2660" s="560"/>
    </row>
    <row r="2661" spans="1:10" x14ac:dyDescent="0.25">
      <c r="A2661" s="362"/>
      <c r="B2661" s="609">
        <v>44233</v>
      </c>
      <c r="C2661" s="362" t="s">
        <v>166</v>
      </c>
      <c r="D2661" s="560"/>
      <c r="E2661" s="560"/>
      <c r="F2661" s="560"/>
      <c r="G2661" s="560">
        <f t="shared" si="43"/>
        <v>0</v>
      </c>
      <c r="H2661" s="560"/>
      <c r="I2661" s="560"/>
      <c r="J2661" s="560"/>
    </row>
    <row r="2662" spans="1:10" x14ac:dyDescent="0.25">
      <c r="A2662" s="362"/>
      <c r="B2662" s="609">
        <v>44233</v>
      </c>
      <c r="C2662" s="362" t="s">
        <v>3435</v>
      </c>
      <c r="D2662" s="560"/>
      <c r="E2662" s="560"/>
      <c r="F2662" s="560"/>
      <c r="G2662" s="560">
        <f t="shared" si="43"/>
        <v>0</v>
      </c>
      <c r="H2662" s="560"/>
      <c r="I2662" s="560"/>
      <c r="J2662" s="560"/>
    </row>
    <row r="2663" spans="1:10" x14ac:dyDescent="0.25">
      <c r="A2663" s="362"/>
      <c r="B2663" s="609">
        <v>44233</v>
      </c>
      <c r="C2663" s="370" t="s">
        <v>85</v>
      </c>
      <c r="D2663" s="560">
        <v>30206400</v>
      </c>
      <c r="E2663" s="560"/>
      <c r="F2663" s="560">
        <v>30206400</v>
      </c>
      <c r="G2663" s="560">
        <f t="shared" si="43"/>
        <v>0</v>
      </c>
      <c r="H2663" s="560"/>
      <c r="I2663" s="560"/>
      <c r="J2663" s="560"/>
    </row>
    <row r="2664" spans="1:10" x14ac:dyDescent="0.25">
      <c r="A2664" s="530"/>
      <c r="B2664" s="530"/>
      <c r="C2664" s="530"/>
      <c r="D2664" s="562">
        <f>SUM(D2649:D2663)</f>
        <v>1217312672</v>
      </c>
      <c r="E2664" s="562">
        <f>SUM(E2649:E2663)</f>
        <v>381726348</v>
      </c>
      <c r="F2664" s="562">
        <f>SUM(F2649:F2663)</f>
        <v>1599039900</v>
      </c>
      <c r="G2664" s="562">
        <f>SUM(G2649:G2663)</f>
        <v>-880</v>
      </c>
      <c r="H2664" s="562"/>
      <c r="I2664" s="562"/>
      <c r="J2664" s="562"/>
    </row>
    <row r="2665" spans="1:10" x14ac:dyDescent="0.25">
      <c r="A2665" s="362"/>
      <c r="B2665" s="609">
        <v>44235</v>
      </c>
      <c r="C2665" s="362" t="s">
        <v>86</v>
      </c>
      <c r="D2665" s="560">
        <v>58970034</v>
      </c>
      <c r="E2665" s="560">
        <v>116200729</v>
      </c>
      <c r="F2665" s="560">
        <v>175170700</v>
      </c>
      <c r="G2665" s="560">
        <f t="shared" si="43"/>
        <v>63</v>
      </c>
      <c r="H2665" s="560"/>
      <c r="I2665" s="560"/>
      <c r="J2665" s="560"/>
    </row>
    <row r="2666" spans="1:10" x14ac:dyDescent="0.25">
      <c r="A2666" s="362"/>
      <c r="B2666" s="609">
        <v>44235</v>
      </c>
      <c r="C2666" s="362" t="s">
        <v>87</v>
      </c>
      <c r="D2666" s="560">
        <v>99242311</v>
      </c>
      <c r="E2666" s="560">
        <v>84510308</v>
      </c>
      <c r="F2666" s="560">
        <v>183752700</v>
      </c>
      <c r="G2666" s="560">
        <f t="shared" si="43"/>
        <v>-81</v>
      </c>
      <c r="H2666" s="560"/>
      <c r="I2666" s="560"/>
      <c r="J2666" s="560"/>
    </row>
    <row r="2667" spans="1:10" x14ac:dyDescent="0.25">
      <c r="A2667" s="362"/>
      <c r="B2667" s="609">
        <v>44235</v>
      </c>
      <c r="C2667" s="362" t="s">
        <v>88</v>
      </c>
      <c r="D2667" s="560">
        <v>130850597</v>
      </c>
      <c r="E2667" s="560">
        <v>102757572</v>
      </c>
      <c r="F2667" s="560">
        <v>233608200</v>
      </c>
      <c r="G2667" s="560">
        <f t="shared" si="43"/>
        <v>-31</v>
      </c>
      <c r="H2667" s="560"/>
      <c r="I2667" s="560"/>
      <c r="J2667" s="560"/>
    </row>
    <row r="2668" spans="1:10" x14ac:dyDescent="0.25">
      <c r="A2668" s="362"/>
      <c r="B2668" s="609">
        <v>44235</v>
      </c>
      <c r="C2668" s="362" t="s">
        <v>82</v>
      </c>
      <c r="D2668" s="560">
        <v>72936305</v>
      </c>
      <c r="E2668" s="560">
        <v>260515</v>
      </c>
      <c r="F2668" s="560">
        <v>73186900</v>
      </c>
      <c r="G2668" s="560">
        <f t="shared" si="43"/>
        <v>9920</v>
      </c>
      <c r="H2668" s="560"/>
      <c r="I2668" s="560"/>
      <c r="J2668" s="560"/>
    </row>
    <row r="2669" spans="1:10" x14ac:dyDescent="0.25">
      <c r="A2669" s="362"/>
      <c r="B2669" s="609">
        <v>44235</v>
      </c>
      <c r="C2669" s="362" t="s">
        <v>80</v>
      </c>
      <c r="D2669" s="560">
        <v>267190629</v>
      </c>
      <c r="E2669" s="560"/>
      <c r="F2669" s="560">
        <v>267190600</v>
      </c>
      <c r="G2669" s="560">
        <f t="shared" si="43"/>
        <v>29</v>
      </c>
      <c r="H2669" s="560"/>
      <c r="I2669" s="560"/>
      <c r="J2669" s="560"/>
    </row>
    <row r="2670" spans="1:10" x14ac:dyDescent="0.25">
      <c r="A2670" s="362"/>
      <c r="B2670" s="609">
        <v>44235</v>
      </c>
      <c r="C2670" s="362" t="s">
        <v>83</v>
      </c>
      <c r="D2670" s="560">
        <v>183210877</v>
      </c>
      <c r="E2670" s="560">
        <v>79986191</v>
      </c>
      <c r="F2670" s="560">
        <v>263197100</v>
      </c>
      <c r="G2670" s="560">
        <f t="shared" si="43"/>
        <v>-32</v>
      </c>
      <c r="H2670" s="560"/>
      <c r="I2670" s="560"/>
      <c r="J2670" s="560"/>
    </row>
    <row r="2671" spans="1:10" x14ac:dyDescent="0.25">
      <c r="A2671" s="362"/>
      <c r="B2671" s="609">
        <v>44235</v>
      </c>
      <c r="C2671" s="362" t="s">
        <v>78</v>
      </c>
      <c r="D2671" s="560">
        <v>61655857</v>
      </c>
      <c r="E2671" s="560">
        <v>2974443</v>
      </c>
      <c r="F2671" s="560">
        <v>64630300</v>
      </c>
      <c r="G2671" s="560">
        <f t="shared" si="43"/>
        <v>0</v>
      </c>
      <c r="H2671" s="560"/>
      <c r="I2671" s="560"/>
      <c r="J2671" s="560"/>
    </row>
    <row r="2672" spans="1:10" x14ac:dyDescent="0.25">
      <c r="A2672" s="362"/>
      <c r="B2672" s="609">
        <v>44235</v>
      </c>
      <c r="C2672" s="362" t="s">
        <v>141</v>
      </c>
      <c r="D2672" s="560">
        <v>34784276</v>
      </c>
      <c r="E2672" s="560">
        <v>4346280</v>
      </c>
      <c r="F2672" s="560">
        <v>39130600</v>
      </c>
      <c r="G2672" s="560">
        <f t="shared" si="43"/>
        <v>-44</v>
      </c>
      <c r="H2672" s="560"/>
      <c r="I2672" s="560"/>
      <c r="J2672" s="560"/>
    </row>
    <row r="2673" spans="1:10" x14ac:dyDescent="0.25">
      <c r="A2673" s="362"/>
      <c r="B2673" s="609">
        <v>44235</v>
      </c>
      <c r="C2673" s="362" t="s">
        <v>89</v>
      </c>
      <c r="D2673" s="560">
        <v>118815195</v>
      </c>
      <c r="E2673" s="560">
        <v>38501105</v>
      </c>
      <c r="F2673" s="560">
        <v>157316300</v>
      </c>
      <c r="G2673" s="560">
        <f t="shared" si="43"/>
        <v>0</v>
      </c>
      <c r="H2673" s="560"/>
      <c r="I2673" s="560"/>
      <c r="J2673" s="560"/>
    </row>
    <row r="2674" spans="1:10" x14ac:dyDescent="0.25">
      <c r="A2674" s="362"/>
      <c r="B2674" s="609">
        <v>44235</v>
      </c>
      <c r="C2674" s="362" t="s">
        <v>81</v>
      </c>
      <c r="D2674" s="560">
        <v>127174863</v>
      </c>
      <c r="E2674" s="560">
        <v>25036237</v>
      </c>
      <c r="F2674" s="560">
        <v>152211100</v>
      </c>
      <c r="G2674" s="560">
        <f t="shared" si="43"/>
        <v>0</v>
      </c>
      <c r="H2674" s="560"/>
      <c r="I2674" s="560"/>
      <c r="J2674" s="560"/>
    </row>
    <row r="2675" spans="1:10" x14ac:dyDescent="0.25">
      <c r="A2675" s="362"/>
      <c r="B2675" s="609">
        <v>44235</v>
      </c>
      <c r="C2675" s="362" t="s">
        <v>84</v>
      </c>
      <c r="D2675" s="560">
        <v>242587441</v>
      </c>
      <c r="E2675" s="560">
        <v>11810343</v>
      </c>
      <c r="F2675" s="560">
        <v>254397700</v>
      </c>
      <c r="G2675" s="560">
        <f t="shared" si="43"/>
        <v>84</v>
      </c>
      <c r="H2675" s="560"/>
      <c r="I2675" s="560"/>
      <c r="J2675" s="560"/>
    </row>
    <row r="2676" spans="1:10" x14ac:dyDescent="0.25">
      <c r="A2676" s="362"/>
      <c r="B2676" s="609">
        <v>44235</v>
      </c>
      <c r="C2676" s="362" t="s">
        <v>4751</v>
      </c>
      <c r="D2676" s="560">
        <v>176275927</v>
      </c>
      <c r="E2676" s="560">
        <v>8233773</v>
      </c>
      <c r="F2676" s="560">
        <v>184509700</v>
      </c>
      <c r="G2676" s="560">
        <f t="shared" si="43"/>
        <v>0</v>
      </c>
      <c r="H2676" s="560"/>
      <c r="I2676" s="560"/>
      <c r="J2676" s="560"/>
    </row>
    <row r="2677" spans="1:10" x14ac:dyDescent="0.25">
      <c r="A2677" s="362"/>
      <c r="B2677" s="609">
        <v>44235</v>
      </c>
      <c r="C2677" s="362" t="s">
        <v>166</v>
      </c>
      <c r="D2677" s="560">
        <v>58316237</v>
      </c>
      <c r="E2677" s="560"/>
      <c r="F2677" s="560">
        <v>58316500</v>
      </c>
      <c r="G2677" s="560">
        <f t="shared" si="43"/>
        <v>-263</v>
      </c>
      <c r="H2677" s="560"/>
      <c r="I2677" s="560"/>
      <c r="J2677" s="560"/>
    </row>
    <row r="2678" spans="1:10" x14ac:dyDescent="0.25">
      <c r="A2678" s="362"/>
      <c r="B2678" s="609">
        <v>44235</v>
      </c>
      <c r="C2678" s="362" t="s">
        <v>3435</v>
      </c>
      <c r="D2678" s="560">
        <v>49213262</v>
      </c>
      <c r="E2678" s="560"/>
      <c r="F2678" s="560">
        <v>49213300</v>
      </c>
      <c r="G2678" s="560">
        <f t="shared" si="43"/>
        <v>-38</v>
      </c>
      <c r="H2678" s="560"/>
      <c r="I2678" s="560"/>
      <c r="J2678" s="560"/>
    </row>
    <row r="2679" spans="1:10" x14ac:dyDescent="0.25">
      <c r="A2679" s="362"/>
      <c r="B2679" s="609">
        <v>44235</v>
      </c>
      <c r="C2679" s="370" t="s">
        <v>85</v>
      </c>
      <c r="D2679" s="560">
        <v>62586300</v>
      </c>
      <c r="E2679" s="560"/>
      <c r="F2679" s="560">
        <v>62586300</v>
      </c>
      <c r="G2679" s="560">
        <f t="shared" si="43"/>
        <v>0</v>
      </c>
      <c r="H2679" s="560"/>
      <c r="I2679" s="560"/>
      <c r="J2679" s="560"/>
    </row>
    <row r="2680" spans="1:10" x14ac:dyDescent="0.25">
      <c r="A2680" s="530"/>
      <c r="B2680" s="530"/>
      <c r="C2680" s="530"/>
      <c r="D2680" s="562">
        <f>SUM(D2665:D2679)</f>
        <v>1743810111</v>
      </c>
      <c r="E2680" s="562">
        <f>SUM(E2665:E2679)</f>
        <v>474617496</v>
      </c>
      <c r="F2680" s="562">
        <f>SUM(F2665:F2679)</f>
        <v>2218418000</v>
      </c>
      <c r="G2680" s="562">
        <f>SUM(G2665:G2679)</f>
        <v>9607</v>
      </c>
      <c r="H2680" s="562"/>
      <c r="I2680" s="562"/>
      <c r="J2680" s="562"/>
    </row>
    <row r="2681" spans="1:10" x14ac:dyDescent="0.25">
      <c r="A2681" s="362"/>
      <c r="B2681" s="609">
        <v>44236</v>
      </c>
      <c r="C2681" s="362" t="s">
        <v>86</v>
      </c>
      <c r="D2681" s="560">
        <v>73546393</v>
      </c>
      <c r="E2681" s="560">
        <v>49091388</v>
      </c>
      <c r="F2681" s="560">
        <v>122637700</v>
      </c>
      <c r="G2681" s="560">
        <f t="shared" si="43"/>
        <v>81</v>
      </c>
      <c r="H2681" s="560"/>
      <c r="I2681" s="560"/>
      <c r="J2681" s="560"/>
    </row>
    <row r="2682" spans="1:10" x14ac:dyDescent="0.25">
      <c r="A2682" s="362"/>
      <c r="B2682" s="609">
        <v>44236</v>
      </c>
      <c r="C2682" s="362" t="s">
        <v>87</v>
      </c>
      <c r="D2682" s="560">
        <v>190192804</v>
      </c>
      <c r="E2682" s="560">
        <v>68133052</v>
      </c>
      <c r="F2682" s="560">
        <v>258325700</v>
      </c>
      <c r="G2682" s="560">
        <f t="shared" si="43"/>
        <v>156</v>
      </c>
      <c r="H2682" s="560"/>
      <c r="I2682" s="560"/>
      <c r="J2682" s="560"/>
    </row>
    <row r="2683" spans="1:10" x14ac:dyDescent="0.25">
      <c r="A2683" s="362"/>
      <c r="B2683" s="609">
        <v>44236</v>
      </c>
      <c r="C2683" s="362" t="s">
        <v>88</v>
      </c>
      <c r="D2683" s="560">
        <v>186855560</v>
      </c>
      <c r="E2683" s="560">
        <v>85164320</v>
      </c>
      <c r="F2683" s="560">
        <v>272019900</v>
      </c>
      <c r="G2683" s="560">
        <f t="shared" si="43"/>
        <v>-20</v>
      </c>
      <c r="H2683" s="560"/>
      <c r="I2683" s="560"/>
      <c r="J2683" s="560"/>
    </row>
    <row r="2684" spans="1:10" x14ac:dyDescent="0.25">
      <c r="A2684" s="362"/>
      <c r="B2684" s="609">
        <v>44236</v>
      </c>
      <c r="C2684" s="362" t="s">
        <v>82</v>
      </c>
      <c r="D2684" s="560">
        <v>83114979</v>
      </c>
      <c r="E2684" s="560">
        <v>2325656</v>
      </c>
      <c r="F2684" s="560">
        <v>85440700</v>
      </c>
      <c r="G2684" s="560">
        <f t="shared" si="43"/>
        <v>-65</v>
      </c>
      <c r="H2684" s="560"/>
      <c r="I2684" s="560"/>
      <c r="J2684" s="560"/>
    </row>
    <row r="2685" spans="1:10" x14ac:dyDescent="0.25">
      <c r="A2685" s="362"/>
      <c r="B2685" s="609">
        <v>44236</v>
      </c>
      <c r="C2685" s="362" t="s">
        <v>80</v>
      </c>
      <c r="D2685" s="560">
        <v>230619000</v>
      </c>
      <c r="E2685" s="560"/>
      <c r="F2685" s="560">
        <v>230619000</v>
      </c>
      <c r="G2685" s="560">
        <f t="shared" si="43"/>
        <v>0</v>
      </c>
      <c r="H2685" s="560"/>
      <c r="I2685" s="560"/>
      <c r="J2685" s="560"/>
    </row>
    <row r="2686" spans="1:10" x14ac:dyDescent="0.25">
      <c r="A2686" s="362"/>
      <c r="B2686" s="609">
        <v>44236</v>
      </c>
      <c r="C2686" s="362" t="s">
        <v>83</v>
      </c>
      <c r="D2686" s="560">
        <v>344728821</v>
      </c>
      <c r="E2686" s="560">
        <v>201674235</v>
      </c>
      <c r="F2686" s="560">
        <v>546403100</v>
      </c>
      <c r="G2686" s="560">
        <f t="shared" si="43"/>
        <v>-44</v>
      </c>
      <c r="H2686" s="560"/>
      <c r="I2686" s="560"/>
      <c r="J2686" s="560"/>
    </row>
    <row r="2687" spans="1:10" x14ac:dyDescent="0.25">
      <c r="A2687" s="362"/>
      <c r="B2687" s="609">
        <v>44236</v>
      </c>
      <c r="C2687" s="362" t="s">
        <v>78</v>
      </c>
      <c r="D2687" s="560">
        <v>119826903</v>
      </c>
      <c r="E2687" s="560">
        <v>3904297</v>
      </c>
      <c r="F2687" s="560">
        <v>123731200</v>
      </c>
      <c r="G2687" s="560">
        <f t="shared" si="43"/>
        <v>0</v>
      </c>
      <c r="H2687" s="560"/>
      <c r="I2687" s="560"/>
      <c r="J2687" s="560"/>
    </row>
    <row r="2688" spans="1:10" x14ac:dyDescent="0.25">
      <c r="A2688" s="362"/>
      <c r="B2688" s="609">
        <v>44236</v>
      </c>
      <c r="C2688" s="362" t="s">
        <v>141</v>
      </c>
      <c r="D2688" s="560">
        <v>109235231</v>
      </c>
      <c r="E2688" s="560">
        <v>18985851</v>
      </c>
      <c r="F2688" s="560">
        <v>128221100</v>
      </c>
      <c r="G2688" s="560">
        <f t="shared" si="43"/>
        <v>-18</v>
      </c>
      <c r="H2688" s="560"/>
      <c r="I2688" s="560"/>
      <c r="J2688" s="560"/>
    </row>
    <row r="2689" spans="1:11" x14ac:dyDescent="0.25">
      <c r="A2689" s="362"/>
      <c r="B2689" s="609">
        <v>44236</v>
      </c>
      <c r="C2689" s="362" t="s">
        <v>89</v>
      </c>
      <c r="D2689" s="560">
        <v>212329897</v>
      </c>
      <c r="E2689" s="560">
        <v>18287203</v>
      </c>
      <c r="F2689" s="560">
        <v>230617100</v>
      </c>
      <c r="G2689" s="560">
        <f t="shared" si="43"/>
        <v>0</v>
      </c>
      <c r="H2689" s="560"/>
      <c r="I2689" s="560"/>
      <c r="J2689" s="560"/>
    </row>
    <row r="2690" spans="1:11" x14ac:dyDescent="0.25">
      <c r="A2690" s="362"/>
      <c r="B2690" s="609">
        <v>44236</v>
      </c>
      <c r="C2690" s="362" t="s">
        <v>81</v>
      </c>
      <c r="D2690" s="560">
        <v>111077672</v>
      </c>
      <c r="E2690" s="560">
        <v>14007670</v>
      </c>
      <c r="F2690" s="560">
        <v>125085400</v>
      </c>
      <c r="G2690" s="560">
        <f t="shared" si="43"/>
        <v>-58</v>
      </c>
      <c r="H2690" s="560"/>
      <c r="I2690" s="560"/>
      <c r="J2690" s="560"/>
    </row>
    <row r="2691" spans="1:11" x14ac:dyDescent="0.25">
      <c r="A2691" s="362"/>
      <c r="B2691" s="609">
        <v>44236</v>
      </c>
      <c r="C2691" s="362" t="s">
        <v>84</v>
      </c>
      <c r="D2691" s="560">
        <v>237657195</v>
      </c>
      <c r="E2691" s="560">
        <v>10217682</v>
      </c>
      <c r="F2691" s="560">
        <v>247874800</v>
      </c>
      <c r="G2691" s="560">
        <f t="shared" si="43"/>
        <v>77</v>
      </c>
      <c r="H2691" s="560"/>
      <c r="I2691" s="560"/>
      <c r="J2691" s="560"/>
    </row>
    <row r="2692" spans="1:11" x14ac:dyDescent="0.25">
      <c r="A2692" s="362"/>
      <c r="B2692" s="609">
        <v>44236</v>
      </c>
      <c r="C2692" s="362" t="s">
        <v>4751</v>
      </c>
      <c r="D2692" s="560">
        <v>253521790</v>
      </c>
      <c r="E2692" s="560">
        <v>9718110</v>
      </c>
      <c r="F2692" s="560">
        <v>263239900</v>
      </c>
      <c r="G2692" s="560">
        <f t="shared" si="43"/>
        <v>0</v>
      </c>
      <c r="H2692" s="560"/>
      <c r="I2692" s="560"/>
      <c r="J2692" s="560"/>
    </row>
    <row r="2693" spans="1:11" x14ac:dyDescent="0.25">
      <c r="A2693" s="362"/>
      <c r="B2693" s="609">
        <v>44236</v>
      </c>
      <c r="C2693" s="362" t="s">
        <v>166</v>
      </c>
      <c r="D2693" s="560">
        <v>45189371</v>
      </c>
      <c r="F2693" s="560">
        <v>45189400</v>
      </c>
      <c r="G2693" s="560">
        <f t="shared" si="43"/>
        <v>-29</v>
      </c>
      <c r="H2693" s="560"/>
      <c r="I2693" s="560"/>
      <c r="J2693" s="560"/>
    </row>
    <row r="2694" spans="1:11" x14ac:dyDescent="0.25">
      <c r="A2694" s="362"/>
      <c r="B2694" s="609">
        <v>44236</v>
      </c>
      <c r="C2694" s="362" t="s">
        <v>3435</v>
      </c>
      <c r="D2694" s="560">
        <v>35252121</v>
      </c>
      <c r="E2694" s="560"/>
      <c r="F2694" s="560">
        <v>35252200</v>
      </c>
      <c r="G2694" s="560">
        <f t="shared" si="43"/>
        <v>-79</v>
      </c>
      <c r="H2694" s="560"/>
      <c r="I2694" s="560"/>
      <c r="J2694" s="560"/>
    </row>
    <row r="2695" spans="1:11" x14ac:dyDescent="0.25">
      <c r="A2695" s="362"/>
      <c r="B2695" s="609">
        <v>44236</v>
      </c>
      <c r="C2695" s="370" t="s">
        <v>85</v>
      </c>
      <c r="D2695" s="560">
        <v>32074100</v>
      </c>
      <c r="E2695" s="560"/>
      <c r="F2695" s="560">
        <v>32074100</v>
      </c>
      <c r="G2695" s="560">
        <f t="shared" si="43"/>
        <v>0</v>
      </c>
      <c r="H2695" s="560"/>
      <c r="I2695" s="560"/>
      <c r="J2695" s="560"/>
    </row>
    <row r="2696" spans="1:11" x14ac:dyDescent="0.25">
      <c r="A2696" s="530"/>
      <c r="B2696" s="530"/>
      <c r="C2696" s="530"/>
      <c r="D2696" s="562">
        <f>SUM(D2681:D2695)</f>
        <v>2265221837</v>
      </c>
      <c r="E2696" s="562">
        <f>SUM(E2681:E2695)</f>
        <v>481509464</v>
      </c>
      <c r="F2696" s="562">
        <f>SUM(F2681:F2695)</f>
        <v>2746731300</v>
      </c>
      <c r="G2696" s="562">
        <f>SUM(G2681:G2695)</f>
        <v>1</v>
      </c>
      <c r="H2696" s="562"/>
      <c r="I2696" s="562"/>
      <c r="J2696" s="562"/>
    </row>
    <row r="2697" spans="1:11" x14ac:dyDescent="0.25">
      <c r="A2697" s="362"/>
      <c r="B2697" s="609">
        <v>44237</v>
      </c>
      <c r="C2697" s="362" t="s">
        <v>86</v>
      </c>
      <c r="D2697" s="560">
        <v>74920489</v>
      </c>
      <c r="E2697" s="560">
        <v>23399586</v>
      </c>
      <c r="F2697" s="560">
        <v>98320000</v>
      </c>
      <c r="G2697" s="560">
        <f t="shared" si="43"/>
        <v>75</v>
      </c>
      <c r="H2697" s="560"/>
      <c r="I2697" s="560"/>
      <c r="J2697" s="560"/>
    </row>
    <row r="2698" spans="1:11" x14ac:dyDescent="0.25">
      <c r="A2698" s="362"/>
      <c r="B2698" s="609">
        <v>44237</v>
      </c>
      <c r="C2698" s="362" t="s">
        <v>87</v>
      </c>
      <c r="D2698" s="560">
        <v>64332270</v>
      </c>
      <c r="E2698" s="560">
        <v>39305498</v>
      </c>
      <c r="F2698" s="560">
        <v>103637800</v>
      </c>
      <c r="G2698" s="560">
        <f t="shared" ref="G2698:G2727" si="44">D2698+E2698-F2698</f>
        <v>-32</v>
      </c>
      <c r="H2698" s="560"/>
      <c r="I2698" s="560"/>
      <c r="J2698" s="560"/>
    </row>
    <row r="2699" spans="1:11" x14ac:dyDescent="0.25">
      <c r="A2699" s="362"/>
      <c r="B2699" s="609">
        <v>44237</v>
      </c>
      <c r="C2699" s="362" t="s">
        <v>88</v>
      </c>
      <c r="D2699" s="560">
        <v>128817252</v>
      </c>
      <c r="E2699" s="560">
        <v>48929626</v>
      </c>
      <c r="F2699" s="560">
        <v>177746900</v>
      </c>
      <c r="G2699" s="560">
        <f t="shared" si="44"/>
        <v>-22</v>
      </c>
      <c r="H2699" s="560"/>
      <c r="I2699" s="560"/>
      <c r="J2699" s="560"/>
    </row>
    <row r="2700" spans="1:11" x14ac:dyDescent="0.25">
      <c r="A2700" s="362"/>
      <c r="B2700" s="609">
        <v>44237</v>
      </c>
      <c r="C2700" s="362" t="s">
        <v>82</v>
      </c>
      <c r="D2700" s="560">
        <v>178632262</v>
      </c>
      <c r="E2700" s="560">
        <v>2070793</v>
      </c>
      <c r="F2700" s="560">
        <v>180703100</v>
      </c>
      <c r="G2700" s="560">
        <f t="shared" si="44"/>
        <v>-45</v>
      </c>
      <c r="H2700" s="560"/>
      <c r="I2700" s="560"/>
      <c r="J2700" s="560"/>
    </row>
    <row r="2701" spans="1:11" x14ac:dyDescent="0.25">
      <c r="A2701" s="362"/>
      <c r="B2701" s="609">
        <v>44237</v>
      </c>
      <c r="C2701" s="362" t="s">
        <v>80</v>
      </c>
      <c r="D2701" s="560">
        <v>293440150</v>
      </c>
      <c r="E2701" s="560"/>
      <c r="F2701" s="560">
        <v>293440100</v>
      </c>
      <c r="G2701" s="560">
        <f t="shared" si="44"/>
        <v>50</v>
      </c>
      <c r="H2701" s="560"/>
      <c r="I2701" s="560"/>
      <c r="J2701" s="560"/>
    </row>
    <row r="2702" spans="1:11" x14ac:dyDescent="0.25">
      <c r="A2702" s="362"/>
      <c r="B2702" s="609">
        <v>44237</v>
      </c>
      <c r="C2702" s="362" t="s">
        <v>83</v>
      </c>
      <c r="D2702" s="560">
        <v>200798338</v>
      </c>
      <c r="E2702" s="560">
        <v>14166706</v>
      </c>
      <c r="F2702" s="560">
        <v>214965100</v>
      </c>
      <c r="G2702" s="560">
        <f t="shared" si="44"/>
        <v>-56</v>
      </c>
      <c r="H2702" s="560"/>
      <c r="I2702" s="560"/>
      <c r="J2702" s="560"/>
    </row>
    <row r="2703" spans="1:11" x14ac:dyDescent="0.25">
      <c r="A2703" s="362"/>
      <c r="B2703" s="609">
        <v>44237</v>
      </c>
      <c r="C2703" s="362" t="s">
        <v>78</v>
      </c>
      <c r="D2703" s="560">
        <v>185734582</v>
      </c>
      <c r="E2703" s="560">
        <v>3864818</v>
      </c>
      <c r="F2703" s="560">
        <v>189599400</v>
      </c>
      <c r="G2703" s="560">
        <f t="shared" si="44"/>
        <v>0</v>
      </c>
      <c r="H2703" s="560"/>
      <c r="I2703" s="560"/>
      <c r="J2703" s="560"/>
    </row>
    <row r="2704" spans="1:11" x14ac:dyDescent="0.25">
      <c r="A2704" s="362"/>
      <c r="B2704" s="609">
        <v>44237</v>
      </c>
      <c r="C2704" s="362" t="s">
        <v>141</v>
      </c>
      <c r="D2704" s="560">
        <v>54626523</v>
      </c>
      <c r="E2704" s="560">
        <v>1800761</v>
      </c>
      <c r="F2704" s="560">
        <v>56427300</v>
      </c>
      <c r="G2704" s="560">
        <f t="shared" si="44"/>
        <v>-16</v>
      </c>
      <c r="H2704" s="560"/>
      <c r="I2704" s="560"/>
      <c r="J2704" s="560"/>
      <c r="K2704" s="254">
        <f>2485800+2829600+3801600</f>
        <v>9117000</v>
      </c>
    </row>
    <row r="2705" spans="1:10" x14ac:dyDescent="0.25">
      <c r="A2705" s="362"/>
      <c r="B2705" s="609">
        <v>44237</v>
      </c>
      <c r="C2705" s="362" t="s">
        <v>89</v>
      </c>
      <c r="D2705" s="560">
        <v>102177905</v>
      </c>
      <c r="E2705" s="560">
        <v>31292495</v>
      </c>
      <c r="F2705" s="560">
        <v>133470400</v>
      </c>
      <c r="G2705" s="560">
        <f t="shared" si="44"/>
        <v>0</v>
      </c>
      <c r="H2705" s="560"/>
      <c r="I2705" s="560"/>
      <c r="J2705" s="560"/>
    </row>
    <row r="2706" spans="1:10" x14ac:dyDescent="0.25">
      <c r="A2706" s="362"/>
      <c r="B2706" s="609">
        <v>44237</v>
      </c>
      <c r="C2706" s="362" t="s">
        <v>81</v>
      </c>
      <c r="D2706" s="560">
        <v>109869621</v>
      </c>
      <c r="E2706" s="560">
        <v>40396837</v>
      </c>
      <c r="F2706" s="560">
        <v>150266500</v>
      </c>
      <c r="G2706" s="560">
        <f t="shared" si="44"/>
        <v>-42</v>
      </c>
      <c r="H2706" s="560"/>
      <c r="I2706" s="560"/>
      <c r="J2706" s="560"/>
    </row>
    <row r="2707" spans="1:10" x14ac:dyDescent="0.25">
      <c r="A2707" s="362"/>
      <c r="B2707" s="609">
        <v>44237</v>
      </c>
      <c r="C2707" s="362" t="s">
        <v>84</v>
      </c>
      <c r="D2707" s="560">
        <v>266087350</v>
      </c>
      <c r="E2707" s="560">
        <v>4579537</v>
      </c>
      <c r="F2707" s="560">
        <v>270666900</v>
      </c>
      <c r="G2707" s="560">
        <f t="shared" si="44"/>
        <v>-13</v>
      </c>
      <c r="H2707" s="560"/>
      <c r="I2707" s="560"/>
      <c r="J2707" s="560"/>
    </row>
    <row r="2708" spans="1:10" x14ac:dyDescent="0.25">
      <c r="A2708" s="362"/>
      <c r="B2708" s="609">
        <v>44237</v>
      </c>
      <c r="C2708" s="362" t="s">
        <v>4751</v>
      </c>
      <c r="D2708" s="560">
        <v>180821541</v>
      </c>
      <c r="E2708" s="560">
        <v>18090159</v>
      </c>
      <c r="F2708" s="560">
        <v>198911700</v>
      </c>
      <c r="G2708" s="560">
        <f t="shared" si="44"/>
        <v>0</v>
      </c>
      <c r="H2708" s="560"/>
      <c r="I2708" s="560"/>
      <c r="J2708" s="560"/>
    </row>
    <row r="2709" spans="1:10" x14ac:dyDescent="0.25">
      <c r="A2709" s="362"/>
      <c r="B2709" s="609">
        <v>44237</v>
      </c>
      <c r="C2709" s="362" t="s">
        <v>166</v>
      </c>
      <c r="D2709" s="560">
        <v>89189887</v>
      </c>
      <c r="E2709" s="560"/>
      <c r="F2709" s="560">
        <v>89189900</v>
      </c>
      <c r="G2709" s="560">
        <f t="shared" si="44"/>
        <v>-13</v>
      </c>
      <c r="H2709" s="560"/>
      <c r="I2709" s="560"/>
      <c r="J2709" s="560"/>
    </row>
    <row r="2710" spans="1:10" x14ac:dyDescent="0.25">
      <c r="A2710" s="362"/>
      <c r="B2710" s="609">
        <v>44237</v>
      </c>
      <c r="C2710" s="362" t="s">
        <v>3435</v>
      </c>
      <c r="D2710" s="560">
        <v>58841180</v>
      </c>
      <c r="E2710" s="560"/>
      <c r="F2710" s="560">
        <v>58841200</v>
      </c>
      <c r="G2710" s="560">
        <f t="shared" si="44"/>
        <v>-20</v>
      </c>
      <c r="H2710" s="560"/>
      <c r="I2710" s="560"/>
      <c r="J2710" s="560"/>
    </row>
    <row r="2711" spans="1:10" x14ac:dyDescent="0.25">
      <c r="A2711" s="362"/>
      <c r="B2711" s="609">
        <v>44237</v>
      </c>
      <c r="C2711" s="370" t="s">
        <v>85</v>
      </c>
      <c r="D2711" s="560">
        <v>41904700</v>
      </c>
      <c r="E2711" s="560"/>
      <c r="F2711" s="560">
        <v>41904700</v>
      </c>
      <c r="G2711" s="560">
        <f t="shared" si="44"/>
        <v>0</v>
      </c>
      <c r="H2711" s="560"/>
      <c r="I2711" s="560"/>
      <c r="J2711" s="560"/>
    </row>
    <row r="2712" spans="1:10" x14ac:dyDescent="0.25">
      <c r="A2712" s="530"/>
      <c r="B2712" s="530"/>
      <c r="C2712" s="530"/>
      <c r="D2712" s="562">
        <f>SUM(D2697:D2711)</f>
        <v>2030194050</v>
      </c>
      <c r="E2712" s="562">
        <f>SUM(E2697:E2711)</f>
        <v>227896816</v>
      </c>
      <c r="F2712" s="562">
        <f>SUM(F2697:F2711)</f>
        <v>2258091000</v>
      </c>
      <c r="G2712" s="562">
        <f>SUM(G2697:G2711)</f>
        <v>-134</v>
      </c>
      <c r="H2712" s="562"/>
      <c r="I2712" s="562"/>
      <c r="J2712" s="562"/>
    </row>
    <row r="2713" spans="1:10" x14ac:dyDescent="0.25">
      <c r="A2713" s="362"/>
      <c r="B2713" s="609">
        <v>44238</v>
      </c>
      <c r="C2713" s="362" t="s">
        <v>86</v>
      </c>
      <c r="D2713" s="560">
        <v>74051615</v>
      </c>
      <c r="E2713" s="560">
        <v>152088385</v>
      </c>
      <c r="F2713" s="560">
        <v>226140000</v>
      </c>
      <c r="G2713" s="560">
        <f t="shared" si="44"/>
        <v>0</v>
      </c>
      <c r="H2713" s="560"/>
      <c r="I2713" s="560"/>
      <c r="J2713" s="560"/>
    </row>
    <row r="2714" spans="1:10" x14ac:dyDescent="0.25">
      <c r="A2714" s="362"/>
      <c r="B2714" s="609">
        <v>44238</v>
      </c>
      <c r="C2714" s="362" t="s">
        <v>87</v>
      </c>
      <c r="D2714" s="560">
        <v>64957022</v>
      </c>
      <c r="E2714" s="560">
        <v>14681615</v>
      </c>
      <c r="F2714" s="560">
        <v>79639000</v>
      </c>
      <c r="G2714" s="560">
        <f t="shared" si="44"/>
        <v>-363</v>
      </c>
      <c r="H2714" s="560"/>
      <c r="I2714" s="560"/>
      <c r="J2714" s="560"/>
    </row>
    <row r="2715" spans="1:10" x14ac:dyDescent="0.25">
      <c r="A2715" s="362"/>
      <c r="B2715" s="609">
        <v>44238</v>
      </c>
      <c r="C2715" s="362" t="s">
        <v>88</v>
      </c>
      <c r="D2715" s="560">
        <v>168343342</v>
      </c>
      <c r="E2715" s="560">
        <v>172105968</v>
      </c>
      <c r="F2715" s="560">
        <v>340449400</v>
      </c>
      <c r="G2715" s="560">
        <f t="shared" si="44"/>
        <v>-90</v>
      </c>
      <c r="H2715" s="560"/>
      <c r="I2715" s="560"/>
      <c r="J2715" s="560"/>
    </row>
    <row r="2716" spans="1:10" x14ac:dyDescent="0.25">
      <c r="A2716" s="362"/>
      <c r="B2716" s="609">
        <v>44238</v>
      </c>
      <c r="C2716" s="362" t="s">
        <v>82</v>
      </c>
      <c r="D2716" s="560">
        <v>213159596</v>
      </c>
      <c r="E2716" s="560">
        <v>5066519</v>
      </c>
      <c r="F2716" s="560">
        <v>218226100</v>
      </c>
      <c r="G2716" s="560">
        <f t="shared" si="44"/>
        <v>15</v>
      </c>
      <c r="H2716" s="560"/>
      <c r="I2716" s="560"/>
      <c r="J2716" s="560"/>
    </row>
    <row r="2717" spans="1:10" x14ac:dyDescent="0.25">
      <c r="A2717" s="362"/>
      <c r="B2717" s="609">
        <v>44238</v>
      </c>
      <c r="C2717" s="362" t="s">
        <v>80</v>
      </c>
      <c r="D2717" s="560">
        <v>183598648</v>
      </c>
      <c r="E2717" s="560">
        <v>18498452</v>
      </c>
      <c r="F2717" s="560">
        <v>202094200</v>
      </c>
      <c r="G2717" s="560">
        <f t="shared" si="44"/>
        <v>2900</v>
      </c>
      <c r="H2717" s="560"/>
      <c r="I2717" s="560"/>
      <c r="J2717" s="560"/>
    </row>
    <row r="2718" spans="1:10" x14ac:dyDescent="0.25">
      <c r="A2718" s="362"/>
      <c r="B2718" s="609">
        <v>44238</v>
      </c>
      <c r="C2718" s="362" t="s">
        <v>83</v>
      </c>
      <c r="D2718" s="560">
        <v>298968594</v>
      </c>
      <c r="E2718" s="560">
        <v>7847967</v>
      </c>
      <c r="F2718" s="560">
        <v>306816600</v>
      </c>
      <c r="G2718" s="560">
        <f t="shared" si="44"/>
        <v>-39</v>
      </c>
      <c r="H2718" s="560"/>
      <c r="I2718" s="560"/>
      <c r="J2718" s="560"/>
    </row>
    <row r="2719" spans="1:10" x14ac:dyDescent="0.25">
      <c r="A2719" s="362"/>
      <c r="B2719" s="609">
        <v>44238</v>
      </c>
      <c r="C2719" s="362" t="s">
        <v>78</v>
      </c>
      <c r="D2719" s="560">
        <v>97839962</v>
      </c>
      <c r="E2719" s="560">
        <v>8711538</v>
      </c>
      <c r="F2719" s="560">
        <v>106551500</v>
      </c>
      <c r="G2719" s="560">
        <f t="shared" si="44"/>
        <v>0</v>
      </c>
      <c r="H2719" s="560"/>
      <c r="I2719" s="560"/>
      <c r="J2719" s="560"/>
    </row>
    <row r="2720" spans="1:10" x14ac:dyDescent="0.25">
      <c r="A2720" s="362"/>
      <c r="B2720" s="609">
        <v>44238</v>
      </c>
      <c r="C2720" s="362" t="s">
        <v>141</v>
      </c>
      <c r="D2720" s="560">
        <v>94208858</v>
      </c>
      <c r="E2720" s="560">
        <v>337400</v>
      </c>
      <c r="F2720" s="560">
        <v>94547100</v>
      </c>
      <c r="G2720" s="560">
        <f t="shared" si="44"/>
        <v>-842</v>
      </c>
      <c r="H2720" s="560"/>
      <c r="I2720" s="560"/>
      <c r="J2720" s="560"/>
    </row>
    <row r="2721" spans="1:10" x14ac:dyDescent="0.25">
      <c r="A2721" s="362"/>
      <c r="B2721" s="609">
        <v>44238</v>
      </c>
      <c r="C2721" s="362" t="s">
        <v>89</v>
      </c>
      <c r="D2721" s="560">
        <v>179847899</v>
      </c>
      <c r="E2721" s="560">
        <v>20414101</v>
      </c>
      <c r="F2721" s="560">
        <v>200262000</v>
      </c>
      <c r="G2721" s="560">
        <f t="shared" si="44"/>
        <v>0</v>
      </c>
      <c r="H2721" s="560"/>
      <c r="I2721" s="560"/>
      <c r="J2721" s="560"/>
    </row>
    <row r="2722" spans="1:10" x14ac:dyDescent="0.25">
      <c r="A2722" s="362"/>
      <c r="B2722" s="609">
        <v>44238</v>
      </c>
      <c r="C2722" s="362" t="s">
        <v>81</v>
      </c>
      <c r="D2722" s="560">
        <v>57509387</v>
      </c>
      <c r="E2722" s="560">
        <v>7640563</v>
      </c>
      <c r="F2722" s="560">
        <v>65150000</v>
      </c>
      <c r="G2722" s="560">
        <f t="shared" si="44"/>
        <v>-50</v>
      </c>
      <c r="H2722" s="560"/>
      <c r="I2722" s="560"/>
      <c r="J2722" s="560"/>
    </row>
    <row r="2723" spans="1:10" x14ac:dyDescent="0.25">
      <c r="A2723" s="362"/>
      <c r="B2723" s="609">
        <v>44238</v>
      </c>
      <c r="C2723" s="362" t="s">
        <v>84</v>
      </c>
      <c r="D2723" s="560">
        <v>395494022</v>
      </c>
      <c r="E2723" s="560">
        <v>7091142</v>
      </c>
      <c r="F2723" s="560">
        <v>402584600</v>
      </c>
      <c r="G2723" s="560">
        <f t="shared" si="44"/>
        <v>564</v>
      </c>
      <c r="H2723" s="560"/>
      <c r="I2723" s="560"/>
      <c r="J2723" s="560"/>
    </row>
    <row r="2724" spans="1:10" x14ac:dyDescent="0.25">
      <c r="A2724" s="362"/>
      <c r="B2724" s="609">
        <v>44238</v>
      </c>
      <c r="C2724" s="362" t="s">
        <v>4751</v>
      </c>
      <c r="D2724" s="560">
        <v>271324643</v>
      </c>
      <c r="E2724" s="560">
        <v>46922157</v>
      </c>
      <c r="F2724" s="560">
        <v>318246800</v>
      </c>
      <c r="G2724" s="560">
        <f t="shared" si="44"/>
        <v>0</v>
      </c>
      <c r="H2724" s="560"/>
      <c r="I2724" s="560"/>
      <c r="J2724" s="560"/>
    </row>
    <row r="2725" spans="1:10" x14ac:dyDescent="0.25">
      <c r="A2725" s="362"/>
      <c r="B2725" s="609">
        <v>44238</v>
      </c>
      <c r="C2725" s="362" t="s">
        <v>166</v>
      </c>
      <c r="D2725" s="560">
        <v>69606275</v>
      </c>
      <c r="E2725" s="560"/>
      <c r="F2725" s="560">
        <v>69606300</v>
      </c>
      <c r="G2725" s="560">
        <f t="shared" si="44"/>
        <v>-25</v>
      </c>
      <c r="H2725" s="560"/>
      <c r="I2725" s="560"/>
      <c r="J2725" s="560"/>
    </row>
    <row r="2726" spans="1:10" x14ac:dyDescent="0.25">
      <c r="A2726" s="362"/>
      <c r="B2726" s="609">
        <v>44238</v>
      </c>
      <c r="C2726" s="362" t="s">
        <v>3435</v>
      </c>
      <c r="D2726" s="560">
        <v>46510785</v>
      </c>
      <c r="E2726" s="560"/>
      <c r="F2726" s="560">
        <v>46510800</v>
      </c>
      <c r="G2726" s="560">
        <f t="shared" si="44"/>
        <v>-15</v>
      </c>
      <c r="H2726" s="560"/>
      <c r="I2726" s="560"/>
      <c r="J2726" s="560"/>
    </row>
    <row r="2727" spans="1:10" x14ac:dyDescent="0.25">
      <c r="A2727" s="362"/>
      <c r="B2727" s="609">
        <v>44238</v>
      </c>
      <c r="C2727" s="370" t="s">
        <v>85</v>
      </c>
      <c r="D2727" s="560">
        <v>22745100</v>
      </c>
      <c r="E2727" s="560"/>
      <c r="F2727" s="560">
        <v>22745100</v>
      </c>
      <c r="G2727" s="560">
        <f t="shared" si="44"/>
        <v>0</v>
      </c>
      <c r="H2727" s="560"/>
      <c r="I2727" s="560"/>
      <c r="J2727" s="560"/>
    </row>
    <row r="2728" spans="1:10" x14ac:dyDescent="0.25">
      <c r="A2728" s="530"/>
      <c r="B2728" s="530"/>
      <c r="C2728" s="530"/>
      <c r="D2728" s="562">
        <f>SUM(D2713:D2727)</f>
        <v>2238165748</v>
      </c>
      <c r="E2728" s="562">
        <f>SUM(E2713:E2727)</f>
        <v>461405807</v>
      </c>
      <c r="F2728" s="562">
        <f>SUM(F2713:F2727)</f>
        <v>2699569500</v>
      </c>
      <c r="G2728" s="562">
        <f>SUM(G2713:G2727)</f>
        <v>2055</v>
      </c>
      <c r="H2728" s="562"/>
      <c r="I2728" s="562"/>
      <c r="J2728" s="562"/>
    </row>
    <row r="2729" spans="1:10" x14ac:dyDescent="0.25">
      <c r="A2729" s="362"/>
      <c r="B2729" s="609">
        <v>44239</v>
      </c>
      <c r="C2729" s="362" t="s">
        <v>86</v>
      </c>
      <c r="D2729" s="560">
        <v>78044393</v>
      </c>
      <c r="E2729" s="560">
        <v>17596900</v>
      </c>
      <c r="F2729" s="560">
        <v>95641300</v>
      </c>
      <c r="G2729" s="560">
        <f>D2729+E2729-F2729</f>
        <v>-7</v>
      </c>
      <c r="H2729" s="560"/>
      <c r="I2729" s="560"/>
      <c r="J2729" s="560"/>
    </row>
    <row r="2730" spans="1:10" x14ac:dyDescent="0.25">
      <c r="A2730" s="362"/>
      <c r="B2730" s="609">
        <v>44239</v>
      </c>
      <c r="C2730" s="362" t="s">
        <v>87</v>
      </c>
      <c r="D2730" s="560">
        <v>135318519</v>
      </c>
      <c r="E2730" s="560">
        <v>81596532</v>
      </c>
      <c r="F2730" s="560">
        <v>216914800</v>
      </c>
      <c r="G2730" s="560">
        <f t="shared" ref="G2730:G2743" si="45">D2730+E2730-F2730</f>
        <v>251</v>
      </c>
      <c r="H2730" s="560"/>
      <c r="I2730" s="560"/>
      <c r="J2730" s="560"/>
    </row>
    <row r="2731" spans="1:10" x14ac:dyDescent="0.25">
      <c r="A2731" s="362"/>
      <c r="B2731" s="609">
        <v>44239</v>
      </c>
      <c r="C2731" s="362" t="s">
        <v>88</v>
      </c>
      <c r="D2731" s="560">
        <v>127798080</v>
      </c>
      <c r="E2731" s="560">
        <v>13134047</v>
      </c>
      <c r="F2731" s="560">
        <v>140932200</v>
      </c>
      <c r="G2731" s="560">
        <f t="shared" si="45"/>
        <v>-73</v>
      </c>
      <c r="H2731" s="560"/>
      <c r="I2731" s="560"/>
      <c r="J2731" s="560"/>
    </row>
    <row r="2732" spans="1:10" x14ac:dyDescent="0.25">
      <c r="A2732" s="362"/>
      <c r="B2732" s="609">
        <v>44239</v>
      </c>
      <c r="C2732" s="362" t="s">
        <v>82</v>
      </c>
      <c r="D2732" s="560">
        <v>157281065</v>
      </c>
      <c r="E2732" s="560"/>
      <c r="F2732" s="560">
        <v>157281100</v>
      </c>
      <c r="G2732" s="560">
        <f t="shared" si="45"/>
        <v>-35</v>
      </c>
      <c r="H2732" s="560"/>
      <c r="I2732" s="560"/>
      <c r="J2732" s="560"/>
    </row>
    <row r="2733" spans="1:10" x14ac:dyDescent="0.25">
      <c r="A2733" s="362"/>
      <c r="B2733" s="609">
        <v>44239</v>
      </c>
      <c r="C2733" s="362" t="s">
        <v>80</v>
      </c>
      <c r="D2733" s="560">
        <v>161889538</v>
      </c>
      <c r="E2733" s="560">
        <v>517440</v>
      </c>
      <c r="F2733" s="560">
        <v>162407000</v>
      </c>
      <c r="G2733" s="560">
        <f t="shared" si="45"/>
        <v>-22</v>
      </c>
      <c r="H2733" s="560"/>
      <c r="I2733" s="560"/>
      <c r="J2733" s="560"/>
    </row>
    <row r="2734" spans="1:10" x14ac:dyDescent="0.25">
      <c r="A2734" s="362"/>
      <c r="B2734" s="609">
        <v>44239</v>
      </c>
      <c r="C2734" s="362" t="s">
        <v>83</v>
      </c>
      <c r="D2734" s="560">
        <v>197878250</v>
      </c>
      <c r="E2734" s="560">
        <v>3974850</v>
      </c>
      <c r="F2734" s="560">
        <v>201853100</v>
      </c>
      <c r="G2734" s="560">
        <f t="shared" si="45"/>
        <v>0</v>
      </c>
      <c r="H2734" s="560"/>
      <c r="I2734" s="560"/>
      <c r="J2734" s="560"/>
    </row>
    <row r="2735" spans="1:10" x14ac:dyDescent="0.25">
      <c r="A2735" s="362"/>
      <c r="B2735" s="609">
        <v>44239</v>
      </c>
      <c r="C2735" s="362" t="s">
        <v>78</v>
      </c>
      <c r="D2735" s="560">
        <v>79163747</v>
      </c>
      <c r="E2735" s="560">
        <v>1586053</v>
      </c>
      <c r="F2735" s="560">
        <v>80749800</v>
      </c>
      <c r="G2735" s="560">
        <f t="shared" si="45"/>
        <v>0</v>
      </c>
      <c r="H2735" s="560"/>
      <c r="I2735" s="560"/>
      <c r="J2735" s="560"/>
    </row>
    <row r="2736" spans="1:10" x14ac:dyDescent="0.25">
      <c r="A2736" s="362"/>
      <c r="B2736" s="609">
        <v>44239</v>
      </c>
      <c r="C2736" s="362" t="s">
        <v>141</v>
      </c>
      <c r="D2736" s="560">
        <v>60380647</v>
      </c>
      <c r="E2736" s="560">
        <v>266197</v>
      </c>
      <c r="F2736" s="560">
        <v>60646900</v>
      </c>
      <c r="G2736" s="560">
        <f t="shared" si="45"/>
        <v>-56</v>
      </c>
      <c r="H2736" s="560"/>
      <c r="I2736" s="560"/>
      <c r="J2736" s="560"/>
    </row>
    <row r="2737" spans="1:10" x14ac:dyDescent="0.25">
      <c r="A2737" s="362"/>
      <c r="B2737" s="609">
        <v>44239</v>
      </c>
      <c r="C2737" s="362" t="s">
        <v>89</v>
      </c>
      <c r="D2737" s="560">
        <v>131891144</v>
      </c>
      <c r="E2737" s="560">
        <v>8314856</v>
      </c>
      <c r="F2737" s="560">
        <v>140206000</v>
      </c>
      <c r="G2737" s="560">
        <f t="shared" si="45"/>
        <v>0</v>
      </c>
      <c r="H2737" s="560"/>
      <c r="I2737" s="560"/>
      <c r="J2737" s="560"/>
    </row>
    <row r="2738" spans="1:10" x14ac:dyDescent="0.25">
      <c r="A2738" s="362"/>
      <c r="B2738" s="609">
        <v>44239</v>
      </c>
      <c r="C2738" s="362" t="s">
        <v>81</v>
      </c>
      <c r="D2738" s="560">
        <v>51180688</v>
      </c>
      <c r="E2738" s="560">
        <v>15109458</v>
      </c>
      <c r="F2738" s="560">
        <v>66290200</v>
      </c>
      <c r="G2738" s="560">
        <f t="shared" si="45"/>
        <v>-54</v>
      </c>
      <c r="H2738" s="560"/>
      <c r="I2738" s="560"/>
      <c r="J2738" s="560"/>
    </row>
    <row r="2739" spans="1:10" x14ac:dyDescent="0.25">
      <c r="A2739" s="362"/>
      <c r="B2739" s="609">
        <v>44239</v>
      </c>
      <c r="C2739" s="362" t="s">
        <v>84</v>
      </c>
      <c r="D2739" s="560">
        <v>237538408</v>
      </c>
      <c r="E2739" s="560">
        <v>10847396</v>
      </c>
      <c r="F2739" s="560">
        <v>248386500</v>
      </c>
      <c r="G2739" s="560">
        <f t="shared" si="45"/>
        <v>-696</v>
      </c>
      <c r="H2739" s="560"/>
      <c r="I2739" s="560"/>
      <c r="J2739" s="560"/>
    </row>
    <row r="2740" spans="1:10" x14ac:dyDescent="0.25">
      <c r="A2740" s="362"/>
      <c r="B2740" s="609">
        <v>44239</v>
      </c>
      <c r="C2740" s="362" t="s">
        <v>4751</v>
      </c>
      <c r="D2740" s="560">
        <v>155608178</v>
      </c>
      <c r="E2740" s="560">
        <v>9023322</v>
      </c>
      <c r="F2740" s="560">
        <v>164631500</v>
      </c>
      <c r="G2740" s="560">
        <f t="shared" si="45"/>
        <v>0</v>
      </c>
      <c r="H2740" s="560"/>
      <c r="I2740" s="560"/>
      <c r="J2740" s="560"/>
    </row>
    <row r="2741" spans="1:10" x14ac:dyDescent="0.25">
      <c r="A2741" s="362"/>
      <c r="B2741" s="609">
        <v>44239</v>
      </c>
      <c r="C2741" s="362" t="s">
        <v>166</v>
      </c>
      <c r="D2741" s="560">
        <v>69305174</v>
      </c>
      <c r="E2741" s="560"/>
      <c r="F2741" s="560">
        <v>69305200</v>
      </c>
      <c r="G2741" s="560">
        <f t="shared" si="45"/>
        <v>-26</v>
      </c>
      <c r="H2741" s="560"/>
      <c r="I2741" s="560"/>
      <c r="J2741" s="560"/>
    </row>
    <row r="2742" spans="1:10" x14ac:dyDescent="0.25">
      <c r="A2742" s="362"/>
      <c r="B2742" s="609">
        <v>44239</v>
      </c>
      <c r="C2742" s="362" t="s">
        <v>3435</v>
      </c>
      <c r="D2742" s="560">
        <v>117560699</v>
      </c>
      <c r="E2742" s="560"/>
      <c r="F2742" s="560">
        <v>117560700</v>
      </c>
      <c r="G2742" s="560">
        <f t="shared" si="45"/>
        <v>-1</v>
      </c>
      <c r="H2742" s="560"/>
      <c r="I2742" s="560"/>
      <c r="J2742" s="560"/>
    </row>
    <row r="2743" spans="1:10" x14ac:dyDescent="0.25">
      <c r="A2743" s="362"/>
      <c r="B2743" s="609">
        <v>44239</v>
      </c>
      <c r="C2743" s="370" t="s">
        <v>85</v>
      </c>
      <c r="D2743" s="560">
        <v>23278800</v>
      </c>
      <c r="E2743" s="560"/>
      <c r="F2743" s="560">
        <v>23278800</v>
      </c>
      <c r="G2743" s="560">
        <f t="shared" si="45"/>
        <v>0</v>
      </c>
      <c r="H2743" s="560"/>
      <c r="I2743" s="560"/>
      <c r="J2743" s="560"/>
    </row>
    <row r="2744" spans="1:10" x14ac:dyDescent="0.25">
      <c r="A2744" s="530"/>
      <c r="B2744" s="530"/>
      <c r="C2744" s="530"/>
      <c r="D2744" s="562">
        <f>SUM(D2729:D2743)</f>
        <v>1784117330</v>
      </c>
      <c r="E2744" s="562">
        <f>SUM(E2729:E2743)</f>
        <v>161967051</v>
      </c>
      <c r="F2744" s="562">
        <f>SUM(F2729:F2743)</f>
        <v>1946085100</v>
      </c>
      <c r="G2744" s="562">
        <f>SUM(G2729:G2743)</f>
        <v>-719</v>
      </c>
      <c r="H2744" s="562"/>
      <c r="I2744" s="562"/>
      <c r="J2744" s="562"/>
    </row>
    <row r="2745" spans="1:10" x14ac:dyDescent="0.25">
      <c r="A2745" s="362"/>
      <c r="B2745" s="609">
        <v>44240</v>
      </c>
      <c r="C2745" s="362" t="s">
        <v>86</v>
      </c>
      <c r="D2745" s="560">
        <v>35453557</v>
      </c>
      <c r="E2745" s="560">
        <v>6891328</v>
      </c>
      <c r="F2745" s="560">
        <v>42344800</v>
      </c>
      <c r="G2745" s="560">
        <f>D2745+E2745-F2745</f>
        <v>85</v>
      </c>
      <c r="H2745" s="560"/>
      <c r="I2745" s="560"/>
      <c r="J2745" s="560"/>
    </row>
    <row r="2746" spans="1:10" x14ac:dyDescent="0.25">
      <c r="A2746" s="362"/>
      <c r="B2746" s="609">
        <v>44240</v>
      </c>
      <c r="C2746" s="362" t="s">
        <v>87</v>
      </c>
      <c r="D2746" s="560">
        <v>85911041</v>
      </c>
      <c r="E2746" s="560">
        <v>162571298</v>
      </c>
      <c r="F2746" s="560">
        <v>248481500</v>
      </c>
      <c r="G2746" s="560">
        <f t="shared" ref="G2746:G2759" si="46">D2746+E2746-F2746</f>
        <v>839</v>
      </c>
      <c r="H2746" s="560"/>
      <c r="I2746" s="560"/>
      <c r="J2746" s="560"/>
    </row>
    <row r="2747" spans="1:10" x14ac:dyDescent="0.25">
      <c r="A2747" s="362"/>
      <c r="B2747" s="609">
        <v>44240</v>
      </c>
      <c r="C2747" s="362" t="s">
        <v>88</v>
      </c>
      <c r="D2747" s="560">
        <v>115731352</v>
      </c>
      <c r="E2747" s="560">
        <v>17834310</v>
      </c>
      <c r="F2747" s="560">
        <v>133565700</v>
      </c>
      <c r="G2747" s="560">
        <f t="shared" si="46"/>
        <v>-38</v>
      </c>
      <c r="H2747" s="560"/>
      <c r="I2747" s="560"/>
      <c r="J2747" s="560"/>
    </row>
    <row r="2748" spans="1:10" x14ac:dyDescent="0.25">
      <c r="A2748" s="362"/>
      <c r="B2748" s="609">
        <v>44240</v>
      </c>
      <c r="C2748" s="362" t="s">
        <v>82</v>
      </c>
      <c r="D2748" s="560">
        <v>61464187</v>
      </c>
      <c r="E2748" s="560">
        <v>15273686</v>
      </c>
      <c r="F2748" s="560">
        <v>76737900</v>
      </c>
      <c r="G2748" s="560">
        <f t="shared" si="46"/>
        <v>-27</v>
      </c>
      <c r="H2748" s="560"/>
      <c r="I2748" s="560"/>
      <c r="J2748" s="560"/>
    </row>
    <row r="2749" spans="1:10" x14ac:dyDescent="0.25">
      <c r="A2749" s="362"/>
      <c r="B2749" s="609">
        <v>44240</v>
      </c>
      <c r="C2749" s="362" t="s">
        <v>80</v>
      </c>
      <c r="D2749" s="560">
        <v>222400239</v>
      </c>
      <c r="E2749" s="560">
        <v>10663761</v>
      </c>
      <c r="F2749" s="560">
        <v>233064000</v>
      </c>
      <c r="G2749" s="560">
        <f t="shared" si="46"/>
        <v>0</v>
      </c>
      <c r="H2749" s="560"/>
      <c r="I2749" s="560"/>
      <c r="J2749" s="560"/>
    </row>
    <row r="2750" spans="1:10" x14ac:dyDescent="0.25">
      <c r="A2750" s="362"/>
      <c r="B2750" s="609">
        <v>44240</v>
      </c>
      <c r="C2750" s="362" t="s">
        <v>83</v>
      </c>
      <c r="D2750" s="560">
        <v>243227301</v>
      </c>
      <c r="E2750" s="560">
        <v>214168599</v>
      </c>
      <c r="F2750" s="560">
        <v>457395900</v>
      </c>
      <c r="G2750" s="560">
        <f t="shared" si="46"/>
        <v>0</v>
      </c>
      <c r="H2750" s="560"/>
      <c r="I2750" s="560"/>
      <c r="J2750" s="560"/>
    </row>
    <row r="2751" spans="1:10" x14ac:dyDescent="0.25">
      <c r="A2751" s="362"/>
      <c r="B2751" s="609">
        <v>44240</v>
      </c>
      <c r="C2751" s="362" t="s">
        <v>78</v>
      </c>
      <c r="D2751" s="560">
        <v>123797129</v>
      </c>
      <c r="E2751" s="560">
        <v>7393671</v>
      </c>
      <c r="F2751" s="560">
        <v>131190800</v>
      </c>
      <c r="G2751" s="560">
        <f t="shared" si="46"/>
        <v>0</v>
      </c>
      <c r="H2751" s="560"/>
      <c r="I2751" s="560"/>
      <c r="J2751" s="560"/>
    </row>
    <row r="2752" spans="1:10" x14ac:dyDescent="0.25">
      <c r="A2752" s="362"/>
      <c r="B2752" s="609">
        <v>44240</v>
      </c>
      <c r="C2752" s="362" t="s">
        <v>141</v>
      </c>
      <c r="D2752" s="560">
        <v>40865833</v>
      </c>
      <c r="E2752" s="560">
        <v>1703338</v>
      </c>
      <c r="F2752" s="560">
        <v>42569200</v>
      </c>
      <c r="G2752" s="560">
        <f t="shared" si="46"/>
        <v>-29</v>
      </c>
      <c r="H2752" s="560"/>
      <c r="I2752" s="560"/>
      <c r="J2752" s="560"/>
    </row>
    <row r="2753" spans="1:10" x14ac:dyDescent="0.25">
      <c r="A2753" s="362"/>
      <c r="B2753" s="609">
        <v>44240</v>
      </c>
      <c r="C2753" s="362" t="s">
        <v>89</v>
      </c>
      <c r="D2753" s="560">
        <v>94588425</v>
      </c>
      <c r="E2753" s="560">
        <v>50313975</v>
      </c>
      <c r="F2753" s="560">
        <v>144902400</v>
      </c>
      <c r="G2753" s="560">
        <f t="shared" si="46"/>
        <v>0</v>
      </c>
      <c r="H2753" s="560"/>
      <c r="I2753" s="560"/>
      <c r="J2753" s="560"/>
    </row>
    <row r="2754" spans="1:10" x14ac:dyDescent="0.25">
      <c r="A2754" s="362"/>
      <c r="B2754" s="609">
        <v>44240</v>
      </c>
      <c r="C2754" s="362" t="s">
        <v>81</v>
      </c>
      <c r="D2754" s="560">
        <v>143397650</v>
      </c>
      <c r="E2754" s="560">
        <v>15784802</v>
      </c>
      <c r="F2754" s="560">
        <f>111405748+47776704</f>
        <v>159182452</v>
      </c>
      <c r="G2754" s="560">
        <f t="shared" si="46"/>
        <v>0</v>
      </c>
      <c r="H2754" s="560"/>
      <c r="I2754" s="560"/>
      <c r="J2754" s="560"/>
    </row>
    <row r="2755" spans="1:10" x14ac:dyDescent="0.25">
      <c r="A2755" s="362"/>
      <c r="B2755" s="609">
        <v>44240</v>
      </c>
      <c r="C2755" s="362" t="s">
        <v>84</v>
      </c>
      <c r="D2755" s="560">
        <v>297234020</v>
      </c>
      <c r="E2755" s="560">
        <v>9076609</v>
      </c>
      <c r="F2755" s="560">
        <v>306310700</v>
      </c>
      <c r="G2755" s="560">
        <f t="shared" si="46"/>
        <v>-71</v>
      </c>
      <c r="H2755" s="560"/>
      <c r="I2755" s="560"/>
      <c r="J2755" s="560"/>
    </row>
    <row r="2756" spans="1:10" x14ac:dyDescent="0.25">
      <c r="A2756" s="362"/>
      <c r="B2756" s="609">
        <v>44240</v>
      </c>
      <c r="C2756" s="362" t="s">
        <v>4751</v>
      </c>
      <c r="D2756" s="560">
        <v>214067471</v>
      </c>
      <c r="E2756" s="560">
        <v>34366029</v>
      </c>
      <c r="F2756" s="560">
        <v>248433500</v>
      </c>
      <c r="G2756" s="560">
        <f t="shared" si="46"/>
        <v>0</v>
      </c>
      <c r="H2756" s="560"/>
      <c r="I2756" s="560"/>
      <c r="J2756" s="560"/>
    </row>
    <row r="2757" spans="1:10" x14ac:dyDescent="0.25">
      <c r="A2757" s="362"/>
      <c r="B2757" s="609">
        <v>44240</v>
      </c>
      <c r="C2757" s="362" t="s">
        <v>166</v>
      </c>
      <c r="D2757" s="560"/>
      <c r="E2757" s="560"/>
      <c r="F2757" s="560"/>
      <c r="G2757" s="560">
        <f t="shared" si="46"/>
        <v>0</v>
      </c>
      <c r="H2757" s="560"/>
      <c r="I2757" s="560"/>
      <c r="J2757" s="560"/>
    </row>
    <row r="2758" spans="1:10" x14ac:dyDescent="0.25">
      <c r="A2758" s="362"/>
      <c r="B2758" s="609">
        <v>44240</v>
      </c>
      <c r="C2758" s="362" t="s">
        <v>3435</v>
      </c>
      <c r="D2758" s="560"/>
      <c r="E2758" s="560"/>
      <c r="F2758" s="560"/>
      <c r="G2758" s="560">
        <f t="shared" si="46"/>
        <v>0</v>
      </c>
      <c r="H2758" s="560"/>
      <c r="I2758" s="560"/>
      <c r="J2758" s="560"/>
    </row>
    <row r="2759" spans="1:10" x14ac:dyDescent="0.25">
      <c r="A2759" s="362"/>
      <c r="B2759" s="609">
        <v>44240</v>
      </c>
      <c r="C2759" s="370" t="s">
        <v>85</v>
      </c>
      <c r="D2759" s="560">
        <v>14134700</v>
      </c>
      <c r="E2759" s="560"/>
      <c r="F2759" s="560">
        <v>14134700</v>
      </c>
      <c r="G2759" s="560">
        <f t="shared" si="46"/>
        <v>0</v>
      </c>
      <c r="H2759" s="560"/>
      <c r="I2759" s="560"/>
      <c r="J2759" s="560"/>
    </row>
    <row r="2760" spans="1:10" x14ac:dyDescent="0.25">
      <c r="A2760" s="530"/>
      <c r="B2760" s="530"/>
      <c r="C2760" s="530"/>
      <c r="D2760" s="562">
        <f>SUM(D2745:D2759)</f>
        <v>1692272905</v>
      </c>
      <c r="E2760" s="562">
        <f>SUM(E2745:E2759)</f>
        <v>546041406</v>
      </c>
      <c r="F2760" s="562">
        <f>SUM(F2745:F2759)</f>
        <v>2238313552</v>
      </c>
      <c r="G2760" s="562">
        <f>SUM(G2745:G2759)</f>
        <v>759</v>
      </c>
      <c r="H2760" s="562"/>
      <c r="I2760" s="562"/>
      <c r="J2760" s="562"/>
    </row>
    <row r="2761" spans="1:10" x14ac:dyDescent="0.25">
      <c r="A2761" s="362"/>
      <c r="B2761" s="609">
        <v>44242</v>
      </c>
      <c r="C2761" s="362" t="s">
        <v>86</v>
      </c>
      <c r="D2761" s="560">
        <v>41977907</v>
      </c>
      <c r="E2761" s="560">
        <v>58426360</v>
      </c>
      <c r="F2761" s="560">
        <v>100402300</v>
      </c>
      <c r="G2761" s="560">
        <f>D2761+E2761-F2761</f>
        <v>1967</v>
      </c>
      <c r="H2761" s="560"/>
      <c r="I2761" s="560"/>
      <c r="J2761" s="560"/>
    </row>
    <row r="2762" spans="1:10" x14ac:dyDescent="0.25">
      <c r="A2762" s="362"/>
      <c r="B2762" s="609">
        <v>44242</v>
      </c>
      <c r="C2762" s="362" t="s">
        <v>87</v>
      </c>
      <c r="D2762" s="560">
        <v>91803143</v>
      </c>
      <c r="E2762" s="560">
        <v>115409736</v>
      </c>
      <c r="F2762" s="560">
        <v>207213000</v>
      </c>
      <c r="G2762" s="560">
        <f t="shared" ref="G2762:G2775" si="47">D2762+E2762-F2762</f>
        <v>-121</v>
      </c>
      <c r="H2762" s="560"/>
      <c r="I2762" s="560"/>
      <c r="J2762" s="560"/>
    </row>
    <row r="2763" spans="1:10" x14ac:dyDescent="0.25">
      <c r="A2763" s="362"/>
      <c r="B2763" s="609">
        <v>44242</v>
      </c>
      <c r="C2763" s="362" t="s">
        <v>88</v>
      </c>
      <c r="D2763" s="560">
        <v>478498729</v>
      </c>
      <c r="E2763" s="560">
        <v>24559438</v>
      </c>
      <c r="F2763" s="560">
        <v>503058200</v>
      </c>
      <c r="G2763" s="560">
        <f t="shared" si="47"/>
        <v>-33</v>
      </c>
      <c r="H2763" s="560"/>
      <c r="I2763" s="560"/>
      <c r="J2763" s="560"/>
    </row>
    <row r="2764" spans="1:10" x14ac:dyDescent="0.25">
      <c r="A2764" s="362"/>
      <c r="B2764" s="609">
        <v>44242</v>
      </c>
      <c r="C2764" s="362" t="s">
        <v>82</v>
      </c>
      <c r="D2764" s="560">
        <v>51292217</v>
      </c>
      <c r="E2764" s="560">
        <v>1971280</v>
      </c>
      <c r="F2764" s="560">
        <v>53263500</v>
      </c>
      <c r="G2764" s="560">
        <f t="shared" si="47"/>
        <v>-3</v>
      </c>
      <c r="H2764" s="560"/>
      <c r="I2764" s="560"/>
      <c r="J2764" s="560"/>
    </row>
    <row r="2765" spans="1:10" x14ac:dyDescent="0.25">
      <c r="A2765" s="362"/>
      <c r="B2765" s="609">
        <v>44242</v>
      </c>
      <c r="C2765" s="362" t="s">
        <v>80</v>
      </c>
      <c r="D2765" s="560">
        <v>197648014</v>
      </c>
      <c r="E2765" s="560"/>
      <c r="F2765" s="560">
        <v>197648100</v>
      </c>
      <c r="G2765" s="560">
        <f t="shared" si="47"/>
        <v>-86</v>
      </c>
      <c r="H2765" s="560"/>
      <c r="I2765" s="560"/>
      <c r="J2765" s="560"/>
    </row>
    <row r="2766" spans="1:10" x14ac:dyDescent="0.25">
      <c r="A2766" s="362"/>
      <c r="B2766" s="609">
        <v>44242</v>
      </c>
      <c r="C2766" s="362" t="s">
        <v>83</v>
      </c>
      <c r="D2766" s="560">
        <v>292131886</v>
      </c>
      <c r="E2766" s="560">
        <v>199055833</v>
      </c>
      <c r="F2766" s="560">
        <v>491187800</v>
      </c>
      <c r="G2766" s="560">
        <f t="shared" si="47"/>
        <v>-81</v>
      </c>
      <c r="H2766" s="560"/>
      <c r="I2766" s="560"/>
      <c r="J2766" s="560"/>
    </row>
    <row r="2767" spans="1:10" x14ac:dyDescent="0.25">
      <c r="A2767" s="362"/>
      <c r="B2767" s="609">
        <v>44242</v>
      </c>
      <c r="C2767" s="362" t="s">
        <v>78</v>
      </c>
      <c r="D2767" s="560">
        <v>101884490</v>
      </c>
      <c r="E2767" s="560">
        <v>2475810</v>
      </c>
      <c r="F2767" s="560">
        <v>104360300</v>
      </c>
      <c r="G2767" s="560">
        <f t="shared" si="47"/>
        <v>0</v>
      </c>
      <c r="H2767" s="560"/>
      <c r="I2767" s="560"/>
      <c r="J2767" s="560"/>
    </row>
    <row r="2768" spans="1:10" x14ac:dyDescent="0.25">
      <c r="A2768" s="362"/>
      <c r="B2768" s="609">
        <v>44242</v>
      </c>
      <c r="C2768" s="362" t="s">
        <v>141</v>
      </c>
      <c r="D2768" s="560">
        <v>55544180</v>
      </c>
      <c r="E2768" s="560">
        <v>4519855</v>
      </c>
      <c r="F2768" s="560">
        <v>60064100</v>
      </c>
      <c r="G2768" s="560">
        <f t="shared" si="47"/>
        <v>-65</v>
      </c>
      <c r="H2768" s="560"/>
      <c r="I2768" s="560"/>
      <c r="J2768" s="560"/>
    </row>
    <row r="2769" spans="1:10" x14ac:dyDescent="0.25">
      <c r="A2769" s="362"/>
      <c r="B2769" s="609">
        <v>44242</v>
      </c>
      <c r="C2769" s="362" t="s">
        <v>89</v>
      </c>
      <c r="D2769" s="560">
        <v>108790879</v>
      </c>
      <c r="E2769" s="560">
        <v>26810721</v>
      </c>
      <c r="F2769" s="560">
        <v>135601600</v>
      </c>
      <c r="G2769" s="560">
        <f t="shared" si="47"/>
        <v>0</v>
      </c>
      <c r="H2769" s="560"/>
      <c r="I2769" s="560"/>
      <c r="J2769" s="560"/>
    </row>
    <row r="2770" spans="1:10" x14ac:dyDescent="0.25">
      <c r="A2770" s="362"/>
      <c r="B2770" s="609">
        <v>44242</v>
      </c>
      <c r="C2770" s="362" t="s">
        <v>81</v>
      </c>
      <c r="D2770" s="560">
        <v>65935056</v>
      </c>
      <c r="E2770" s="560">
        <v>10629085</v>
      </c>
      <c r="F2770" s="560">
        <v>76564200</v>
      </c>
      <c r="G2770" s="560">
        <f t="shared" si="47"/>
        <v>-59</v>
      </c>
      <c r="H2770" s="560"/>
      <c r="I2770" s="560"/>
      <c r="J2770" s="560"/>
    </row>
    <row r="2771" spans="1:10" x14ac:dyDescent="0.25">
      <c r="A2771" s="362"/>
      <c r="B2771" s="609">
        <v>44242</v>
      </c>
      <c r="C2771" s="362" t="s">
        <v>84</v>
      </c>
      <c r="D2771" s="560">
        <v>192034519</v>
      </c>
      <c r="E2771" s="560">
        <v>14776529</v>
      </c>
      <c r="F2771" s="560">
        <v>206811600</v>
      </c>
      <c r="G2771" s="560">
        <f t="shared" si="47"/>
        <v>-552</v>
      </c>
      <c r="H2771" s="560"/>
      <c r="I2771" s="560"/>
      <c r="J2771" s="560"/>
    </row>
    <row r="2772" spans="1:10" x14ac:dyDescent="0.25">
      <c r="A2772" s="362"/>
      <c r="B2772" s="609">
        <v>44242</v>
      </c>
      <c r="C2772" s="362" t="s">
        <v>4751</v>
      </c>
      <c r="D2772" s="560">
        <v>237509262</v>
      </c>
      <c r="E2772" s="560">
        <v>11437838</v>
      </c>
      <c r="F2772" s="560">
        <v>248947100</v>
      </c>
      <c r="G2772" s="560">
        <f t="shared" si="47"/>
        <v>0</v>
      </c>
      <c r="H2772" s="560"/>
      <c r="I2772" s="560"/>
      <c r="J2772" s="560"/>
    </row>
    <row r="2773" spans="1:10" x14ac:dyDescent="0.25">
      <c r="A2773" s="362"/>
      <c r="B2773" s="609">
        <v>44242</v>
      </c>
      <c r="C2773" s="362" t="s">
        <v>166</v>
      </c>
      <c r="D2773" s="560">
        <v>98031701</v>
      </c>
      <c r="E2773" s="560"/>
      <c r="F2773" s="560">
        <v>98031700</v>
      </c>
      <c r="G2773" s="560">
        <f t="shared" si="47"/>
        <v>1</v>
      </c>
      <c r="H2773" s="560"/>
      <c r="I2773" s="560"/>
      <c r="J2773" s="560"/>
    </row>
    <row r="2774" spans="1:10" x14ac:dyDescent="0.25">
      <c r="A2774" s="362"/>
      <c r="B2774" s="609">
        <v>44242</v>
      </c>
      <c r="C2774" s="362" t="s">
        <v>3435</v>
      </c>
      <c r="D2774" s="560">
        <v>62270675</v>
      </c>
      <c r="E2774" s="560"/>
      <c r="F2774" s="560">
        <v>62270700</v>
      </c>
      <c r="G2774" s="560">
        <f t="shared" si="47"/>
        <v>-25</v>
      </c>
      <c r="H2774" s="560"/>
      <c r="I2774" s="560"/>
      <c r="J2774" s="560"/>
    </row>
    <row r="2775" spans="1:10" x14ac:dyDescent="0.25">
      <c r="A2775" s="362"/>
      <c r="B2775" s="609">
        <v>44242</v>
      </c>
      <c r="C2775" s="370" t="s">
        <v>85</v>
      </c>
      <c r="D2775" s="560">
        <v>45270000</v>
      </c>
      <c r="E2775" s="560"/>
      <c r="F2775" s="560">
        <v>45270000</v>
      </c>
      <c r="G2775" s="560">
        <f t="shared" si="47"/>
        <v>0</v>
      </c>
      <c r="H2775" s="560"/>
      <c r="I2775" s="560"/>
      <c r="J2775" s="560"/>
    </row>
    <row r="2776" spans="1:10" x14ac:dyDescent="0.25">
      <c r="A2776" s="530"/>
      <c r="B2776" s="530"/>
      <c r="C2776" s="530"/>
      <c r="D2776" s="562">
        <f>SUM(D2761:D2775)</f>
        <v>2120622658</v>
      </c>
      <c r="E2776" s="562">
        <f>SUM(E2761:E2775)</f>
        <v>470072485</v>
      </c>
      <c r="F2776" s="562">
        <f>SUM(F2761:F2775)</f>
        <v>2590694200</v>
      </c>
      <c r="G2776" s="562">
        <f>SUM(G2761:G2775)</f>
        <v>943</v>
      </c>
      <c r="H2776" s="562"/>
      <c r="I2776" s="562"/>
      <c r="J2776" s="562"/>
    </row>
    <row r="2777" spans="1:10" x14ac:dyDescent="0.25">
      <c r="A2777" s="362"/>
      <c r="B2777" s="609">
        <v>44243</v>
      </c>
      <c r="C2777" s="362" t="s">
        <v>86</v>
      </c>
      <c r="D2777" s="560">
        <v>39616538</v>
      </c>
      <c r="E2777" s="560">
        <v>29872996</v>
      </c>
      <c r="F2777" s="560">
        <v>69489500</v>
      </c>
      <c r="G2777" s="560">
        <f>D2777+E2777-F2777</f>
        <v>34</v>
      </c>
      <c r="H2777" s="560"/>
      <c r="I2777" s="560"/>
      <c r="J2777" s="560"/>
    </row>
    <row r="2778" spans="1:10" x14ac:dyDescent="0.25">
      <c r="A2778" s="362"/>
      <c r="B2778" s="609">
        <v>44243</v>
      </c>
      <c r="C2778" s="362" t="s">
        <v>87</v>
      </c>
      <c r="D2778" s="560">
        <v>171616843</v>
      </c>
      <c r="E2778" s="560">
        <v>97261814</v>
      </c>
      <c r="F2778" s="560">
        <v>268878700</v>
      </c>
      <c r="G2778" s="560">
        <f t="shared" ref="G2778:G2791" si="48">D2778+E2778-F2778</f>
        <v>-43</v>
      </c>
      <c r="H2778" s="560"/>
      <c r="I2778" s="560"/>
      <c r="J2778" s="560"/>
    </row>
    <row r="2779" spans="1:10" x14ac:dyDescent="0.25">
      <c r="A2779" s="362"/>
      <c r="B2779" s="609">
        <v>44243</v>
      </c>
      <c r="C2779" s="362" t="s">
        <v>88</v>
      </c>
      <c r="D2779" s="560">
        <v>232119634</v>
      </c>
      <c r="E2779" s="560">
        <v>5224645</v>
      </c>
      <c r="F2779" s="560">
        <v>237344300</v>
      </c>
      <c r="G2779" s="560">
        <f t="shared" si="48"/>
        <v>-21</v>
      </c>
      <c r="H2779" s="560"/>
      <c r="I2779" s="560"/>
      <c r="J2779" s="560"/>
    </row>
    <row r="2780" spans="1:10" x14ac:dyDescent="0.25">
      <c r="A2780" s="362"/>
      <c r="B2780" s="609">
        <v>44243</v>
      </c>
      <c r="C2780" s="362" t="s">
        <v>82</v>
      </c>
      <c r="D2780" s="560">
        <v>203065084</v>
      </c>
      <c r="E2780" s="560">
        <v>4481670</v>
      </c>
      <c r="F2780" s="560">
        <v>207546800</v>
      </c>
      <c r="G2780" s="560">
        <f t="shared" si="48"/>
        <v>-46</v>
      </c>
      <c r="H2780" s="560"/>
      <c r="I2780" s="560"/>
      <c r="J2780" s="560"/>
    </row>
    <row r="2781" spans="1:10" x14ac:dyDescent="0.25">
      <c r="A2781" s="362"/>
      <c r="B2781" s="609">
        <v>44243</v>
      </c>
      <c r="C2781" s="362" t="s">
        <v>80</v>
      </c>
      <c r="D2781" s="560">
        <v>319876012</v>
      </c>
      <c r="E2781" s="560">
        <v>29385180</v>
      </c>
      <c r="F2781" s="560">
        <v>349261200</v>
      </c>
      <c r="G2781" s="560">
        <f t="shared" si="48"/>
        <v>-8</v>
      </c>
      <c r="H2781" s="560"/>
      <c r="I2781" s="560"/>
      <c r="J2781" s="560"/>
    </row>
    <row r="2782" spans="1:10" x14ac:dyDescent="0.25">
      <c r="A2782" s="362"/>
      <c r="B2782" s="609">
        <v>44243</v>
      </c>
      <c r="C2782" s="362" t="s">
        <v>83</v>
      </c>
      <c r="D2782" s="560">
        <v>182330390</v>
      </c>
      <c r="E2782" s="560">
        <v>11442912</v>
      </c>
      <c r="F2782" s="560">
        <v>193773300</v>
      </c>
      <c r="G2782" s="560">
        <f t="shared" si="48"/>
        <v>2</v>
      </c>
      <c r="H2782" s="560"/>
      <c r="I2782" s="560"/>
      <c r="J2782" s="560"/>
    </row>
    <row r="2783" spans="1:10" x14ac:dyDescent="0.25">
      <c r="A2783" s="362"/>
      <c r="B2783" s="609">
        <v>44243</v>
      </c>
      <c r="C2783" s="362" t="s">
        <v>78</v>
      </c>
      <c r="D2783" s="560">
        <v>52340537</v>
      </c>
      <c r="E2783" s="560">
        <v>6299363</v>
      </c>
      <c r="F2783" s="560">
        <v>58639900</v>
      </c>
      <c r="G2783" s="560">
        <f t="shared" si="48"/>
        <v>0</v>
      </c>
      <c r="H2783" s="560"/>
      <c r="I2783" s="560"/>
      <c r="J2783" s="560"/>
    </row>
    <row r="2784" spans="1:10" x14ac:dyDescent="0.25">
      <c r="A2784" s="362"/>
      <c r="B2784" s="609">
        <v>44243</v>
      </c>
      <c r="C2784" s="362" t="s">
        <v>141</v>
      </c>
      <c r="D2784" s="560">
        <v>38395434</v>
      </c>
      <c r="E2784" s="560">
        <v>173631</v>
      </c>
      <c r="F2784" s="560">
        <v>38569100</v>
      </c>
      <c r="G2784" s="560">
        <f t="shared" si="48"/>
        <v>-35</v>
      </c>
      <c r="H2784" s="560"/>
      <c r="I2784" s="560"/>
      <c r="J2784" s="560"/>
    </row>
    <row r="2785" spans="1:10" x14ac:dyDescent="0.25">
      <c r="A2785" s="362"/>
      <c r="B2785" s="609">
        <v>44243</v>
      </c>
      <c r="C2785" s="362" t="s">
        <v>89</v>
      </c>
      <c r="D2785" s="560">
        <v>75468892</v>
      </c>
      <c r="E2785" s="560">
        <v>40357508</v>
      </c>
      <c r="F2785" s="560">
        <v>115826400</v>
      </c>
      <c r="G2785" s="560">
        <f t="shared" si="48"/>
        <v>0</v>
      </c>
      <c r="H2785" s="560"/>
      <c r="I2785" s="560"/>
      <c r="J2785" s="560"/>
    </row>
    <row r="2786" spans="1:10" x14ac:dyDescent="0.25">
      <c r="A2786" s="362"/>
      <c r="B2786" s="609">
        <v>44243</v>
      </c>
      <c r="C2786" s="362" t="s">
        <v>81</v>
      </c>
      <c r="D2786" s="560">
        <v>66692343</v>
      </c>
      <c r="E2786" s="560">
        <v>10064576</v>
      </c>
      <c r="F2786" s="560">
        <v>76757000</v>
      </c>
      <c r="G2786" s="560">
        <f t="shared" si="48"/>
        <v>-81</v>
      </c>
      <c r="H2786" s="560"/>
      <c r="I2786" s="560"/>
      <c r="J2786" s="560"/>
    </row>
    <row r="2787" spans="1:10" x14ac:dyDescent="0.25">
      <c r="A2787" s="362"/>
      <c r="B2787" s="609">
        <v>44243</v>
      </c>
      <c r="C2787" s="362" t="s">
        <v>84</v>
      </c>
      <c r="D2787" s="560">
        <v>322441714</v>
      </c>
      <c r="E2787" s="560">
        <v>12780055</v>
      </c>
      <c r="F2787" s="560">
        <v>335221800</v>
      </c>
      <c r="G2787" s="560">
        <f t="shared" si="48"/>
        <v>-31</v>
      </c>
      <c r="H2787" s="560"/>
      <c r="I2787" s="560"/>
      <c r="J2787" s="560"/>
    </row>
    <row r="2788" spans="1:10" x14ac:dyDescent="0.25">
      <c r="A2788" s="362"/>
      <c r="B2788" s="609">
        <v>44243</v>
      </c>
      <c r="C2788" s="362" t="s">
        <v>4751</v>
      </c>
      <c r="D2788" s="560">
        <v>253151677</v>
      </c>
      <c r="E2788" s="560">
        <v>9086823</v>
      </c>
      <c r="F2788" s="560">
        <v>262238500</v>
      </c>
      <c r="G2788" s="560">
        <f t="shared" si="48"/>
        <v>0</v>
      </c>
      <c r="H2788" s="560"/>
      <c r="I2788" s="560"/>
      <c r="J2788" s="560"/>
    </row>
    <row r="2789" spans="1:10" x14ac:dyDescent="0.25">
      <c r="A2789" s="362"/>
      <c r="B2789" s="609">
        <v>44243</v>
      </c>
      <c r="C2789" s="362" t="s">
        <v>166</v>
      </c>
      <c r="D2789" s="560">
        <v>68133570</v>
      </c>
      <c r="E2789" s="560"/>
      <c r="F2789" s="560">
        <v>68133600</v>
      </c>
      <c r="G2789" s="560">
        <f t="shared" si="48"/>
        <v>-30</v>
      </c>
      <c r="H2789" s="560"/>
      <c r="I2789" s="560"/>
      <c r="J2789" s="560"/>
    </row>
    <row r="2790" spans="1:10" x14ac:dyDescent="0.25">
      <c r="A2790" s="362"/>
      <c r="B2790" s="609">
        <v>44243</v>
      </c>
      <c r="C2790" s="362" t="s">
        <v>3435</v>
      </c>
      <c r="D2790" s="560">
        <v>27405002</v>
      </c>
      <c r="E2790" s="560"/>
      <c r="F2790" s="560">
        <v>27405100</v>
      </c>
      <c r="G2790" s="560">
        <f t="shared" si="48"/>
        <v>-98</v>
      </c>
      <c r="H2790" s="560"/>
      <c r="I2790" s="560"/>
      <c r="J2790" s="560"/>
    </row>
    <row r="2791" spans="1:10" x14ac:dyDescent="0.25">
      <c r="A2791" s="362"/>
      <c r="B2791" s="609">
        <v>44243</v>
      </c>
      <c r="C2791" s="370" t="s">
        <v>85</v>
      </c>
      <c r="D2791" s="560">
        <v>26239300</v>
      </c>
      <c r="E2791" s="560"/>
      <c r="F2791" s="560">
        <v>26239300</v>
      </c>
      <c r="G2791" s="560">
        <f t="shared" si="48"/>
        <v>0</v>
      </c>
      <c r="H2791" s="560"/>
      <c r="I2791" s="560"/>
      <c r="J2791" s="560"/>
    </row>
    <row r="2792" spans="1:10" x14ac:dyDescent="0.25">
      <c r="A2792" s="530"/>
      <c r="B2792" s="530"/>
      <c r="C2792" s="530"/>
      <c r="D2792" s="562">
        <f>SUM(D2777:D2791)</f>
        <v>2078892970</v>
      </c>
      <c r="E2792" s="562">
        <f>SUM(E2777:E2791)</f>
        <v>256431173</v>
      </c>
      <c r="F2792" s="562">
        <f>SUM(F2777:F2791)</f>
        <v>2335324500</v>
      </c>
      <c r="G2792" s="562">
        <f>SUM(G2777:G2791)</f>
        <v>-357</v>
      </c>
      <c r="H2792" s="562"/>
      <c r="I2792" s="562"/>
      <c r="J2792" s="562"/>
    </row>
    <row r="2793" spans="1:10" x14ac:dyDescent="0.25">
      <c r="A2793" s="362"/>
      <c r="B2793" s="609">
        <v>44244</v>
      </c>
      <c r="C2793" s="362" t="s">
        <v>86</v>
      </c>
      <c r="D2793" s="560">
        <v>56746927</v>
      </c>
      <c r="E2793" s="560">
        <v>57966510</v>
      </c>
      <c r="F2793" s="560">
        <v>114714600</v>
      </c>
      <c r="G2793" s="560">
        <f>D2793+E2793-F2793</f>
        <v>-1163</v>
      </c>
      <c r="H2793" s="560"/>
      <c r="I2793" s="560"/>
      <c r="J2793" s="560"/>
    </row>
    <row r="2794" spans="1:10" x14ac:dyDescent="0.25">
      <c r="A2794" s="362"/>
      <c r="B2794" s="609">
        <v>44244</v>
      </c>
      <c r="C2794" s="362" t="s">
        <v>87</v>
      </c>
      <c r="D2794" s="560">
        <v>108211873</v>
      </c>
      <c r="E2794" s="560">
        <v>67428259</v>
      </c>
      <c r="F2794" s="560">
        <v>175640200</v>
      </c>
      <c r="G2794" s="560">
        <f t="shared" ref="G2794:G2807" si="49">D2794+E2794-F2794</f>
        <v>-68</v>
      </c>
      <c r="H2794" s="560"/>
      <c r="I2794" s="560"/>
      <c r="J2794" s="560"/>
    </row>
    <row r="2795" spans="1:10" x14ac:dyDescent="0.25">
      <c r="A2795" s="362"/>
      <c r="B2795" s="609">
        <v>44244</v>
      </c>
      <c r="C2795" s="362" t="s">
        <v>88</v>
      </c>
      <c r="D2795" s="560">
        <v>229247121</v>
      </c>
      <c r="E2795" s="560">
        <v>9117225</v>
      </c>
      <c r="F2795" s="560">
        <v>238364400</v>
      </c>
      <c r="G2795" s="560">
        <f t="shared" si="49"/>
        <v>-54</v>
      </c>
      <c r="H2795" s="560"/>
      <c r="I2795" s="560"/>
      <c r="J2795" s="560"/>
    </row>
    <row r="2796" spans="1:10" x14ac:dyDescent="0.25">
      <c r="A2796" s="362"/>
      <c r="B2796" s="609">
        <v>44244</v>
      </c>
      <c r="C2796" s="362" t="s">
        <v>82</v>
      </c>
      <c r="D2796" s="560">
        <v>88095869</v>
      </c>
      <c r="E2796" s="560">
        <v>3867000</v>
      </c>
      <c r="F2796" s="560">
        <v>91963000</v>
      </c>
      <c r="G2796" s="560">
        <f t="shared" si="49"/>
        <v>-131</v>
      </c>
      <c r="H2796" s="560"/>
      <c r="I2796" s="560"/>
      <c r="J2796" s="560"/>
    </row>
    <row r="2797" spans="1:10" x14ac:dyDescent="0.25">
      <c r="A2797" s="362"/>
      <c r="B2797" s="609">
        <v>44244</v>
      </c>
      <c r="C2797" s="362" t="s">
        <v>80</v>
      </c>
      <c r="D2797" s="560">
        <v>301456677</v>
      </c>
      <c r="E2797" s="560">
        <v>258720</v>
      </c>
      <c r="F2797" s="560">
        <v>301675400</v>
      </c>
      <c r="G2797" s="560">
        <f t="shared" si="49"/>
        <v>39997</v>
      </c>
      <c r="H2797" s="560"/>
      <c r="I2797" s="560"/>
      <c r="J2797" s="560"/>
    </row>
    <row r="2798" spans="1:10" x14ac:dyDescent="0.25">
      <c r="A2798" s="362"/>
      <c r="B2798" s="609">
        <v>44244</v>
      </c>
      <c r="C2798" s="362" t="s">
        <v>83</v>
      </c>
      <c r="D2798" s="560">
        <v>131809566</v>
      </c>
      <c r="E2798" s="560">
        <v>115586523</v>
      </c>
      <c r="F2798" s="560">
        <v>247396100</v>
      </c>
      <c r="G2798" s="560">
        <f t="shared" si="49"/>
        <v>-11</v>
      </c>
      <c r="H2798" s="560"/>
      <c r="I2798" s="560"/>
      <c r="J2798" s="560"/>
    </row>
    <row r="2799" spans="1:10" x14ac:dyDescent="0.25">
      <c r="A2799" s="362"/>
      <c r="B2799" s="609">
        <v>44244</v>
      </c>
      <c r="C2799" s="362" t="s">
        <v>78</v>
      </c>
      <c r="D2799" s="560">
        <v>78445912</v>
      </c>
      <c r="E2799" s="560">
        <v>1922788</v>
      </c>
      <c r="F2799" s="560">
        <v>80368700</v>
      </c>
      <c r="G2799" s="560">
        <f t="shared" si="49"/>
        <v>0</v>
      </c>
      <c r="H2799" s="560"/>
      <c r="I2799" s="560"/>
      <c r="J2799" s="560"/>
    </row>
    <row r="2800" spans="1:10" x14ac:dyDescent="0.25">
      <c r="A2800" s="362"/>
      <c r="B2800" s="609">
        <v>44244</v>
      </c>
      <c r="C2800" s="362" t="s">
        <v>141</v>
      </c>
      <c r="D2800" s="560">
        <v>63556478</v>
      </c>
      <c r="E2800" s="560">
        <v>1484400</v>
      </c>
      <c r="F2800" s="560">
        <v>65040900</v>
      </c>
      <c r="G2800" s="560">
        <f t="shared" si="49"/>
        <v>-22</v>
      </c>
      <c r="H2800" s="560"/>
      <c r="I2800" s="560"/>
      <c r="J2800" s="560"/>
    </row>
    <row r="2801" spans="1:10" x14ac:dyDescent="0.25">
      <c r="A2801" s="362"/>
      <c r="B2801" s="609">
        <v>44244</v>
      </c>
      <c r="C2801" s="362" t="s">
        <v>89</v>
      </c>
      <c r="D2801" s="560">
        <v>112531935</v>
      </c>
      <c r="E2801" s="560">
        <v>123455765</v>
      </c>
      <c r="F2801" s="560">
        <v>235987700</v>
      </c>
      <c r="G2801" s="560">
        <f t="shared" si="49"/>
        <v>0</v>
      </c>
      <c r="H2801" s="560"/>
      <c r="I2801" s="560"/>
      <c r="J2801" s="560"/>
    </row>
    <row r="2802" spans="1:10" x14ac:dyDescent="0.25">
      <c r="A2802" s="362"/>
      <c r="B2802" s="609">
        <v>44244</v>
      </c>
      <c r="C2802" s="362" t="s">
        <v>81</v>
      </c>
      <c r="D2802" s="560">
        <v>50098492</v>
      </c>
      <c r="E2802" s="560">
        <v>6664208</v>
      </c>
      <c r="F2802" s="560">
        <v>56762700</v>
      </c>
      <c r="G2802" s="560">
        <f t="shared" si="49"/>
        <v>0</v>
      </c>
      <c r="H2802" s="560"/>
      <c r="I2802" s="560"/>
      <c r="J2802" s="560"/>
    </row>
    <row r="2803" spans="1:10" x14ac:dyDescent="0.25">
      <c r="A2803" s="362"/>
      <c r="B2803" s="609">
        <v>44244</v>
      </c>
      <c r="C2803" s="362" t="s">
        <v>84</v>
      </c>
      <c r="D2803" s="560">
        <v>340681883</v>
      </c>
      <c r="E2803" s="560">
        <v>12587349</v>
      </c>
      <c r="F2803" s="560">
        <v>353269200</v>
      </c>
      <c r="G2803" s="560">
        <f t="shared" si="49"/>
        <v>32</v>
      </c>
      <c r="H2803" s="560"/>
      <c r="I2803" s="560"/>
      <c r="J2803" s="560"/>
    </row>
    <row r="2804" spans="1:10" x14ac:dyDescent="0.25">
      <c r="A2804" s="362"/>
      <c r="B2804" s="609">
        <v>44244</v>
      </c>
      <c r="C2804" s="362" t="s">
        <v>4751</v>
      </c>
      <c r="D2804" s="560">
        <v>134317887</v>
      </c>
      <c r="E2804" s="560">
        <v>13234213</v>
      </c>
      <c r="F2804" s="560">
        <v>147552100</v>
      </c>
      <c r="G2804" s="560">
        <f t="shared" si="49"/>
        <v>0</v>
      </c>
      <c r="H2804" s="560"/>
      <c r="I2804" s="560"/>
      <c r="J2804" s="560"/>
    </row>
    <row r="2805" spans="1:10" x14ac:dyDescent="0.25">
      <c r="A2805" s="362"/>
      <c r="B2805" s="609">
        <v>44244</v>
      </c>
      <c r="C2805" s="362" t="s">
        <v>166</v>
      </c>
      <c r="D2805" s="560">
        <v>42043976</v>
      </c>
      <c r="E2805" s="560"/>
      <c r="F2805" s="560">
        <v>42044000</v>
      </c>
      <c r="G2805" s="560">
        <f t="shared" si="49"/>
        <v>-24</v>
      </c>
      <c r="H2805" s="560"/>
      <c r="I2805" s="560"/>
      <c r="J2805" s="560"/>
    </row>
    <row r="2806" spans="1:10" x14ac:dyDescent="0.25">
      <c r="A2806" s="362"/>
      <c r="B2806" s="609">
        <v>44244</v>
      </c>
      <c r="C2806" s="362" t="s">
        <v>3435</v>
      </c>
      <c r="D2806" s="560">
        <v>204946684</v>
      </c>
      <c r="E2806" s="560"/>
      <c r="F2806" s="560">
        <v>204946700</v>
      </c>
      <c r="G2806" s="560">
        <f t="shared" si="49"/>
        <v>-16</v>
      </c>
      <c r="H2806" s="560"/>
      <c r="I2806" s="560"/>
      <c r="J2806" s="560"/>
    </row>
    <row r="2807" spans="1:10" x14ac:dyDescent="0.25">
      <c r="A2807" s="362"/>
      <c r="B2807" s="609">
        <v>44244</v>
      </c>
      <c r="C2807" s="370" t="s">
        <v>85</v>
      </c>
      <c r="D2807" s="560">
        <v>29591900</v>
      </c>
      <c r="E2807" s="560"/>
      <c r="F2807" s="560">
        <v>29591900</v>
      </c>
      <c r="G2807" s="560">
        <f t="shared" si="49"/>
        <v>0</v>
      </c>
      <c r="H2807" s="560"/>
      <c r="I2807" s="560"/>
      <c r="J2807" s="560"/>
    </row>
    <row r="2808" spans="1:10" x14ac:dyDescent="0.25">
      <c r="A2808" s="530"/>
      <c r="B2808" s="530"/>
      <c r="C2808" s="530"/>
      <c r="D2808" s="562">
        <f>SUM(D2793:D2807)</f>
        <v>1971783180</v>
      </c>
      <c r="E2808" s="562">
        <f>SUM(E2793:E2807)</f>
        <v>413572960</v>
      </c>
      <c r="F2808" s="562">
        <f>SUM(F2793:F2807)</f>
        <v>2385317600</v>
      </c>
      <c r="G2808" s="562">
        <f>SUM(G2793:G2807)</f>
        <v>38540</v>
      </c>
      <c r="H2808" s="562"/>
      <c r="I2808" s="562"/>
      <c r="J2808" s="562"/>
    </row>
    <row r="2809" spans="1:10" x14ac:dyDescent="0.25">
      <c r="A2809" s="362"/>
      <c r="B2809" s="609">
        <v>44245</v>
      </c>
      <c r="C2809" s="362" t="s">
        <v>86</v>
      </c>
      <c r="D2809" s="560">
        <v>83452243</v>
      </c>
      <c r="E2809" s="560">
        <v>83292114</v>
      </c>
      <c r="F2809" s="560">
        <v>166744400</v>
      </c>
      <c r="G2809" s="560">
        <f>D2809+E2809-F2809</f>
        <v>-43</v>
      </c>
      <c r="H2809" s="560"/>
      <c r="I2809" s="560"/>
      <c r="J2809" s="560"/>
    </row>
    <row r="2810" spans="1:10" x14ac:dyDescent="0.25">
      <c r="A2810" s="362"/>
      <c r="B2810" s="609">
        <v>44245</v>
      </c>
      <c r="C2810" s="362" t="s">
        <v>87</v>
      </c>
      <c r="D2810" s="560">
        <v>53539764</v>
      </c>
      <c r="E2810" s="560">
        <v>155380144</v>
      </c>
      <c r="F2810" s="560">
        <v>208919500</v>
      </c>
      <c r="G2810" s="560">
        <f t="shared" ref="G2810:G2823" si="50">D2810+E2810-F2810</f>
        <v>408</v>
      </c>
      <c r="H2810" s="560"/>
      <c r="I2810" s="560"/>
      <c r="J2810" s="560"/>
    </row>
    <row r="2811" spans="1:10" x14ac:dyDescent="0.25">
      <c r="A2811" s="362"/>
      <c r="B2811" s="609">
        <v>44245</v>
      </c>
      <c r="C2811" s="362" t="s">
        <v>88</v>
      </c>
      <c r="D2811" s="560">
        <v>184576366</v>
      </c>
      <c r="E2811" s="560">
        <v>71055194</v>
      </c>
      <c r="F2811" s="560">
        <v>255631600</v>
      </c>
      <c r="G2811" s="560">
        <f t="shared" si="50"/>
        <v>-40</v>
      </c>
      <c r="H2811" s="560"/>
      <c r="I2811" s="560"/>
      <c r="J2811" s="560"/>
    </row>
    <row r="2812" spans="1:10" x14ac:dyDescent="0.25">
      <c r="A2812" s="362"/>
      <c r="B2812" s="609">
        <v>44245</v>
      </c>
      <c r="C2812" s="362" t="s">
        <v>82</v>
      </c>
      <c r="D2812" s="560">
        <v>75755713</v>
      </c>
      <c r="E2812" s="560">
        <v>5868738</v>
      </c>
      <c r="F2812" s="560">
        <v>81624500</v>
      </c>
      <c r="G2812" s="560">
        <f t="shared" si="50"/>
        <v>-49</v>
      </c>
      <c r="H2812" s="560"/>
      <c r="I2812" s="560"/>
      <c r="J2812" s="560"/>
    </row>
    <row r="2813" spans="1:10" x14ac:dyDescent="0.25">
      <c r="A2813" s="362"/>
      <c r="B2813" s="609">
        <v>44245</v>
      </c>
      <c r="C2813" s="362" t="s">
        <v>80</v>
      </c>
      <c r="D2813" s="560">
        <v>354252800</v>
      </c>
      <c r="E2813" s="560">
        <v>40507800</v>
      </c>
      <c r="F2813" s="560">
        <v>394760600</v>
      </c>
      <c r="G2813" s="560">
        <f t="shared" si="50"/>
        <v>0</v>
      </c>
      <c r="H2813" s="560"/>
      <c r="I2813" s="560"/>
      <c r="J2813" s="560"/>
    </row>
    <row r="2814" spans="1:10" x14ac:dyDescent="0.25">
      <c r="A2814" s="362"/>
      <c r="B2814" s="609">
        <v>44245</v>
      </c>
      <c r="C2814" s="362" t="s">
        <v>83</v>
      </c>
      <c r="D2814" s="560">
        <v>119222378</v>
      </c>
      <c r="E2814" s="560">
        <v>43642622</v>
      </c>
      <c r="F2814" s="560">
        <v>162865000</v>
      </c>
      <c r="G2814" s="560">
        <f t="shared" si="50"/>
        <v>0</v>
      </c>
      <c r="H2814" s="560"/>
      <c r="I2814" s="560"/>
      <c r="J2814" s="560"/>
    </row>
    <row r="2815" spans="1:10" x14ac:dyDescent="0.25">
      <c r="A2815" s="362"/>
      <c r="B2815" s="609">
        <v>44245</v>
      </c>
      <c r="C2815" s="362" t="s">
        <v>78</v>
      </c>
      <c r="D2815" s="560">
        <v>102328078</v>
      </c>
      <c r="E2815" s="560">
        <v>4784922</v>
      </c>
      <c r="F2815" s="560">
        <v>107113000</v>
      </c>
      <c r="G2815" s="560">
        <f t="shared" si="50"/>
        <v>0</v>
      </c>
      <c r="H2815" s="560"/>
      <c r="I2815" s="560"/>
      <c r="J2815" s="560"/>
    </row>
    <row r="2816" spans="1:10" x14ac:dyDescent="0.25">
      <c r="A2816" s="362"/>
      <c r="B2816" s="609">
        <v>44245</v>
      </c>
      <c r="C2816" s="362" t="s">
        <v>141</v>
      </c>
      <c r="D2816" s="560">
        <v>55390657</v>
      </c>
      <c r="E2816" s="560">
        <v>2594954</v>
      </c>
      <c r="F2816" s="560">
        <v>57985700</v>
      </c>
      <c r="G2816" s="560">
        <f t="shared" si="50"/>
        <v>-89</v>
      </c>
      <c r="H2816" s="560"/>
      <c r="I2816" s="560"/>
      <c r="J2816" s="560"/>
    </row>
    <row r="2817" spans="1:10" x14ac:dyDescent="0.25">
      <c r="A2817" s="362"/>
      <c r="B2817" s="609">
        <v>44245</v>
      </c>
      <c r="C2817" s="362" t="s">
        <v>89</v>
      </c>
      <c r="D2817" s="560">
        <v>112395656</v>
      </c>
      <c r="E2817" s="560">
        <v>12817444</v>
      </c>
      <c r="F2817" s="560">
        <v>125213100</v>
      </c>
      <c r="G2817" s="560">
        <f t="shared" si="50"/>
        <v>0</v>
      </c>
      <c r="H2817" s="560"/>
      <c r="I2817" s="560"/>
      <c r="J2817" s="560"/>
    </row>
    <row r="2818" spans="1:10" x14ac:dyDescent="0.25">
      <c r="A2818" s="362"/>
      <c r="B2818" s="609">
        <v>44245</v>
      </c>
      <c r="C2818" s="362" t="s">
        <v>81</v>
      </c>
      <c r="D2818" s="560">
        <v>80013420</v>
      </c>
      <c r="E2818" s="560">
        <v>17775525</v>
      </c>
      <c r="F2818" s="560">
        <v>97789000</v>
      </c>
      <c r="G2818" s="560">
        <f t="shared" si="50"/>
        <v>-55</v>
      </c>
      <c r="H2818" s="560"/>
      <c r="I2818" s="560"/>
      <c r="J2818" s="560"/>
    </row>
    <row r="2819" spans="1:10" x14ac:dyDescent="0.25">
      <c r="A2819" s="362"/>
      <c r="B2819" s="609">
        <v>44245</v>
      </c>
      <c r="C2819" s="362" t="s">
        <v>84</v>
      </c>
      <c r="D2819" s="560">
        <v>116510722</v>
      </c>
      <c r="E2819" s="560">
        <v>13433605</v>
      </c>
      <c r="F2819" s="560">
        <v>129944300</v>
      </c>
      <c r="G2819" s="560">
        <f t="shared" si="50"/>
        <v>27</v>
      </c>
      <c r="H2819" s="560"/>
      <c r="I2819" s="560"/>
      <c r="J2819" s="560"/>
    </row>
    <row r="2820" spans="1:10" x14ac:dyDescent="0.25">
      <c r="A2820" s="362"/>
      <c r="B2820" s="609">
        <v>44245</v>
      </c>
      <c r="C2820" s="362" t="s">
        <v>4751</v>
      </c>
      <c r="D2820" s="560">
        <v>244326521</v>
      </c>
      <c r="E2820" s="560">
        <v>10662379</v>
      </c>
      <c r="F2820" s="560">
        <v>254988900</v>
      </c>
      <c r="G2820" s="560">
        <f t="shared" si="50"/>
        <v>0</v>
      </c>
      <c r="H2820" s="560"/>
      <c r="I2820" s="560"/>
      <c r="J2820" s="560"/>
    </row>
    <row r="2821" spans="1:10" x14ac:dyDescent="0.25">
      <c r="A2821" s="362"/>
      <c r="B2821" s="609">
        <v>44245</v>
      </c>
      <c r="C2821" s="362" t="s">
        <v>166</v>
      </c>
      <c r="D2821" s="560">
        <v>71282681</v>
      </c>
      <c r="E2821" s="560"/>
      <c r="F2821" s="560">
        <v>71282700</v>
      </c>
      <c r="G2821" s="560">
        <f t="shared" si="50"/>
        <v>-19</v>
      </c>
      <c r="H2821" s="560"/>
      <c r="I2821" s="560"/>
      <c r="J2821" s="560"/>
    </row>
    <row r="2822" spans="1:10" x14ac:dyDescent="0.25">
      <c r="A2822" s="362"/>
      <c r="B2822" s="609">
        <v>44245</v>
      </c>
      <c r="C2822" s="362" t="s">
        <v>3435</v>
      </c>
      <c r="D2822" s="560">
        <v>93297725</v>
      </c>
      <c r="E2822" s="560"/>
      <c r="F2822" s="560">
        <v>93297800</v>
      </c>
      <c r="G2822" s="560">
        <f t="shared" si="50"/>
        <v>-75</v>
      </c>
      <c r="H2822" s="560"/>
      <c r="I2822" s="560"/>
      <c r="J2822" s="560"/>
    </row>
    <row r="2823" spans="1:10" x14ac:dyDescent="0.25">
      <c r="A2823" s="362"/>
      <c r="B2823" s="609">
        <v>44245</v>
      </c>
      <c r="C2823" s="370" t="s">
        <v>85</v>
      </c>
      <c r="D2823" s="560">
        <v>16514700</v>
      </c>
      <c r="E2823" s="560"/>
      <c r="F2823" s="560">
        <v>16514700</v>
      </c>
      <c r="G2823" s="560">
        <f t="shared" si="50"/>
        <v>0</v>
      </c>
      <c r="H2823" s="560"/>
      <c r="I2823" s="560"/>
      <c r="J2823" s="560"/>
    </row>
    <row r="2824" spans="1:10" x14ac:dyDescent="0.25">
      <c r="A2824" s="530"/>
      <c r="B2824" s="530"/>
      <c r="C2824" s="530"/>
      <c r="D2824" s="562">
        <f>SUM(D2809:D2823)</f>
        <v>1762859424</v>
      </c>
      <c r="E2824" s="562">
        <f>SUM(E2809:E2823)</f>
        <v>461815441</v>
      </c>
      <c r="F2824" s="562">
        <f>SUM(F2809:F2823)</f>
        <v>2224674800</v>
      </c>
      <c r="G2824" s="562">
        <f>SUM(G2809:G2823)</f>
        <v>65</v>
      </c>
      <c r="H2824" s="562"/>
      <c r="I2824" s="562"/>
      <c r="J2824" s="562"/>
    </row>
    <row r="2825" spans="1:10" x14ac:dyDescent="0.25">
      <c r="A2825" s="362"/>
      <c r="B2825" s="609">
        <v>44246</v>
      </c>
      <c r="C2825" s="362" t="s">
        <v>86</v>
      </c>
      <c r="D2825" s="560">
        <v>26956625</v>
      </c>
      <c r="E2825" s="560">
        <v>29556520</v>
      </c>
      <c r="F2825" s="560">
        <v>56513200</v>
      </c>
      <c r="G2825" s="560">
        <f>D2825+E2825-F2825</f>
        <v>-55</v>
      </c>
      <c r="H2825" s="560"/>
      <c r="I2825" s="560"/>
      <c r="J2825" s="560"/>
    </row>
    <row r="2826" spans="1:10" x14ac:dyDescent="0.25">
      <c r="A2826" s="362"/>
      <c r="B2826" s="609">
        <v>44246</v>
      </c>
      <c r="C2826" s="362" t="s">
        <v>87</v>
      </c>
      <c r="D2826" s="560">
        <v>69485500</v>
      </c>
      <c r="E2826" s="560">
        <v>78605542</v>
      </c>
      <c r="F2826" s="560">
        <v>148091100</v>
      </c>
      <c r="G2826" s="560">
        <f t="shared" ref="G2826:G2839" si="51">D2826+E2826-F2826</f>
        <v>-58</v>
      </c>
      <c r="H2826" s="560"/>
      <c r="I2826" s="560"/>
      <c r="J2826" s="560"/>
    </row>
    <row r="2827" spans="1:10" x14ac:dyDescent="0.25">
      <c r="A2827" s="362"/>
      <c r="B2827" s="609">
        <v>44246</v>
      </c>
      <c r="C2827" s="362" t="s">
        <v>88</v>
      </c>
      <c r="D2827" s="560">
        <v>106288353</v>
      </c>
      <c r="E2827" s="560">
        <v>54104760</v>
      </c>
      <c r="F2827" s="560">
        <v>160394000</v>
      </c>
      <c r="G2827" s="560">
        <f t="shared" si="51"/>
        <v>-887</v>
      </c>
      <c r="H2827" s="560"/>
      <c r="I2827" s="560"/>
      <c r="J2827" s="560"/>
    </row>
    <row r="2828" spans="1:10" x14ac:dyDescent="0.25">
      <c r="A2828" s="362"/>
      <c r="B2828" s="609">
        <v>44246</v>
      </c>
      <c r="C2828" s="362" t="s">
        <v>82</v>
      </c>
      <c r="D2828" s="560">
        <v>98189349</v>
      </c>
      <c r="E2828" s="560">
        <v>162951</v>
      </c>
      <c r="F2828" s="560">
        <v>98352300</v>
      </c>
      <c r="G2828" s="560">
        <f t="shared" si="51"/>
        <v>0</v>
      </c>
      <c r="H2828" s="560"/>
      <c r="I2828" s="560"/>
      <c r="J2828" s="560"/>
    </row>
    <row r="2829" spans="1:10" x14ac:dyDescent="0.25">
      <c r="A2829" s="362"/>
      <c r="B2829" s="609">
        <v>44246</v>
      </c>
      <c r="C2829" s="362" t="s">
        <v>80</v>
      </c>
      <c r="D2829" s="560">
        <v>176829200</v>
      </c>
      <c r="E2829" s="560"/>
      <c r="F2829" s="560">
        <v>176829200</v>
      </c>
      <c r="G2829" s="560">
        <f t="shared" si="51"/>
        <v>0</v>
      </c>
      <c r="H2829" s="560"/>
      <c r="I2829" s="560"/>
      <c r="J2829" s="560"/>
    </row>
    <row r="2830" spans="1:10" x14ac:dyDescent="0.25">
      <c r="A2830" s="362"/>
      <c r="B2830" s="609">
        <v>44246</v>
      </c>
      <c r="C2830" s="362" t="s">
        <v>83</v>
      </c>
      <c r="D2830" s="560">
        <v>178293133</v>
      </c>
      <c r="E2830" s="560">
        <v>5341707</v>
      </c>
      <c r="F2830" s="560">
        <v>183634900</v>
      </c>
      <c r="G2830" s="560">
        <f t="shared" si="51"/>
        <v>-60</v>
      </c>
      <c r="H2830" s="560"/>
      <c r="I2830" s="560"/>
      <c r="J2830" s="560"/>
    </row>
    <row r="2831" spans="1:10" x14ac:dyDescent="0.25">
      <c r="A2831" s="362"/>
      <c r="B2831" s="609">
        <v>44246</v>
      </c>
      <c r="C2831" s="362" t="s">
        <v>78</v>
      </c>
      <c r="D2831" s="560">
        <v>119515536</v>
      </c>
      <c r="E2831" s="560">
        <v>2532164</v>
      </c>
      <c r="F2831" s="560">
        <v>122047700</v>
      </c>
      <c r="G2831" s="560">
        <f t="shared" si="51"/>
        <v>0</v>
      </c>
      <c r="H2831" s="560"/>
      <c r="I2831" s="560"/>
      <c r="J2831" s="560"/>
    </row>
    <row r="2832" spans="1:10" x14ac:dyDescent="0.25">
      <c r="A2832" s="362"/>
      <c r="B2832" s="609">
        <v>44246</v>
      </c>
      <c r="C2832" s="362" t="s">
        <v>141</v>
      </c>
      <c r="D2832" s="560">
        <v>68996045</v>
      </c>
      <c r="E2832" s="560">
        <v>1205682</v>
      </c>
      <c r="F2832" s="560">
        <v>70201900</v>
      </c>
      <c r="G2832" s="560">
        <f t="shared" si="51"/>
        <v>-173</v>
      </c>
      <c r="H2832" s="560"/>
      <c r="I2832" s="560"/>
      <c r="J2832" s="560"/>
    </row>
    <row r="2833" spans="1:10" x14ac:dyDescent="0.25">
      <c r="A2833" s="362"/>
      <c r="B2833" s="609">
        <v>44246</v>
      </c>
      <c r="C2833" s="362" t="s">
        <v>89</v>
      </c>
      <c r="D2833" s="560">
        <v>131669476</v>
      </c>
      <c r="E2833" s="560">
        <v>165139424</v>
      </c>
      <c r="F2833" s="560">
        <v>296808900</v>
      </c>
      <c r="G2833" s="560">
        <f t="shared" si="51"/>
        <v>0</v>
      </c>
      <c r="H2833" s="560"/>
      <c r="I2833" s="560"/>
      <c r="J2833" s="560"/>
    </row>
    <row r="2834" spans="1:10" x14ac:dyDescent="0.25">
      <c r="A2834" s="362"/>
      <c r="B2834" s="609">
        <v>44246</v>
      </c>
      <c r="C2834" s="362" t="s">
        <v>81</v>
      </c>
      <c r="D2834" s="560">
        <v>85119668</v>
      </c>
      <c r="E2834" s="560">
        <v>17238300</v>
      </c>
      <c r="F2834" s="560">
        <v>102358000</v>
      </c>
      <c r="G2834" s="560">
        <f t="shared" si="51"/>
        <v>-32</v>
      </c>
      <c r="H2834" s="560"/>
      <c r="I2834" s="560"/>
      <c r="J2834" s="560"/>
    </row>
    <row r="2835" spans="1:10" x14ac:dyDescent="0.25">
      <c r="A2835" s="362"/>
      <c r="B2835" s="609">
        <v>44246</v>
      </c>
      <c r="C2835" s="362" t="s">
        <v>84</v>
      </c>
      <c r="D2835" s="560">
        <v>158789402</v>
      </c>
      <c r="E2835" s="560">
        <v>8632860</v>
      </c>
      <c r="F2835" s="560">
        <v>167422400</v>
      </c>
      <c r="G2835" s="560">
        <f t="shared" si="51"/>
        <v>-138</v>
      </c>
      <c r="H2835" s="560"/>
      <c r="I2835" s="560"/>
      <c r="J2835" s="560"/>
    </row>
    <row r="2836" spans="1:10" x14ac:dyDescent="0.25">
      <c r="A2836" s="362"/>
      <c r="B2836" s="609">
        <v>44246</v>
      </c>
      <c r="C2836" s="362" t="s">
        <v>4751</v>
      </c>
      <c r="D2836" s="560">
        <v>204444370</v>
      </c>
      <c r="E2836" s="560">
        <v>7748030</v>
      </c>
      <c r="F2836" s="560">
        <v>212192400</v>
      </c>
      <c r="G2836" s="560">
        <f t="shared" si="51"/>
        <v>0</v>
      </c>
      <c r="H2836" s="560"/>
      <c r="I2836" s="560"/>
      <c r="J2836" s="560"/>
    </row>
    <row r="2837" spans="1:10" x14ac:dyDescent="0.25">
      <c r="A2837" s="362"/>
      <c r="B2837" s="609">
        <v>44246</v>
      </c>
      <c r="C2837" s="362" t="s">
        <v>166</v>
      </c>
      <c r="D2837" s="560">
        <v>28087716</v>
      </c>
      <c r="E2837" s="560"/>
      <c r="F2837" s="560">
        <v>28087700</v>
      </c>
      <c r="G2837" s="560">
        <f t="shared" si="51"/>
        <v>16</v>
      </c>
      <c r="H2837" s="560"/>
      <c r="I2837" s="560"/>
      <c r="J2837" s="560"/>
    </row>
    <row r="2838" spans="1:10" x14ac:dyDescent="0.25">
      <c r="A2838" s="362"/>
      <c r="B2838" s="609">
        <v>44246</v>
      </c>
      <c r="C2838" s="362" t="s">
        <v>3435</v>
      </c>
      <c r="D2838" s="560">
        <v>34497434</v>
      </c>
      <c r="E2838" s="560"/>
      <c r="F2838" s="560">
        <v>34497500</v>
      </c>
      <c r="G2838" s="560">
        <f t="shared" si="51"/>
        <v>-66</v>
      </c>
      <c r="H2838" s="560"/>
      <c r="I2838" s="560"/>
      <c r="J2838" s="560"/>
    </row>
    <row r="2839" spans="1:10" x14ac:dyDescent="0.25">
      <c r="A2839" s="362"/>
      <c r="B2839" s="609">
        <v>44246</v>
      </c>
      <c r="C2839" s="370" t="s">
        <v>85</v>
      </c>
      <c r="D2839" s="560">
        <v>16797700</v>
      </c>
      <c r="E2839" s="560"/>
      <c r="F2839" s="560">
        <v>16797700</v>
      </c>
      <c r="G2839" s="560">
        <f t="shared" si="51"/>
        <v>0</v>
      </c>
      <c r="H2839" s="560"/>
      <c r="I2839" s="560"/>
      <c r="J2839" s="560"/>
    </row>
    <row r="2840" spans="1:10" x14ac:dyDescent="0.25">
      <c r="A2840" s="530"/>
      <c r="B2840" s="530"/>
      <c r="C2840" s="530"/>
      <c r="D2840" s="562">
        <f>SUM(D2825:D2839)</f>
        <v>1503959507</v>
      </c>
      <c r="E2840" s="562">
        <f>SUM(E2825:E2839)</f>
        <v>370267940</v>
      </c>
      <c r="F2840" s="562">
        <f>SUM(F2825:F2839)</f>
        <v>1874228900</v>
      </c>
      <c r="G2840" s="562">
        <f>SUM(G2825:G2839)</f>
        <v>-1453</v>
      </c>
      <c r="H2840" s="562"/>
      <c r="I2840" s="562"/>
      <c r="J2840" s="562"/>
    </row>
    <row r="2841" spans="1:10" x14ac:dyDescent="0.25">
      <c r="A2841" s="362"/>
      <c r="B2841" s="609">
        <v>44247</v>
      </c>
      <c r="C2841" s="362" t="s">
        <v>86</v>
      </c>
      <c r="D2841" s="560">
        <v>56290279</v>
      </c>
      <c r="E2841" s="560">
        <v>27992468</v>
      </c>
      <c r="F2841" s="560">
        <v>84282800</v>
      </c>
      <c r="G2841" s="560">
        <f>D2841+E2841-F2841</f>
        <v>-53</v>
      </c>
      <c r="H2841" s="560"/>
      <c r="I2841" s="560"/>
      <c r="J2841" s="560"/>
    </row>
    <row r="2842" spans="1:10" x14ac:dyDescent="0.25">
      <c r="A2842" s="362"/>
      <c r="B2842" s="609">
        <v>44247</v>
      </c>
      <c r="C2842" s="362" t="s">
        <v>87</v>
      </c>
      <c r="D2842" s="560">
        <v>75980568</v>
      </c>
      <c r="E2842" s="560">
        <v>106506108</v>
      </c>
      <c r="F2842" s="560">
        <v>182486800</v>
      </c>
      <c r="G2842" s="560">
        <f t="shared" ref="G2842:G2855" si="52">D2842+E2842-F2842</f>
        <v>-124</v>
      </c>
      <c r="H2842" s="560"/>
      <c r="I2842" s="560"/>
      <c r="J2842" s="560"/>
    </row>
    <row r="2843" spans="1:10" x14ac:dyDescent="0.25">
      <c r="A2843" s="362"/>
      <c r="B2843" s="609">
        <v>44247</v>
      </c>
      <c r="C2843" s="362" t="s">
        <v>88</v>
      </c>
      <c r="D2843" s="560">
        <v>132871037</v>
      </c>
      <c r="E2843" s="560">
        <v>28878814</v>
      </c>
      <c r="F2843" s="560">
        <v>161749900</v>
      </c>
      <c r="G2843" s="560">
        <f t="shared" si="52"/>
        <v>-49</v>
      </c>
      <c r="H2843" s="560"/>
      <c r="I2843" s="560"/>
      <c r="J2843" s="560"/>
    </row>
    <row r="2844" spans="1:10" x14ac:dyDescent="0.25">
      <c r="A2844" s="362"/>
      <c r="B2844" s="609">
        <v>44247</v>
      </c>
      <c r="C2844" s="362" t="s">
        <v>82</v>
      </c>
      <c r="D2844" s="560">
        <v>91948003</v>
      </c>
      <c r="E2844" s="560">
        <v>13279643</v>
      </c>
      <c r="F2844" s="560">
        <v>105227700</v>
      </c>
      <c r="G2844" s="560">
        <f t="shared" si="52"/>
        <v>-54</v>
      </c>
      <c r="H2844" s="560"/>
      <c r="I2844" s="560"/>
      <c r="J2844" s="560"/>
    </row>
    <row r="2845" spans="1:10" x14ac:dyDescent="0.25">
      <c r="A2845" s="362"/>
      <c r="B2845" s="609">
        <v>44247</v>
      </c>
      <c r="C2845" s="362" t="s">
        <v>80</v>
      </c>
      <c r="D2845" s="560">
        <v>192439636</v>
      </c>
      <c r="E2845" s="560"/>
      <c r="F2845" s="560">
        <v>192412100</v>
      </c>
      <c r="G2845" s="560">
        <f t="shared" si="52"/>
        <v>27536</v>
      </c>
      <c r="H2845" s="560"/>
      <c r="I2845" s="560"/>
      <c r="J2845" s="560"/>
    </row>
    <row r="2846" spans="1:10" x14ac:dyDescent="0.25">
      <c r="A2846" s="362"/>
      <c r="B2846" s="609">
        <v>44247</v>
      </c>
      <c r="C2846" s="362" t="s">
        <v>83</v>
      </c>
      <c r="D2846" s="560">
        <v>130921037</v>
      </c>
      <c r="E2846" s="560">
        <v>203161333</v>
      </c>
      <c r="F2846" s="560">
        <v>334082400</v>
      </c>
      <c r="G2846" s="560">
        <f t="shared" si="52"/>
        <v>-30</v>
      </c>
      <c r="H2846" s="560"/>
      <c r="I2846" s="560"/>
      <c r="J2846" s="560"/>
    </row>
    <row r="2847" spans="1:10" x14ac:dyDescent="0.25">
      <c r="A2847" s="362"/>
      <c r="B2847" s="609">
        <v>44247</v>
      </c>
      <c r="C2847" s="362" t="s">
        <v>78</v>
      </c>
      <c r="D2847" s="560">
        <v>109449263</v>
      </c>
      <c r="E2847" s="560">
        <v>6246637</v>
      </c>
      <c r="F2847" s="560">
        <v>115695900</v>
      </c>
      <c r="G2847" s="560">
        <f t="shared" si="52"/>
        <v>0</v>
      </c>
      <c r="H2847" s="560"/>
      <c r="I2847" s="560"/>
      <c r="J2847" s="560"/>
    </row>
    <row r="2848" spans="1:10" x14ac:dyDescent="0.25">
      <c r="A2848" s="362"/>
      <c r="B2848" s="609">
        <v>44247</v>
      </c>
      <c r="C2848" s="362" t="s">
        <v>141</v>
      </c>
      <c r="D2848" s="560">
        <v>21221793</v>
      </c>
      <c r="E2848" s="560"/>
      <c r="F2848" s="560">
        <v>21223800</v>
      </c>
      <c r="G2848" s="560">
        <f t="shared" si="52"/>
        <v>-2007</v>
      </c>
      <c r="H2848" s="560"/>
      <c r="I2848" s="560"/>
      <c r="J2848" s="560"/>
    </row>
    <row r="2849" spans="1:10" x14ac:dyDescent="0.25">
      <c r="A2849" s="362"/>
      <c r="B2849" s="609">
        <v>44247</v>
      </c>
      <c r="C2849" s="362" t="s">
        <v>89</v>
      </c>
      <c r="D2849" s="560">
        <v>75361428</v>
      </c>
      <c r="E2849" s="560">
        <v>30309872</v>
      </c>
      <c r="F2849" s="560">
        <v>105671300</v>
      </c>
      <c r="G2849" s="560">
        <f t="shared" si="52"/>
        <v>0</v>
      </c>
      <c r="H2849" s="560"/>
      <c r="I2849" s="560"/>
      <c r="J2849" s="560"/>
    </row>
    <row r="2850" spans="1:10" x14ac:dyDescent="0.25">
      <c r="A2850" s="362"/>
      <c r="B2850" s="609">
        <v>44247</v>
      </c>
      <c r="C2850" s="362" t="s">
        <v>81</v>
      </c>
      <c r="D2850" s="560">
        <v>71896381</v>
      </c>
      <c r="E2850" s="560">
        <v>15105177</v>
      </c>
      <c r="F2850" s="560">
        <v>87001600</v>
      </c>
      <c r="G2850" s="560">
        <f t="shared" si="52"/>
        <v>-42</v>
      </c>
      <c r="H2850" s="560"/>
      <c r="I2850" s="560"/>
      <c r="J2850" s="560"/>
    </row>
    <row r="2851" spans="1:10" x14ac:dyDescent="0.25">
      <c r="A2851" s="362"/>
      <c r="B2851" s="609">
        <v>44247</v>
      </c>
      <c r="C2851" s="362" t="s">
        <v>84</v>
      </c>
      <c r="D2851" s="560">
        <v>173930991</v>
      </c>
      <c r="E2851" s="560">
        <v>4891125</v>
      </c>
      <c r="F2851" s="560">
        <v>178822200</v>
      </c>
      <c r="G2851" s="560">
        <f t="shared" si="52"/>
        <v>-84</v>
      </c>
      <c r="H2851" s="560"/>
      <c r="I2851" s="560"/>
      <c r="J2851" s="560"/>
    </row>
    <row r="2852" spans="1:10" x14ac:dyDescent="0.25">
      <c r="A2852" s="362"/>
      <c r="B2852" s="609">
        <v>44247</v>
      </c>
      <c r="C2852" s="362" t="s">
        <v>4751</v>
      </c>
      <c r="D2852" s="560">
        <v>178210246</v>
      </c>
      <c r="E2852" s="560">
        <v>8717154</v>
      </c>
      <c r="F2852" s="560">
        <v>186927400</v>
      </c>
      <c r="G2852" s="560">
        <f t="shared" si="52"/>
        <v>0</v>
      </c>
      <c r="H2852" s="560"/>
      <c r="I2852" s="560"/>
      <c r="J2852" s="560"/>
    </row>
    <row r="2853" spans="1:10" x14ac:dyDescent="0.25">
      <c r="A2853" s="362"/>
      <c r="B2853" s="609">
        <v>44247</v>
      </c>
      <c r="C2853" s="362" t="s">
        <v>166</v>
      </c>
      <c r="D2853" s="560"/>
      <c r="E2853" s="560"/>
      <c r="F2853" s="560"/>
      <c r="G2853" s="560">
        <f t="shared" si="52"/>
        <v>0</v>
      </c>
      <c r="H2853" s="560"/>
      <c r="I2853" s="560"/>
      <c r="J2853" s="560"/>
    </row>
    <row r="2854" spans="1:10" x14ac:dyDescent="0.25">
      <c r="A2854" s="362"/>
      <c r="B2854" s="609">
        <v>44247</v>
      </c>
      <c r="C2854" s="362" t="s">
        <v>3435</v>
      </c>
      <c r="D2854" s="560"/>
      <c r="E2854" s="560"/>
      <c r="F2854" s="560"/>
      <c r="G2854" s="560">
        <f t="shared" si="52"/>
        <v>0</v>
      </c>
      <c r="H2854" s="560"/>
      <c r="I2854" s="560"/>
      <c r="J2854" s="560"/>
    </row>
    <row r="2855" spans="1:10" x14ac:dyDescent="0.25">
      <c r="A2855" s="362"/>
      <c r="B2855" s="609">
        <v>44247</v>
      </c>
      <c r="C2855" s="370" t="s">
        <v>85</v>
      </c>
      <c r="D2855" s="560">
        <v>26352800</v>
      </c>
      <c r="E2855" s="560"/>
      <c r="F2855" s="560">
        <v>26352800</v>
      </c>
      <c r="G2855" s="560">
        <f t="shared" si="52"/>
        <v>0</v>
      </c>
      <c r="H2855" s="560"/>
      <c r="I2855" s="560"/>
      <c r="J2855" s="560"/>
    </row>
    <row r="2856" spans="1:10" x14ac:dyDescent="0.25">
      <c r="A2856" s="530"/>
      <c r="B2856" s="530"/>
      <c r="C2856" s="530"/>
      <c r="D2856" s="562">
        <f>SUM(D2841:D2855)</f>
        <v>1336873462</v>
      </c>
      <c r="E2856" s="562">
        <f>SUM(E2841:E2855)</f>
        <v>445088331</v>
      </c>
      <c r="F2856" s="562">
        <f>SUM(F2841:F2855)</f>
        <v>1781936700</v>
      </c>
      <c r="G2856" s="562">
        <f>SUM(G2841:G2855)</f>
        <v>25093</v>
      </c>
      <c r="H2856" s="562"/>
      <c r="I2856" s="562"/>
      <c r="J2856" s="562"/>
    </row>
    <row r="2857" spans="1:10" x14ac:dyDescent="0.25">
      <c r="A2857" s="362"/>
      <c r="B2857" s="609">
        <v>44249</v>
      </c>
      <c r="C2857" s="362" t="s">
        <v>86</v>
      </c>
      <c r="D2857" s="560">
        <v>62214342</v>
      </c>
      <c r="E2857" s="560">
        <v>19695952</v>
      </c>
      <c r="F2857" s="560">
        <v>91910200</v>
      </c>
      <c r="G2857" s="560">
        <f>D2857+E2857-F2857</f>
        <v>-9999906</v>
      </c>
      <c r="H2857" s="560"/>
      <c r="I2857" s="560"/>
      <c r="J2857" s="560"/>
    </row>
    <row r="2858" spans="1:10" x14ac:dyDescent="0.25">
      <c r="A2858" s="362"/>
      <c r="B2858" s="609">
        <v>44249</v>
      </c>
      <c r="C2858" s="362" t="s">
        <v>87</v>
      </c>
      <c r="D2858" s="560">
        <v>88870335</v>
      </c>
      <c r="E2858" s="560">
        <v>13872793</v>
      </c>
      <c r="F2858" s="560">
        <v>102743200</v>
      </c>
      <c r="G2858" s="560">
        <f t="shared" ref="G2858:G2871" si="53">D2858+E2858-F2858</f>
        <v>-72</v>
      </c>
      <c r="H2858" s="560"/>
      <c r="I2858" s="560"/>
      <c r="J2858" s="560"/>
    </row>
    <row r="2859" spans="1:10" x14ac:dyDescent="0.25">
      <c r="A2859" s="362"/>
      <c r="B2859" s="609">
        <v>44249</v>
      </c>
      <c r="C2859" s="362" t="s">
        <v>88</v>
      </c>
      <c r="D2859" s="560">
        <v>180994351</v>
      </c>
      <c r="E2859" s="560">
        <v>5816509</v>
      </c>
      <c r="F2859" s="560">
        <v>186810900</v>
      </c>
      <c r="G2859" s="560">
        <f t="shared" si="53"/>
        <v>-40</v>
      </c>
      <c r="H2859" s="560"/>
      <c r="I2859" s="560"/>
      <c r="J2859" s="560"/>
    </row>
    <row r="2860" spans="1:10" x14ac:dyDescent="0.25">
      <c r="A2860" s="362"/>
      <c r="B2860" s="609">
        <v>44249</v>
      </c>
      <c r="C2860" s="362" t="s">
        <v>82</v>
      </c>
      <c r="D2860" s="560">
        <v>53074324</v>
      </c>
      <c r="E2860" s="560"/>
      <c r="F2860" s="560">
        <v>53074400</v>
      </c>
      <c r="G2860" s="560">
        <f t="shared" si="53"/>
        <v>-76</v>
      </c>
      <c r="H2860" s="560"/>
      <c r="I2860" s="560"/>
      <c r="J2860" s="560"/>
    </row>
    <row r="2861" spans="1:10" x14ac:dyDescent="0.25">
      <c r="A2861" s="362"/>
      <c r="B2861" s="609">
        <v>44249</v>
      </c>
      <c r="C2861" s="362" t="s">
        <v>80</v>
      </c>
      <c r="D2861" s="560">
        <v>238657900</v>
      </c>
      <c r="E2861" s="560"/>
      <c r="F2861" s="560">
        <v>238657900</v>
      </c>
      <c r="G2861" s="560">
        <f t="shared" si="53"/>
        <v>0</v>
      </c>
      <c r="H2861" s="560"/>
      <c r="I2861" s="560"/>
      <c r="J2861" s="560"/>
    </row>
    <row r="2862" spans="1:10" x14ac:dyDescent="0.25">
      <c r="A2862" s="362"/>
      <c r="B2862" s="609">
        <v>44249</v>
      </c>
      <c r="C2862" s="362" t="s">
        <v>83</v>
      </c>
      <c r="D2862" s="560">
        <v>183651961</v>
      </c>
      <c r="E2862" s="560">
        <v>7883418</v>
      </c>
      <c r="F2862" s="560">
        <v>191535400</v>
      </c>
      <c r="G2862" s="560">
        <f t="shared" si="53"/>
        <v>-21</v>
      </c>
      <c r="H2862" s="560"/>
      <c r="I2862" s="560"/>
      <c r="J2862" s="560"/>
    </row>
    <row r="2863" spans="1:10" x14ac:dyDescent="0.25">
      <c r="A2863" s="362"/>
      <c r="B2863" s="609">
        <v>44249</v>
      </c>
      <c r="C2863" s="362" t="s">
        <v>78</v>
      </c>
      <c r="D2863" s="560">
        <v>54349257</v>
      </c>
      <c r="E2863" s="560">
        <v>3542443</v>
      </c>
      <c r="F2863" s="560">
        <v>57891700</v>
      </c>
      <c r="G2863" s="560">
        <f t="shared" si="53"/>
        <v>0</v>
      </c>
      <c r="H2863" s="560"/>
      <c r="I2863" s="560"/>
      <c r="J2863" s="560"/>
    </row>
    <row r="2864" spans="1:10" x14ac:dyDescent="0.25">
      <c r="A2864" s="362"/>
      <c r="B2864" s="609">
        <v>44249</v>
      </c>
      <c r="C2864" s="362" t="s">
        <v>141</v>
      </c>
      <c r="D2864" s="560">
        <v>33845330</v>
      </c>
      <c r="E2864" s="560">
        <v>2715286</v>
      </c>
      <c r="F2864" s="560">
        <v>36560700</v>
      </c>
      <c r="G2864" s="560">
        <f t="shared" si="53"/>
        <v>-84</v>
      </c>
      <c r="H2864" s="560"/>
      <c r="I2864" s="560"/>
      <c r="J2864" s="560"/>
    </row>
    <row r="2865" spans="1:10" x14ac:dyDescent="0.25">
      <c r="A2865" s="362"/>
      <c r="B2865" s="609">
        <v>44249</v>
      </c>
      <c r="C2865" s="362" t="s">
        <v>89</v>
      </c>
      <c r="D2865" s="560">
        <v>93787983</v>
      </c>
      <c r="E2865" s="560">
        <v>14745217</v>
      </c>
      <c r="F2865" s="560">
        <v>108533200</v>
      </c>
      <c r="G2865" s="560">
        <f t="shared" si="53"/>
        <v>0</v>
      </c>
      <c r="H2865" s="560"/>
      <c r="I2865" s="560"/>
      <c r="J2865" s="560"/>
    </row>
    <row r="2866" spans="1:10" x14ac:dyDescent="0.25">
      <c r="A2866" s="362"/>
      <c r="B2866" s="609">
        <v>44249</v>
      </c>
      <c r="C2866" s="362" t="s">
        <v>81</v>
      </c>
      <c r="D2866" s="560">
        <v>90125846</v>
      </c>
      <c r="E2866" s="560">
        <v>18623397</v>
      </c>
      <c r="F2866" s="560">
        <v>108749300</v>
      </c>
      <c r="G2866" s="560">
        <f t="shared" si="53"/>
        <v>-57</v>
      </c>
      <c r="H2866" s="560"/>
      <c r="I2866" s="560"/>
      <c r="J2866" s="560"/>
    </row>
    <row r="2867" spans="1:10" x14ac:dyDescent="0.25">
      <c r="A2867" s="362"/>
      <c r="B2867" s="609">
        <v>44249</v>
      </c>
      <c r="C2867" s="362" t="s">
        <v>84</v>
      </c>
      <c r="D2867" s="560">
        <v>226641223</v>
      </c>
      <c r="E2867" s="560">
        <v>8318349</v>
      </c>
      <c r="F2867" s="560">
        <v>234959600</v>
      </c>
      <c r="G2867" s="560">
        <f t="shared" si="53"/>
        <v>-28</v>
      </c>
      <c r="H2867" s="560"/>
      <c r="I2867" s="560"/>
      <c r="J2867" s="560"/>
    </row>
    <row r="2868" spans="1:10" x14ac:dyDescent="0.25">
      <c r="A2868" s="362"/>
      <c r="B2868" s="609">
        <v>44249</v>
      </c>
      <c r="C2868" s="362" t="s">
        <v>4751</v>
      </c>
      <c r="D2868" s="560">
        <v>206686098</v>
      </c>
      <c r="E2868" s="560">
        <v>18525102</v>
      </c>
      <c r="F2868" s="560">
        <v>225211200</v>
      </c>
      <c r="G2868" s="560">
        <f t="shared" si="53"/>
        <v>0</v>
      </c>
      <c r="H2868" s="560"/>
      <c r="I2868" s="560"/>
      <c r="J2868" s="560"/>
    </row>
    <row r="2869" spans="1:10" x14ac:dyDescent="0.25">
      <c r="A2869" s="362"/>
      <c r="B2869" s="609">
        <v>44249</v>
      </c>
      <c r="C2869" s="362" t="s">
        <v>166</v>
      </c>
      <c r="D2869" s="560">
        <v>49755445</v>
      </c>
      <c r="E2869" s="560"/>
      <c r="F2869" s="560">
        <v>49755500</v>
      </c>
      <c r="G2869" s="560">
        <f t="shared" si="53"/>
        <v>-55</v>
      </c>
      <c r="H2869" s="560"/>
      <c r="I2869" s="560"/>
      <c r="J2869" s="560"/>
    </row>
    <row r="2870" spans="1:10" x14ac:dyDescent="0.25">
      <c r="A2870" s="362"/>
      <c r="B2870" s="609">
        <v>44249</v>
      </c>
      <c r="C2870" s="362" t="s">
        <v>3435</v>
      </c>
      <c r="D2870" s="560">
        <v>25362953</v>
      </c>
      <c r="E2870" s="560"/>
      <c r="F2870" s="560">
        <v>25363000</v>
      </c>
      <c r="G2870" s="560">
        <f t="shared" si="53"/>
        <v>-47</v>
      </c>
      <c r="H2870" s="560"/>
      <c r="I2870" s="560"/>
      <c r="J2870" s="560"/>
    </row>
    <row r="2871" spans="1:10" x14ac:dyDescent="0.25">
      <c r="A2871" s="362"/>
      <c r="B2871" s="609">
        <v>44249</v>
      </c>
      <c r="C2871" s="370" t="s">
        <v>85</v>
      </c>
      <c r="D2871" s="560">
        <v>38061100</v>
      </c>
      <c r="E2871" s="560"/>
      <c r="F2871" s="560">
        <v>38061100</v>
      </c>
      <c r="G2871" s="560">
        <f t="shared" si="53"/>
        <v>0</v>
      </c>
      <c r="H2871" s="560"/>
      <c r="I2871" s="560"/>
      <c r="J2871" s="560"/>
    </row>
    <row r="2872" spans="1:10" x14ac:dyDescent="0.25">
      <c r="A2872" s="530"/>
      <c r="B2872" s="530"/>
      <c r="C2872" s="530"/>
      <c r="D2872" s="562">
        <f>SUM(D2857:D2871)</f>
        <v>1626078448</v>
      </c>
      <c r="E2872" s="562">
        <f>SUM(E2857:E2871)</f>
        <v>113738466</v>
      </c>
      <c r="F2872" s="562">
        <f>SUM(F2857:F2871)</f>
        <v>1749817300</v>
      </c>
      <c r="G2872" s="562">
        <f>SUM(G2857:G2871)</f>
        <v>-10000386</v>
      </c>
      <c r="H2872" s="562"/>
      <c r="I2872" s="562"/>
      <c r="J2872" s="562"/>
    </row>
    <row r="2873" spans="1:10" x14ac:dyDescent="0.25">
      <c r="A2873" s="362"/>
      <c r="B2873" s="609">
        <v>44250</v>
      </c>
      <c r="C2873" s="362" t="s">
        <v>86</v>
      </c>
      <c r="D2873" s="560">
        <v>96890143</v>
      </c>
      <c r="E2873" s="560">
        <v>20510389</v>
      </c>
      <c r="F2873" s="560">
        <v>117400300</v>
      </c>
      <c r="G2873" s="560">
        <f>D2873+E2873-F2873</f>
        <v>232</v>
      </c>
      <c r="H2873" s="560"/>
      <c r="I2873" s="560"/>
      <c r="J2873" s="560"/>
    </row>
    <row r="2874" spans="1:10" x14ac:dyDescent="0.25">
      <c r="A2874" s="362"/>
      <c r="B2874" s="609">
        <v>44250</v>
      </c>
      <c r="C2874" s="362" t="s">
        <v>87</v>
      </c>
      <c r="D2874" s="560">
        <v>74066501</v>
      </c>
      <c r="E2874" s="560">
        <v>100086014</v>
      </c>
      <c r="F2874" s="560">
        <v>174152500</v>
      </c>
      <c r="G2874" s="560">
        <f t="shared" ref="G2874:G2887" si="54">D2874+E2874-F2874</f>
        <v>15</v>
      </c>
      <c r="H2874" s="560"/>
      <c r="I2874" s="560"/>
      <c r="J2874" s="560"/>
    </row>
    <row r="2875" spans="1:10" x14ac:dyDescent="0.25">
      <c r="A2875" s="362"/>
      <c r="B2875" s="609">
        <v>44250</v>
      </c>
      <c r="C2875" s="362" t="s">
        <v>88</v>
      </c>
      <c r="D2875" s="560">
        <v>165055605</v>
      </c>
      <c r="E2875" s="560">
        <v>86462595</v>
      </c>
      <c r="F2875" s="560">
        <v>251518300</v>
      </c>
      <c r="G2875" s="560">
        <f t="shared" si="54"/>
        <v>-100</v>
      </c>
      <c r="H2875" s="560"/>
      <c r="I2875" s="560"/>
      <c r="J2875" s="560"/>
    </row>
    <row r="2876" spans="1:10" x14ac:dyDescent="0.25">
      <c r="A2876" s="362"/>
      <c r="B2876" s="609">
        <v>44250</v>
      </c>
      <c r="C2876" s="362" t="s">
        <v>82</v>
      </c>
      <c r="D2876" s="560">
        <v>60851831</v>
      </c>
      <c r="E2876" s="560">
        <v>8336197</v>
      </c>
      <c r="F2876" s="560">
        <v>69188100</v>
      </c>
      <c r="G2876" s="560">
        <f t="shared" si="54"/>
        <v>-72</v>
      </c>
      <c r="H2876" s="560"/>
      <c r="I2876" s="560"/>
      <c r="J2876" s="560"/>
    </row>
    <row r="2877" spans="1:10" x14ac:dyDescent="0.25">
      <c r="A2877" s="362"/>
      <c r="B2877" s="609">
        <v>44250</v>
      </c>
      <c r="C2877" s="362" t="s">
        <v>80</v>
      </c>
      <c r="D2877" s="560">
        <v>322037100</v>
      </c>
      <c r="E2877" s="560">
        <v>33625000</v>
      </c>
      <c r="F2877" s="560">
        <v>355662100</v>
      </c>
      <c r="G2877" s="560">
        <f t="shared" si="54"/>
        <v>0</v>
      </c>
      <c r="H2877" s="560"/>
      <c r="I2877" s="560"/>
      <c r="J2877" s="560"/>
    </row>
    <row r="2878" spans="1:10" x14ac:dyDescent="0.25">
      <c r="A2878" s="362"/>
      <c r="B2878" s="609">
        <v>44250</v>
      </c>
      <c r="C2878" s="362" t="s">
        <v>83</v>
      </c>
      <c r="D2878" s="560">
        <v>249005280</v>
      </c>
      <c r="E2878" s="560">
        <v>40741007</v>
      </c>
      <c r="F2878" s="560">
        <v>289746300</v>
      </c>
      <c r="G2878" s="560">
        <f t="shared" si="54"/>
        <v>-13</v>
      </c>
      <c r="H2878" s="560"/>
      <c r="I2878" s="560"/>
      <c r="J2878" s="560"/>
    </row>
    <row r="2879" spans="1:10" x14ac:dyDescent="0.25">
      <c r="A2879" s="362"/>
      <c r="B2879" s="609">
        <v>44250</v>
      </c>
      <c r="C2879" s="362" t="s">
        <v>78</v>
      </c>
      <c r="D2879" s="560">
        <v>67978636</v>
      </c>
      <c r="E2879" s="560">
        <v>5766664</v>
      </c>
      <c r="F2879" s="560">
        <v>73745300</v>
      </c>
      <c r="G2879" s="560">
        <f t="shared" si="54"/>
        <v>0</v>
      </c>
      <c r="H2879" s="560"/>
      <c r="I2879" s="560"/>
      <c r="J2879" s="560"/>
    </row>
    <row r="2880" spans="1:10" x14ac:dyDescent="0.25">
      <c r="A2880" s="362"/>
      <c r="B2880" s="609">
        <v>44250</v>
      </c>
      <c r="C2880" s="362" t="s">
        <v>141</v>
      </c>
      <c r="D2880" s="560">
        <v>87779790</v>
      </c>
      <c r="E2880" s="560">
        <v>3639405</v>
      </c>
      <c r="F2880" s="560">
        <v>91419200</v>
      </c>
      <c r="G2880" s="560">
        <f t="shared" si="54"/>
        <v>-5</v>
      </c>
      <c r="H2880" s="560"/>
      <c r="I2880" s="560"/>
      <c r="J2880" s="560"/>
    </row>
    <row r="2881" spans="1:10" x14ac:dyDescent="0.25">
      <c r="A2881" s="362"/>
      <c r="B2881" s="609">
        <v>44250</v>
      </c>
      <c r="C2881" s="362" t="s">
        <v>89</v>
      </c>
      <c r="D2881" s="560">
        <v>143744926</v>
      </c>
      <c r="E2881" s="560">
        <v>46773774</v>
      </c>
      <c r="F2881" s="560">
        <v>190518700</v>
      </c>
      <c r="G2881" s="560">
        <f t="shared" si="54"/>
        <v>0</v>
      </c>
      <c r="H2881" s="560"/>
      <c r="I2881" s="560"/>
      <c r="J2881" s="560"/>
    </row>
    <row r="2882" spans="1:10" x14ac:dyDescent="0.25">
      <c r="A2882" s="362"/>
      <c r="B2882" s="609">
        <v>44250</v>
      </c>
      <c r="C2882" s="362" t="s">
        <v>81</v>
      </c>
      <c r="D2882" s="560">
        <v>88742931</v>
      </c>
      <c r="E2882" s="560">
        <v>5659824</v>
      </c>
      <c r="F2882" s="560">
        <v>94402800</v>
      </c>
      <c r="G2882" s="560">
        <f t="shared" si="54"/>
        <v>-45</v>
      </c>
      <c r="H2882" s="560"/>
      <c r="I2882" s="560"/>
      <c r="J2882" s="560"/>
    </row>
    <row r="2883" spans="1:10" x14ac:dyDescent="0.25">
      <c r="A2883" s="362"/>
      <c r="B2883" s="609">
        <v>44250</v>
      </c>
      <c r="C2883" s="362" t="s">
        <v>84</v>
      </c>
      <c r="D2883" s="560">
        <v>193128644</v>
      </c>
      <c r="E2883" s="560">
        <v>14020043</v>
      </c>
      <c r="F2883" s="560">
        <v>207148800</v>
      </c>
      <c r="G2883" s="560">
        <f t="shared" si="54"/>
        <v>-113</v>
      </c>
      <c r="H2883" s="560"/>
      <c r="I2883" s="560"/>
      <c r="J2883" s="560"/>
    </row>
    <row r="2884" spans="1:10" x14ac:dyDescent="0.25">
      <c r="A2884" s="362"/>
      <c r="B2884" s="609">
        <v>44250</v>
      </c>
      <c r="C2884" s="362" t="s">
        <v>4751</v>
      </c>
      <c r="D2884" s="560">
        <v>205724791</v>
      </c>
      <c r="E2884" s="560">
        <v>15848209</v>
      </c>
      <c r="F2884" s="560">
        <v>221573000</v>
      </c>
      <c r="G2884" s="560">
        <f t="shared" si="54"/>
        <v>0</v>
      </c>
      <c r="H2884" s="560"/>
      <c r="I2884" s="560"/>
      <c r="J2884" s="560"/>
    </row>
    <row r="2885" spans="1:10" x14ac:dyDescent="0.25">
      <c r="A2885" s="362"/>
      <c r="B2885" s="609">
        <v>44250</v>
      </c>
      <c r="C2885" s="362" t="s">
        <v>166</v>
      </c>
      <c r="D2885" s="560">
        <v>73069864</v>
      </c>
      <c r="E2885" s="560">
        <v>11596000</v>
      </c>
      <c r="F2885" s="560">
        <v>73069900</v>
      </c>
      <c r="G2885" s="560">
        <f t="shared" si="54"/>
        <v>11595964</v>
      </c>
      <c r="H2885" s="560"/>
      <c r="I2885" s="560"/>
      <c r="J2885" s="560"/>
    </row>
    <row r="2886" spans="1:10" x14ac:dyDescent="0.25">
      <c r="A2886" s="362"/>
      <c r="B2886" s="609">
        <v>44250</v>
      </c>
      <c r="C2886" s="362" t="s">
        <v>3435</v>
      </c>
      <c r="D2886" s="560">
        <v>45126669</v>
      </c>
      <c r="E2886" s="560"/>
      <c r="F2886" s="560">
        <v>45126700</v>
      </c>
      <c r="G2886" s="560">
        <f t="shared" si="54"/>
        <v>-31</v>
      </c>
      <c r="H2886" s="560"/>
      <c r="I2886" s="560"/>
      <c r="J2886" s="560"/>
    </row>
    <row r="2887" spans="1:10" x14ac:dyDescent="0.25">
      <c r="A2887" s="362"/>
      <c r="B2887" s="609">
        <v>44250</v>
      </c>
      <c r="C2887" s="370" t="s">
        <v>85</v>
      </c>
      <c r="D2887" s="560">
        <v>31924200</v>
      </c>
      <c r="E2887" s="560"/>
      <c r="F2887" s="560">
        <v>31924200</v>
      </c>
      <c r="G2887" s="560">
        <f t="shared" si="54"/>
        <v>0</v>
      </c>
      <c r="H2887" s="560"/>
      <c r="I2887" s="560"/>
      <c r="J2887" s="560"/>
    </row>
    <row r="2888" spans="1:10" x14ac:dyDescent="0.25">
      <c r="A2888" s="530"/>
      <c r="B2888" s="530"/>
      <c r="C2888" s="530"/>
      <c r="D2888" s="562">
        <f>SUM(D2873:D2887)</f>
        <v>1905126911</v>
      </c>
      <c r="E2888" s="562">
        <f>SUM(E2873:E2887)</f>
        <v>393065121</v>
      </c>
      <c r="F2888" s="562">
        <f>SUM(F2873:F2887)</f>
        <v>2286596200</v>
      </c>
      <c r="G2888" s="562">
        <f>SUM(G2873:G2887)</f>
        <v>11595832</v>
      </c>
      <c r="H2888" s="562"/>
      <c r="I2888" s="562"/>
      <c r="J2888" s="562"/>
    </row>
    <row r="2889" spans="1:10" x14ac:dyDescent="0.25">
      <c r="A2889" s="362"/>
      <c r="B2889" s="609">
        <v>44251</v>
      </c>
      <c r="C2889" s="362" t="s">
        <v>86</v>
      </c>
      <c r="D2889" s="560">
        <v>116338490</v>
      </c>
      <c r="E2889" s="560">
        <v>20050240</v>
      </c>
      <c r="F2889" s="560">
        <v>136388700</v>
      </c>
      <c r="G2889" s="560">
        <f>D2889+E2889-F2889</f>
        <v>30</v>
      </c>
      <c r="H2889" s="560"/>
      <c r="I2889" s="560"/>
      <c r="J2889" s="560"/>
    </row>
    <row r="2890" spans="1:10" x14ac:dyDescent="0.25">
      <c r="A2890" s="362"/>
      <c r="B2890" s="609">
        <v>44251</v>
      </c>
      <c r="C2890" s="362" t="s">
        <v>87</v>
      </c>
      <c r="D2890" s="560">
        <v>83860303</v>
      </c>
      <c r="E2890" s="560">
        <v>111083823</v>
      </c>
      <c r="F2890" s="560">
        <v>194944200</v>
      </c>
      <c r="G2890" s="560">
        <f t="shared" ref="G2890:G2903" si="55">D2890+E2890-F2890</f>
        <v>-74</v>
      </c>
      <c r="H2890" s="560"/>
      <c r="I2890" s="560"/>
      <c r="J2890" s="560"/>
    </row>
    <row r="2891" spans="1:10" x14ac:dyDescent="0.25">
      <c r="A2891" s="362"/>
      <c r="B2891" s="609">
        <v>44251</v>
      </c>
      <c r="C2891" s="362" t="s">
        <v>88</v>
      </c>
      <c r="D2891" s="560">
        <v>137173047</v>
      </c>
      <c r="E2891" s="560">
        <v>5761704</v>
      </c>
      <c r="F2891" s="560">
        <v>142934800</v>
      </c>
      <c r="G2891" s="560">
        <f t="shared" si="55"/>
        <v>-49</v>
      </c>
      <c r="H2891" s="560"/>
      <c r="I2891" s="560"/>
      <c r="J2891" s="560"/>
    </row>
    <row r="2892" spans="1:10" x14ac:dyDescent="0.25">
      <c r="A2892" s="362"/>
      <c r="B2892" s="609">
        <v>44251</v>
      </c>
      <c r="C2892" s="362" t="s">
        <v>82</v>
      </c>
      <c r="D2892" s="560">
        <v>78464994</v>
      </c>
      <c r="E2892" s="560">
        <v>5439405</v>
      </c>
      <c r="F2892" s="560">
        <v>83904500</v>
      </c>
      <c r="G2892" s="560">
        <f t="shared" si="55"/>
        <v>-101</v>
      </c>
      <c r="H2892" s="560"/>
      <c r="I2892" s="560"/>
      <c r="J2892" s="560"/>
    </row>
    <row r="2893" spans="1:10" x14ac:dyDescent="0.25">
      <c r="A2893" s="362"/>
      <c r="B2893" s="609">
        <v>44251</v>
      </c>
      <c r="C2893" s="362" t="s">
        <v>80</v>
      </c>
      <c r="D2893" s="560">
        <v>308875165</v>
      </c>
      <c r="E2893" s="560"/>
      <c r="F2893" s="560">
        <v>308925600</v>
      </c>
      <c r="G2893" s="560">
        <f t="shared" si="55"/>
        <v>-50435</v>
      </c>
      <c r="H2893" s="560"/>
      <c r="I2893" s="560"/>
      <c r="J2893" s="560"/>
    </row>
    <row r="2894" spans="1:10" x14ac:dyDescent="0.25">
      <c r="A2894" s="362"/>
      <c r="B2894" s="609">
        <v>44251</v>
      </c>
      <c r="C2894" s="362" t="s">
        <v>83</v>
      </c>
      <c r="D2894" s="560">
        <v>224674235</v>
      </c>
      <c r="E2894" s="560">
        <v>50781565</v>
      </c>
      <c r="F2894" s="560">
        <v>275455800</v>
      </c>
      <c r="G2894" s="560">
        <f t="shared" si="55"/>
        <v>0</v>
      </c>
      <c r="H2894" s="560"/>
      <c r="I2894" s="560"/>
      <c r="J2894" s="560"/>
    </row>
    <row r="2895" spans="1:10" x14ac:dyDescent="0.25">
      <c r="A2895" s="362"/>
      <c r="B2895" s="609">
        <v>44251</v>
      </c>
      <c r="C2895" s="362" t="s">
        <v>78</v>
      </c>
      <c r="D2895" s="560">
        <v>70324468</v>
      </c>
      <c r="E2895" s="560">
        <v>6822232</v>
      </c>
      <c r="F2895" s="560">
        <v>77146700</v>
      </c>
      <c r="G2895" s="560">
        <f t="shared" si="55"/>
        <v>0</v>
      </c>
      <c r="H2895" s="560"/>
      <c r="I2895" s="560"/>
      <c r="J2895" s="560"/>
    </row>
    <row r="2896" spans="1:10" x14ac:dyDescent="0.25">
      <c r="A2896" s="362"/>
      <c r="B2896" s="609">
        <v>44251</v>
      </c>
      <c r="C2896" s="362" t="s">
        <v>141</v>
      </c>
      <c r="D2896" s="560">
        <v>48658688</v>
      </c>
      <c r="E2896" s="560">
        <v>305197</v>
      </c>
      <c r="F2896" s="560">
        <v>48963900</v>
      </c>
      <c r="G2896" s="560">
        <f t="shared" si="55"/>
        <v>-15</v>
      </c>
      <c r="H2896" s="560"/>
      <c r="I2896" s="560"/>
      <c r="J2896" s="560"/>
    </row>
    <row r="2897" spans="1:10" x14ac:dyDescent="0.25">
      <c r="A2897" s="362"/>
      <c r="B2897" s="609">
        <v>44251</v>
      </c>
      <c r="C2897" s="362" t="s">
        <v>89</v>
      </c>
      <c r="D2897" s="560">
        <v>160562575</v>
      </c>
      <c r="E2897" s="560">
        <v>14074925</v>
      </c>
      <c r="F2897" s="560">
        <v>174637500</v>
      </c>
      <c r="G2897" s="560">
        <f t="shared" si="55"/>
        <v>0</v>
      </c>
      <c r="H2897" s="560"/>
      <c r="I2897" s="560"/>
      <c r="J2897" s="560"/>
    </row>
    <row r="2898" spans="1:10" x14ac:dyDescent="0.25">
      <c r="A2898" s="362"/>
      <c r="B2898" s="609">
        <v>44251</v>
      </c>
      <c r="C2898" s="362" t="s">
        <v>81</v>
      </c>
      <c r="D2898" s="560">
        <v>79025611</v>
      </c>
      <c r="E2898" s="560">
        <v>17222063</v>
      </c>
      <c r="F2898" s="560">
        <v>96247800</v>
      </c>
      <c r="G2898" s="560">
        <f t="shared" si="55"/>
        <v>-126</v>
      </c>
      <c r="H2898" s="560"/>
      <c r="I2898" s="560"/>
      <c r="J2898" s="560"/>
    </row>
    <row r="2899" spans="1:10" x14ac:dyDescent="0.25">
      <c r="A2899" s="362"/>
      <c r="B2899" s="609">
        <v>44251</v>
      </c>
      <c r="C2899" s="362" t="s">
        <v>84</v>
      </c>
      <c r="D2899" s="560">
        <v>300660290</v>
      </c>
      <c r="E2899" s="560">
        <v>165572725</v>
      </c>
      <c r="F2899" s="560">
        <v>466233100</v>
      </c>
      <c r="G2899" s="560">
        <f t="shared" si="55"/>
        <v>-85</v>
      </c>
      <c r="H2899" s="560"/>
      <c r="I2899" s="560"/>
      <c r="J2899" s="560"/>
    </row>
    <row r="2900" spans="1:10" x14ac:dyDescent="0.25">
      <c r="A2900" s="362"/>
      <c r="B2900" s="609">
        <v>44251</v>
      </c>
      <c r="C2900" s="362" t="s">
        <v>4751</v>
      </c>
      <c r="D2900" s="560">
        <v>206283642</v>
      </c>
      <c r="E2900" s="560">
        <v>11643458</v>
      </c>
      <c r="F2900" s="560">
        <v>217927100</v>
      </c>
      <c r="G2900" s="560">
        <f t="shared" si="55"/>
        <v>0</v>
      </c>
      <c r="H2900" s="560"/>
      <c r="I2900" s="560"/>
      <c r="J2900" s="560"/>
    </row>
    <row r="2901" spans="1:10" x14ac:dyDescent="0.25">
      <c r="A2901" s="362"/>
      <c r="B2901" s="609">
        <v>44251</v>
      </c>
      <c r="C2901" s="362" t="s">
        <v>166</v>
      </c>
      <c r="D2901" s="560">
        <v>76454385</v>
      </c>
      <c r="E2901" s="560"/>
      <c r="F2901" s="560">
        <v>76454400</v>
      </c>
      <c r="G2901" s="560">
        <f t="shared" si="55"/>
        <v>-15</v>
      </c>
      <c r="H2901" s="560"/>
      <c r="I2901" s="560"/>
      <c r="J2901" s="560"/>
    </row>
    <row r="2902" spans="1:10" x14ac:dyDescent="0.25">
      <c r="A2902" s="362"/>
      <c r="B2902" s="609">
        <v>44251</v>
      </c>
      <c r="C2902" s="362" t="s">
        <v>3435</v>
      </c>
      <c r="D2902" s="560">
        <v>83005125</v>
      </c>
      <c r="E2902" s="560"/>
      <c r="F2902" s="560">
        <v>83005200</v>
      </c>
      <c r="G2902" s="560">
        <f t="shared" si="55"/>
        <v>-75</v>
      </c>
      <c r="H2902" s="560"/>
      <c r="I2902" s="560"/>
      <c r="J2902" s="560"/>
    </row>
    <row r="2903" spans="1:10" x14ac:dyDescent="0.25">
      <c r="A2903" s="362"/>
      <c r="B2903" s="609">
        <v>44251</v>
      </c>
      <c r="C2903" s="370" t="s">
        <v>85</v>
      </c>
      <c r="D2903" s="560">
        <v>42802100</v>
      </c>
      <c r="E2903" s="560"/>
      <c r="F2903" s="560">
        <v>42802100</v>
      </c>
      <c r="G2903" s="560">
        <f t="shared" si="55"/>
        <v>0</v>
      </c>
      <c r="H2903" s="560"/>
      <c r="I2903" s="560"/>
      <c r="J2903" s="560"/>
    </row>
    <row r="2904" spans="1:10" x14ac:dyDescent="0.25">
      <c r="A2904" s="530"/>
      <c r="B2904" s="530"/>
      <c r="C2904" s="530"/>
      <c r="D2904" s="562">
        <f>SUM(D2889:D2903)</f>
        <v>2017163118</v>
      </c>
      <c r="E2904" s="562">
        <f>SUM(E2889:E2903)</f>
        <v>408757337</v>
      </c>
      <c r="F2904" s="562">
        <f>SUM(F2889:F2903)</f>
        <v>2425971400</v>
      </c>
      <c r="G2904" s="562">
        <f>SUM(G2889:G2903)</f>
        <v>-50945</v>
      </c>
      <c r="H2904" s="562"/>
      <c r="I2904" s="562"/>
      <c r="J2904" s="562"/>
    </row>
    <row r="2905" spans="1:10" x14ac:dyDescent="0.25">
      <c r="A2905" s="362"/>
      <c r="B2905" s="609">
        <v>44252</v>
      </c>
      <c r="C2905" s="362" t="s">
        <v>86</v>
      </c>
      <c r="D2905" s="560">
        <v>126255243</v>
      </c>
      <c r="E2905" s="560">
        <v>237183050</v>
      </c>
      <c r="F2905" s="560">
        <v>363438300</v>
      </c>
      <c r="G2905" s="560">
        <f>D2905+E2905-F2905</f>
        <v>-7</v>
      </c>
      <c r="H2905" s="560"/>
      <c r="I2905" s="560"/>
      <c r="J2905" s="560"/>
    </row>
    <row r="2906" spans="1:10" x14ac:dyDescent="0.25">
      <c r="A2906" s="362"/>
      <c r="B2906" s="609">
        <v>44252</v>
      </c>
      <c r="C2906" s="362" t="s">
        <v>87</v>
      </c>
      <c r="D2906" s="560">
        <v>99014219</v>
      </c>
      <c r="E2906" s="560">
        <v>101892883</v>
      </c>
      <c r="F2906" s="560">
        <v>200907200</v>
      </c>
      <c r="G2906" s="560">
        <f t="shared" ref="G2906:G2919" si="56">D2906+E2906-F2906</f>
        <v>-98</v>
      </c>
      <c r="H2906" s="560"/>
      <c r="I2906" s="560"/>
      <c r="J2906" s="560"/>
    </row>
    <row r="2907" spans="1:10" x14ac:dyDescent="0.25">
      <c r="A2907" s="362"/>
      <c r="B2907" s="609">
        <v>44252</v>
      </c>
      <c r="C2907" s="362" t="s">
        <v>88</v>
      </c>
      <c r="D2907" s="560">
        <v>217225703</v>
      </c>
      <c r="E2907" s="560">
        <v>9461693</v>
      </c>
      <c r="F2907" s="560">
        <v>226686800</v>
      </c>
      <c r="G2907" s="560">
        <f t="shared" si="56"/>
        <v>596</v>
      </c>
      <c r="H2907" s="560"/>
      <c r="I2907" s="560"/>
      <c r="J2907" s="560"/>
    </row>
    <row r="2908" spans="1:10" x14ac:dyDescent="0.25">
      <c r="A2908" s="362"/>
      <c r="B2908" s="609">
        <v>44252</v>
      </c>
      <c r="C2908" s="362" t="s">
        <v>82</v>
      </c>
      <c r="D2908" s="560">
        <v>223062519</v>
      </c>
      <c r="E2908" s="560">
        <v>12638280</v>
      </c>
      <c r="F2908" s="560">
        <v>235700800</v>
      </c>
      <c r="G2908" s="560">
        <f t="shared" si="56"/>
        <v>-1</v>
      </c>
      <c r="H2908" s="560"/>
      <c r="I2908" s="560"/>
      <c r="J2908" s="560"/>
    </row>
    <row r="2909" spans="1:10" x14ac:dyDescent="0.25">
      <c r="A2909" s="362"/>
      <c r="B2909" s="609">
        <v>44252</v>
      </c>
      <c r="C2909" s="362" t="s">
        <v>80</v>
      </c>
      <c r="D2909" s="560">
        <v>211414181</v>
      </c>
      <c r="E2909" s="560"/>
      <c r="F2909" s="560">
        <v>211414200</v>
      </c>
      <c r="G2909" s="560">
        <f t="shared" si="56"/>
        <v>-19</v>
      </c>
      <c r="H2909" s="560"/>
      <c r="I2909" s="560"/>
      <c r="J2909" s="560"/>
    </row>
    <row r="2910" spans="1:10" x14ac:dyDescent="0.25">
      <c r="A2910" s="362"/>
      <c r="B2910" s="609">
        <v>44252</v>
      </c>
      <c r="C2910" s="362" t="s">
        <v>83</v>
      </c>
      <c r="D2910" s="560">
        <v>194743051</v>
      </c>
      <c r="E2910" s="560">
        <v>27052321</v>
      </c>
      <c r="F2910" s="560">
        <v>221795400</v>
      </c>
      <c r="G2910" s="560">
        <f t="shared" si="56"/>
        <v>-28</v>
      </c>
      <c r="H2910" s="560"/>
      <c r="I2910" s="560"/>
      <c r="J2910" s="560"/>
    </row>
    <row r="2911" spans="1:10" x14ac:dyDescent="0.25">
      <c r="A2911" s="362"/>
      <c r="B2911" s="609">
        <v>44252</v>
      </c>
      <c r="C2911" s="362" t="s">
        <v>78</v>
      </c>
      <c r="D2911" s="560">
        <v>95610974</v>
      </c>
      <c r="E2911" s="560">
        <v>789826</v>
      </c>
      <c r="F2911" s="560">
        <v>96400800</v>
      </c>
      <c r="G2911" s="560">
        <f t="shared" si="56"/>
        <v>0</v>
      </c>
      <c r="H2911" s="560"/>
      <c r="I2911" s="560"/>
      <c r="J2911" s="560"/>
    </row>
    <row r="2912" spans="1:10" x14ac:dyDescent="0.25">
      <c r="A2912" s="362"/>
      <c r="B2912" s="609">
        <v>44252</v>
      </c>
      <c r="C2912" s="362" t="s">
        <v>141</v>
      </c>
      <c r="D2912" s="560">
        <v>89353488</v>
      </c>
      <c r="E2912" s="560">
        <v>3603750</v>
      </c>
      <c r="F2912" s="560">
        <v>92957300</v>
      </c>
      <c r="G2912" s="560">
        <f t="shared" si="56"/>
        <v>-62</v>
      </c>
      <c r="H2912" s="560"/>
      <c r="I2912" s="560"/>
      <c r="J2912" s="560"/>
    </row>
    <row r="2913" spans="1:10" x14ac:dyDescent="0.25">
      <c r="A2913" s="362"/>
      <c r="B2913" s="609">
        <v>44252</v>
      </c>
      <c r="C2913" s="362" t="s">
        <v>89</v>
      </c>
      <c r="D2913" s="560">
        <v>172363334</v>
      </c>
      <c r="E2913" s="560">
        <v>12150766</v>
      </c>
      <c r="F2913" s="560">
        <v>184514100</v>
      </c>
      <c r="G2913" s="560">
        <f t="shared" si="56"/>
        <v>0</v>
      </c>
      <c r="H2913" s="560"/>
      <c r="I2913" s="560"/>
      <c r="J2913" s="560"/>
    </row>
    <row r="2914" spans="1:10" x14ac:dyDescent="0.25">
      <c r="A2914" s="362"/>
      <c r="B2914" s="609">
        <v>44252</v>
      </c>
      <c r="C2914" s="362" t="s">
        <v>81</v>
      </c>
      <c r="D2914" s="560">
        <v>53335459</v>
      </c>
      <c r="E2914" s="560">
        <v>17040222</v>
      </c>
      <c r="F2914" s="560">
        <v>70375600</v>
      </c>
      <c r="G2914" s="560">
        <f t="shared" si="56"/>
        <v>81</v>
      </c>
      <c r="H2914" s="560"/>
      <c r="I2914" s="560"/>
      <c r="J2914" s="560"/>
    </row>
    <row r="2915" spans="1:10" x14ac:dyDescent="0.25">
      <c r="A2915" s="362"/>
      <c r="B2915" s="609">
        <v>44252</v>
      </c>
      <c r="C2915" s="362" t="s">
        <v>84</v>
      </c>
      <c r="D2915" s="560">
        <v>283389066</v>
      </c>
      <c r="E2915" s="560">
        <v>24517896</v>
      </c>
      <c r="F2915" s="560">
        <v>307907000</v>
      </c>
      <c r="G2915" s="560">
        <f t="shared" si="56"/>
        <v>-38</v>
      </c>
      <c r="H2915" s="560"/>
      <c r="I2915" s="560"/>
      <c r="J2915" s="560"/>
    </row>
    <row r="2916" spans="1:10" x14ac:dyDescent="0.25">
      <c r="A2916" s="362"/>
      <c r="B2916" s="609">
        <v>44252</v>
      </c>
      <c r="C2916" s="362" t="s">
        <v>4751</v>
      </c>
      <c r="D2916" s="560">
        <v>308319886</v>
      </c>
      <c r="E2916" s="560">
        <v>7266114</v>
      </c>
      <c r="F2916" s="560">
        <v>315586000</v>
      </c>
      <c r="G2916" s="560">
        <f t="shared" si="56"/>
        <v>0</v>
      </c>
      <c r="H2916" s="560"/>
      <c r="I2916" s="560"/>
      <c r="J2916" s="560"/>
    </row>
    <row r="2917" spans="1:10" x14ac:dyDescent="0.25">
      <c r="A2917" s="362"/>
      <c r="B2917" s="609">
        <v>44252</v>
      </c>
      <c r="C2917" s="362" t="s">
        <v>166</v>
      </c>
      <c r="D2917" s="560">
        <v>76358669</v>
      </c>
      <c r="E2917" s="560"/>
      <c r="F2917" s="560">
        <v>76358700</v>
      </c>
      <c r="G2917" s="560">
        <f t="shared" si="56"/>
        <v>-31</v>
      </c>
      <c r="H2917" s="560"/>
      <c r="I2917" s="560"/>
      <c r="J2917" s="560"/>
    </row>
    <row r="2918" spans="1:10" x14ac:dyDescent="0.25">
      <c r="A2918" s="362"/>
      <c r="B2918" s="609">
        <v>44252</v>
      </c>
      <c r="C2918" s="362" t="s">
        <v>3435</v>
      </c>
      <c r="D2918" s="560">
        <v>52044974</v>
      </c>
      <c r="E2918" s="560"/>
      <c r="F2918" s="560">
        <v>52045000</v>
      </c>
      <c r="G2918" s="560">
        <f t="shared" si="56"/>
        <v>-26</v>
      </c>
      <c r="H2918" s="560"/>
      <c r="I2918" s="560"/>
      <c r="J2918" s="560"/>
    </row>
    <row r="2919" spans="1:10" x14ac:dyDescent="0.25">
      <c r="A2919" s="362"/>
      <c r="B2919" s="609">
        <v>44252</v>
      </c>
      <c r="C2919" s="370" t="s">
        <v>85</v>
      </c>
      <c r="D2919" s="560">
        <v>29257700</v>
      </c>
      <c r="E2919" s="560"/>
      <c r="F2919" s="560">
        <v>29257700</v>
      </c>
      <c r="G2919" s="560">
        <f t="shared" si="56"/>
        <v>0</v>
      </c>
      <c r="H2919" s="560"/>
      <c r="I2919" s="560"/>
      <c r="J2919" s="560"/>
    </row>
    <row r="2920" spans="1:10" x14ac:dyDescent="0.25">
      <c r="A2920" s="530"/>
      <c r="B2920" s="530"/>
      <c r="C2920" s="530"/>
      <c r="D2920" s="562">
        <f>SUM(D2905:D2919)</f>
        <v>2231748466</v>
      </c>
      <c r="E2920" s="562">
        <f>SUM(E2905:E2919)</f>
        <v>453596801</v>
      </c>
      <c r="F2920" s="562">
        <f>SUM(F2905:F2919)</f>
        <v>2685344900</v>
      </c>
      <c r="G2920" s="562">
        <f>SUM(G2905:G2919)</f>
        <v>367</v>
      </c>
      <c r="H2920" s="562"/>
      <c r="I2920" s="562"/>
      <c r="J2920" s="562"/>
    </row>
    <row r="2921" spans="1:10" x14ac:dyDescent="0.25">
      <c r="A2921" s="362"/>
      <c r="B2921" s="609">
        <v>44253</v>
      </c>
      <c r="C2921" s="362" t="s">
        <v>86</v>
      </c>
      <c r="D2921" s="560">
        <v>56735313</v>
      </c>
      <c r="E2921" s="560">
        <v>111835360</v>
      </c>
      <c r="F2921" s="560">
        <v>168584400</v>
      </c>
      <c r="G2921" s="560">
        <f>D2921+E2921-F2921</f>
        <v>-13727</v>
      </c>
      <c r="H2921" s="560"/>
      <c r="I2921" s="560"/>
      <c r="J2921" s="560"/>
    </row>
    <row r="2922" spans="1:10" x14ac:dyDescent="0.25">
      <c r="A2922" s="362"/>
      <c r="B2922" s="609">
        <v>44253</v>
      </c>
      <c r="C2922" s="362" t="s">
        <v>87</v>
      </c>
      <c r="D2922" s="560">
        <v>91314181</v>
      </c>
      <c r="E2922" s="560">
        <v>58143494</v>
      </c>
      <c r="F2922" s="560">
        <v>149457700</v>
      </c>
      <c r="G2922" s="560">
        <f t="shared" ref="G2922:G2935" si="57">D2922+E2922-F2922</f>
        <v>-25</v>
      </c>
      <c r="H2922" s="560"/>
      <c r="I2922" s="560"/>
      <c r="J2922" s="560"/>
    </row>
    <row r="2923" spans="1:10" x14ac:dyDescent="0.25">
      <c r="A2923" s="362"/>
      <c r="B2923" s="609">
        <v>44253</v>
      </c>
      <c r="C2923" s="362" t="s">
        <v>88</v>
      </c>
      <c r="D2923" s="560">
        <v>123186789</v>
      </c>
      <c r="E2923" s="560">
        <v>83598295</v>
      </c>
      <c r="F2923" s="560">
        <v>206785100</v>
      </c>
      <c r="G2923" s="560">
        <f t="shared" si="57"/>
        <v>-16</v>
      </c>
      <c r="H2923" s="560"/>
      <c r="I2923" s="560"/>
      <c r="J2923" s="560"/>
    </row>
    <row r="2924" spans="1:10" x14ac:dyDescent="0.25">
      <c r="A2924" s="362"/>
      <c r="B2924" s="609">
        <v>44253</v>
      </c>
      <c r="C2924" s="362" t="s">
        <v>82</v>
      </c>
      <c r="D2924" s="560">
        <v>134230060</v>
      </c>
      <c r="E2924" s="560">
        <v>19920263</v>
      </c>
      <c r="F2924" s="560">
        <v>154150400</v>
      </c>
      <c r="G2924" s="560">
        <f t="shared" si="57"/>
        <v>-77</v>
      </c>
      <c r="H2924" s="560"/>
      <c r="I2924" s="560"/>
      <c r="J2924" s="560"/>
    </row>
    <row r="2925" spans="1:10" x14ac:dyDescent="0.25">
      <c r="A2925" s="362"/>
      <c r="B2925" s="609">
        <v>44253</v>
      </c>
      <c r="C2925" s="362" t="s">
        <v>80</v>
      </c>
      <c r="D2925" s="560">
        <v>264169997</v>
      </c>
      <c r="E2925" s="560">
        <v>1562856</v>
      </c>
      <c r="F2925" s="560">
        <v>265767500</v>
      </c>
      <c r="G2925" s="560">
        <f t="shared" si="57"/>
        <v>-34647</v>
      </c>
      <c r="H2925" s="560"/>
      <c r="I2925" s="560"/>
      <c r="J2925" s="560"/>
    </row>
    <row r="2926" spans="1:10" x14ac:dyDescent="0.25">
      <c r="A2926" s="362"/>
      <c r="B2926" s="609">
        <v>44253</v>
      </c>
      <c r="C2926" s="362" t="s">
        <v>83</v>
      </c>
      <c r="D2926" s="560">
        <v>218924737</v>
      </c>
      <c r="E2926" s="560">
        <v>142893480</v>
      </c>
      <c r="F2926" s="560">
        <v>361818300</v>
      </c>
      <c r="G2926" s="560">
        <f t="shared" si="57"/>
        <v>-83</v>
      </c>
      <c r="H2926" s="560"/>
      <c r="I2926" s="560"/>
      <c r="J2926" s="560"/>
    </row>
    <row r="2927" spans="1:10" x14ac:dyDescent="0.25">
      <c r="A2927" s="362"/>
      <c r="B2927" s="609">
        <v>44253</v>
      </c>
      <c r="C2927" s="362" t="s">
        <v>78</v>
      </c>
      <c r="D2927" s="560">
        <v>178038708</v>
      </c>
      <c r="E2927" s="560">
        <v>9902292</v>
      </c>
      <c r="F2927" s="560">
        <v>187941000</v>
      </c>
      <c r="G2927" s="560">
        <f t="shared" si="57"/>
        <v>0</v>
      </c>
      <c r="H2927" s="560"/>
      <c r="I2927" s="560"/>
      <c r="J2927" s="560"/>
    </row>
    <row r="2928" spans="1:10" x14ac:dyDescent="0.25">
      <c r="A2928" s="362"/>
      <c r="B2928" s="609">
        <v>44253</v>
      </c>
      <c r="C2928" s="362" t="s">
        <v>141</v>
      </c>
      <c r="D2928" s="560">
        <v>57909307</v>
      </c>
      <c r="E2928" s="560">
        <v>5596766</v>
      </c>
      <c r="F2928" s="560">
        <v>63506100</v>
      </c>
      <c r="G2928" s="560">
        <f t="shared" si="57"/>
        <v>-27</v>
      </c>
      <c r="H2928" s="560"/>
      <c r="I2928" s="560"/>
      <c r="J2928" s="560"/>
    </row>
    <row r="2929" spans="1:10" x14ac:dyDescent="0.25">
      <c r="A2929" s="362"/>
      <c r="B2929" s="609">
        <v>44253</v>
      </c>
      <c r="C2929" s="362" t="s">
        <v>89</v>
      </c>
      <c r="D2929" s="560">
        <v>217113167</v>
      </c>
      <c r="E2929" s="560">
        <v>22230433</v>
      </c>
      <c r="F2929" s="560">
        <v>239343600</v>
      </c>
      <c r="G2929" s="560">
        <f t="shared" si="57"/>
        <v>0</v>
      </c>
      <c r="H2929" s="560"/>
      <c r="I2929" s="560"/>
      <c r="J2929" s="560"/>
    </row>
    <row r="2930" spans="1:10" x14ac:dyDescent="0.25">
      <c r="A2930" s="362"/>
      <c r="B2930" s="609">
        <v>44253</v>
      </c>
      <c r="C2930" s="362" t="s">
        <v>81</v>
      </c>
      <c r="D2930" s="560">
        <v>37592233</v>
      </c>
      <c r="E2930" s="560">
        <v>7727950</v>
      </c>
      <c r="F2930" s="560">
        <v>45320200</v>
      </c>
      <c r="G2930" s="560">
        <f t="shared" si="57"/>
        <v>-17</v>
      </c>
      <c r="H2930" s="560"/>
      <c r="I2930" s="560"/>
      <c r="J2930" s="560"/>
    </row>
    <row r="2931" spans="1:10" x14ac:dyDescent="0.25">
      <c r="A2931" s="362"/>
      <c r="B2931" s="609">
        <v>44253</v>
      </c>
      <c r="C2931" s="362" t="s">
        <v>84</v>
      </c>
      <c r="D2931" s="560">
        <v>177629254</v>
      </c>
      <c r="E2931" s="560">
        <v>10182367</v>
      </c>
      <c r="F2931" s="560">
        <v>187811700</v>
      </c>
      <c r="G2931" s="560">
        <f t="shared" si="57"/>
        <v>-79</v>
      </c>
      <c r="H2931" s="560"/>
      <c r="I2931" s="560"/>
      <c r="J2931" s="560"/>
    </row>
    <row r="2932" spans="1:10" x14ac:dyDescent="0.25">
      <c r="A2932" s="362"/>
      <c r="B2932" s="609">
        <v>44253</v>
      </c>
      <c r="C2932" s="362" t="s">
        <v>4751</v>
      </c>
      <c r="D2932" s="560">
        <v>191216268</v>
      </c>
      <c r="E2932" s="560">
        <v>24557432</v>
      </c>
      <c r="F2932" s="560">
        <v>215773700</v>
      </c>
      <c r="G2932" s="560">
        <f t="shared" si="57"/>
        <v>0</v>
      </c>
      <c r="H2932" s="560"/>
      <c r="I2932" s="560"/>
      <c r="J2932" s="560"/>
    </row>
    <row r="2933" spans="1:10" x14ac:dyDescent="0.25">
      <c r="A2933" s="362"/>
      <c r="B2933" s="609">
        <v>44253</v>
      </c>
      <c r="C2933" s="362" t="s">
        <v>166</v>
      </c>
      <c r="D2933" s="560">
        <v>67182745</v>
      </c>
      <c r="E2933" s="560"/>
      <c r="F2933" s="560">
        <v>67182800</v>
      </c>
      <c r="G2933" s="560">
        <f t="shared" si="57"/>
        <v>-55</v>
      </c>
      <c r="H2933" s="560"/>
      <c r="I2933" s="560"/>
      <c r="J2933" s="560"/>
    </row>
    <row r="2934" spans="1:10" x14ac:dyDescent="0.25">
      <c r="A2934" s="362"/>
      <c r="B2934" s="609">
        <v>44253</v>
      </c>
      <c r="C2934" s="362" t="s">
        <v>3435</v>
      </c>
      <c r="D2934" s="560">
        <v>30657529</v>
      </c>
      <c r="E2934" s="560"/>
      <c r="F2934" s="560">
        <v>30657600</v>
      </c>
      <c r="G2934" s="560">
        <f t="shared" si="57"/>
        <v>-71</v>
      </c>
      <c r="H2934" s="560"/>
      <c r="I2934" s="560"/>
      <c r="J2934" s="560"/>
    </row>
    <row r="2935" spans="1:10" x14ac:dyDescent="0.25">
      <c r="A2935" s="362"/>
      <c r="B2935" s="609">
        <v>44253</v>
      </c>
      <c r="C2935" s="370" t="s">
        <v>85</v>
      </c>
      <c r="D2935" s="560">
        <v>22937500</v>
      </c>
      <c r="E2935" s="560"/>
      <c r="F2935" s="560">
        <v>22937500</v>
      </c>
      <c r="G2935" s="560">
        <f t="shared" si="57"/>
        <v>0</v>
      </c>
      <c r="H2935" s="560"/>
      <c r="I2935" s="560"/>
      <c r="J2935" s="560"/>
    </row>
    <row r="2936" spans="1:10" x14ac:dyDescent="0.25">
      <c r="A2936" s="530"/>
      <c r="B2936" s="530"/>
      <c r="C2936" s="530"/>
      <c r="D2936" s="562">
        <f>SUM(D2921:D2935)</f>
        <v>1868837788</v>
      </c>
      <c r="E2936" s="562">
        <f>SUM(E2921:E2935)</f>
        <v>498150988</v>
      </c>
      <c r="F2936" s="562">
        <f>SUM(F2921:F2935)</f>
        <v>2367037600</v>
      </c>
      <c r="G2936" s="562">
        <f>SUM(G2921:G2935)</f>
        <v>-48824</v>
      </c>
      <c r="H2936" s="562"/>
      <c r="I2936" s="562"/>
      <c r="J2936" s="562"/>
    </row>
    <row r="2937" spans="1:10" x14ac:dyDescent="0.25">
      <c r="A2937" s="362"/>
      <c r="B2937" s="609">
        <v>44254</v>
      </c>
      <c r="C2937" s="362" t="s">
        <v>86</v>
      </c>
      <c r="D2937" s="560">
        <v>24743461</v>
      </c>
      <c r="E2937" s="560">
        <v>181947890</v>
      </c>
      <c r="F2937" s="560">
        <v>206691400</v>
      </c>
      <c r="G2937" s="560">
        <f>D2937+E2937-F2937</f>
        <v>-49</v>
      </c>
      <c r="H2937" s="560"/>
      <c r="I2937" s="560"/>
      <c r="J2937" s="560"/>
    </row>
    <row r="2938" spans="1:10" x14ac:dyDescent="0.25">
      <c r="A2938" s="362"/>
      <c r="B2938" s="609">
        <v>44254</v>
      </c>
      <c r="C2938" s="362" t="s">
        <v>87</v>
      </c>
      <c r="D2938" s="560">
        <v>80544399</v>
      </c>
      <c r="E2938" s="560">
        <v>16321884</v>
      </c>
      <c r="F2938" s="560">
        <v>96866300</v>
      </c>
      <c r="G2938" s="560">
        <f t="shared" ref="G2938:G2951" si="58">D2938+E2938-F2938</f>
        <v>-17</v>
      </c>
      <c r="H2938" s="560"/>
      <c r="I2938" s="560"/>
      <c r="J2938" s="560"/>
    </row>
    <row r="2939" spans="1:10" x14ac:dyDescent="0.25">
      <c r="A2939" s="362"/>
      <c r="B2939" s="609">
        <v>44254</v>
      </c>
      <c r="C2939" s="362" t="s">
        <v>88</v>
      </c>
      <c r="D2939" s="560">
        <v>159268912</v>
      </c>
      <c r="E2939" s="560">
        <v>88959778</v>
      </c>
      <c r="F2939" s="560">
        <v>248228700</v>
      </c>
      <c r="G2939" s="560">
        <f t="shared" si="58"/>
        <v>-10</v>
      </c>
      <c r="H2939" s="560"/>
      <c r="I2939" s="560"/>
      <c r="J2939" s="560"/>
    </row>
    <row r="2940" spans="1:10" x14ac:dyDescent="0.25">
      <c r="A2940" s="362"/>
      <c r="B2940" s="609">
        <v>44254</v>
      </c>
      <c r="C2940" s="362" t="s">
        <v>82</v>
      </c>
      <c r="D2940" s="560">
        <v>122888790</v>
      </c>
      <c r="E2940" s="560">
        <v>5749659</v>
      </c>
      <c r="F2940" s="560">
        <v>128638500</v>
      </c>
      <c r="G2940" s="560">
        <f t="shared" si="58"/>
        <v>-51</v>
      </c>
      <c r="H2940" s="560"/>
      <c r="I2940" s="560"/>
      <c r="J2940" s="560"/>
    </row>
    <row r="2941" spans="1:10" x14ac:dyDescent="0.25">
      <c r="A2941" s="362"/>
      <c r="B2941" s="609">
        <v>44254</v>
      </c>
      <c r="C2941" s="362" t="s">
        <v>80</v>
      </c>
      <c r="D2941" s="560">
        <v>170407797</v>
      </c>
      <c r="E2941" s="560">
        <v>40068703</v>
      </c>
      <c r="F2941" s="560">
        <v>210476500</v>
      </c>
      <c r="G2941" s="560">
        <f t="shared" si="58"/>
        <v>0</v>
      </c>
      <c r="H2941" s="560"/>
      <c r="I2941" s="560"/>
      <c r="J2941" s="560"/>
    </row>
    <row r="2942" spans="1:10" x14ac:dyDescent="0.25">
      <c r="A2942" s="362"/>
      <c r="B2942" s="609">
        <v>44254</v>
      </c>
      <c r="C2942" s="362" t="s">
        <v>83</v>
      </c>
      <c r="D2942" s="560">
        <v>185853881</v>
      </c>
      <c r="E2942" s="560">
        <v>85756019</v>
      </c>
      <c r="F2942" s="560">
        <v>271609900</v>
      </c>
      <c r="G2942" s="560">
        <f t="shared" si="58"/>
        <v>0</v>
      </c>
      <c r="H2942" s="560"/>
      <c r="I2942" s="560"/>
      <c r="J2942" s="560"/>
    </row>
    <row r="2943" spans="1:10" x14ac:dyDescent="0.25">
      <c r="A2943" s="362"/>
      <c r="B2943" s="609">
        <v>44254</v>
      </c>
      <c r="C2943" s="362" t="s">
        <v>78</v>
      </c>
      <c r="D2943" s="560">
        <v>91440976</v>
      </c>
      <c r="E2943" s="560">
        <v>23167024</v>
      </c>
      <c r="F2943" s="560">
        <v>114608000</v>
      </c>
      <c r="G2943" s="560">
        <f t="shared" si="58"/>
        <v>0</v>
      </c>
      <c r="H2943" s="560"/>
      <c r="I2943" s="560"/>
      <c r="J2943" s="560"/>
    </row>
    <row r="2944" spans="1:10" x14ac:dyDescent="0.25">
      <c r="A2944" s="362"/>
      <c r="B2944" s="609">
        <v>44254</v>
      </c>
      <c r="C2944" s="362" t="s">
        <v>141</v>
      </c>
      <c r="D2944" s="560">
        <v>38504028</v>
      </c>
      <c r="E2944" s="560">
        <v>3221019</v>
      </c>
      <c r="F2944" s="560">
        <v>41725300</v>
      </c>
      <c r="G2944" s="560">
        <f t="shared" si="58"/>
        <v>-253</v>
      </c>
      <c r="H2944" s="560"/>
      <c r="I2944" s="560"/>
      <c r="J2944" s="560"/>
    </row>
    <row r="2945" spans="1:10" x14ac:dyDescent="0.25">
      <c r="A2945" s="362"/>
      <c r="B2945" s="609">
        <v>44254</v>
      </c>
      <c r="C2945" s="362" t="s">
        <v>89</v>
      </c>
      <c r="D2945" s="560">
        <v>104239159</v>
      </c>
      <c r="E2945" s="560">
        <v>31550141</v>
      </c>
      <c r="F2945" s="560">
        <v>135789300</v>
      </c>
      <c r="G2945" s="560">
        <f t="shared" si="58"/>
        <v>0</v>
      </c>
      <c r="H2945" s="560"/>
      <c r="I2945" s="560"/>
      <c r="J2945" s="560"/>
    </row>
    <row r="2946" spans="1:10" x14ac:dyDescent="0.25">
      <c r="A2946" s="362"/>
      <c r="B2946" s="609">
        <v>44254</v>
      </c>
      <c r="C2946" s="362" t="s">
        <v>81</v>
      </c>
      <c r="D2946" s="560">
        <v>100554218</v>
      </c>
      <c r="E2946" s="560">
        <v>19003789</v>
      </c>
      <c r="F2946" s="560">
        <v>119558000</v>
      </c>
      <c r="G2946" s="560">
        <f t="shared" si="58"/>
        <v>7</v>
      </c>
      <c r="H2946" s="560"/>
      <c r="I2946" s="560"/>
      <c r="J2946" s="560"/>
    </row>
    <row r="2947" spans="1:10" x14ac:dyDescent="0.25">
      <c r="A2947" s="362"/>
      <c r="B2947" s="609">
        <v>44254</v>
      </c>
      <c r="C2947" s="362" t="s">
        <v>84</v>
      </c>
      <c r="D2947" s="560">
        <v>201355844</v>
      </c>
      <c r="E2947" s="560">
        <v>17126392</v>
      </c>
      <c r="F2947" s="560">
        <v>218482600</v>
      </c>
      <c r="G2947" s="560">
        <f t="shared" si="58"/>
        <v>-364</v>
      </c>
      <c r="H2947" s="560"/>
      <c r="I2947" s="560"/>
      <c r="J2947" s="560"/>
    </row>
    <row r="2948" spans="1:10" x14ac:dyDescent="0.25">
      <c r="A2948" s="362"/>
      <c r="B2948" s="609">
        <v>44254</v>
      </c>
      <c r="C2948" s="362" t="s">
        <v>4751</v>
      </c>
      <c r="D2948" s="560">
        <v>246403836</v>
      </c>
      <c r="E2948" s="560">
        <v>15042861</v>
      </c>
      <c r="F2948" s="560">
        <v>261446700</v>
      </c>
      <c r="G2948" s="560">
        <f t="shared" si="58"/>
        <v>-3</v>
      </c>
      <c r="H2948" s="560"/>
      <c r="I2948" s="560"/>
      <c r="J2948" s="560"/>
    </row>
    <row r="2949" spans="1:10" x14ac:dyDescent="0.25">
      <c r="A2949" s="362"/>
      <c r="B2949" s="609">
        <v>44254</v>
      </c>
      <c r="C2949" s="362" t="s">
        <v>166</v>
      </c>
      <c r="D2949" s="560"/>
      <c r="E2949" s="560"/>
      <c r="F2949" s="560"/>
      <c r="G2949" s="560">
        <f t="shared" si="58"/>
        <v>0</v>
      </c>
      <c r="H2949" s="560"/>
      <c r="I2949" s="560"/>
      <c r="J2949" s="560"/>
    </row>
    <row r="2950" spans="1:10" x14ac:dyDescent="0.25">
      <c r="A2950" s="362"/>
      <c r="B2950" s="609">
        <v>44254</v>
      </c>
      <c r="C2950" s="362" t="s">
        <v>3435</v>
      </c>
      <c r="D2950" s="560"/>
      <c r="E2950" s="560"/>
      <c r="F2950" s="560"/>
      <c r="G2950" s="560">
        <f t="shared" si="58"/>
        <v>0</v>
      </c>
      <c r="H2950" s="560"/>
      <c r="I2950" s="560"/>
      <c r="J2950" s="560"/>
    </row>
    <row r="2951" spans="1:10" x14ac:dyDescent="0.25">
      <c r="A2951" s="362"/>
      <c r="B2951" s="609">
        <v>44254</v>
      </c>
      <c r="C2951" s="370" t="s">
        <v>85</v>
      </c>
      <c r="D2951" s="560">
        <v>19692600</v>
      </c>
      <c r="E2951" s="560"/>
      <c r="F2951" s="560">
        <v>19692600</v>
      </c>
      <c r="G2951" s="560">
        <f t="shared" si="58"/>
        <v>0</v>
      </c>
      <c r="H2951" s="560"/>
      <c r="I2951" s="560"/>
      <c r="J2951" s="560"/>
    </row>
    <row r="2952" spans="1:10" x14ac:dyDescent="0.25">
      <c r="A2952" s="530"/>
      <c r="B2952" s="530"/>
      <c r="C2952" s="530"/>
      <c r="D2952" s="562">
        <f>SUM(D2937:D2951)</f>
        <v>1545897901</v>
      </c>
      <c r="E2952" s="562">
        <f>SUM(E2937:E2951)</f>
        <v>527915159</v>
      </c>
      <c r="F2952" s="562">
        <f>SUM(F2937:F2951)</f>
        <v>2073813800</v>
      </c>
      <c r="G2952" s="562">
        <f>SUM(G2937:G2951)</f>
        <v>-740</v>
      </c>
      <c r="H2952" s="562"/>
      <c r="I2952" s="562"/>
      <c r="J2952" s="562"/>
    </row>
    <row r="2953" spans="1:10" x14ac:dyDescent="0.25">
      <c r="A2953" s="1613">
        <v>44256</v>
      </c>
      <c r="B2953" s="1614"/>
      <c r="C2953" s="1614"/>
      <c r="D2953" s="1614"/>
      <c r="E2953" s="1614"/>
      <c r="F2953" s="1614"/>
      <c r="G2953" s="1614"/>
      <c r="H2953" s="1614"/>
      <c r="I2953" s="1614"/>
      <c r="J2953" s="1615"/>
    </row>
    <row r="2954" spans="1:10" x14ac:dyDescent="0.25">
      <c r="A2954" s="362"/>
      <c r="B2954" s="609">
        <v>44256</v>
      </c>
      <c r="C2954" s="362" t="s">
        <v>86</v>
      </c>
      <c r="D2954" s="560">
        <v>65099425</v>
      </c>
      <c r="E2954" s="560">
        <v>47584400</v>
      </c>
      <c r="F2954" s="560">
        <v>112683800</v>
      </c>
      <c r="G2954" s="560">
        <f>D2954+E2954-F2954</f>
        <v>25</v>
      </c>
      <c r="H2954" s="560"/>
      <c r="I2954" s="560"/>
      <c r="J2954" s="560"/>
    </row>
    <row r="2955" spans="1:10" x14ac:dyDescent="0.25">
      <c r="A2955" s="362"/>
      <c r="B2955" s="609">
        <v>44256</v>
      </c>
      <c r="C2955" s="362" t="s">
        <v>87</v>
      </c>
      <c r="D2955" s="560">
        <v>127531057</v>
      </c>
      <c r="E2955" s="560">
        <v>10438883</v>
      </c>
      <c r="F2955" s="560">
        <v>137969700</v>
      </c>
      <c r="G2955" s="560">
        <f t="shared" ref="G2955:G2968" si="59">D2955+E2955-F2955</f>
        <v>240</v>
      </c>
      <c r="H2955" s="560"/>
      <c r="I2955" s="560"/>
      <c r="J2955" s="560"/>
    </row>
    <row r="2956" spans="1:10" x14ac:dyDescent="0.25">
      <c r="A2956" s="362"/>
      <c r="B2956" s="609">
        <v>44256</v>
      </c>
      <c r="C2956" s="362" t="s">
        <v>88</v>
      </c>
      <c r="D2956" s="560">
        <v>386950211</v>
      </c>
      <c r="E2956" s="560">
        <v>15478994</v>
      </c>
      <c r="F2956" s="560">
        <v>402429300</v>
      </c>
      <c r="G2956" s="560">
        <f t="shared" si="59"/>
        <v>-95</v>
      </c>
      <c r="H2956" s="560"/>
      <c r="I2956" s="560"/>
      <c r="J2956" s="560"/>
    </row>
    <row r="2957" spans="1:10" x14ac:dyDescent="0.25">
      <c r="A2957" s="362"/>
      <c r="B2957" s="609">
        <v>44256</v>
      </c>
      <c r="C2957" s="362" t="s">
        <v>82</v>
      </c>
      <c r="D2957" s="560">
        <v>67404010</v>
      </c>
      <c r="E2957" s="560">
        <v>1203700</v>
      </c>
      <c r="F2957" s="560">
        <v>68607800</v>
      </c>
      <c r="G2957" s="560">
        <f t="shared" si="59"/>
        <v>-90</v>
      </c>
      <c r="H2957" s="560"/>
      <c r="I2957" s="560"/>
      <c r="J2957" s="560"/>
    </row>
    <row r="2958" spans="1:10" x14ac:dyDescent="0.25">
      <c r="A2958" s="362"/>
      <c r="B2958" s="609">
        <v>44256</v>
      </c>
      <c r="C2958" s="362" t="s">
        <v>80</v>
      </c>
      <c r="D2958" s="560">
        <v>206928312</v>
      </c>
      <c r="E2958" s="560"/>
      <c r="F2958" s="560">
        <v>206928300</v>
      </c>
      <c r="G2958" s="560">
        <f t="shared" si="59"/>
        <v>12</v>
      </c>
      <c r="H2958" s="560"/>
      <c r="I2958" s="560"/>
      <c r="J2958" s="560"/>
    </row>
    <row r="2959" spans="1:10" x14ac:dyDescent="0.25">
      <c r="A2959" s="362"/>
      <c r="B2959" s="609">
        <v>44256</v>
      </c>
      <c r="C2959" s="362" t="s">
        <v>83</v>
      </c>
      <c r="D2959" s="560">
        <v>358141518</v>
      </c>
      <c r="E2959" s="560">
        <v>38920716</v>
      </c>
      <c r="F2959" s="560">
        <v>397062300</v>
      </c>
      <c r="G2959" s="560">
        <f t="shared" si="59"/>
        <v>-66</v>
      </c>
      <c r="H2959" s="560"/>
      <c r="I2959" s="560"/>
      <c r="J2959" s="560"/>
    </row>
    <row r="2960" spans="1:10" x14ac:dyDescent="0.25">
      <c r="A2960" s="362"/>
      <c r="B2960" s="609">
        <v>44256</v>
      </c>
      <c r="C2960" s="362" t="s">
        <v>78</v>
      </c>
      <c r="D2960" s="560">
        <v>151712478</v>
      </c>
      <c r="E2960" s="560">
        <v>816622</v>
      </c>
      <c r="F2960" s="560">
        <v>152529100</v>
      </c>
      <c r="G2960" s="560">
        <f t="shared" si="59"/>
        <v>0</v>
      </c>
      <c r="H2960" s="560"/>
      <c r="I2960" s="560"/>
      <c r="J2960" s="560"/>
    </row>
    <row r="2961" spans="1:10" x14ac:dyDescent="0.25">
      <c r="A2961" s="362"/>
      <c r="B2961" s="609">
        <v>44256</v>
      </c>
      <c r="C2961" s="362" t="s">
        <v>141</v>
      </c>
      <c r="D2961" s="560">
        <v>75985294</v>
      </c>
      <c r="E2961" s="560">
        <v>1943026</v>
      </c>
      <c r="F2961" s="560">
        <v>77928400</v>
      </c>
      <c r="G2961" s="560">
        <f t="shared" si="59"/>
        <v>-80</v>
      </c>
      <c r="H2961" s="560"/>
      <c r="I2961" s="560"/>
      <c r="J2961" s="560"/>
    </row>
    <row r="2962" spans="1:10" x14ac:dyDescent="0.25">
      <c r="A2962" s="362"/>
      <c r="B2962" s="609">
        <v>44256</v>
      </c>
      <c r="C2962" s="362" t="s">
        <v>89</v>
      </c>
      <c r="D2962" s="560">
        <v>212854928</v>
      </c>
      <c r="E2962" s="560">
        <v>31580372</v>
      </c>
      <c r="F2962" s="560">
        <v>244435300</v>
      </c>
      <c r="G2962" s="560">
        <f t="shared" si="59"/>
        <v>0</v>
      </c>
      <c r="H2962" s="560"/>
      <c r="I2962" s="560"/>
      <c r="J2962" s="560"/>
    </row>
    <row r="2963" spans="1:10" x14ac:dyDescent="0.25">
      <c r="A2963" s="362"/>
      <c r="B2963" s="609">
        <v>44256</v>
      </c>
      <c r="C2963" s="362" t="s">
        <v>81</v>
      </c>
      <c r="D2963" s="560">
        <v>94841894</v>
      </c>
      <c r="E2963" s="560">
        <v>10614903</v>
      </c>
      <c r="F2963" s="560">
        <v>105456800</v>
      </c>
      <c r="G2963" s="560">
        <f t="shared" si="59"/>
        <v>-3</v>
      </c>
      <c r="H2963" s="560"/>
      <c r="I2963" s="560"/>
      <c r="J2963" s="560"/>
    </row>
    <row r="2964" spans="1:10" x14ac:dyDescent="0.25">
      <c r="A2964" s="362"/>
      <c r="B2964" s="609">
        <v>44256</v>
      </c>
      <c r="C2964" s="362" t="s">
        <v>84</v>
      </c>
      <c r="D2964" s="560">
        <v>192196932</v>
      </c>
      <c r="E2964" s="560">
        <v>12120098</v>
      </c>
      <c r="F2964" s="560">
        <v>204317000</v>
      </c>
      <c r="G2964" s="560">
        <f t="shared" si="59"/>
        <v>30</v>
      </c>
      <c r="H2964" s="560"/>
      <c r="I2964" s="560"/>
      <c r="J2964" s="560"/>
    </row>
    <row r="2965" spans="1:10" x14ac:dyDescent="0.25">
      <c r="A2965" s="362"/>
      <c r="B2965" s="609">
        <v>44256</v>
      </c>
      <c r="C2965" s="362" t="s">
        <v>4751</v>
      </c>
      <c r="D2965" s="560">
        <v>222072624</v>
      </c>
      <c r="E2965" s="560">
        <v>8869576</v>
      </c>
      <c r="F2965" s="560">
        <v>230942200</v>
      </c>
      <c r="G2965" s="560">
        <f t="shared" si="59"/>
        <v>0</v>
      </c>
      <c r="H2965" s="560"/>
      <c r="I2965" s="560"/>
      <c r="J2965" s="560"/>
    </row>
    <row r="2966" spans="1:10" x14ac:dyDescent="0.25">
      <c r="A2966" s="362"/>
      <c r="B2966" s="609">
        <v>44256</v>
      </c>
      <c r="C2966" s="362" t="s">
        <v>166</v>
      </c>
      <c r="D2966" s="560">
        <v>78036520</v>
      </c>
      <c r="E2966" s="560"/>
      <c r="F2966" s="560">
        <v>78036500</v>
      </c>
      <c r="G2966" s="560">
        <f t="shared" si="59"/>
        <v>20</v>
      </c>
      <c r="H2966" s="560"/>
      <c r="I2966" s="560"/>
      <c r="J2966" s="560"/>
    </row>
    <row r="2967" spans="1:10" x14ac:dyDescent="0.25">
      <c r="A2967" s="362"/>
      <c r="B2967" s="609">
        <v>44256</v>
      </c>
      <c r="C2967" s="362" t="s">
        <v>3435</v>
      </c>
      <c r="D2967" s="560">
        <v>45203709</v>
      </c>
      <c r="E2967" s="560"/>
      <c r="F2967" s="560">
        <v>45203800</v>
      </c>
      <c r="G2967" s="560">
        <f t="shared" si="59"/>
        <v>-91</v>
      </c>
      <c r="H2967" s="560"/>
      <c r="I2967" s="560"/>
      <c r="J2967" s="560"/>
    </row>
    <row r="2968" spans="1:10" x14ac:dyDescent="0.25">
      <c r="A2968" s="362"/>
      <c r="B2968" s="609">
        <v>44256</v>
      </c>
      <c r="C2968" s="370" t="s">
        <v>85</v>
      </c>
      <c r="D2968" s="560">
        <v>46978000</v>
      </c>
      <c r="E2968" s="560"/>
      <c r="F2968" s="560">
        <v>46978000</v>
      </c>
      <c r="G2968" s="560">
        <f t="shared" si="59"/>
        <v>0</v>
      </c>
      <c r="H2968" s="560"/>
      <c r="I2968" s="560"/>
      <c r="J2968" s="560"/>
    </row>
    <row r="2969" spans="1:10" x14ac:dyDescent="0.25">
      <c r="A2969" s="530"/>
      <c r="B2969" s="530"/>
      <c r="C2969" s="530"/>
      <c r="D2969" s="562">
        <f>SUM(D2954:D2968)</f>
        <v>2331936912</v>
      </c>
      <c r="E2969" s="562">
        <f>SUM(E2954:E2968)</f>
        <v>179571290</v>
      </c>
      <c r="F2969" s="562">
        <f>SUM(F2954:F2968)</f>
        <v>2511508300</v>
      </c>
      <c r="G2969" s="562">
        <f>SUM(G2954:G2968)</f>
        <v>-98</v>
      </c>
      <c r="H2969" s="562"/>
      <c r="I2969" s="562"/>
      <c r="J2969" s="562"/>
    </row>
    <row r="2970" spans="1:10" x14ac:dyDescent="0.25">
      <c r="A2970" s="362"/>
      <c r="B2970" s="609">
        <v>44257</v>
      </c>
      <c r="C2970" s="362" t="s">
        <v>86</v>
      </c>
      <c r="D2970" s="560">
        <v>48944947</v>
      </c>
      <c r="E2970" s="560">
        <v>42965021</v>
      </c>
      <c r="F2970" s="560">
        <v>91910000</v>
      </c>
      <c r="G2970" s="560">
        <f>D2970+E2970-F2970</f>
        <v>-32</v>
      </c>
      <c r="H2970" s="560"/>
      <c r="I2970" s="560"/>
      <c r="J2970" s="560"/>
    </row>
    <row r="2971" spans="1:10" x14ac:dyDescent="0.25">
      <c r="A2971" s="362"/>
      <c r="B2971" s="609">
        <v>44257</v>
      </c>
      <c r="C2971" s="362" t="s">
        <v>87</v>
      </c>
      <c r="D2971" s="560">
        <v>134337562</v>
      </c>
      <c r="E2971" s="560">
        <v>13938343</v>
      </c>
      <c r="F2971" s="560">
        <v>148276000</v>
      </c>
      <c r="G2971" s="560">
        <f t="shared" ref="G2971:G2984" si="60">D2971+E2971-F2971</f>
        <v>-95</v>
      </c>
      <c r="H2971" s="560"/>
      <c r="I2971" s="560"/>
      <c r="J2971" s="560"/>
    </row>
    <row r="2972" spans="1:10" x14ac:dyDescent="0.25">
      <c r="A2972" s="362"/>
      <c r="B2972" s="609">
        <v>44257</v>
      </c>
      <c r="C2972" s="362" t="s">
        <v>88</v>
      </c>
      <c r="D2972" s="560">
        <v>132711172</v>
      </c>
      <c r="E2972" s="560">
        <v>6398285</v>
      </c>
      <c r="F2972" s="560">
        <v>139109500</v>
      </c>
      <c r="G2972" s="560">
        <f t="shared" si="60"/>
        <v>-43</v>
      </c>
      <c r="H2972" s="560"/>
      <c r="I2972" s="560"/>
      <c r="J2972" s="560"/>
    </row>
    <row r="2973" spans="1:10" x14ac:dyDescent="0.25">
      <c r="A2973" s="362"/>
      <c r="B2973" s="609">
        <v>44257</v>
      </c>
      <c r="C2973" s="362" t="s">
        <v>82</v>
      </c>
      <c r="D2973" s="560">
        <v>62915275</v>
      </c>
      <c r="E2973" s="560">
        <v>3933225</v>
      </c>
      <c r="F2973" s="560">
        <v>66848600</v>
      </c>
      <c r="G2973" s="560">
        <f t="shared" si="60"/>
        <v>-100</v>
      </c>
      <c r="H2973" s="560"/>
      <c r="I2973" s="560"/>
      <c r="J2973" s="560"/>
    </row>
    <row r="2974" spans="1:10" x14ac:dyDescent="0.25">
      <c r="A2974" s="362"/>
      <c r="B2974" s="609">
        <v>44257</v>
      </c>
      <c r="C2974" s="362" t="s">
        <v>80</v>
      </c>
      <c r="D2974" s="560">
        <v>263833793</v>
      </c>
      <c r="E2974" s="560"/>
      <c r="F2974" s="560">
        <v>263834700</v>
      </c>
      <c r="G2974" s="560">
        <f t="shared" si="60"/>
        <v>-907</v>
      </c>
      <c r="H2974" s="560"/>
      <c r="I2974" s="560"/>
      <c r="J2974" s="560"/>
    </row>
    <row r="2975" spans="1:10" x14ac:dyDescent="0.25">
      <c r="A2975" s="362"/>
      <c r="B2975" s="609">
        <v>44257</v>
      </c>
      <c r="C2975" s="362" t="s">
        <v>83</v>
      </c>
      <c r="D2975" s="560">
        <v>266634116</v>
      </c>
      <c r="E2975" s="560">
        <v>63788322</v>
      </c>
      <c r="F2975" s="560">
        <v>279683100</v>
      </c>
      <c r="G2975" s="560">
        <f t="shared" si="60"/>
        <v>50739338</v>
      </c>
      <c r="H2975" s="560"/>
      <c r="I2975" s="560"/>
      <c r="J2975" s="560"/>
    </row>
    <row r="2976" spans="1:10" x14ac:dyDescent="0.25">
      <c r="A2976" s="362"/>
      <c r="B2976" s="609">
        <v>44257</v>
      </c>
      <c r="C2976" s="362" t="s">
        <v>78</v>
      </c>
      <c r="D2976" s="560">
        <v>72864076</v>
      </c>
      <c r="E2976" s="560">
        <v>3288924</v>
      </c>
      <c r="F2976" s="560">
        <v>76153000</v>
      </c>
      <c r="G2976" s="560">
        <f t="shared" si="60"/>
        <v>0</v>
      </c>
      <c r="H2976" s="560"/>
      <c r="I2976" s="560"/>
      <c r="J2976" s="560"/>
    </row>
    <row r="2977" spans="1:10" x14ac:dyDescent="0.25">
      <c r="A2977" s="362"/>
      <c r="B2977" s="609">
        <v>44257</v>
      </c>
      <c r="C2977" s="362" t="s">
        <v>141</v>
      </c>
      <c r="D2977" s="560">
        <v>51347519</v>
      </c>
      <c r="E2977" s="560">
        <v>567200</v>
      </c>
      <c r="F2977" s="560">
        <v>51914800</v>
      </c>
      <c r="G2977" s="560">
        <f t="shared" si="60"/>
        <v>-81</v>
      </c>
      <c r="H2977" s="560"/>
      <c r="I2977" s="560"/>
      <c r="J2977" s="560"/>
    </row>
    <row r="2978" spans="1:10" x14ac:dyDescent="0.25">
      <c r="A2978" s="362"/>
      <c r="B2978" s="609">
        <v>44257</v>
      </c>
      <c r="C2978" s="362" t="s">
        <v>89</v>
      </c>
      <c r="D2978" s="560">
        <v>115120105</v>
      </c>
      <c r="E2978" s="560">
        <v>19465095</v>
      </c>
      <c r="F2978" s="560">
        <v>134585200</v>
      </c>
      <c r="G2978" s="560">
        <f t="shared" si="60"/>
        <v>0</v>
      </c>
      <c r="H2978" s="560"/>
      <c r="I2978" s="560"/>
      <c r="J2978" s="560"/>
    </row>
    <row r="2979" spans="1:10" x14ac:dyDescent="0.25">
      <c r="A2979" s="362"/>
      <c r="B2979" s="609">
        <v>44257</v>
      </c>
      <c r="C2979" s="362" t="s">
        <v>81</v>
      </c>
      <c r="D2979" s="560">
        <v>54944531</v>
      </c>
      <c r="E2979" s="560">
        <v>9889202</v>
      </c>
      <c r="F2979" s="560">
        <v>64833800</v>
      </c>
      <c r="G2979" s="560">
        <f t="shared" si="60"/>
        <v>-67</v>
      </c>
      <c r="H2979" s="560"/>
      <c r="I2979" s="560"/>
      <c r="J2979" s="560"/>
    </row>
    <row r="2980" spans="1:10" x14ac:dyDescent="0.25">
      <c r="A2980" s="362"/>
      <c r="B2980" s="609">
        <v>44257</v>
      </c>
      <c r="C2980" s="362" t="s">
        <v>84</v>
      </c>
      <c r="D2980" s="560">
        <v>186701459</v>
      </c>
      <c r="E2980" s="560">
        <v>17364309</v>
      </c>
      <c r="F2980" s="560">
        <v>204065700</v>
      </c>
      <c r="G2980" s="560">
        <f t="shared" si="60"/>
        <v>68</v>
      </c>
      <c r="H2980" s="560"/>
      <c r="I2980" s="560"/>
      <c r="J2980" s="560"/>
    </row>
    <row r="2981" spans="1:10" x14ac:dyDescent="0.25">
      <c r="A2981" s="362"/>
      <c r="B2981" s="609">
        <v>44257</v>
      </c>
      <c r="C2981" s="362" t="s">
        <v>4751</v>
      </c>
      <c r="D2981" s="560">
        <v>223948206</v>
      </c>
      <c r="E2981" s="560">
        <v>5127294</v>
      </c>
      <c r="F2981" s="560">
        <v>229075600</v>
      </c>
      <c r="G2981" s="560">
        <f t="shared" si="60"/>
        <v>-100</v>
      </c>
      <c r="H2981" s="560"/>
      <c r="I2981" s="560"/>
      <c r="J2981" s="560"/>
    </row>
    <row r="2982" spans="1:10" x14ac:dyDescent="0.25">
      <c r="A2982" s="362"/>
      <c r="B2982" s="609">
        <v>44257</v>
      </c>
      <c r="C2982" s="362" t="s">
        <v>166</v>
      </c>
      <c r="D2982" s="560">
        <v>107864867</v>
      </c>
      <c r="E2982" s="560"/>
      <c r="F2982" s="560">
        <v>107864900</v>
      </c>
      <c r="G2982" s="560">
        <f t="shared" si="60"/>
        <v>-33</v>
      </c>
      <c r="H2982" s="560"/>
      <c r="I2982" s="560"/>
      <c r="J2982" s="560"/>
    </row>
    <row r="2983" spans="1:10" x14ac:dyDescent="0.25">
      <c r="A2983" s="362"/>
      <c r="B2983" s="609">
        <v>44257</v>
      </c>
      <c r="C2983" s="362" t="s">
        <v>3435</v>
      </c>
      <c r="D2983" s="560">
        <v>34396229</v>
      </c>
      <c r="E2983" s="560"/>
      <c r="F2983" s="560">
        <v>34396300</v>
      </c>
      <c r="G2983" s="560">
        <f t="shared" si="60"/>
        <v>-71</v>
      </c>
      <c r="H2983" s="560"/>
      <c r="I2983" s="560"/>
      <c r="J2983" s="560"/>
    </row>
    <row r="2984" spans="1:10" x14ac:dyDescent="0.25">
      <c r="A2984" s="362"/>
      <c r="B2984" s="609">
        <v>44257</v>
      </c>
      <c r="C2984" s="370" t="s">
        <v>85</v>
      </c>
      <c r="D2984" s="560">
        <v>32330700</v>
      </c>
      <c r="E2984" s="560"/>
      <c r="F2984" s="560">
        <v>32330700</v>
      </c>
      <c r="G2984" s="560">
        <f t="shared" si="60"/>
        <v>0</v>
      </c>
      <c r="H2984" s="560"/>
      <c r="I2984" s="560"/>
      <c r="J2984" s="560"/>
    </row>
    <row r="2985" spans="1:10" x14ac:dyDescent="0.25">
      <c r="A2985" s="530"/>
      <c r="B2985" s="530"/>
      <c r="C2985" s="530"/>
      <c r="D2985" s="562">
        <f>SUM(D2970:D2984)</f>
        <v>1788894557</v>
      </c>
      <c r="E2985" s="562">
        <f>SUM(E2970:E2984)</f>
        <v>186725220</v>
      </c>
      <c r="F2985" s="562">
        <f>SUM(F2970:F2984)</f>
        <v>1924881900</v>
      </c>
      <c r="G2985" s="562">
        <f>SUM(G2970:G2984)</f>
        <v>50737877</v>
      </c>
      <c r="H2985" s="562"/>
      <c r="I2985" s="562"/>
      <c r="J2985" s="562"/>
    </row>
    <row r="2986" spans="1:10" x14ac:dyDescent="0.25">
      <c r="A2986" s="362"/>
      <c r="B2986" s="609">
        <v>44258</v>
      </c>
      <c r="C2986" s="362" t="s">
        <v>86</v>
      </c>
      <c r="D2986" s="560">
        <v>103448545</v>
      </c>
      <c r="E2986" s="560">
        <v>29408612</v>
      </c>
      <c r="F2986" s="560">
        <v>132857200</v>
      </c>
      <c r="G2986" s="560">
        <f>D2986+E2986-F2986</f>
        <v>-43</v>
      </c>
      <c r="H2986" s="560"/>
      <c r="I2986" s="560"/>
      <c r="J2986" s="560"/>
    </row>
    <row r="2987" spans="1:10" x14ac:dyDescent="0.25">
      <c r="A2987" s="362"/>
      <c r="B2987" s="609">
        <v>44258</v>
      </c>
      <c r="C2987" s="362" t="s">
        <v>87</v>
      </c>
      <c r="D2987" s="560">
        <v>126422965</v>
      </c>
      <c r="E2987" s="560">
        <v>84394492</v>
      </c>
      <c r="F2987" s="560">
        <v>210817500</v>
      </c>
      <c r="G2987" s="560">
        <f t="shared" ref="G2987:G3000" si="61">D2987+E2987-F2987</f>
        <v>-43</v>
      </c>
      <c r="H2987" s="560"/>
      <c r="I2987" s="560"/>
      <c r="J2987" s="560"/>
    </row>
    <row r="2988" spans="1:10" x14ac:dyDescent="0.25">
      <c r="A2988" s="362"/>
      <c r="B2988" s="609">
        <v>44258</v>
      </c>
      <c r="C2988" s="362" t="s">
        <v>88</v>
      </c>
      <c r="D2988" s="560">
        <v>373593999</v>
      </c>
      <c r="E2988" s="560">
        <v>35404275</v>
      </c>
      <c r="F2988" s="560">
        <v>409008300</v>
      </c>
      <c r="G2988" s="560">
        <f t="shared" si="61"/>
        <v>-10026</v>
      </c>
      <c r="H2988" s="560"/>
      <c r="I2988" s="560"/>
      <c r="J2988" s="560"/>
    </row>
    <row r="2989" spans="1:10" x14ac:dyDescent="0.25">
      <c r="A2989" s="362"/>
      <c r="B2989" s="609">
        <v>44258</v>
      </c>
      <c r="C2989" s="362" t="s">
        <v>82</v>
      </c>
      <c r="D2989" s="560">
        <v>79614993</v>
      </c>
      <c r="E2989" s="560">
        <v>1856800</v>
      </c>
      <c r="F2989" s="560">
        <v>81471800</v>
      </c>
      <c r="G2989" s="560">
        <f t="shared" si="61"/>
        <v>-7</v>
      </c>
      <c r="H2989" s="560"/>
      <c r="I2989" s="560"/>
      <c r="J2989" s="560"/>
    </row>
    <row r="2990" spans="1:10" x14ac:dyDescent="0.25">
      <c r="A2990" s="362"/>
      <c r="B2990" s="609">
        <v>44258</v>
      </c>
      <c r="C2990" s="362" t="s">
        <v>80</v>
      </c>
      <c r="D2990" s="560">
        <v>332266234</v>
      </c>
      <c r="E2990" s="560"/>
      <c r="F2990" s="560">
        <v>332221000</v>
      </c>
      <c r="G2990" s="560">
        <f t="shared" si="61"/>
        <v>45234</v>
      </c>
      <c r="H2990" s="560"/>
      <c r="I2990" s="560"/>
      <c r="J2990" s="560"/>
    </row>
    <row r="2991" spans="1:10" x14ac:dyDescent="0.25">
      <c r="A2991" s="362"/>
      <c r="B2991" s="609">
        <v>44258</v>
      </c>
      <c r="C2991" s="362" t="s">
        <v>83</v>
      </c>
      <c r="D2991" s="560">
        <v>107923126</v>
      </c>
      <c r="E2991" s="560">
        <v>41353767</v>
      </c>
      <c r="F2991" s="560">
        <v>149276900</v>
      </c>
      <c r="G2991" s="560">
        <f t="shared" si="61"/>
        <v>-7</v>
      </c>
      <c r="H2991" s="560"/>
      <c r="I2991" s="560"/>
      <c r="J2991" s="560"/>
    </row>
    <row r="2992" spans="1:10" x14ac:dyDescent="0.25">
      <c r="A2992" s="362"/>
      <c r="B2992" s="609">
        <v>44258</v>
      </c>
      <c r="C2992" s="362" t="s">
        <v>78</v>
      </c>
      <c r="D2992" s="560">
        <v>78953482</v>
      </c>
      <c r="E2992" s="560">
        <v>1269718</v>
      </c>
      <c r="F2992" s="560">
        <v>80223200</v>
      </c>
      <c r="G2992" s="560">
        <f t="shared" si="61"/>
        <v>0</v>
      </c>
      <c r="H2992" s="560"/>
      <c r="I2992" s="560"/>
      <c r="J2992" s="560"/>
    </row>
    <row r="2993" spans="1:10" x14ac:dyDescent="0.25">
      <c r="A2993" s="362"/>
      <c r="B2993" s="609">
        <v>44258</v>
      </c>
      <c r="C2993" s="362" t="s">
        <v>141</v>
      </c>
      <c r="D2993" s="560">
        <v>99428863</v>
      </c>
      <c r="E2993" s="560">
        <v>1104809</v>
      </c>
      <c r="F2993" s="560">
        <v>100533700</v>
      </c>
      <c r="G2993" s="560">
        <f t="shared" si="61"/>
        <v>-28</v>
      </c>
      <c r="H2993" s="560"/>
      <c r="I2993" s="560"/>
      <c r="J2993" s="560"/>
    </row>
    <row r="2994" spans="1:10" x14ac:dyDescent="0.25">
      <c r="A2994" s="362"/>
      <c r="B2994" s="609">
        <v>44258</v>
      </c>
      <c r="C2994" s="362" t="s">
        <v>89</v>
      </c>
      <c r="D2994" s="560">
        <v>129057333</v>
      </c>
      <c r="E2994" s="560">
        <v>29351367</v>
      </c>
      <c r="F2994" s="560">
        <v>158408700</v>
      </c>
      <c r="G2994" s="560">
        <f t="shared" si="61"/>
        <v>0</v>
      </c>
      <c r="H2994" s="560"/>
      <c r="I2994" s="560"/>
      <c r="J2994" s="560"/>
    </row>
    <row r="2995" spans="1:10" x14ac:dyDescent="0.25">
      <c r="A2995" s="362"/>
      <c r="B2995" s="609">
        <v>44258</v>
      </c>
      <c r="C2995" s="362" t="s">
        <v>81</v>
      </c>
      <c r="D2995" s="560">
        <v>63292027</v>
      </c>
      <c r="E2995" s="560">
        <v>8723114</v>
      </c>
      <c r="F2995" s="560">
        <v>72015200</v>
      </c>
      <c r="G2995" s="560">
        <f t="shared" si="61"/>
        <v>-59</v>
      </c>
      <c r="H2995" s="560"/>
      <c r="I2995" s="560"/>
      <c r="J2995" s="560"/>
    </row>
    <row r="2996" spans="1:10" x14ac:dyDescent="0.25">
      <c r="A2996" s="362"/>
      <c r="B2996" s="609">
        <v>44258</v>
      </c>
      <c r="C2996" s="362" t="s">
        <v>84</v>
      </c>
      <c r="D2996" s="560">
        <v>274882406</v>
      </c>
      <c r="E2996" s="560">
        <v>9202660</v>
      </c>
      <c r="F2996" s="560">
        <v>284085100</v>
      </c>
      <c r="G2996" s="560">
        <f t="shared" si="61"/>
        <v>-34</v>
      </c>
      <c r="H2996" s="560"/>
      <c r="I2996" s="560"/>
      <c r="J2996" s="560"/>
    </row>
    <row r="2997" spans="1:10" x14ac:dyDescent="0.25">
      <c r="A2997" s="362"/>
      <c r="B2997" s="609">
        <v>44258</v>
      </c>
      <c r="C2997" s="362" t="s">
        <v>4751</v>
      </c>
      <c r="D2997" s="560">
        <v>145363087</v>
      </c>
      <c r="E2997" s="560">
        <v>6370213</v>
      </c>
      <c r="F2997" s="560">
        <v>151733300</v>
      </c>
      <c r="G2997" s="560">
        <f t="shared" si="61"/>
        <v>0</v>
      </c>
      <c r="H2997" s="560"/>
      <c r="I2997" s="560"/>
      <c r="J2997" s="560"/>
    </row>
    <row r="2998" spans="1:10" x14ac:dyDescent="0.25">
      <c r="A2998" s="362"/>
      <c r="B2998" s="609">
        <v>44258</v>
      </c>
      <c r="C2998" s="362" t="s">
        <v>166</v>
      </c>
      <c r="D2998" s="560">
        <v>59396644</v>
      </c>
      <c r="E2998" s="560"/>
      <c r="F2998" s="560">
        <v>59396700</v>
      </c>
      <c r="G2998" s="560">
        <f t="shared" si="61"/>
        <v>-56</v>
      </c>
      <c r="H2998" s="560"/>
      <c r="I2998" s="560"/>
      <c r="J2998" s="560"/>
    </row>
    <row r="2999" spans="1:10" x14ac:dyDescent="0.25">
      <c r="A2999" s="362"/>
      <c r="B2999" s="609">
        <v>44258</v>
      </c>
      <c r="C2999" s="362" t="s">
        <v>3435</v>
      </c>
      <c r="D2999" s="560">
        <v>78206272</v>
      </c>
      <c r="E2999" s="560"/>
      <c r="F2999" s="560"/>
      <c r="G2999" s="560">
        <f t="shared" si="61"/>
        <v>78206272</v>
      </c>
      <c r="H2999" s="560"/>
      <c r="I2999" s="560"/>
      <c r="J2999" s="560"/>
    </row>
    <row r="3000" spans="1:10" x14ac:dyDescent="0.25">
      <c r="A3000" s="362"/>
      <c r="B3000" s="609">
        <v>44258</v>
      </c>
      <c r="C3000" s="370" t="s">
        <v>85</v>
      </c>
      <c r="D3000" s="560">
        <v>41884200</v>
      </c>
      <c r="E3000" s="560"/>
      <c r="F3000" s="560">
        <v>41884200</v>
      </c>
      <c r="G3000" s="560">
        <f t="shared" si="61"/>
        <v>0</v>
      </c>
      <c r="H3000" s="560"/>
      <c r="I3000" s="560"/>
      <c r="J3000" s="560"/>
    </row>
    <row r="3001" spans="1:10" x14ac:dyDescent="0.25">
      <c r="A3001" s="530"/>
      <c r="B3001" s="530"/>
      <c r="C3001" s="530"/>
      <c r="D3001" s="562">
        <f>SUM(D2986:D3000)</f>
        <v>2093734176</v>
      </c>
      <c r="E3001" s="562">
        <f>SUM(E2986:E3000)</f>
        <v>248439827</v>
      </c>
      <c r="F3001" s="562">
        <f>SUM(F2986:F3000)</f>
        <v>2263932800</v>
      </c>
      <c r="G3001" s="562">
        <f>SUM(G2986:G3000)</f>
        <v>78241203</v>
      </c>
      <c r="H3001" s="562"/>
      <c r="I3001" s="562"/>
      <c r="J3001" s="562"/>
    </row>
    <row r="3002" spans="1:10" x14ac:dyDescent="0.25">
      <c r="A3002" s="362"/>
      <c r="B3002" s="609">
        <v>44259</v>
      </c>
      <c r="C3002" s="362" t="s">
        <v>86</v>
      </c>
      <c r="D3002" s="560">
        <v>84778353</v>
      </c>
      <c r="E3002" s="560">
        <v>176007071</v>
      </c>
      <c r="F3002" s="560">
        <v>260785400</v>
      </c>
      <c r="G3002" s="560">
        <f>D3002+E3002-F3002</f>
        <v>24</v>
      </c>
      <c r="H3002" s="560"/>
      <c r="I3002" s="560"/>
      <c r="J3002" s="560"/>
    </row>
    <row r="3003" spans="1:10" x14ac:dyDescent="0.25">
      <c r="A3003" s="362"/>
      <c r="B3003" s="609">
        <v>44259</v>
      </c>
      <c r="C3003" s="362" t="s">
        <v>87</v>
      </c>
      <c r="D3003" s="560">
        <v>92170704</v>
      </c>
      <c r="E3003" s="560">
        <v>103918825</v>
      </c>
      <c r="F3003" s="560">
        <v>196089600</v>
      </c>
      <c r="G3003" s="560">
        <f t="shared" ref="G3003:G3016" si="62">D3003+E3003-F3003</f>
        <v>-71</v>
      </c>
      <c r="H3003" s="560"/>
      <c r="I3003" s="560"/>
      <c r="J3003" s="560"/>
    </row>
    <row r="3004" spans="1:10" x14ac:dyDescent="0.25">
      <c r="A3004" s="362"/>
      <c r="B3004" s="609">
        <v>44259</v>
      </c>
      <c r="C3004" s="362" t="s">
        <v>88</v>
      </c>
      <c r="D3004" s="560">
        <v>280679985</v>
      </c>
      <c r="E3004" s="560">
        <v>75089267</v>
      </c>
      <c r="F3004" s="560">
        <v>355769300</v>
      </c>
      <c r="G3004" s="560">
        <f t="shared" si="62"/>
        <v>-48</v>
      </c>
      <c r="H3004" s="560"/>
      <c r="I3004" s="560"/>
      <c r="J3004" s="560"/>
    </row>
    <row r="3005" spans="1:10" x14ac:dyDescent="0.25">
      <c r="A3005" s="362"/>
      <c r="B3005" s="609">
        <v>44259</v>
      </c>
      <c r="C3005" s="362" t="s">
        <v>82</v>
      </c>
      <c r="D3005" s="560">
        <v>92369364</v>
      </c>
      <c r="E3005" s="560">
        <v>48230732</v>
      </c>
      <c r="F3005" s="560">
        <v>140600200</v>
      </c>
      <c r="G3005" s="560">
        <f t="shared" si="62"/>
        <v>-104</v>
      </c>
      <c r="H3005" s="560"/>
      <c r="I3005" s="560"/>
      <c r="J3005" s="560"/>
    </row>
    <row r="3006" spans="1:10" x14ac:dyDescent="0.25">
      <c r="A3006" s="362"/>
      <c r="B3006" s="609">
        <v>44259</v>
      </c>
      <c r="C3006" s="362" t="s">
        <v>80</v>
      </c>
      <c r="D3006" s="560">
        <v>292888700</v>
      </c>
      <c r="E3006" s="560"/>
      <c r="F3006" s="560">
        <v>292888800</v>
      </c>
      <c r="G3006" s="560">
        <f t="shared" si="62"/>
        <v>-100</v>
      </c>
      <c r="H3006" s="560"/>
      <c r="I3006" s="560"/>
      <c r="J3006" s="560"/>
    </row>
    <row r="3007" spans="1:10" x14ac:dyDescent="0.25">
      <c r="A3007" s="362"/>
      <c r="B3007" s="609">
        <v>44259</v>
      </c>
      <c r="C3007" s="362" t="s">
        <v>83</v>
      </c>
      <c r="D3007" s="560">
        <v>239893224</v>
      </c>
      <c r="E3007" s="560">
        <v>201972476</v>
      </c>
      <c r="F3007" s="560">
        <v>441865700</v>
      </c>
      <c r="G3007" s="560">
        <f t="shared" si="62"/>
        <v>0</v>
      </c>
      <c r="H3007" s="560"/>
      <c r="I3007" s="560"/>
      <c r="J3007" s="560"/>
    </row>
    <row r="3008" spans="1:10" x14ac:dyDescent="0.25">
      <c r="A3008" s="362"/>
      <c r="B3008" s="609">
        <v>44259</v>
      </c>
      <c r="C3008" s="362" t="s">
        <v>78</v>
      </c>
      <c r="D3008" s="560">
        <v>81881758</v>
      </c>
      <c r="E3008" s="560">
        <v>2111542</v>
      </c>
      <c r="F3008" s="560">
        <v>83993300</v>
      </c>
      <c r="G3008" s="560">
        <f t="shared" si="62"/>
        <v>0</v>
      </c>
      <c r="H3008" s="560"/>
      <c r="I3008" s="560"/>
      <c r="J3008" s="560"/>
    </row>
    <row r="3009" spans="1:10" x14ac:dyDescent="0.25">
      <c r="A3009" s="362"/>
      <c r="B3009" s="609">
        <v>44259</v>
      </c>
      <c r="C3009" s="362" t="s">
        <v>141</v>
      </c>
      <c r="D3009" s="560">
        <v>73470093</v>
      </c>
      <c r="E3009" s="560">
        <v>2978818</v>
      </c>
      <c r="F3009" s="560">
        <v>76449000</v>
      </c>
      <c r="G3009" s="560">
        <f t="shared" si="62"/>
        <v>-89</v>
      </c>
      <c r="H3009" s="560"/>
      <c r="I3009" s="560"/>
      <c r="J3009" s="560"/>
    </row>
    <row r="3010" spans="1:10" x14ac:dyDescent="0.25">
      <c r="A3010" s="362"/>
      <c r="B3010" s="609">
        <v>44259</v>
      </c>
      <c r="C3010" s="362" t="s">
        <v>89</v>
      </c>
      <c r="D3010" s="560">
        <v>115039082</v>
      </c>
      <c r="E3010" s="560">
        <v>19070818</v>
      </c>
      <c r="F3010" s="560">
        <v>134109900</v>
      </c>
      <c r="G3010" s="560">
        <f t="shared" si="62"/>
        <v>0</v>
      </c>
      <c r="H3010" s="560"/>
      <c r="I3010" s="560"/>
      <c r="J3010" s="560"/>
    </row>
    <row r="3011" spans="1:10" x14ac:dyDescent="0.25">
      <c r="A3011" s="362"/>
      <c r="B3011" s="609">
        <v>44259</v>
      </c>
      <c r="C3011" s="362" t="s">
        <v>81</v>
      </c>
      <c r="D3011" s="560">
        <v>124041645</v>
      </c>
      <c r="E3011" s="560">
        <v>16862402</v>
      </c>
      <c r="F3011" s="560">
        <v>140904100</v>
      </c>
      <c r="G3011" s="560">
        <f t="shared" si="62"/>
        <v>-53</v>
      </c>
      <c r="H3011" s="560"/>
      <c r="I3011" s="560"/>
      <c r="J3011" s="560"/>
    </row>
    <row r="3012" spans="1:10" x14ac:dyDescent="0.25">
      <c r="A3012" s="362"/>
      <c r="B3012" s="609">
        <v>44259</v>
      </c>
      <c r="C3012" s="362" t="s">
        <v>84</v>
      </c>
      <c r="D3012" s="560">
        <v>203264691</v>
      </c>
      <c r="E3012" s="560">
        <v>26201108</v>
      </c>
      <c r="F3012" s="560">
        <v>229465700</v>
      </c>
      <c r="G3012" s="560">
        <f t="shared" si="62"/>
        <v>99</v>
      </c>
      <c r="H3012" s="560"/>
      <c r="I3012" s="560"/>
      <c r="J3012" s="560"/>
    </row>
    <row r="3013" spans="1:10" x14ac:dyDescent="0.25">
      <c r="A3013" s="362"/>
      <c r="B3013" s="609">
        <v>44259</v>
      </c>
      <c r="C3013" s="362" t="s">
        <v>4751</v>
      </c>
      <c r="D3013" s="560">
        <v>202648827</v>
      </c>
      <c r="E3013" s="560">
        <v>9677573</v>
      </c>
      <c r="F3013" s="560">
        <v>212326400</v>
      </c>
      <c r="G3013" s="560">
        <f t="shared" si="62"/>
        <v>0</v>
      </c>
      <c r="H3013" s="560"/>
      <c r="I3013" s="560"/>
      <c r="J3013" s="560"/>
    </row>
    <row r="3014" spans="1:10" x14ac:dyDescent="0.25">
      <c r="A3014" s="362"/>
      <c r="B3014" s="609">
        <v>44259</v>
      </c>
      <c r="C3014" s="362" t="s">
        <v>166</v>
      </c>
      <c r="D3014" s="560">
        <v>80083878</v>
      </c>
      <c r="E3014" s="560"/>
      <c r="F3014" s="560">
        <v>80083900</v>
      </c>
      <c r="G3014" s="560">
        <f t="shared" si="62"/>
        <v>-22</v>
      </c>
      <c r="H3014" s="560"/>
      <c r="I3014" s="560"/>
      <c r="J3014" s="560"/>
    </row>
    <row r="3015" spans="1:10" x14ac:dyDescent="0.25">
      <c r="A3015" s="362"/>
      <c r="B3015" s="609">
        <v>44259</v>
      </c>
      <c r="C3015" s="362" t="s">
        <v>3435</v>
      </c>
      <c r="D3015" s="560">
        <v>207675265</v>
      </c>
      <c r="E3015" s="560"/>
      <c r="F3015" s="560">
        <v>207675300</v>
      </c>
      <c r="G3015" s="560">
        <f t="shared" si="62"/>
        <v>-35</v>
      </c>
      <c r="H3015" s="560"/>
      <c r="I3015" s="560"/>
      <c r="J3015" s="560"/>
    </row>
    <row r="3016" spans="1:10" x14ac:dyDescent="0.25">
      <c r="A3016" s="362"/>
      <c r="B3016" s="609">
        <v>44259</v>
      </c>
      <c r="C3016" s="370" t="s">
        <v>85</v>
      </c>
      <c r="D3016" s="560">
        <v>18283300</v>
      </c>
      <c r="E3016" s="560"/>
      <c r="F3016" s="560">
        <v>18286300</v>
      </c>
      <c r="G3016" s="560">
        <f t="shared" si="62"/>
        <v>-3000</v>
      </c>
      <c r="H3016" s="560"/>
      <c r="I3016" s="560"/>
      <c r="J3016" s="560"/>
    </row>
    <row r="3017" spans="1:10" x14ac:dyDescent="0.25">
      <c r="A3017" s="530"/>
      <c r="B3017" s="530"/>
      <c r="C3017" s="530"/>
      <c r="D3017" s="562">
        <f>SUM(D3002:D3016)</f>
        <v>2189168869</v>
      </c>
      <c r="E3017" s="562">
        <f>SUM(E3002:E3016)</f>
        <v>682120632</v>
      </c>
      <c r="F3017" s="562">
        <f>SUM(F3002:F3016)</f>
        <v>2871292900</v>
      </c>
      <c r="G3017" s="562">
        <f>SUM(G3002:G3016)</f>
        <v>-3399</v>
      </c>
      <c r="H3017" s="562"/>
      <c r="I3017" s="562"/>
      <c r="J3017" s="562"/>
    </row>
    <row r="3018" spans="1:10" x14ac:dyDescent="0.25">
      <c r="A3018" s="362"/>
      <c r="B3018" s="609">
        <v>44260</v>
      </c>
      <c r="C3018" s="362" t="s">
        <v>86</v>
      </c>
      <c r="D3018" s="560">
        <v>30856575</v>
      </c>
      <c r="E3018" s="560">
        <v>62621276</v>
      </c>
      <c r="F3018" s="560">
        <v>93477800</v>
      </c>
      <c r="G3018" s="560">
        <f>D3018+E3018-F3018</f>
        <v>51</v>
      </c>
      <c r="H3018" s="560"/>
      <c r="I3018" s="560"/>
      <c r="J3018" s="560"/>
    </row>
    <row r="3019" spans="1:10" x14ac:dyDescent="0.25">
      <c r="A3019" s="362"/>
      <c r="B3019" s="609">
        <v>44260</v>
      </c>
      <c r="C3019" s="362" t="s">
        <v>87</v>
      </c>
      <c r="D3019" s="560">
        <v>74205926</v>
      </c>
      <c r="E3019" s="560">
        <v>81133754</v>
      </c>
      <c r="F3019" s="560">
        <v>155339700</v>
      </c>
      <c r="G3019" s="560">
        <f t="shared" ref="G3019:G3032" si="63">D3019+E3019-F3019</f>
        <v>-20</v>
      </c>
      <c r="H3019" s="560"/>
      <c r="I3019" s="560"/>
      <c r="J3019" s="560"/>
    </row>
    <row r="3020" spans="1:10" x14ac:dyDescent="0.25">
      <c r="A3020" s="362"/>
      <c r="B3020" s="609">
        <v>44260</v>
      </c>
      <c r="C3020" s="362" t="s">
        <v>88</v>
      </c>
      <c r="D3020" s="560">
        <v>109255875</v>
      </c>
      <c r="E3020" s="560">
        <v>62914900</v>
      </c>
      <c r="F3020" s="560">
        <v>172170800</v>
      </c>
      <c r="G3020" s="560">
        <f t="shared" si="63"/>
        <v>-25</v>
      </c>
      <c r="H3020" s="560"/>
      <c r="I3020" s="560"/>
      <c r="J3020" s="560"/>
    </row>
    <row r="3021" spans="1:10" x14ac:dyDescent="0.25">
      <c r="A3021" s="362"/>
      <c r="B3021" s="609">
        <v>44260</v>
      </c>
      <c r="C3021" s="362" t="s">
        <v>82</v>
      </c>
      <c r="D3021" s="560">
        <v>87032038</v>
      </c>
      <c r="E3021" s="560">
        <v>2237020</v>
      </c>
      <c r="F3021" s="560">
        <v>89269100</v>
      </c>
      <c r="G3021" s="560">
        <f t="shared" si="63"/>
        <v>-42</v>
      </c>
      <c r="H3021" s="560"/>
      <c r="I3021" s="560"/>
      <c r="J3021" s="560"/>
    </row>
    <row r="3022" spans="1:10" x14ac:dyDescent="0.25">
      <c r="A3022" s="362"/>
      <c r="B3022" s="609">
        <v>44260</v>
      </c>
      <c r="C3022" s="362" t="s">
        <v>80</v>
      </c>
      <c r="D3022" s="560">
        <v>181887500</v>
      </c>
      <c r="E3022" s="560"/>
      <c r="F3022" s="560">
        <v>181887500</v>
      </c>
      <c r="G3022" s="560">
        <f t="shared" si="63"/>
        <v>0</v>
      </c>
      <c r="H3022" s="560"/>
      <c r="I3022" s="560"/>
      <c r="J3022" s="560"/>
    </row>
    <row r="3023" spans="1:10" x14ac:dyDescent="0.25">
      <c r="A3023" s="362"/>
      <c r="B3023" s="609">
        <v>44260</v>
      </c>
      <c r="C3023" s="362" t="s">
        <v>83</v>
      </c>
      <c r="D3023" s="560">
        <v>225909824</v>
      </c>
      <c r="E3023" s="560">
        <v>6782757</v>
      </c>
      <c r="F3023" s="560">
        <v>232692600</v>
      </c>
      <c r="G3023" s="560">
        <f t="shared" si="63"/>
        <v>-19</v>
      </c>
      <c r="H3023" s="560"/>
      <c r="I3023" s="560"/>
      <c r="J3023" s="560"/>
    </row>
    <row r="3024" spans="1:10" x14ac:dyDescent="0.25">
      <c r="A3024" s="362"/>
      <c r="B3024" s="609">
        <v>44260</v>
      </c>
      <c r="C3024" s="362" t="s">
        <v>78</v>
      </c>
      <c r="D3024" s="560">
        <v>91884805</v>
      </c>
      <c r="E3024" s="560">
        <v>1332295</v>
      </c>
      <c r="F3024" s="560">
        <v>93217100</v>
      </c>
      <c r="G3024" s="560">
        <f t="shared" si="63"/>
        <v>0</v>
      </c>
      <c r="H3024" s="560"/>
      <c r="I3024" s="560"/>
      <c r="J3024" s="560"/>
    </row>
    <row r="3025" spans="1:10" x14ac:dyDescent="0.25">
      <c r="A3025" s="362"/>
      <c r="B3025" s="609">
        <v>44260</v>
      </c>
      <c r="C3025" s="362" t="s">
        <v>141</v>
      </c>
      <c r="D3025" s="560">
        <v>65257692</v>
      </c>
      <c r="E3025" s="560">
        <v>4940520</v>
      </c>
      <c r="F3025" s="560">
        <v>70198300</v>
      </c>
      <c r="G3025" s="560">
        <f t="shared" si="63"/>
        <v>-88</v>
      </c>
      <c r="H3025" s="560"/>
      <c r="I3025" s="560"/>
      <c r="J3025" s="560"/>
    </row>
    <row r="3026" spans="1:10" x14ac:dyDescent="0.25">
      <c r="A3026" s="362"/>
      <c r="B3026" s="609">
        <v>44260</v>
      </c>
      <c r="C3026" s="362" t="s">
        <v>89</v>
      </c>
      <c r="D3026" s="560">
        <v>150659697</v>
      </c>
      <c r="E3026" s="560">
        <v>29867803</v>
      </c>
      <c r="F3026" s="560">
        <v>180527500</v>
      </c>
      <c r="G3026" s="560">
        <f t="shared" si="63"/>
        <v>0</v>
      </c>
      <c r="H3026" s="560"/>
      <c r="I3026" s="560"/>
      <c r="J3026" s="560"/>
    </row>
    <row r="3027" spans="1:10" x14ac:dyDescent="0.25">
      <c r="A3027" s="362"/>
      <c r="B3027" s="609">
        <v>44260</v>
      </c>
      <c r="C3027" s="362" t="s">
        <v>81</v>
      </c>
      <c r="D3027" s="560">
        <v>112944090</v>
      </c>
      <c r="E3027" s="560">
        <v>22343306</v>
      </c>
      <c r="F3027" s="560">
        <v>135287400</v>
      </c>
      <c r="G3027" s="560">
        <f t="shared" si="63"/>
        <v>-4</v>
      </c>
      <c r="H3027" s="560"/>
      <c r="I3027" s="560"/>
      <c r="J3027" s="560"/>
    </row>
    <row r="3028" spans="1:10" x14ac:dyDescent="0.25">
      <c r="A3028" s="362"/>
      <c r="B3028" s="609">
        <v>44260</v>
      </c>
      <c r="C3028" s="362" t="s">
        <v>84</v>
      </c>
      <c r="D3028" s="560">
        <v>209014916</v>
      </c>
      <c r="E3028" s="560">
        <v>11338895</v>
      </c>
      <c r="F3028" s="560">
        <v>220354000</v>
      </c>
      <c r="G3028" s="560">
        <f t="shared" si="63"/>
        <v>-189</v>
      </c>
      <c r="H3028" s="560"/>
      <c r="I3028" s="560"/>
      <c r="J3028" s="560"/>
    </row>
    <row r="3029" spans="1:10" x14ac:dyDescent="0.25">
      <c r="A3029" s="362"/>
      <c r="B3029" s="609">
        <v>44260</v>
      </c>
      <c r="C3029" s="362" t="s">
        <v>4751</v>
      </c>
      <c r="D3029" s="560">
        <v>198736449</v>
      </c>
      <c r="E3029" s="560">
        <v>7941051</v>
      </c>
      <c r="F3029" s="560">
        <v>206677500</v>
      </c>
      <c r="G3029" s="560">
        <f t="shared" si="63"/>
        <v>0</v>
      </c>
      <c r="H3029" s="560"/>
      <c r="I3029" s="560"/>
      <c r="J3029" s="560"/>
    </row>
    <row r="3030" spans="1:10" x14ac:dyDescent="0.25">
      <c r="A3030" s="362"/>
      <c r="B3030" s="609">
        <v>44260</v>
      </c>
      <c r="C3030" s="362" t="s">
        <v>166</v>
      </c>
      <c r="D3030" s="560"/>
      <c r="E3030" s="560"/>
      <c r="F3030" s="560"/>
      <c r="G3030" s="560">
        <f t="shared" si="63"/>
        <v>0</v>
      </c>
      <c r="H3030" s="560"/>
      <c r="I3030" s="560"/>
      <c r="J3030" s="560"/>
    </row>
    <row r="3031" spans="1:10" x14ac:dyDescent="0.25">
      <c r="A3031" s="362"/>
      <c r="B3031" s="609">
        <v>44260</v>
      </c>
      <c r="C3031" s="362" t="s">
        <v>3435</v>
      </c>
      <c r="D3031" s="560">
        <v>96445865</v>
      </c>
      <c r="E3031" s="560"/>
      <c r="F3031" s="560">
        <v>96445900</v>
      </c>
      <c r="G3031" s="560">
        <f t="shared" si="63"/>
        <v>-35</v>
      </c>
      <c r="H3031" s="560"/>
      <c r="I3031" s="560"/>
      <c r="J3031" s="560"/>
    </row>
    <row r="3032" spans="1:10" x14ac:dyDescent="0.25">
      <c r="A3032" s="362"/>
      <c r="B3032" s="609">
        <v>44260</v>
      </c>
      <c r="C3032" s="370" t="s">
        <v>85</v>
      </c>
      <c r="D3032" s="560">
        <v>18180700</v>
      </c>
      <c r="E3032" s="560"/>
      <c r="F3032" s="560">
        <v>18180700</v>
      </c>
      <c r="G3032" s="560">
        <f t="shared" si="63"/>
        <v>0</v>
      </c>
      <c r="H3032" s="560"/>
      <c r="I3032" s="560"/>
      <c r="J3032" s="560"/>
    </row>
    <row r="3033" spans="1:10" x14ac:dyDescent="0.25">
      <c r="A3033" s="530"/>
      <c r="B3033" s="530"/>
      <c r="C3033" s="530"/>
      <c r="D3033" s="562">
        <f>SUM(D3018:D3032)</f>
        <v>1652271952</v>
      </c>
      <c r="E3033" s="562">
        <f>SUM(E3018:E3032)</f>
        <v>293453577</v>
      </c>
      <c r="F3033" s="562">
        <f>SUM(F3018:F3032)</f>
        <v>1945725900</v>
      </c>
      <c r="G3033" s="562">
        <f>SUM(G3018:G3032)</f>
        <v>-371</v>
      </c>
      <c r="H3033" s="562"/>
      <c r="I3033" s="562"/>
      <c r="J3033" s="562"/>
    </row>
    <row r="3034" spans="1:10" x14ac:dyDescent="0.25">
      <c r="A3034" s="362"/>
      <c r="B3034" s="609">
        <v>44261</v>
      </c>
      <c r="C3034" s="362" t="s">
        <v>86</v>
      </c>
      <c r="D3034" s="560">
        <v>75697114</v>
      </c>
      <c r="E3034" s="560">
        <v>32073476</v>
      </c>
      <c r="F3034" s="560">
        <v>107770700</v>
      </c>
      <c r="G3034" s="560">
        <f>D3034+E3034-F3034</f>
        <v>-110</v>
      </c>
      <c r="H3034" s="560"/>
      <c r="I3034" s="560"/>
      <c r="J3034" s="560"/>
    </row>
    <row r="3035" spans="1:10" x14ac:dyDescent="0.25">
      <c r="A3035" s="362"/>
      <c r="B3035" s="609">
        <v>44261</v>
      </c>
      <c r="C3035" s="362" t="s">
        <v>87</v>
      </c>
      <c r="D3035" s="560">
        <v>71613527</v>
      </c>
      <c r="E3035" s="560">
        <v>157328508</v>
      </c>
      <c r="F3035" s="560">
        <v>228941900</v>
      </c>
      <c r="G3035" s="560">
        <f t="shared" ref="G3035:G3048" si="64">D3035+E3035-F3035</f>
        <v>135</v>
      </c>
      <c r="H3035" s="560"/>
      <c r="I3035" s="560"/>
      <c r="J3035" s="560"/>
    </row>
    <row r="3036" spans="1:10" x14ac:dyDescent="0.25">
      <c r="A3036" s="362"/>
      <c r="B3036" s="609">
        <v>44261</v>
      </c>
      <c r="C3036" s="362" t="s">
        <v>88</v>
      </c>
      <c r="D3036" s="560">
        <v>205985724</v>
      </c>
      <c r="E3036" s="560">
        <v>19364382</v>
      </c>
      <c r="F3036" s="560">
        <v>225350200</v>
      </c>
      <c r="G3036" s="560">
        <f t="shared" si="64"/>
        <v>-94</v>
      </c>
      <c r="H3036" s="560"/>
      <c r="I3036" s="560"/>
      <c r="J3036" s="560"/>
    </row>
    <row r="3037" spans="1:10" x14ac:dyDescent="0.25">
      <c r="A3037" s="362"/>
      <c r="B3037" s="609">
        <v>44261</v>
      </c>
      <c r="C3037" s="362" t="s">
        <v>82</v>
      </c>
      <c r="D3037" s="560">
        <v>80302261</v>
      </c>
      <c r="E3037" s="560">
        <v>6910708</v>
      </c>
      <c r="F3037" s="560">
        <v>87213000</v>
      </c>
      <c r="G3037" s="560">
        <f t="shared" si="64"/>
        <v>-31</v>
      </c>
      <c r="H3037" s="560"/>
      <c r="I3037" s="560"/>
      <c r="J3037" s="560"/>
    </row>
    <row r="3038" spans="1:10" x14ac:dyDescent="0.25">
      <c r="A3038" s="362"/>
      <c r="B3038" s="609">
        <v>44261</v>
      </c>
      <c r="C3038" s="362" t="s">
        <v>80</v>
      </c>
      <c r="D3038" s="560">
        <v>240821581</v>
      </c>
      <c r="E3038" s="560"/>
      <c r="F3038" s="560">
        <v>240821500</v>
      </c>
      <c r="G3038" s="560">
        <f t="shared" si="64"/>
        <v>81</v>
      </c>
      <c r="H3038" s="560"/>
      <c r="I3038" s="560"/>
      <c r="J3038" s="560"/>
    </row>
    <row r="3039" spans="1:10" x14ac:dyDescent="0.25">
      <c r="A3039" s="362"/>
      <c r="B3039" s="609">
        <v>44261</v>
      </c>
      <c r="C3039" s="362" t="s">
        <v>83</v>
      </c>
      <c r="D3039" s="560">
        <v>253574990</v>
      </c>
      <c r="E3039" s="560">
        <v>12284956</v>
      </c>
      <c r="F3039" s="560">
        <v>265860000</v>
      </c>
      <c r="G3039" s="560">
        <f t="shared" si="64"/>
        <v>-54</v>
      </c>
      <c r="H3039" s="560"/>
      <c r="I3039" s="560"/>
      <c r="J3039" s="560"/>
    </row>
    <row r="3040" spans="1:10" x14ac:dyDescent="0.25">
      <c r="A3040" s="362"/>
      <c r="B3040" s="609">
        <v>44261</v>
      </c>
      <c r="C3040" s="362" t="s">
        <v>78</v>
      </c>
      <c r="D3040" s="560">
        <v>123531690</v>
      </c>
      <c r="E3040" s="560">
        <v>6885810</v>
      </c>
      <c r="F3040" s="560">
        <v>130417500</v>
      </c>
      <c r="G3040" s="560">
        <f t="shared" si="64"/>
        <v>0</v>
      </c>
      <c r="H3040" s="560"/>
      <c r="I3040" s="560"/>
      <c r="J3040" s="560"/>
    </row>
    <row r="3041" spans="1:10" x14ac:dyDescent="0.25">
      <c r="A3041" s="362"/>
      <c r="B3041" s="609">
        <v>44261</v>
      </c>
      <c r="C3041" s="362" t="s">
        <v>141</v>
      </c>
      <c r="D3041" s="560">
        <v>42721097</v>
      </c>
      <c r="E3041" s="560">
        <v>552400</v>
      </c>
      <c r="F3041" s="560">
        <v>43273500</v>
      </c>
      <c r="G3041" s="560">
        <f t="shared" si="64"/>
        <v>-3</v>
      </c>
      <c r="H3041" s="560"/>
      <c r="I3041" s="560"/>
      <c r="J3041" s="560"/>
    </row>
    <row r="3042" spans="1:10" x14ac:dyDescent="0.25">
      <c r="A3042" s="362"/>
      <c r="B3042" s="609">
        <v>44261</v>
      </c>
      <c r="C3042" s="362" t="s">
        <v>89</v>
      </c>
      <c r="D3042" s="560">
        <v>90658904</v>
      </c>
      <c r="E3042" s="560">
        <v>30066496</v>
      </c>
      <c r="F3042" s="560">
        <v>120725400</v>
      </c>
      <c r="G3042" s="560">
        <f t="shared" si="64"/>
        <v>0</v>
      </c>
      <c r="H3042" s="560"/>
      <c r="I3042" s="560"/>
      <c r="J3042" s="560"/>
    </row>
    <row r="3043" spans="1:10" x14ac:dyDescent="0.25">
      <c r="A3043" s="362"/>
      <c r="B3043" s="609">
        <v>44261</v>
      </c>
      <c r="C3043" s="362" t="s">
        <v>81</v>
      </c>
      <c r="D3043" s="560">
        <v>120963051</v>
      </c>
      <c r="E3043" s="560">
        <v>18557208</v>
      </c>
      <c r="F3043" s="560">
        <v>139520300</v>
      </c>
      <c r="G3043" s="560">
        <f t="shared" si="64"/>
        <v>-41</v>
      </c>
      <c r="H3043" s="560"/>
      <c r="I3043" s="560"/>
      <c r="J3043" s="560"/>
    </row>
    <row r="3044" spans="1:10" x14ac:dyDescent="0.25">
      <c r="A3044" s="362"/>
      <c r="B3044" s="609">
        <v>44261</v>
      </c>
      <c r="C3044" s="362" t="s">
        <v>84</v>
      </c>
      <c r="D3044" s="560">
        <v>189992138</v>
      </c>
      <c r="E3044" s="560">
        <v>5523754</v>
      </c>
      <c r="F3044" s="560">
        <v>195516200</v>
      </c>
      <c r="G3044" s="560">
        <f t="shared" si="64"/>
        <v>-308</v>
      </c>
      <c r="H3044" s="560"/>
      <c r="I3044" s="560"/>
      <c r="J3044" s="560"/>
    </row>
    <row r="3045" spans="1:10" x14ac:dyDescent="0.25">
      <c r="A3045" s="362"/>
      <c r="B3045" s="609">
        <v>44261</v>
      </c>
      <c r="C3045" s="362" t="s">
        <v>4751</v>
      </c>
      <c r="D3045" s="560">
        <v>166002593</v>
      </c>
      <c r="E3045" s="560">
        <v>71978707</v>
      </c>
      <c r="F3045" s="560">
        <v>237981300</v>
      </c>
      <c r="G3045" s="560">
        <f t="shared" si="64"/>
        <v>0</v>
      </c>
      <c r="H3045" s="560"/>
      <c r="I3045" s="560"/>
      <c r="J3045" s="560"/>
    </row>
    <row r="3046" spans="1:10" x14ac:dyDescent="0.25">
      <c r="A3046" s="362"/>
      <c r="B3046" s="609">
        <v>44261</v>
      </c>
      <c r="C3046" s="362" t="s">
        <v>166</v>
      </c>
      <c r="D3046" s="560"/>
      <c r="E3046" s="560"/>
      <c r="F3046" s="560"/>
      <c r="G3046" s="560">
        <f t="shared" si="64"/>
        <v>0</v>
      </c>
      <c r="H3046" s="560"/>
      <c r="I3046" s="560"/>
      <c r="J3046" s="560"/>
    </row>
    <row r="3047" spans="1:10" x14ac:dyDescent="0.25">
      <c r="A3047" s="362"/>
      <c r="B3047" s="609">
        <v>44261</v>
      </c>
      <c r="C3047" s="362" t="s">
        <v>3435</v>
      </c>
      <c r="D3047" s="560"/>
      <c r="E3047" s="560"/>
      <c r="F3047" s="560"/>
      <c r="G3047" s="560">
        <f t="shared" si="64"/>
        <v>0</v>
      </c>
      <c r="H3047" s="560"/>
      <c r="I3047" s="560"/>
      <c r="J3047" s="560"/>
    </row>
    <row r="3048" spans="1:10" x14ac:dyDescent="0.25">
      <c r="A3048" s="362"/>
      <c r="B3048" s="609">
        <v>44261</v>
      </c>
      <c r="C3048" s="370" t="s">
        <v>85</v>
      </c>
      <c r="D3048" s="560">
        <v>26644800</v>
      </c>
      <c r="E3048" s="560"/>
      <c r="F3048" s="560">
        <v>26644800</v>
      </c>
      <c r="G3048" s="560">
        <f t="shared" si="64"/>
        <v>0</v>
      </c>
      <c r="H3048" s="560"/>
      <c r="I3048" s="560"/>
      <c r="J3048" s="560"/>
    </row>
    <row r="3049" spans="1:10" x14ac:dyDescent="0.25">
      <c r="A3049" s="530"/>
      <c r="B3049" s="530"/>
      <c r="C3049" s="530"/>
      <c r="D3049" s="562">
        <f>SUM(D3034:D3048)</f>
        <v>1688509470</v>
      </c>
      <c r="E3049" s="562">
        <f>SUM(E3034:E3048)</f>
        <v>361526405</v>
      </c>
      <c r="F3049" s="562">
        <f>SUM(F3034:F3048)</f>
        <v>2050036300</v>
      </c>
      <c r="G3049" s="562">
        <f>SUM(G3034:G3048)</f>
        <v>-425</v>
      </c>
      <c r="H3049" s="562"/>
      <c r="I3049" s="562"/>
      <c r="J3049" s="562"/>
    </row>
    <row r="3050" spans="1:10" x14ac:dyDescent="0.25">
      <c r="A3050" s="362"/>
      <c r="B3050" s="609">
        <v>44263</v>
      </c>
      <c r="C3050" s="362" t="s">
        <v>86</v>
      </c>
      <c r="D3050" s="560">
        <v>64241863</v>
      </c>
      <c r="E3050" s="560">
        <v>28238374</v>
      </c>
      <c r="F3050" s="560">
        <v>92480200</v>
      </c>
      <c r="G3050" s="560">
        <f>D3050+E3050-F3050</f>
        <v>37</v>
      </c>
      <c r="H3050" s="560"/>
      <c r="I3050" s="560"/>
      <c r="J3050" s="560"/>
    </row>
    <row r="3051" spans="1:10" x14ac:dyDescent="0.25">
      <c r="A3051" s="362"/>
      <c r="B3051" s="609">
        <v>44263</v>
      </c>
      <c r="C3051" s="362" t="s">
        <v>87</v>
      </c>
      <c r="D3051" s="560">
        <v>99880557</v>
      </c>
      <c r="E3051" s="560">
        <v>82945500</v>
      </c>
      <c r="F3051" s="560">
        <v>182826300</v>
      </c>
      <c r="G3051" s="560">
        <f t="shared" ref="G3051:G3064" si="65">D3051+E3051-F3051</f>
        <v>-243</v>
      </c>
      <c r="H3051" s="560"/>
      <c r="I3051" s="560"/>
      <c r="J3051" s="560"/>
    </row>
    <row r="3052" spans="1:10" x14ac:dyDescent="0.25">
      <c r="A3052" s="362"/>
      <c r="B3052" s="609">
        <v>44263</v>
      </c>
      <c r="C3052" s="362" t="s">
        <v>88</v>
      </c>
      <c r="D3052" s="560">
        <v>252227445</v>
      </c>
      <c r="E3052" s="560">
        <v>50475910</v>
      </c>
      <c r="F3052" s="560">
        <v>302703400</v>
      </c>
      <c r="G3052" s="560">
        <f t="shared" si="65"/>
        <v>-45</v>
      </c>
      <c r="H3052" s="560"/>
      <c r="I3052" s="560"/>
      <c r="J3052" s="560"/>
    </row>
    <row r="3053" spans="1:10" x14ac:dyDescent="0.25">
      <c r="A3053" s="362"/>
      <c r="B3053" s="609">
        <v>44263</v>
      </c>
      <c r="C3053" s="362" t="s">
        <v>82</v>
      </c>
      <c r="D3053" s="560">
        <v>67095442</v>
      </c>
      <c r="E3053" s="560">
        <v>4005556</v>
      </c>
      <c r="F3053" s="560">
        <v>71101000</v>
      </c>
      <c r="G3053" s="560">
        <f t="shared" si="65"/>
        <v>-2</v>
      </c>
      <c r="H3053" s="560"/>
      <c r="I3053" s="560"/>
      <c r="J3053" s="560"/>
    </row>
    <row r="3054" spans="1:10" x14ac:dyDescent="0.25">
      <c r="A3054" s="362"/>
      <c r="B3054" s="609">
        <v>44263</v>
      </c>
      <c r="C3054" s="362" t="s">
        <v>80</v>
      </c>
      <c r="D3054" s="560">
        <v>311328239</v>
      </c>
      <c r="E3054" s="560">
        <v>282832</v>
      </c>
      <c r="F3054" s="560">
        <v>311546000</v>
      </c>
      <c r="G3054" s="560">
        <f t="shared" si="65"/>
        <v>65071</v>
      </c>
      <c r="H3054" s="560"/>
      <c r="I3054" s="560"/>
      <c r="J3054" s="560"/>
    </row>
    <row r="3055" spans="1:10" x14ac:dyDescent="0.25">
      <c r="A3055" s="362"/>
      <c r="B3055" s="609">
        <v>44263</v>
      </c>
      <c r="C3055" s="362" t="s">
        <v>83</v>
      </c>
      <c r="D3055" s="560">
        <v>170711846</v>
      </c>
      <c r="E3055" s="560">
        <v>89919232</v>
      </c>
      <c r="F3055" s="560">
        <v>260631100</v>
      </c>
      <c r="G3055" s="560">
        <f t="shared" si="65"/>
        <v>-22</v>
      </c>
      <c r="H3055" s="560"/>
      <c r="I3055" s="560"/>
      <c r="J3055" s="560"/>
    </row>
    <row r="3056" spans="1:10" x14ac:dyDescent="0.25">
      <c r="A3056" s="362"/>
      <c r="B3056" s="609">
        <v>44263</v>
      </c>
      <c r="C3056" s="362" t="s">
        <v>78</v>
      </c>
      <c r="D3056" s="560">
        <v>72833624</v>
      </c>
      <c r="E3056" s="560">
        <v>1245776</v>
      </c>
      <c r="F3056" s="560">
        <v>74079400</v>
      </c>
      <c r="G3056" s="560">
        <f t="shared" si="65"/>
        <v>0</v>
      </c>
      <c r="H3056" s="560"/>
      <c r="I3056" s="560"/>
      <c r="J3056" s="560"/>
    </row>
    <row r="3057" spans="1:10" x14ac:dyDescent="0.25">
      <c r="A3057" s="362"/>
      <c r="B3057" s="609">
        <v>44263</v>
      </c>
      <c r="C3057" s="362" t="s">
        <v>141</v>
      </c>
      <c r="D3057" s="560">
        <v>37617649</v>
      </c>
      <c r="E3057" s="560">
        <v>1953546</v>
      </c>
      <c r="F3057" s="560">
        <v>39571200</v>
      </c>
      <c r="G3057" s="560">
        <f t="shared" si="65"/>
        <v>-5</v>
      </c>
      <c r="H3057" s="560"/>
      <c r="I3057" s="560"/>
      <c r="J3057" s="560"/>
    </row>
    <row r="3058" spans="1:10" x14ac:dyDescent="0.25">
      <c r="A3058" s="362"/>
      <c r="B3058" s="609">
        <v>44263</v>
      </c>
      <c r="C3058" s="362" t="s">
        <v>89</v>
      </c>
      <c r="D3058" s="560">
        <v>129114519</v>
      </c>
      <c r="E3058" s="560">
        <v>55864981</v>
      </c>
      <c r="F3058" s="560">
        <v>184979500</v>
      </c>
      <c r="G3058" s="560">
        <f t="shared" si="65"/>
        <v>0</v>
      </c>
      <c r="H3058" s="560"/>
      <c r="I3058" s="560"/>
      <c r="J3058" s="560"/>
    </row>
    <row r="3059" spans="1:10" x14ac:dyDescent="0.25">
      <c r="A3059" s="362"/>
      <c r="B3059" s="609">
        <v>44263</v>
      </c>
      <c r="C3059" s="362" t="s">
        <v>81</v>
      </c>
      <c r="D3059" s="560">
        <v>79039088</v>
      </c>
      <c r="E3059" s="560">
        <v>9202037</v>
      </c>
      <c r="F3059" s="560">
        <v>88241200</v>
      </c>
      <c r="G3059" s="560">
        <f t="shared" si="65"/>
        <v>-75</v>
      </c>
      <c r="H3059" s="560"/>
      <c r="I3059" s="560"/>
      <c r="J3059" s="560"/>
    </row>
    <row r="3060" spans="1:10" x14ac:dyDescent="0.25">
      <c r="A3060" s="362"/>
      <c r="B3060" s="609">
        <v>44263</v>
      </c>
      <c r="C3060" s="362" t="s">
        <v>84</v>
      </c>
      <c r="D3060" s="560">
        <v>223587815</v>
      </c>
      <c r="E3060" s="560">
        <v>5264001</v>
      </c>
      <c r="F3060" s="560">
        <v>228851900</v>
      </c>
      <c r="G3060" s="560">
        <f t="shared" si="65"/>
        <v>-84</v>
      </c>
      <c r="H3060" s="560"/>
      <c r="I3060" s="560"/>
      <c r="J3060" s="560"/>
    </row>
    <row r="3061" spans="1:10" x14ac:dyDescent="0.25">
      <c r="A3061" s="362"/>
      <c r="B3061" s="609">
        <v>44263</v>
      </c>
      <c r="C3061" s="362" t="s">
        <v>4751</v>
      </c>
      <c r="D3061" s="560">
        <v>207821123</v>
      </c>
      <c r="E3061" s="560">
        <v>15846977</v>
      </c>
      <c r="F3061" s="560">
        <v>223668100</v>
      </c>
      <c r="G3061" s="560">
        <f t="shared" si="65"/>
        <v>0</v>
      </c>
      <c r="H3061" s="560"/>
      <c r="I3061" s="560"/>
      <c r="J3061" s="560"/>
    </row>
    <row r="3062" spans="1:10" x14ac:dyDescent="0.25">
      <c r="A3062" s="362"/>
      <c r="B3062" s="609">
        <v>44263</v>
      </c>
      <c r="C3062" s="362" t="s">
        <v>166</v>
      </c>
      <c r="D3062" s="560">
        <v>51415340</v>
      </c>
      <c r="E3062" s="560"/>
      <c r="F3062" s="560">
        <v>51415500</v>
      </c>
      <c r="G3062" s="560">
        <f t="shared" si="65"/>
        <v>-160</v>
      </c>
      <c r="H3062" s="560"/>
      <c r="I3062" s="560"/>
      <c r="J3062" s="560"/>
    </row>
    <row r="3063" spans="1:10" x14ac:dyDescent="0.25">
      <c r="A3063" s="362"/>
      <c r="B3063" s="609">
        <v>44263</v>
      </c>
      <c r="C3063" s="362" t="s">
        <v>3435</v>
      </c>
      <c r="D3063" s="560">
        <v>18881329</v>
      </c>
      <c r="E3063" s="560"/>
      <c r="F3063" s="560">
        <v>18881400</v>
      </c>
      <c r="G3063" s="560">
        <f t="shared" si="65"/>
        <v>-71</v>
      </c>
      <c r="H3063" s="560"/>
      <c r="I3063" s="560"/>
      <c r="J3063" s="560"/>
    </row>
    <row r="3064" spans="1:10" x14ac:dyDescent="0.25">
      <c r="A3064" s="362"/>
      <c r="B3064" s="609">
        <v>44263</v>
      </c>
      <c r="C3064" s="370" t="s">
        <v>85</v>
      </c>
      <c r="D3064" s="560">
        <v>45356000</v>
      </c>
      <c r="E3064" s="560"/>
      <c r="F3064" s="560">
        <v>45356000</v>
      </c>
      <c r="G3064" s="560">
        <f t="shared" si="65"/>
        <v>0</v>
      </c>
      <c r="H3064" s="560"/>
      <c r="I3064" s="560"/>
      <c r="J3064" s="560"/>
    </row>
    <row r="3065" spans="1:10" x14ac:dyDescent="0.25">
      <c r="A3065" s="530"/>
      <c r="B3065" s="530"/>
      <c r="C3065" s="530"/>
      <c r="D3065" s="562">
        <f>SUM(D3050:D3064)</f>
        <v>1831151879</v>
      </c>
      <c r="E3065" s="562">
        <f>SUM(E3050:E3064)</f>
        <v>345244722</v>
      </c>
      <c r="F3065" s="562">
        <f>SUM(F3050:F3064)</f>
        <v>2176332200</v>
      </c>
      <c r="G3065" s="562">
        <f>SUM(G3050:G3064)</f>
        <v>64401</v>
      </c>
      <c r="H3065" s="562"/>
      <c r="I3065" s="562"/>
      <c r="J3065" s="562"/>
    </row>
    <row r="3066" spans="1:10" x14ac:dyDescent="0.25">
      <c r="A3066" s="362"/>
      <c r="B3066" s="609">
        <v>44264</v>
      </c>
      <c r="C3066" s="362" t="s">
        <v>86</v>
      </c>
      <c r="D3066" s="560">
        <v>92354984</v>
      </c>
      <c r="E3066" s="560">
        <v>37907431</v>
      </c>
      <c r="F3066" s="560">
        <v>130262400</v>
      </c>
      <c r="G3066" s="560">
        <f>D3066+E3066-F3066</f>
        <v>15</v>
      </c>
      <c r="H3066" s="560"/>
      <c r="I3066" s="560"/>
      <c r="J3066" s="560"/>
    </row>
    <row r="3067" spans="1:10" x14ac:dyDescent="0.25">
      <c r="A3067" s="362"/>
      <c r="B3067" s="609">
        <v>44264</v>
      </c>
      <c r="C3067" s="362" t="s">
        <v>87</v>
      </c>
      <c r="D3067" s="560">
        <v>114383605</v>
      </c>
      <c r="E3067" s="560">
        <v>75335779</v>
      </c>
      <c r="F3067" s="560">
        <v>189719500</v>
      </c>
      <c r="G3067" s="560">
        <f t="shared" ref="G3067:G3079" si="66">D3067+E3067-F3067</f>
        <v>-116</v>
      </c>
      <c r="H3067" s="560"/>
      <c r="I3067" s="560"/>
      <c r="J3067" s="560"/>
    </row>
    <row r="3068" spans="1:10" x14ac:dyDescent="0.25">
      <c r="A3068" s="362"/>
      <c r="B3068" s="609">
        <v>44264</v>
      </c>
      <c r="C3068" s="362" t="s">
        <v>88</v>
      </c>
      <c r="D3068" s="560">
        <v>229331716</v>
      </c>
      <c r="E3068" s="560">
        <v>62666674</v>
      </c>
      <c r="F3068" s="560">
        <v>291998400</v>
      </c>
      <c r="G3068" s="560">
        <f t="shared" si="66"/>
        <v>-10</v>
      </c>
      <c r="H3068" s="560"/>
      <c r="I3068" s="560"/>
      <c r="J3068" s="560"/>
    </row>
    <row r="3069" spans="1:10" x14ac:dyDescent="0.25">
      <c r="A3069" s="362"/>
      <c r="B3069" s="609">
        <v>44264</v>
      </c>
      <c r="C3069" s="362" t="s">
        <v>82</v>
      </c>
      <c r="D3069" s="560">
        <v>79393480</v>
      </c>
      <c r="E3069" s="560">
        <v>2097400</v>
      </c>
      <c r="F3069" s="560">
        <v>81490900</v>
      </c>
      <c r="G3069" s="560">
        <f t="shared" si="66"/>
        <v>-20</v>
      </c>
      <c r="H3069" s="560"/>
      <c r="I3069" s="560"/>
      <c r="J3069" s="560"/>
    </row>
    <row r="3070" spans="1:10" x14ac:dyDescent="0.25">
      <c r="A3070" s="362"/>
      <c r="B3070" s="609">
        <v>44264</v>
      </c>
      <c r="C3070" s="362" t="s">
        <v>80</v>
      </c>
      <c r="D3070" s="560">
        <v>285964297</v>
      </c>
      <c r="E3070" s="560">
        <v>6877000</v>
      </c>
      <c r="F3070" s="560">
        <v>292842200</v>
      </c>
      <c r="G3070" s="560">
        <f t="shared" si="66"/>
        <v>-903</v>
      </c>
      <c r="H3070" s="560"/>
      <c r="I3070" s="560"/>
      <c r="J3070" s="560"/>
    </row>
    <row r="3071" spans="1:10" x14ac:dyDescent="0.25">
      <c r="A3071" s="362"/>
      <c r="B3071" s="609">
        <v>44264</v>
      </c>
      <c r="C3071" s="362" t="s">
        <v>83</v>
      </c>
      <c r="D3071" s="560">
        <v>217899970</v>
      </c>
      <c r="E3071" s="560">
        <v>19086106</v>
      </c>
      <c r="F3071" s="560">
        <v>236986100</v>
      </c>
      <c r="G3071" s="560">
        <f t="shared" si="66"/>
        <v>-24</v>
      </c>
      <c r="H3071" s="560"/>
      <c r="I3071" s="560"/>
      <c r="J3071" s="560"/>
    </row>
    <row r="3072" spans="1:10" x14ac:dyDescent="0.25">
      <c r="A3072" s="362"/>
      <c r="B3072" s="609">
        <v>44264</v>
      </c>
      <c r="C3072" s="362" t="s">
        <v>78</v>
      </c>
      <c r="D3072" s="560">
        <v>82004266</v>
      </c>
      <c r="E3072" s="560">
        <v>2867534</v>
      </c>
      <c r="F3072" s="560">
        <v>84871800</v>
      </c>
      <c r="G3072" s="560">
        <f t="shared" si="66"/>
        <v>0</v>
      </c>
      <c r="H3072" s="560"/>
      <c r="I3072" s="560"/>
      <c r="J3072" s="560"/>
    </row>
    <row r="3073" spans="1:10" x14ac:dyDescent="0.25">
      <c r="A3073" s="362"/>
      <c r="B3073" s="609">
        <v>44264</v>
      </c>
      <c r="C3073" s="362" t="s">
        <v>141</v>
      </c>
      <c r="D3073" s="560">
        <v>72958149</v>
      </c>
      <c r="E3073" s="560">
        <v>5432600</v>
      </c>
      <c r="F3073" s="560">
        <v>78390800</v>
      </c>
      <c r="G3073" s="560">
        <f t="shared" si="66"/>
        <v>-51</v>
      </c>
      <c r="H3073" s="560"/>
      <c r="I3073" s="560"/>
      <c r="J3073" s="560"/>
    </row>
    <row r="3074" spans="1:10" x14ac:dyDescent="0.25">
      <c r="A3074" s="362"/>
      <c r="B3074" s="609">
        <v>44264</v>
      </c>
      <c r="C3074" s="362" t="s">
        <v>89</v>
      </c>
      <c r="D3074" s="560">
        <v>159987700</v>
      </c>
      <c r="E3074" s="560">
        <v>2685000</v>
      </c>
      <c r="F3074" s="560">
        <v>162672700</v>
      </c>
      <c r="G3074" s="560">
        <f t="shared" si="66"/>
        <v>0</v>
      </c>
      <c r="H3074" s="560"/>
      <c r="I3074" s="560"/>
      <c r="J3074" s="560"/>
    </row>
    <row r="3075" spans="1:10" x14ac:dyDescent="0.25">
      <c r="A3075" s="362"/>
      <c r="B3075" s="609">
        <v>44264</v>
      </c>
      <c r="C3075" s="362" t="s">
        <v>81</v>
      </c>
      <c r="D3075" s="560">
        <v>78935432</v>
      </c>
      <c r="E3075" s="560">
        <v>10032486</v>
      </c>
      <c r="F3075" s="560">
        <v>88968000</v>
      </c>
      <c r="G3075" s="560">
        <f t="shared" si="66"/>
        <v>-82</v>
      </c>
      <c r="H3075" s="560"/>
      <c r="I3075" s="560"/>
      <c r="J3075" s="560"/>
    </row>
    <row r="3076" spans="1:10" x14ac:dyDescent="0.25">
      <c r="A3076" s="362"/>
      <c r="B3076" s="609">
        <v>44264</v>
      </c>
      <c r="C3076" s="362" t="s">
        <v>84</v>
      </c>
      <c r="D3076" s="560">
        <v>242794882</v>
      </c>
      <c r="E3076" s="560">
        <v>13870908</v>
      </c>
      <c r="F3076" s="560">
        <v>256665900</v>
      </c>
      <c r="G3076" s="560">
        <f t="shared" si="66"/>
        <v>-110</v>
      </c>
      <c r="H3076" s="560"/>
      <c r="I3076" s="560"/>
      <c r="J3076" s="560"/>
    </row>
    <row r="3077" spans="1:10" x14ac:dyDescent="0.25">
      <c r="A3077" s="362"/>
      <c r="B3077" s="609">
        <v>44264</v>
      </c>
      <c r="C3077" s="362" t="s">
        <v>4751</v>
      </c>
      <c r="D3077" s="560">
        <v>175776240</v>
      </c>
      <c r="E3077" s="560">
        <v>7683560</v>
      </c>
      <c r="F3077" s="560">
        <v>183459800</v>
      </c>
      <c r="G3077" s="560">
        <f t="shared" si="66"/>
        <v>0</v>
      </c>
      <c r="H3077" s="560"/>
      <c r="I3077" s="560"/>
      <c r="J3077" s="560"/>
    </row>
    <row r="3078" spans="1:10" x14ac:dyDescent="0.25">
      <c r="A3078" s="362"/>
      <c r="B3078" s="609">
        <v>44264</v>
      </c>
      <c r="C3078" s="362" t="s">
        <v>166</v>
      </c>
      <c r="D3078" s="560">
        <v>66256658</v>
      </c>
      <c r="E3078" s="560">
        <v>30666000</v>
      </c>
      <c r="F3078" s="560">
        <v>66256700</v>
      </c>
      <c r="G3078" s="560">
        <f t="shared" si="66"/>
        <v>30665958</v>
      </c>
      <c r="H3078" s="560"/>
      <c r="I3078" s="560"/>
      <c r="J3078" s="560"/>
    </row>
    <row r="3079" spans="1:10" x14ac:dyDescent="0.25">
      <c r="A3079" s="362"/>
      <c r="B3079" s="609">
        <v>44264</v>
      </c>
      <c r="C3079" s="362" t="s">
        <v>3435</v>
      </c>
      <c r="D3079" s="560">
        <v>136256925</v>
      </c>
      <c r="E3079" s="560"/>
      <c r="F3079" s="560">
        <v>136257000</v>
      </c>
      <c r="G3079" s="560">
        <f t="shared" si="66"/>
        <v>-75</v>
      </c>
      <c r="H3079" s="560"/>
      <c r="I3079" s="560"/>
      <c r="J3079" s="560"/>
    </row>
    <row r="3080" spans="1:10" x14ac:dyDescent="0.25">
      <c r="A3080" s="362"/>
      <c r="B3080" s="609">
        <v>44264</v>
      </c>
      <c r="C3080" s="370" t="s">
        <v>85</v>
      </c>
      <c r="D3080" s="560">
        <v>33363800</v>
      </c>
      <c r="E3080" s="560"/>
      <c r="F3080" s="560">
        <v>33363800</v>
      </c>
      <c r="G3080" s="560">
        <f>D3080+E3080-F3080</f>
        <v>0</v>
      </c>
      <c r="H3080" s="560"/>
      <c r="I3080" s="560"/>
      <c r="J3080" s="560"/>
    </row>
    <row r="3081" spans="1:10" x14ac:dyDescent="0.25">
      <c r="A3081" s="530"/>
      <c r="B3081" s="530"/>
      <c r="C3081" s="530"/>
      <c r="D3081" s="562">
        <f>SUM(D3066:D3080)</f>
        <v>2067662104</v>
      </c>
      <c r="E3081" s="562">
        <f>SUM(E3066:E3080)</f>
        <v>277208478</v>
      </c>
      <c r="F3081" s="562">
        <f>SUM(F3066:F3080)</f>
        <v>2314206000</v>
      </c>
      <c r="G3081" s="562">
        <f>SUM(G3066:G3080)</f>
        <v>30664582</v>
      </c>
      <c r="H3081" s="562"/>
      <c r="I3081" s="562"/>
      <c r="J3081" s="562"/>
    </row>
    <row r="3082" spans="1:10" x14ac:dyDescent="0.25">
      <c r="A3082" s="362"/>
      <c r="B3082" s="609">
        <v>44265</v>
      </c>
      <c r="C3082" s="362" t="s">
        <v>86</v>
      </c>
      <c r="D3082" s="560">
        <v>61069193</v>
      </c>
      <c r="E3082" s="560">
        <v>195421760</v>
      </c>
      <c r="F3082" s="560">
        <v>256491000</v>
      </c>
      <c r="G3082" s="560">
        <f>D3082+E3082-F3082</f>
        <v>-47</v>
      </c>
      <c r="H3082" s="560"/>
      <c r="I3082" s="560"/>
      <c r="J3082" s="560"/>
    </row>
    <row r="3083" spans="1:10" x14ac:dyDescent="0.25">
      <c r="A3083" s="362"/>
      <c r="B3083" s="609">
        <v>44265</v>
      </c>
      <c r="C3083" s="362" t="s">
        <v>87</v>
      </c>
      <c r="D3083" s="560">
        <v>129751157</v>
      </c>
      <c r="E3083" s="560">
        <v>68931892</v>
      </c>
      <c r="F3083" s="560">
        <v>198683100</v>
      </c>
      <c r="G3083" s="560">
        <f t="shared" ref="G3083:G3096" si="67">D3083+E3083-F3083</f>
        <v>-51</v>
      </c>
      <c r="H3083" s="560"/>
      <c r="I3083" s="560"/>
      <c r="J3083" s="560"/>
    </row>
    <row r="3084" spans="1:10" x14ac:dyDescent="0.25">
      <c r="A3084" s="362"/>
      <c r="B3084" s="609">
        <v>44265</v>
      </c>
      <c r="C3084" s="362" t="s">
        <v>88</v>
      </c>
      <c r="D3084" s="560">
        <v>342782223</v>
      </c>
      <c r="E3084" s="560">
        <v>56317198</v>
      </c>
      <c r="F3084" s="560">
        <v>399099500</v>
      </c>
      <c r="G3084" s="560">
        <f t="shared" si="67"/>
        <v>-79</v>
      </c>
      <c r="H3084" s="560"/>
      <c r="I3084" s="560"/>
      <c r="J3084" s="560"/>
    </row>
    <row r="3085" spans="1:10" x14ac:dyDescent="0.25">
      <c r="A3085" s="362"/>
      <c r="B3085" s="609">
        <v>44265</v>
      </c>
      <c r="C3085" s="362" t="s">
        <v>82</v>
      </c>
      <c r="D3085" s="560">
        <v>88707154</v>
      </c>
      <c r="E3085" s="560">
        <v>29026044</v>
      </c>
      <c r="F3085" s="560">
        <v>117733200</v>
      </c>
      <c r="G3085" s="560">
        <f t="shared" si="67"/>
        <v>-2</v>
      </c>
      <c r="H3085" s="560"/>
      <c r="I3085" s="560"/>
      <c r="J3085" s="560"/>
    </row>
    <row r="3086" spans="1:10" x14ac:dyDescent="0.25">
      <c r="A3086" s="362"/>
      <c r="B3086" s="609">
        <v>44265</v>
      </c>
      <c r="C3086" s="362" t="s">
        <v>80</v>
      </c>
      <c r="D3086" s="560">
        <v>266428625</v>
      </c>
      <c r="E3086" s="560">
        <v>866049</v>
      </c>
      <c r="F3086" s="560">
        <v>267299200</v>
      </c>
      <c r="G3086" s="560">
        <f t="shared" si="67"/>
        <v>-4526</v>
      </c>
      <c r="H3086" s="560"/>
      <c r="I3086" s="560"/>
      <c r="J3086" s="560"/>
    </row>
    <row r="3087" spans="1:10" x14ac:dyDescent="0.25">
      <c r="A3087" s="362"/>
      <c r="B3087" s="609">
        <v>44265</v>
      </c>
      <c r="C3087" s="362" t="s">
        <v>83</v>
      </c>
      <c r="D3087" s="560">
        <v>142980558</v>
      </c>
      <c r="E3087" s="560">
        <v>137034616</v>
      </c>
      <c r="F3087" s="560">
        <v>280015200</v>
      </c>
      <c r="G3087" s="560">
        <f t="shared" si="67"/>
        <v>-26</v>
      </c>
      <c r="H3087" s="560"/>
      <c r="I3087" s="560"/>
      <c r="J3087" s="560"/>
    </row>
    <row r="3088" spans="1:10" x14ac:dyDescent="0.25">
      <c r="A3088" s="362"/>
      <c r="B3088" s="609">
        <v>44265</v>
      </c>
      <c r="C3088" s="362" t="s">
        <v>78</v>
      </c>
      <c r="D3088" s="560">
        <v>80969643</v>
      </c>
      <c r="E3088" s="560">
        <v>4712457</v>
      </c>
      <c r="F3088" s="560">
        <v>85682100</v>
      </c>
      <c r="G3088" s="560">
        <f t="shared" si="67"/>
        <v>0</v>
      </c>
      <c r="H3088" s="560"/>
      <c r="I3088" s="560"/>
      <c r="J3088" s="560"/>
    </row>
    <row r="3089" spans="1:10" x14ac:dyDescent="0.25">
      <c r="A3089" s="362"/>
      <c r="B3089" s="609">
        <v>44265</v>
      </c>
      <c r="C3089" s="362" t="s">
        <v>141</v>
      </c>
      <c r="D3089" s="560">
        <v>72339634</v>
      </c>
      <c r="E3089" s="560"/>
      <c r="F3089" s="560">
        <v>72339700</v>
      </c>
      <c r="G3089" s="560">
        <f t="shared" si="67"/>
        <v>-66</v>
      </c>
      <c r="H3089" s="560"/>
      <c r="I3089" s="560"/>
      <c r="J3089" s="560"/>
    </row>
    <row r="3090" spans="1:10" x14ac:dyDescent="0.25">
      <c r="A3090" s="362"/>
      <c r="B3090" s="609">
        <v>44265</v>
      </c>
      <c r="C3090" s="362" t="s">
        <v>89</v>
      </c>
      <c r="D3090" s="560">
        <v>104594733</v>
      </c>
      <c r="E3090" s="560">
        <v>79920967</v>
      </c>
      <c r="F3090" s="560">
        <v>184515700</v>
      </c>
      <c r="G3090" s="560">
        <f t="shared" si="67"/>
        <v>0</v>
      </c>
      <c r="H3090" s="560"/>
      <c r="I3090" s="560"/>
      <c r="J3090" s="560"/>
    </row>
    <row r="3091" spans="1:10" x14ac:dyDescent="0.25">
      <c r="A3091" s="362"/>
      <c r="B3091" s="609">
        <v>44265</v>
      </c>
      <c r="C3091" s="362" t="s">
        <v>81</v>
      </c>
      <c r="D3091" s="560">
        <v>94756346</v>
      </c>
      <c r="E3091" s="560">
        <v>12424626</v>
      </c>
      <c r="F3091" s="560">
        <v>107180972</v>
      </c>
      <c r="G3091" s="560">
        <f t="shared" si="67"/>
        <v>0</v>
      </c>
      <c r="H3091" s="560"/>
      <c r="I3091" s="560"/>
      <c r="J3091" s="560"/>
    </row>
    <row r="3092" spans="1:10" x14ac:dyDescent="0.25">
      <c r="A3092" s="362"/>
      <c r="B3092" s="609">
        <v>44265</v>
      </c>
      <c r="C3092" s="362" t="s">
        <v>84</v>
      </c>
      <c r="D3092" s="560">
        <v>223844054</v>
      </c>
      <c r="E3092" s="560">
        <v>7970612</v>
      </c>
      <c r="F3092" s="560">
        <v>231815100</v>
      </c>
      <c r="G3092" s="560">
        <f t="shared" si="67"/>
        <v>-434</v>
      </c>
      <c r="H3092" s="560"/>
      <c r="I3092" s="560"/>
      <c r="J3092" s="560"/>
    </row>
    <row r="3093" spans="1:10" x14ac:dyDescent="0.25">
      <c r="A3093" s="362"/>
      <c r="B3093" s="609">
        <v>44265</v>
      </c>
      <c r="C3093" s="362" t="s">
        <v>4751</v>
      </c>
      <c r="D3093" s="560">
        <v>214946862</v>
      </c>
      <c r="E3093" s="560">
        <v>14311038</v>
      </c>
      <c r="F3093" s="560">
        <v>229257900</v>
      </c>
      <c r="G3093" s="560">
        <f t="shared" si="67"/>
        <v>0</v>
      </c>
      <c r="H3093" s="560"/>
      <c r="I3093" s="560"/>
      <c r="J3093" s="560"/>
    </row>
    <row r="3094" spans="1:10" x14ac:dyDescent="0.25">
      <c r="A3094" s="362"/>
      <c r="B3094" s="609">
        <v>44265</v>
      </c>
      <c r="C3094" s="362" t="s">
        <v>166</v>
      </c>
      <c r="D3094" s="560">
        <v>48882821</v>
      </c>
      <c r="E3094" s="560"/>
      <c r="F3094" s="560">
        <v>48882900</v>
      </c>
      <c r="G3094" s="560">
        <f t="shared" si="67"/>
        <v>-79</v>
      </c>
      <c r="H3094" s="560"/>
      <c r="I3094" s="560"/>
      <c r="J3094" s="560"/>
    </row>
    <row r="3095" spans="1:10" x14ac:dyDescent="0.25">
      <c r="A3095" s="362"/>
      <c r="B3095" s="609">
        <v>44265</v>
      </c>
      <c r="C3095" s="362" t="s">
        <v>3435</v>
      </c>
      <c r="D3095" s="560">
        <v>63797856</v>
      </c>
      <c r="E3095" s="560"/>
      <c r="F3095" s="560">
        <v>63797900</v>
      </c>
      <c r="G3095" s="560">
        <f t="shared" si="67"/>
        <v>-44</v>
      </c>
      <c r="H3095" s="560"/>
      <c r="I3095" s="560"/>
      <c r="J3095" s="560"/>
    </row>
    <row r="3096" spans="1:10" x14ac:dyDescent="0.25">
      <c r="A3096" s="362"/>
      <c r="B3096" s="609">
        <v>44265</v>
      </c>
      <c r="C3096" s="370" t="s">
        <v>85</v>
      </c>
      <c r="D3096" s="560">
        <v>36423600</v>
      </c>
      <c r="E3096" s="560"/>
      <c r="F3096" s="560">
        <v>36423600</v>
      </c>
      <c r="G3096" s="560">
        <f t="shared" si="67"/>
        <v>0</v>
      </c>
      <c r="H3096" s="560"/>
      <c r="I3096" s="560"/>
      <c r="J3096" s="560"/>
    </row>
    <row r="3097" spans="1:10" x14ac:dyDescent="0.25">
      <c r="A3097" s="530"/>
      <c r="B3097" s="530"/>
      <c r="C3097" s="530"/>
      <c r="D3097" s="562">
        <f>SUM(D3082:D3096)</f>
        <v>1972274459</v>
      </c>
      <c r="E3097" s="562">
        <f>SUM(E3082:E3096)</f>
        <v>606937259</v>
      </c>
      <c r="F3097" s="562">
        <f>SUM(F3082:F3096)</f>
        <v>2579217072</v>
      </c>
      <c r="G3097" s="562">
        <f>SUM(G3082:G3096)</f>
        <v>-5354</v>
      </c>
      <c r="H3097" s="562"/>
      <c r="I3097" s="562"/>
      <c r="J3097" s="562"/>
    </row>
    <row r="3098" spans="1:10" x14ac:dyDescent="0.25">
      <c r="A3098" s="362"/>
      <c r="B3098" s="609">
        <v>44266</v>
      </c>
      <c r="C3098" s="362" t="s">
        <v>86</v>
      </c>
      <c r="D3098" s="560">
        <v>72736692</v>
      </c>
      <c r="E3098" s="560">
        <v>49750990</v>
      </c>
      <c r="F3098" s="560">
        <v>122487600</v>
      </c>
      <c r="G3098" s="560">
        <f>D3098+E3098-F3098</f>
        <v>82</v>
      </c>
      <c r="H3098" s="560"/>
      <c r="I3098" s="560"/>
      <c r="J3098" s="560"/>
    </row>
    <row r="3099" spans="1:10" x14ac:dyDescent="0.25">
      <c r="A3099" s="362"/>
      <c r="B3099" s="609">
        <v>44266</v>
      </c>
      <c r="C3099" s="362" t="s">
        <v>87</v>
      </c>
      <c r="D3099" s="560">
        <v>56163793</v>
      </c>
      <c r="E3099" s="560">
        <v>111855071</v>
      </c>
      <c r="F3099" s="560">
        <v>168018900</v>
      </c>
      <c r="G3099" s="560">
        <f t="shared" ref="G3099:G3112" si="68">D3099+E3099-F3099</f>
        <v>-36</v>
      </c>
      <c r="H3099" s="560"/>
      <c r="I3099" s="560"/>
      <c r="J3099" s="560"/>
    </row>
    <row r="3100" spans="1:10" x14ac:dyDescent="0.25">
      <c r="A3100" s="362"/>
      <c r="B3100" s="609">
        <v>44266</v>
      </c>
      <c r="C3100" s="362" t="s">
        <v>88</v>
      </c>
      <c r="D3100" s="560">
        <v>212083774</v>
      </c>
      <c r="E3100" s="560">
        <v>34804544</v>
      </c>
      <c r="F3100" s="560">
        <v>246888400</v>
      </c>
      <c r="G3100" s="560">
        <f t="shared" si="68"/>
        <v>-82</v>
      </c>
      <c r="H3100" s="560"/>
      <c r="I3100" s="560"/>
      <c r="J3100" s="560"/>
    </row>
    <row r="3101" spans="1:10" x14ac:dyDescent="0.25">
      <c r="A3101" s="362"/>
      <c r="B3101" s="609">
        <v>44266</v>
      </c>
      <c r="C3101" s="362" t="s">
        <v>82</v>
      </c>
      <c r="D3101" s="560">
        <v>117245759</v>
      </c>
      <c r="E3101" s="560">
        <v>1656882</v>
      </c>
      <c r="F3101" s="560">
        <v>118902700</v>
      </c>
      <c r="G3101" s="560">
        <f t="shared" si="68"/>
        <v>-59</v>
      </c>
      <c r="H3101" s="560"/>
      <c r="I3101" s="560"/>
      <c r="J3101" s="560"/>
    </row>
    <row r="3102" spans="1:10" x14ac:dyDescent="0.25">
      <c r="A3102" s="362"/>
      <c r="B3102" s="609">
        <v>44266</v>
      </c>
      <c r="C3102" s="362" t="s">
        <v>80</v>
      </c>
      <c r="D3102" s="560">
        <v>158770614</v>
      </c>
      <c r="E3102" s="560">
        <v>50608452</v>
      </c>
      <c r="F3102" s="560">
        <v>209378900</v>
      </c>
      <c r="G3102" s="560">
        <f t="shared" si="68"/>
        <v>166</v>
      </c>
      <c r="H3102" s="560"/>
      <c r="I3102" s="560"/>
      <c r="J3102" s="560"/>
    </row>
    <row r="3103" spans="1:10" x14ac:dyDescent="0.25">
      <c r="A3103" s="362"/>
      <c r="B3103" s="609">
        <v>44266</v>
      </c>
      <c r="C3103" s="362" t="s">
        <v>83</v>
      </c>
      <c r="D3103" s="560">
        <v>328745918</v>
      </c>
      <c r="E3103" s="560">
        <v>4199767</v>
      </c>
      <c r="F3103" s="560">
        <v>332945700</v>
      </c>
      <c r="G3103" s="560">
        <f t="shared" si="68"/>
        <v>-15</v>
      </c>
      <c r="H3103" s="560"/>
      <c r="I3103" s="560"/>
      <c r="J3103" s="560"/>
    </row>
    <row r="3104" spans="1:10" x14ac:dyDescent="0.25">
      <c r="A3104" s="362"/>
      <c r="B3104" s="609">
        <v>44266</v>
      </c>
      <c r="C3104" s="362" t="s">
        <v>78</v>
      </c>
      <c r="D3104" s="560">
        <v>136668424</v>
      </c>
      <c r="E3104" s="560">
        <v>3757476</v>
      </c>
      <c r="F3104" s="560">
        <v>140425900</v>
      </c>
      <c r="G3104" s="560">
        <f t="shared" si="68"/>
        <v>0</v>
      </c>
      <c r="H3104" s="560"/>
      <c r="I3104" s="560"/>
      <c r="J3104" s="560"/>
    </row>
    <row r="3105" spans="1:10" x14ac:dyDescent="0.25">
      <c r="A3105" s="362"/>
      <c r="B3105" s="609">
        <v>44266</v>
      </c>
      <c r="C3105" s="362" t="s">
        <v>141</v>
      </c>
      <c r="D3105" s="560">
        <v>63537446</v>
      </c>
      <c r="E3105" s="560">
        <v>255675</v>
      </c>
      <c r="F3105" s="560">
        <v>63793200</v>
      </c>
      <c r="G3105" s="560">
        <f t="shared" si="68"/>
        <v>-79</v>
      </c>
      <c r="H3105" s="560"/>
      <c r="I3105" s="560"/>
      <c r="J3105" s="560"/>
    </row>
    <row r="3106" spans="1:10" x14ac:dyDescent="0.25">
      <c r="A3106" s="362"/>
      <c r="B3106" s="609">
        <v>44266</v>
      </c>
      <c r="C3106" s="362" t="s">
        <v>89</v>
      </c>
      <c r="D3106" s="560">
        <v>212618232</v>
      </c>
      <c r="E3106" s="560">
        <v>20552768</v>
      </c>
      <c r="F3106" s="560">
        <v>233171000</v>
      </c>
      <c r="G3106" s="560">
        <f t="shared" si="68"/>
        <v>0</v>
      </c>
      <c r="H3106" s="560"/>
      <c r="I3106" s="560"/>
      <c r="J3106" s="560"/>
    </row>
    <row r="3107" spans="1:10" x14ac:dyDescent="0.25">
      <c r="A3107" s="362"/>
      <c r="B3107" s="609">
        <v>44266</v>
      </c>
      <c r="C3107" s="362" t="s">
        <v>81</v>
      </c>
      <c r="D3107" s="560">
        <v>63462815</v>
      </c>
      <c r="E3107" s="560">
        <v>16185966</v>
      </c>
      <c r="F3107" s="560">
        <v>79648800</v>
      </c>
      <c r="G3107" s="560">
        <f t="shared" si="68"/>
        <v>-19</v>
      </c>
      <c r="H3107" s="560"/>
      <c r="I3107" s="560"/>
      <c r="J3107" s="560"/>
    </row>
    <row r="3108" spans="1:10" x14ac:dyDescent="0.25">
      <c r="A3108" s="362"/>
      <c r="B3108" s="609">
        <v>44266</v>
      </c>
      <c r="C3108" s="362" t="s">
        <v>84</v>
      </c>
      <c r="D3108" s="560">
        <v>381167484</v>
      </c>
      <c r="E3108" s="560">
        <v>5788329</v>
      </c>
      <c r="F3108" s="560">
        <v>386955700</v>
      </c>
      <c r="G3108" s="560">
        <f t="shared" si="68"/>
        <v>113</v>
      </c>
      <c r="H3108" s="560"/>
      <c r="I3108" s="560"/>
      <c r="J3108" s="560"/>
    </row>
    <row r="3109" spans="1:10" x14ac:dyDescent="0.25">
      <c r="A3109" s="362"/>
      <c r="B3109" s="609">
        <v>44266</v>
      </c>
      <c r="C3109" s="362" t="s">
        <v>4751</v>
      </c>
      <c r="D3109" s="560">
        <v>250847529</v>
      </c>
      <c r="E3109" s="560">
        <v>8016071</v>
      </c>
      <c r="F3109" s="560">
        <v>258863600</v>
      </c>
      <c r="G3109" s="560">
        <f t="shared" si="68"/>
        <v>0</v>
      </c>
      <c r="H3109" s="560"/>
      <c r="I3109" s="560"/>
      <c r="J3109" s="560"/>
    </row>
    <row r="3110" spans="1:10" x14ac:dyDescent="0.25">
      <c r="A3110" s="362"/>
      <c r="B3110" s="609">
        <v>44266</v>
      </c>
      <c r="C3110" s="362" t="s">
        <v>166</v>
      </c>
      <c r="D3110" s="560">
        <v>58412965</v>
      </c>
      <c r="E3110" s="560"/>
      <c r="F3110" s="560">
        <v>58413000</v>
      </c>
      <c r="G3110" s="560">
        <f t="shared" si="68"/>
        <v>-35</v>
      </c>
      <c r="H3110" s="560"/>
      <c r="I3110" s="560"/>
      <c r="J3110" s="560"/>
    </row>
    <row r="3111" spans="1:10" x14ac:dyDescent="0.25">
      <c r="A3111" s="362"/>
      <c r="B3111" s="609">
        <v>44266</v>
      </c>
      <c r="C3111" s="362" t="s">
        <v>3435</v>
      </c>
      <c r="D3111" s="560">
        <v>54860350</v>
      </c>
      <c r="E3111" s="560"/>
      <c r="F3111" s="560">
        <v>54860400</v>
      </c>
      <c r="G3111" s="560">
        <f t="shared" si="68"/>
        <v>-50</v>
      </c>
      <c r="H3111" s="560"/>
      <c r="I3111" s="560"/>
      <c r="J3111" s="560"/>
    </row>
    <row r="3112" spans="1:10" x14ac:dyDescent="0.25">
      <c r="A3112" s="362"/>
      <c r="B3112" s="609">
        <v>44266</v>
      </c>
      <c r="C3112" s="370" t="s">
        <v>85</v>
      </c>
      <c r="D3112" s="560">
        <v>41137800</v>
      </c>
      <c r="E3112" s="560"/>
      <c r="F3112" s="560">
        <v>41137800</v>
      </c>
      <c r="G3112" s="560">
        <f t="shared" si="68"/>
        <v>0</v>
      </c>
      <c r="H3112" s="560"/>
      <c r="I3112" s="560"/>
      <c r="J3112" s="560"/>
    </row>
    <row r="3113" spans="1:10" x14ac:dyDescent="0.25">
      <c r="A3113" s="530"/>
      <c r="B3113" s="530"/>
      <c r="C3113" s="530"/>
      <c r="D3113" s="562">
        <f>SUM(D3098:D3112)</f>
        <v>2208459595</v>
      </c>
      <c r="E3113" s="562">
        <f>SUM(E3098:E3112)</f>
        <v>307431991</v>
      </c>
      <c r="F3113" s="562">
        <f>SUM(F3098:F3112)</f>
        <v>2515891600</v>
      </c>
      <c r="G3113" s="562">
        <f>SUM(G3098:G3112)</f>
        <v>-14</v>
      </c>
      <c r="H3113" s="562"/>
      <c r="I3113" s="562"/>
      <c r="J3113" s="562"/>
    </row>
    <row r="3114" spans="1:10" x14ac:dyDescent="0.25">
      <c r="A3114" s="362"/>
      <c r="B3114" s="609">
        <v>44267</v>
      </c>
      <c r="C3114" s="362" t="s">
        <v>86</v>
      </c>
      <c r="D3114" s="560">
        <v>71102627</v>
      </c>
      <c r="E3114" s="560">
        <v>105002407</v>
      </c>
      <c r="F3114" s="560">
        <v>176105300</v>
      </c>
      <c r="G3114" s="560">
        <f>D3114+E3114-F3114</f>
        <v>-266</v>
      </c>
      <c r="H3114" s="560"/>
      <c r="I3114" s="560"/>
      <c r="J3114" s="560"/>
    </row>
    <row r="3115" spans="1:10" x14ac:dyDescent="0.25">
      <c r="A3115" s="362"/>
      <c r="B3115" s="609">
        <v>44267</v>
      </c>
      <c r="C3115" s="362" t="s">
        <v>87</v>
      </c>
      <c r="D3115" s="560">
        <v>271383515</v>
      </c>
      <c r="E3115" s="560">
        <v>24767873</v>
      </c>
      <c r="F3115" s="560">
        <v>296151500</v>
      </c>
      <c r="G3115" s="560">
        <f t="shared" ref="G3115:G3128" si="69">D3115+E3115-F3115</f>
        <v>-112</v>
      </c>
      <c r="H3115" s="560"/>
      <c r="I3115" s="560"/>
      <c r="J3115" s="560"/>
    </row>
    <row r="3116" spans="1:10" x14ac:dyDescent="0.25">
      <c r="A3116" s="362"/>
      <c r="B3116" s="609">
        <v>44267</v>
      </c>
      <c r="C3116" s="362" t="s">
        <v>88</v>
      </c>
      <c r="D3116" s="560">
        <v>255139114</v>
      </c>
      <c r="E3116" s="560">
        <v>30713237</v>
      </c>
      <c r="F3116" s="560">
        <v>285852400</v>
      </c>
      <c r="G3116" s="560">
        <f t="shared" si="69"/>
        <v>-49</v>
      </c>
      <c r="H3116" s="560"/>
      <c r="I3116" s="560"/>
      <c r="J3116" s="560"/>
    </row>
    <row r="3117" spans="1:10" x14ac:dyDescent="0.25">
      <c r="A3117" s="362"/>
      <c r="B3117" s="609">
        <v>44267</v>
      </c>
      <c r="C3117" s="362" t="s">
        <v>82</v>
      </c>
      <c r="D3117" s="560">
        <v>438342322</v>
      </c>
      <c r="E3117" s="560">
        <v>6558082</v>
      </c>
      <c r="F3117" s="562">
        <v>444900500</v>
      </c>
      <c r="G3117" s="560">
        <f t="shared" si="69"/>
        <v>-96</v>
      </c>
      <c r="H3117" s="560"/>
      <c r="I3117" s="560"/>
      <c r="J3117" s="560"/>
    </row>
    <row r="3118" spans="1:10" x14ac:dyDescent="0.25">
      <c r="A3118" s="362"/>
      <c r="B3118" s="609">
        <v>44267</v>
      </c>
      <c r="C3118" s="362" t="s">
        <v>80</v>
      </c>
      <c r="D3118" s="560">
        <v>415725565</v>
      </c>
      <c r="E3118" s="560"/>
      <c r="F3118" s="562">
        <v>415730000</v>
      </c>
      <c r="G3118" s="560">
        <f t="shared" si="69"/>
        <v>-4435</v>
      </c>
      <c r="H3118" s="560"/>
      <c r="I3118" s="560"/>
      <c r="J3118" s="560"/>
    </row>
    <row r="3119" spans="1:10" x14ac:dyDescent="0.25">
      <c r="A3119" s="362"/>
      <c r="B3119" s="609">
        <v>44267</v>
      </c>
      <c r="C3119" s="362" t="s">
        <v>83</v>
      </c>
      <c r="D3119" s="560">
        <v>358019761</v>
      </c>
      <c r="E3119" s="560">
        <v>316004018</v>
      </c>
      <c r="F3119" s="562">
        <v>674023800</v>
      </c>
      <c r="G3119" s="560">
        <f t="shared" si="69"/>
        <v>-21</v>
      </c>
      <c r="H3119" s="560"/>
      <c r="I3119" s="560"/>
      <c r="J3119" s="560"/>
    </row>
    <row r="3120" spans="1:10" x14ac:dyDescent="0.25">
      <c r="A3120" s="362"/>
      <c r="B3120" s="609">
        <v>44267</v>
      </c>
      <c r="C3120" s="362" t="s">
        <v>78</v>
      </c>
      <c r="D3120" s="560">
        <v>101393761</v>
      </c>
      <c r="E3120" s="560">
        <v>17733339</v>
      </c>
      <c r="F3120" s="560">
        <v>119127100</v>
      </c>
      <c r="G3120" s="560">
        <f t="shared" si="69"/>
        <v>0</v>
      </c>
      <c r="H3120" s="560"/>
      <c r="I3120" s="560"/>
      <c r="J3120" s="560"/>
    </row>
    <row r="3121" spans="1:10" x14ac:dyDescent="0.25">
      <c r="A3121" s="362"/>
      <c r="B3121" s="609">
        <v>44267</v>
      </c>
      <c r="C3121" s="362" t="s">
        <v>141</v>
      </c>
      <c r="D3121" s="560">
        <v>80425269</v>
      </c>
      <c r="E3121" s="560">
        <v>4827079</v>
      </c>
      <c r="F3121" s="560">
        <v>85252400</v>
      </c>
      <c r="G3121" s="560">
        <f t="shared" si="69"/>
        <v>-52</v>
      </c>
      <c r="H3121" s="560"/>
      <c r="I3121" s="560"/>
      <c r="J3121" s="560"/>
    </row>
    <row r="3122" spans="1:10" x14ac:dyDescent="0.25">
      <c r="A3122" s="362"/>
      <c r="B3122" s="609">
        <v>44267</v>
      </c>
      <c r="C3122" s="362" t="s">
        <v>89</v>
      </c>
      <c r="D3122" s="560">
        <v>121559820</v>
      </c>
      <c r="E3122" s="560">
        <v>70543580</v>
      </c>
      <c r="F3122" s="560">
        <v>192103400</v>
      </c>
      <c r="G3122" s="560">
        <f t="shared" si="69"/>
        <v>0</v>
      </c>
      <c r="H3122" s="560"/>
      <c r="I3122" s="560"/>
      <c r="J3122" s="560"/>
    </row>
    <row r="3123" spans="1:10" x14ac:dyDescent="0.25">
      <c r="A3123" s="362"/>
      <c r="B3123" s="609">
        <v>44267</v>
      </c>
      <c r="C3123" s="362" t="s">
        <v>81</v>
      </c>
      <c r="D3123" s="560">
        <v>203434670</v>
      </c>
      <c r="E3123" s="560">
        <v>7400825</v>
      </c>
      <c r="F3123" s="560">
        <v>210835500</v>
      </c>
      <c r="G3123" s="560">
        <f t="shared" si="69"/>
        <v>-5</v>
      </c>
      <c r="H3123" s="560"/>
      <c r="I3123" s="560"/>
      <c r="J3123" s="560"/>
    </row>
    <row r="3124" spans="1:10" x14ac:dyDescent="0.25">
      <c r="A3124" s="362"/>
      <c r="B3124" s="609">
        <v>44267</v>
      </c>
      <c r="C3124" s="362" t="s">
        <v>84</v>
      </c>
      <c r="D3124" s="560">
        <v>228149752</v>
      </c>
      <c r="E3124" s="560">
        <v>9271967</v>
      </c>
      <c r="F3124" s="560">
        <v>237421700</v>
      </c>
      <c r="G3124" s="560">
        <f t="shared" si="69"/>
        <v>19</v>
      </c>
      <c r="H3124" s="560"/>
      <c r="I3124" s="560"/>
      <c r="J3124" s="560"/>
    </row>
    <row r="3125" spans="1:10" x14ac:dyDescent="0.25">
      <c r="A3125" s="362"/>
      <c r="B3125" s="609">
        <v>44267</v>
      </c>
      <c r="C3125" s="362" t="s">
        <v>4751</v>
      </c>
      <c r="D3125" s="560">
        <v>175833069</v>
      </c>
      <c r="E3125" s="560">
        <v>12121631</v>
      </c>
      <c r="F3125" s="560">
        <v>187954700</v>
      </c>
      <c r="G3125" s="560">
        <f t="shared" si="69"/>
        <v>0</v>
      </c>
      <c r="H3125" s="560"/>
      <c r="I3125" s="560"/>
      <c r="J3125" s="560"/>
    </row>
    <row r="3126" spans="1:10" x14ac:dyDescent="0.25">
      <c r="A3126" s="362"/>
      <c r="B3126" s="609">
        <v>44267</v>
      </c>
      <c r="C3126" s="362" t="s">
        <v>166</v>
      </c>
      <c r="D3126" s="560"/>
      <c r="E3126" s="560"/>
      <c r="F3126" s="560"/>
      <c r="G3126" s="560">
        <f t="shared" si="69"/>
        <v>0</v>
      </c>
      <c r="H3126" s="560"/>
      <c r="I3126" s="560"/>
      <c r="J3126" s="560"/>
    </row>
    <row r="3127" spans="1:10" x14ac:dyDescent="0.25">
      <c r="A3127" s="362"/>
      <c r="B3127" s="609">
        <v>44267</v>
      </c>
      <c r="C3127" s="362" t="s">
        <v>3435</v>
      </c>
      <c r="D3127" s="560"/>
      <c r="E3127" s="560"/>
      <c r="F3127" s="560"/>
      <c r="G3127" s="560">
        <f t="shared" si="69"/>
        <v>0</v>
      </c>
      <c r="H3127" s="560"/>
      <c r="I3127" s="560"/>
      <c r="J3127" s="560"/>
    </row>
    <row r="3128" spans="1:10" x14ac:dyDescent="0.25">
      <c r="A3128" s="362"/>
      <c r="B3128" s="609">
        <v>44267</v>
      </c>
      <c r="C3128" s="370" t="s">
        <v>85</v>
      </c>
      <c r="D3128" s="560">
        <v>29938400</v>
      </c>
      <c r="E3128" s="560"/>
      <c r="F3128" s="560">
        <v>29938400</v>
      </c>
      <c r="G3128" s="560">
        <f t="shared" si="69"/>
        <v>0</v>
      </c>
      <c r="H3128" s="560"/>
      <c r="I3128" s="560"/>
      <c r="J3128" s="560"/>
    </row>
    <row r="3129" spans="1:10" x14ac:dyDescent="0.25">
      <c r="A3129" s="530"/>
      <c r="B3129" s="530"/>
      <c r="C3129" s="530"/>
      <c r="D3129" s="562">
        <f>SUM(D3114:D3128)</f>
        <v>2750447645</v>
      </c>
      <c r="E3129" s="562">
        <f>SUM(E3114:E3128)</f>
        <v>604944038</v>
      </c>
      <c r="F3129" s="562">
        <f>SUM(F3114:F3128)</f>
        <v>3355396700</v>
      </c>
      <c r="G3129" s="562">
        <f>SUM(G3114:G3128)</f>
        <v>-5017</v>
      </c>
      <c r="H3129" s="562"/>
      <c r="I3129" s="562"/>
      <c r="J3129" s="562"/>
    </row>
    <row r="3130" spans="1:10" x14ac:dyDescent="0.25">
      <c r="A3130" s="362"/>
      <c r="B3130" s="609">
        <v>44268</v>
      </c>
      <c r="C3130" s="362" t="s">
        <v>86</v>
      </c>
      <c r="F3130" s="560"/>
      <c r="G3130" s="560">
        <f>D3130+E3130-F3130</f>
        <v>0</v>
      </c>
      <c r="H3130" s="560"/>
      <c r="I3130" s="560"/>
      <c r="J3130" s="560"/>
    </row>
    <row r="3131" spans="1:10" x14ac:dyDescent="0.25">
      <c r="A3131" s="362"/>
      <c r="B3131" s="609">
        <v>44268</v>
      </c>
      <c r="C3131" s="362" t="s">
        <v>87</v>
      </c>
      <c r="D3131" s="560"/>
      <c r="E3131" s="560"/>
      <c r="F3131" s="560"/>
      <c r="G3131" s="560">
        <f t="shared" ref="G3131:G3144" si="70">D3131+E3131-F3131</f>
        <v>0</v>
      </c>
      <c r="H3131" s="560"/>
      <c r="I3131" s="560"/>
      <c r="J3131" s="560"/>
    </row>
    <row r="3132" spans="1:10" x14ac:dyDescent="0.25">
      <c r="A3132" s="362"/>
      <c r="B3132" s="609">
        <v>44268</v>
      </c>
      <c r="C3132" s="362" t="s">
        <v>88</v>
      </c>
      <c r="D3132" s="560"/>
      <c r="E3132" s="560"/>
      <c r="F3132" s="560"/>
      <c r="G3132" s="560">
        <f t="shared" si="70"/>
        <v>0</v>
      </c>
      <c r="H3132" s="560"/>
      <c r="I3132" s="560"/>
      <c r="J3132" s="560"/>
    </row>
    <row r="3133" spans="1:10" x14ac:dyDescent="0.25">
      <c r="A3133" s="362"/>
      <c r="B3133" s="609">
        <v>44268</v>
      </c>
      <c r="C3133" s="362" t="s">
        <v>82</v>
      </c>
      <c r="D3133" s="362"/>
      <c r="E3133" s="362"/>
      <c r="F3133" s="560"/>
      <c r="G3133" s="560">
        <f t="shared" si="70"/>
        <v>0</v>
      </c>
      <c r="H3133" s="560"/>
      <c r="I3133" s="560"/>
      <c r="J3133" s="560"/>
    </row>
    <row r="3134" spans="1:10" x14ac:dyDescent="0.25">
      <c r="A3134" s="362"/>
      <c r="B3134" s="609">
        <v>44268</v>
      </c>
      <c r="C3134" s="362" t="s">
        <v>80</v>
      </c>
      <c r="D3134" s="560">
        <v>45595000</v>
      </c>
      <c r="E3134" s="560"/>
      <c r="F3134" s="562">
        <v>45595000</v>
      </c>
      <c r="G3134" s="560">
        <f t="shared" si="70"/>
        <v>0</v>
      </c>
      <c r="H3134" s="560"/>
      <c r="I3134" s="560"/>
      <c r="J3134" s="560"/>
    </row>
    <row r="3135" spans="1:10" x14ac:dyDescent="0.25">
      <c r="A3135" s="362"/>
      <c r="B3135" s="609">
        <v>44268</v>
      </c>
      <c r="C3135" s="362" t="s">
        <v>83</v>
      </c>
      <c r="D3135" s="560"/>
      <c r="E3135" s="560"/>
      <c r="F3135" s="560"/>
      <c r="G3135" s="560">
        <f t="shared" si="70"/>
        <v>0</v>
      </c>
      <c r="H3135" s="560"/>
      <c r="I3135" s="560"/>
      <c r="J3135" s="560"/>
    </row>
    <row r="3136" spans="1:10" x14ac:dyDescent="0.25">
      <c r="A3136" s="362"/>
      <c r="B3136" s="609">
        <v>44268</v>
      </c>
      <c r="C3136" s="362" t="s">
        <v>78</v>
      </c>
      <c r="D3136" s="362"/>
      <c r="E3136" s="362"/>
      <c r="F3136" s="362"/>
      <c r="G3136" s="560">
        <f>D3152+E3152-F3152</f>
        <v>0</v>
      </c>
      <c r="H3136" s="560"/>
      <c r="I3136" s="560"/>
      <c r="J3136" s="560"/>
    </row>
    <row r="3137" spans="1:10" x14ac:dyDescent="0.25">
      <c r="A3137" s="362"/>
      <c r="B3137" s="609">
        <v>44268</v>
      </c>
      <c r="C3137" s="362" t="s">
        <v>141</v>
      </c>
      <c r="D3137" s="362"/>
      <c r="E3137" s="362"/>
      <c r="F3137" s="560"/>
      <c r="G3137" s="560">
        <f t="shared" si="70"/>
        <v>0</v>
      </c>
      <c r="H3137" s="560"/>
      <c r="I3137" s="560"/>
      <c r="J3137" s="560"/>
    </row>
    <row r="3138" spans="1:10" x14ac:dyDescent="0.25">
      <c r="A3138" s="362"/>
      <c r="B3138" s="609">
        <v>44268</v>
      </c>
      <c r="C3138" s="362" t="s">
        <v>89</v>
      </c>
      <c r="D3138" s="362"/>
      <c r="E3138" s="362"/>
      <c r="F3138" s="362"/>
      <c r="G3138" s="560">
        <f t="shared" si="70"/>
        <v>0</v>
      </c>
      <c r="H3138" s="560"/>
      <c r="I3138" s="560"/>
      <c r="J3138" s="560"/>
    </row>
    <row r="3139" spans="1:10" x14ac:dyDescent="0.25">
      <c r="A3139" s="362"/>
      <c r="B3139" s="609">
        <v>44268</v>
      </c>
      <c r="C3139" s="362" t="s">
        <v>81</v>
      </c>
      <c r="D3139" s="560"/>
      <c r="E3139" s="560"/>
      <c r="F3139" s="560"/>
      <c r="G3139" s="560">
        <f t="shared" si="70"/>
        <v>0</v>
      </c>
      <c r="H3139" s="560"/>
      <c r="I3139" s="560"/>
      <c r="J3139" s="560"/>
    </row>
    <row r="3140" spans="1:10" x14ac:dyDescent="0.25">
      <c r="A3140" s="362"/>
      <c r="B3140" s="609">
        <v>44268</v>
      </c>
      <c r="C3140" s="362" t="s">
        <v>84</v>
      </c>
      <c r="D3140" s="362"/>
      <c r="E3140" s="362"/>
      <c r="F3140" s="560"/>
      <c r="G3140" s="560">
        <f t="shared" si="70"/>
        <v>0</v>
      </c>
      <c r="H3140" s="560"/>
      <c r="I3140" s="560"/>
      <c r="J3140" s="560"/>
    </row>
    <row r="3141" spans="1:10" x14ac:dyDescent="0.25">
      <c r="A3141" s="362"/>
      <c r="B3141" s="609">
        <v>44268</v>
      </c>
      <c r="C3141" s="362" t="s">
        <v>4751</v>
      </c>
      <c r="D3141" s="362"/>
      <c r="E3141" s="362"/>
      <c r="F3141" s="362"/>
      <c r="G3141" s="560">
        <f t="shared" si="70"/>
        <v>0</v>
      </c>
      <c r="H3141" s="560"/>
      <c r="I3141" s="560"/>
      <c r="J3141" s="560"/>
    </row>
    <row r="3142" spans="1:10" x14ac:dyDescent="0.25">
      <c r="A3142" s="362"/>
      <c r="B3142" s="609">
        <v>44268</v>
      </c>
      <c r="C3142" s="362" t="s">
        <v>166</v>
      </c>
      <c r="D3142" s="560"/>
      <c r="E3142" s="560"/>
      <c r="F3142" s="560"/>
      <c r="G3142" s="560">
        <f t="shared" si="70"/>
        <v>0</v>
      </c>
      <c r="H3142" s="560"/>
      <c r="I3142" s="560"/>
      <c r="J3142" s="560"/>
    </row>
    <row r="3143" spans="1:10" x14ac:dyDescent="0.25">
      <c r="A3143" s="362"/>
      <c r="B3143" s="609">
        <v>44268</v>
      </c>
      <c r="C3143" s="362" t="s">
        <v>3435</v>
      </c>
      <c r="D3143" s="560"/>
      <c r="E3143" s="560"/>
      <c r="F3143" s="560"/>
      <c r="G3143" s="560">
        <f t="shared" si="70"/>
        <v>0</v>
      </c>
      <c r="H3143" s="560"/>
      <c r="I3143" s="560"/>
      <c r="J3143" s="560"/>
    </row>
    <row r="3144" spans="1:10" x14ac:dyDescent="0.25">
      <c r="A3144" s="362"/>
      <c r="B3144" s="609">
        <v>44268</v>
      </c>
      <c r="C3144" s="370" t="s">
        <v>85</v>
      </c>
      <c r="E3144" s="560"/>
      <c r="F3144" s="560"/>
      <c r="G3144" s="560">
        <f t="shared" si="70"/>
        <v>0</v>
      </c>
      <c r="H3144" s="560"/>
      <c r="I3144" s="560"/>
      <c r="J3144" s="560"/>
    </row>
    <row r="3145" spans="1:10" x14ac:dyDescent="0.25">
      <c r="A3145" s="530"/>
      <c r="B3145" s="530"/>
      <c r="C3145" s="530"/>
      <c r="D3145" s="562">
        <f ca="1">SUM(D3131:D3160)</f>
        <v>32635684582</v>
      </c>
      <c r="E3145" s="562">
        <f>SUM(E3130:E3144)</f>
        <v>0</v>
      </c>
      <c r="F3145" s="562">
        <f>SUM(F3130:F3144)</f>
        <v>45595000</v>
      </c>
      <c r="G3145" s="562">
        <f>SUM(G3130:G3144)</f>
        <v>0</v>
      </c>
      <c r="H3145" s="562"/>
      <c r="I3145" s="562"/>
      <c r="J3145" s="562"/>
    </row>
    <row r="3146" spans="1:10" x14ac:dyDescent="0.25">
      <c r="A3146" s="362"/>
      <c r="B3146" s="609">
        <v>44270</v>
      </c>
      <c r="C3146" s="362" t="s">
        <v>86</v>
      </c>
      <c r="D3146" s="560">
        <v>50579405</v>
      </c>
      <c r="E3146" s="560">
        <v>9436720</v>
      </c>
      <c r="F3146" s="560">
        <v>60016200</v>
      </c>
      <c r="G3146" s="560">
        <f>D3146+E3146-F3146</f>
        <v>-75</v>
      </c>
      <c r="H3146" s="560"/>
      <c r="I3146" s="560"/>
      <c r="J3146" s="560"/>
    </row>
    <row r="3147" spans="1:10" x14ac:dyDescent="0.25">
      <c r="A3147" s="362"/>
      <c r="B3147" s="609">
        <v>44270</v>
      </c>
      <c r="C3147" s="362" t="s">
        <v>87</v>
      </c>
      <c r="D3147" s="560">
        <v>108973965</v>
      </c>
      <c r="E3147" s="560">
        <v>76628013</v>
      </c>
      <c r="F3147" s="560">
        <v>185595100</v>
      </c>
      <c r="G3147" s="560">
        <f t="shared" ref="G3147:G3160" si="71">D3147+E3147-F3147</f>
        <v>6878</v>
      </c>
      <c r="H3147" s="560"/>
      <c r="I3147" s="560"/>
      <c r="J3147" s="560"/>
    </row>
    <row r="3148" spans="1:10" x14ac:dyDescent="0.25">
      <c r="A3148" s="362"/>
      <c r="B3148" s="609">
        <v>44270</v>
      </c>
      <c r="C3148" s="362" t="s">
        <v>88</v>
      </c>
      <c r="D3148" s="560">
        <v>213460877</v>
      </c>
      <c r="E3148" s="560">
        <v>15831289</v>
      </c>
      <c r="F3148" s="560">
        <v>229292200</v>
      </c>
      <c r="G3148" s="560">
        <f t="shared" si="71"/>
        <v>-34</v>
      </c>
      <c r="H3148" s="560"/>
      <c r="I3148" s="560"/>
      <c r="J3148" s="560"/>
    </row>
    <row r="3149" spans="1:10" x14ac:dyDescent="0.25">
      <c r="A3149" s="362"/>
      <c r="B3149" s="609">
        <v>44270</v>
      </c>
      <c r="C3149" s="362" t="s">
        <v>82</v>
      </c>
      <c r="D3149" s="560">
        <v>183666567</v>
      </c>
      <c r="E3149" s="560">
        <v>5608491</v>
      </c>
      <c r="F3149" s="560">
        <v>189725100</v>
      </c>
      <c r="G3149" s="560">
        <f t="shared" si="71"/>
        <v>-450042</v>
      </c>
      <c r="H3149" s="560"/>
      <c r="I3149" s="560"/>
      <c r="J3149" s="560"/>
    </row>
    <row r="3150" spans="1:10" x14ac:dyDescent="0.25">
      <c r="A3150" s="362"/>
      <c r="B3150" s="609">
        <v>44270</v>
      </c>
      <c r="C3150" s="362" t="s">
        <v>80</v>
      </c>
      <c r="D3150" s="560">
        <v>308306789</v>
      </c>
      <c r="E3150" s="560"/>
      <c r="F3150" s="560">
        <v>308312200</v>
      </c>
      <c r="G3150" s="560">
        <f t="shared" si="71"/>
        <v>-5411</v>
      </c>
      <c r="H3150" s="560"/>
      <c r="I3150" s="560"/>
      <c r="J3150" s="560"/>
    </row>
    <row r="3151" spans="1:10" x14ac:dyDescent="0.25">
      <c r="A3151" s="362"/>
      <c r="B3151" s="609">
        <v>44270</v>
      </c>
      <c r="C3151" s="362" t="s">
        <v>83</v>
      </c>
      <c r="D3151" s="560">
        <v>365209181</v>
      </c>
      <c r="E3151" s="560">
        <v>7539766</v>
      </c>
      <c r="F3151" s="560">
        <v>372749000</v>
      </c>
      <c r="G3151" s="560">
        <f t="shared" si="71"/>
        <v>-53</v>
      </c>
      <c r="H3151" s="560"/>
      <c r="I3151" s="560"/>
      <c r="J3151" s="560"/>
    </row>
    <row r="3152" spans="1:10" x14ac:dyDescent="0.25">
      <c r="A3152" s="362"/>
      <c r="B3152" s="609">
        <v>44270</v>
      </c>
      <c r="C3152" s="362" t="s">
        <v>78</v>
      </c>
      <c r="D3152" s="560">
        <v>181405808</v>
      </c>
      <c r="E3152" s="560">
        <v>1331692</v>
      </c>
      <c r="F3152" s="560">
        <v>182737500</v>
      </c>
      <c r="G3152" s="560">
        <f t="shared" si="71"/>
        <v>0</v>
      </c>
      <c r="H3152" s="560"/>
      <c r="I3152" s="560"/>
      <c r="J3152" s="560"/>
    </row>
    <row r="3153" spans="1:10" x14ac:dyDescent="0.25">
      <c r="A3153" s="362"/>
      <c r="B3153" s="609">
        <v>44270</v>
      </c>
      <c r="C3153" s="362" t="s">
        <v>141</v>
      </c>
      <c r="D3153" s="560">
        <v>85927426</v>
      </c>
      <c r="E3153" s="560">
        <v>6269927</v>
      </c>
      <c r="F3153" s="560">
        <v>92197400</v>
      </c>
      <c r="G3153" s="560">
        <f t="shared" si="71"/>
        <v>-47</v>
      </c>
      <c r="H3153" s="560"/>
      <c r="I3153" s="560"/>
      <c r="J3153" s="560"/>
    </row>
    <row r="3154" spans="1:10" x14ac:dyDescent="0.25">
      <c r="A3154" s="362"/>
      <c r="B3154" s="609">
        <v>44270</v>
      </c>
      <c r="C3154" s="362" t="s">
        <v>89</v>
      </c>
      <c r="D3154" s="560">
        <v>221417680</v>
      </c>
      <c r="E3154" s="560">
        <v>60227220</v>
      </c>
      <c r="F3154" s="560">
        <v>281644900</v>
      </c>
      <c r="G3154" s="560">
        <f t="shared" si="71"/>
        <v>0</v>
      </c>
      <c r="H3154" s="560"/>
      <c r="I3154" s="560"/>
      <c r="J3154" s="560"/>
    </row>
    <row r="3155" spans="1:10" x14ac:dyDescent="0.25">
      <c r="A3155" s="362"/>
      <c r="B3155" s="609">
        <v>44270</v>
      </c>
      <c r="C3155" s="362" t="s">
        <v>81</v>
      </c>
      <c r="D3155" s="560">
        <v>57341857</v>
      </c>
      <c r="E3155" s="560">
        <v>71766099</v>
      </c>
      <c r="F3155" s="560">
        <v>129108000</v>
      </c>
      <c r="G3155" s="560">
        <f t="shared" si="71"/>
        <v>-44</v>
      </c>
      <c r="H3155" s="560"/>
      <c r="I3155" s="560"/>
      <c r="J3155" s="560"/>
    </row>
    <row r="3156" spans="1:10" x14ac:dyDescent="0.25">
      <c r="A3156" s="362"/>
      <c r="B3156" s="609">
        <v>44270</v>
      </c>
      <c r="C3156" s="362" t="s">
        <v>84</v>
      </c>
      <c r="D3156" s="560">
        <v>346243634</v>
      </c>
      <c r="E3156" s="560">
        <v>14235832</v>
      </c>
      <c r="F3156" s="560">
        <v>360479466</v>
      </c>
      <c r="G3156" s="560">
        <f t="shared" si="71"/>
        <v>0</v>
      </c>
      <c r="H3156" s="560"/>
      <c r="I3156" s="560"/>
      <c r="J3156" s="560"/>
    </row>
    <row r="3157" spans="1:10" x14ac:dyDescent="0.25">
      <c r="A3157" s="362"/>
      <c r="B3157" s="609">
        <v>44270</v>
      </c>
      <c r="C3157" s="362" t="s">
        <v>4751</v>
      </c>
      <c r="D3157" s="560">
        <v>290773312</v>
      </c>
      <c r="E3157" s="560">
        <v>25338688</v>
      </c>
      <c r="F3157" s="560">
        <v>316112000</v>
      </c>
      <c r="G3157" s="560">
        <f t="shared" si="71"/>
        <v>0</v>
      </c>
      <c r="H3157" s="560"/>
      <c r="I3157" s="560"/>
      <c r="J3157" s="560"/>
    </row>
    <row r="3158" spans="1:10" x14ac:dyDescent="0.25">
      <c r="A3158" s="362"/>
      <c r="B3158" s="609">
        <v>44270</v>
      </c>
      <c r="C3158" s="362" t="s">
        <v>166</v>
      </c>
      <c r="D3158" s="560">
        <v>69208716</v>
      </c>
      <c r="E3158" s="560"/>
      <c r="F3158" s="560">
        <v>69208700</v>
      </c>
      <c r="G3158" s="560">
        <f t="shared" si="71"/>
        <v>16</v>
      </c>
      <c r="H3158" s="560"/>
      <c r="I3158" s="560"/>
      <c r="J3158" s="560"/>
    </row>
    <row r="3159" spans="1:10" x14ac:dyDescent="0.25">
      <c r="A3159" s="362"/>
      <c r="B3159" s="609">
        <v>44270</v>
      </c>
      <c r="C3159" s="362" t="s">
        <v>3435</v>
      </c>
      <c r="D3159" s="560">
        <v>51443865</v>
      </c>
      <c r="E3159" s="560"/>
      <c r="F3159" s="560">
        <v>51443900</v>
      </c>
      <c r="G3159" s="560">
        <f t="shared" si="71"/>
        <v>-35</v>
      </c>
      <c r="H3159" s="560"/>
      <c r="I3159" s="560"/>
      <c r="J3159" s="560"/>
    </row>
    <row r="3160" spans="1:10" x14ac:dyDescent="0.25">
      <c r="A3160" s="362"/>
      <c r="B3160" s="609">
        <v>44270</v>
      </c>
      <c r="C3160" s="370" t="s">
        <v>85</v>
      </c>
      <c r="D3160" s="560">
        <v>47820800</v>
      </c>
      <c r="E3160" s="560"/>
      <c r="F3160" s="560">
        <v>47820800</v>
      </c>
      <c r="G3160" s="560">
        <f t="shared" si="71"/>
        <v>0</v>
      </c>
      <c r="H3160" s="560"/>
      <c r="I3160" s="560"/>
      <c r="J3160" s="560"/>
    </row>
    <row r="3161" spans="1:10" x14ac:dyDescent="0.25">
      <c r="A3161" s="530"/>
      <c r="B3161" s="530"/>
      <c r="C3161" s="530"/>
      <c r="D3161" s="562">
        <f>SUM(D3146:D3160)</f>
        <v>2581779882</v>
      </c>
      <c r="E3161" s="562">
        <f>SUM(E3146:E3160)</f>
        <v>294213737</v>
      </c>
      <c r="F3161" s="562">
        <f>SUM(F3146:F3160)</f>
        <v>2876442466</v>
      </c>
      <c r="G3161" s="562">
        <f>SUM(G3146:G3160)</f>
        <v>-448847</v>
      </c>
      <c r="H3161" s="562"/>
      <c r="I3161" s="562"/>
      <c r="J3161" s="562"/>
    </row>
    <row r="3162" spans="1:10" x14ac:dyDescent="0.25">
      <c r="A3162" s="362"/>
      <c r="B3162" s="609">
        <v>44271</v>
      </c>
      <c r="C3162" s="362" t="s">
        <v>86</v>
      </c>
      <c r="D3162" s="560">
        <v>45476390</v>
      </c>
      <c r="E3162" s="560">
        <v>50559455</v>
      </c>
      <c r="F3162" s="560">
        <v>96035800</v>
      </c>
      <c r="G3162" s="560">
        <f>D3162+E3162-F3162</f>
        <v>45</v>
      </c>
      <c r="H3162" s="560"/>
      <c r="I3162" s="560"/>
      <c r="J3162" s="560"/>
    </row>
    <row r="3163" spans="1:10" x14ac:dyDescent="0.25">
      <c r="A3163" s="362"/>
      <c r="B3163" s="609">
        <v>44271</v>
      </c>
      <c r="C3163" s="362" t="s">
        <v>87</v>
      </c>
      <c r="D3163" s="560">
        <v>145745730</v>
      </c>
      <c r="E3163" s="560">
        <v>62040717</v>
      </c>
      <c r="F3163" s="560">
        <v>207786500</v>
      </c>
      <c r="G3163" s="560">
        <f t="shared" ref="G3163:G3176" si="72">D3163+E3163-F3163</f>
        <v>-53</v>
      </c>
      <c r="H3163" s="560"/>
      <c r="I3163" s="560"/>
      <c r="J3163" s="560"/>
    </row>
    <row r="3164" spans="1:10" x14ac:dyDescent="0.25">
      <c r="A3164" s="362"/>
      <c r="B3164" s="609">
        <v>44271</v>
      </c>
      <c r="C3164" s="362" t="s">
        <v>88</v>
      </c>
      <c r="D3164" s="560">
        <v>224844541</v>
      </c>
      <c r="E3164" s="560">
        <v>130141326</v>
      </c>
      <c r="F3164" s="560">
        <v>354985900</v>
      </c>
      <c r="G3164" s="560">
        <f t="shared" si="72"/>
        <v>-33</v>
      </c>
      <c r="H3164" s="560"/>
      <c r="I3164" s="560"/>
      <c r="J3164" s="560"/>
    </row>
    <row r="3165" spans="1:10" x14ac:dyDescent="0.25">
      <c r="A3165" s="362"/>
      <c r="B3165" s="609">
        <v>44271</v>
      </c>
      <c r="C3165" s="362" t="s">
        <v>82</v>
      </c>
      <c r="D3165" s="560">
        <v>59238488</v>
      </c>
      <c r="E3165" s="560">
        <v>7058400</v>
      </c>
      <c r="F3165" s="560">
        <v>66296900</v>
      </c>
      <c r="G3165" s="560">
        <f t="shared" si="72"/>
        <v>-12</v>
      </c>
      <c r="H3165" s="560"/>
      <c r="I3165" s="560"/>
      <c r="J3165" s="560"/>
    </row>
    <row r="3166" spans="1:10" x14ac:dyDescent="0.25">
      <c r="A3166" s="362"/>
      <c r="B3166" s="609">
        <v>44271</v>
      </c>
      <c r="C3166" s="362" t="s">
        <v>80</v>
      </c>
      <c r="D3166" s="560">
        <v>231640988</v>
      </c>
      <c r="E3166" s="560"/>
      <c r="F3166" s="560">
        <v>231671100</v>
      </c>
      <c r="G3166" s="560">
        <f t="shared" si="72"/>
        <v>-30112</v>
      </c>
      <c r="H3166" s="560"/>
      <c r="I3166" s="560"/>
      <c r="J3166" s="560"/>
    </row>
    <row r="3167" spans="1:10" x14ac:dyDescent="0.25">
      <c r="A3167" s="362"/>
      <c r="B3167" s="609">
        <v>44271</v>
      </c>
      <c r="C3167" s="362" t="s">
        <v>83</v>
      </c>
      <c r="D3167" s="560">
        <v>235602517</v>
      </c>
      <c r="E3167" s="560">
        <v>16303183</v>
      </c>
      <c r="F3167" s="560">
        <v>251905700</v>
      </c>
      <c r="G3167" s="560">
        <f t="shared" si="72"/>
        <v>0</v>
      </c>
      <c r="H3167" s="560"/>
      <c r="I3167" s="560"/>
      <c r="J3167" s="560"/>
    </row>
    <row r="3168" spans="1:10" x14ac:dyDescent="0.25">
      <c r="A3168" s="362"/>
      <c r="B3168" s="609">
        <v>44271</v>
      </c>
      <c r="C3168" s="362" t="s">
        <v>78</v>
      </c>
      <c r="D3168" s="560">
        <v>69655056</v>
      </c>
      <c r="E3168" s="560">
        <v>2999944</v>
      </c>
      <c r="F3168" s="560">
        <v>72655000</v>
      </c>
      <c r="G3168" s="560">
        <f t="shared" si="72"/>
        <v>0</v>
      </c>
      <c r="H3168" s="560"/>
      <c r="I3168" s="560"/>
      <c r="J3168" s="560"/>
    </row>
    <row r="3169" spans="1:10" x14ac:dyDescent="0.25">
      <c r="A3169" s="362"/>
      <c r="B3169" s="609">
        <v>44271</v>
      </c>
      <c r="C3169" s="362" t="s">
        <v>141</v>
      </c>
      <c r="D3169" s="560">
        <v>58835635</v>
      </c>
      <c r="E3169" s="560">
        <v>813346</v>
      </c>
      <c r="F3169" s="560">
        <v>59649000</v>
      </c>
      <c r="G3169" s="560">
        <f t="shared" si="72"/>
        <v>-19</v>
      </c>
      <c r="H3169" s="560"/>
      <c r="I3169" s="560"/>
      <c r="J3169" s="560"/>
    </row>
    <row r="3170" spans="1:10" x14ac:dyDescent="0.25">
      <c r="A3170" s="362"/>
      <c r="B3170" s="609">
        <v>44271</v>
      </c>
      <c r="C3170" s="362" t="s">
        <v>89</v>
      </c>
      <c r="D3170" s="560">
        <v>100062040</v>
      </c>
      <c r="E3170" s="560">
        <v>13222960</v>
      </c>
      <c r="F3170" s="560">
        <v>113285000</v>
      </c>
      <c r="G3170" s="560">
        <f t="shared" si="72"/>
        <v>0</v>
      </c>
      <c r="H3170" s="560"/>
      <c r="I3170" s="560"/>
      <c r="J3170" s="560"/>
    </row>
    <row r="3171" spans="1:10" x14ac:dyDescent="0.25">
      <c r="A3171" s="362"/>
      <c r="B3171" s="609">
        <v>44271</v>
      </c>
      <c r="C3171" s="362" t="s">
        <v>81</v>
      </c>
      <c r="D3171" s="560">
        <v>48708115</v>
      </c>
      <c r="E3171" s="560">
        <v>14724688</v>
      </c>
      <c r="F3171" s="560">
        <v>63432800</v>
      </c>
      <c r="G3171" s="560">
        <f t="shared" si="72"/>
        <v>3</v>
      </c>
      <c r="H3171" s="560"/>
      <c r="I3171" s="560"/>
      <c r="J3171" s="560"/>
    </row>
    <row r="3172" spans="1:10" x14ac:dyDescent="0.25">
      <c r="A3172" s="362"/>
      <c r="B3172" s="609">
        <v>44271</v>
      </c>
      <c r="C3172" s="362" t="s">
        <v>84</v>
      </c>
      <c r="D3172" s="560">
        <v>250529471</v>
      </c>
      <c r="E3172" s="560">
        <v>16081694</v>
      </c>
      <c r="F3172" s="560">
        <v>266611200</v>
      </c>
      <c r="G3172" s="560">
        <f t="shared" si="72"/>
        <v>-35</v>
      </c>
      <c r="H3172" s="560"/>
      <c r="I3172" s="560"/>
      <c r="J3172" s="560"/>
    </row>
    <row r="3173" spans="1:10" x14ac:dyDescent="0.25">
      <c r="A3173" s="362"/>
      <c r="B3173" s="609">
        <v>44271</v>
      </c>
      <c r="C3173" s="362" t="s">
        <v>4751</v>
      </c>
      <c r="D3173" s="560">
        <v>203969001</v>
      </c>
      <c r="E3173" s="560">
        <v>130874599</v>
      </c>
      <c r="F3173" s="560">
        <v>334843600</v>
      </c>
      <c r="G3173" s="560">
        <f t="shared" si="72"/>
        <v>0</v>
      </c>
      <c r="H3173" s="560"/>
      <c r="I3173" s="560"/>
      <c r="J3173" s="560"/>
    </row>
    <row r="3174" spans="1:10" x14ac:dyDescent="0.25">
      <c r="A3174" s="362"/>
      <c r="B3174" s="609">
        <v>44271</v>
      </c>
      <c r="C3174" s="362" t="s">
        <v>166</v>
      </c>
      <c r="D3174" s="560">
        <v>83839086</v>
      </c>
      <c r="E3174" s="560"/>
      <c r="F3174" s="560">
        <v>83839100</v>
      </c>
      <c r="G3174" s="560">
        <f t="shared" si="72"/>
        <v>-14</v>
      </c>
      <c r="H3174" s="560"/>
      <c r="I3174" s="560"/>
      <c r="J3174" s="560"/>
    </row>
    <row r="3175" spans="1:10" x14ac:dyDescent="0.25">
      <c r="A3175" s="362"/>
      <c r="B3175" s="609">
        <v>44271</v>
      </c>
      <c r="C3175" s="362" t="s">
        <v>3435</v>
      </c>
      <c r="D3175" s="560">
        <v>24156496</v>
      </c>
      <c r="E3175" s="560"/>
      <c r="F3175" s="560">
        <v>24156500</v>
      </c>
      <c r="G3175" s="560">
        <f t="shared" si="72"/>
        <v>-4</v>
      </c>
      <c r="H3175" s="560"/>
      <c r="I3175" s="560"/>
      <c r="J3175" s="560"/>
    </row>
    <row r="3176" spans="1:10" x14ac:dyDescent="0.25">
      <c r="A3176" s="362"/>
      <c r="B3176" s="609">
        <v>44271</v>
      </c>
      <c r="C3176" s="370" t="s">
        <v>85</v>
      </c>
      <c r="D3176" s="560">
        <v>27446400</v>
      </c>
      <c r="E3176" s="560"/>
      <c r="F3176" s="560">
        <v>27446400</v>
      </c>
      <c r="G3176" s="560">
        <f t="shared" si="72"/>
        <v>0</v>
      </c>
      <c r="H3176" s="560"/>
      <c r="I3176" s="560"/>
      <c r="J3176" s="560"/>
    </row>
    <row r="3177" spans="1:10" x14ac:dyDescent="0.25">
      <c r="A3177" s="530"/>
      <c r="B3177" s="530"/>
      <c r="C3177" s="530"/>
      <c r="D3177" s="562">
        <f>SUM(D3162:D3176)</f>
        <v>1809749954</v>
      </c>
      <c r="E3177" s="562">
        <f>SUM(E3162:E3176)</f>
        <v>444820312</v>
      </c>
      <c r="F3177" s="562">
        <f>SUM(F3162:F3176)</f>
        <v>2254600500</v>
      </c>
      <c r="G3177" s="562">
        <f>SUM(G3162:G3176)</f>
        <v>-30234</v>
      </c>
      <c r="H3177" s="562"/>
      <c r="I3177" s="562"/>
      <c r="J3177" s="562"/>
    </row>
    <row r="3178" spans="1:10" x14ac:dyDescent="0.25">
      <c r="A3178" s="362"/>
      <c r="B3178" s="609">
        <v>44272</v>
      </c>
      <c r="C3178" s="362" t="s">
        <v>86</v>
      </c>
      <c r="D3178" s="560">
        <v>54677424</v>
      </c>
      <c r="E3178" s="560">
        <v>27710248</v>
      </c>
      <c r="F3178" s="560">
        <v>82387600</v>
      </c>
      <c r="G3178" s="560">
        <f>D3178+E3178-F3178</f>
        <v>72</v>
      </c>
      <c r="H3178" s="560"/>
      <c r="I3178" s="560"/>
      <c r="J3178" s="560"/>
    </row>
    <row r="3179" spans="1:10" x14ac:dyDescent="0.25">
      <c r="A3179" s="362"/>
      <c r="B3179" s="609">
        <v>44272</v>
      </c>
      <c r="C3179" s="362" t="s">
        <v>87</v>
      </c>
      <c r="D3179" s="560">
        <v>134944880</v>
      </c>
      <c r="E3179" s="560">
        <v>33886843</v>
      </c>
      <c r="F3179" s="560">
        <v>168831200</v>
      </c>
      <c r="G3179" s="560">
        <f t="shared" ref="G3179:G3192" si="73">D3179+E3179-F3179</f>
        <v>523</v>
      </c>
      <c r="H3179" s="560"/>
      <c r="I3179" s="560"/>
      <c r="J3179" s="560"/>
    </row>
    <row r="3180" spans="1:10" x14ac:dyDescent="0.25">
      <c r="A3180" s="362"/>
      <c r="B3180" s="609">
        <v>44272</v>
      </c>
      <c r="C3180" s="362" t="s">
        <v>88</v>
      </c>
      <c r="D3180" s="560">
        <v>118529505</v>
      </c>
      <c r="E3180" s="560">
        <v>11584029</v>
      </c>
      <c r="F3180" s="560">
        <v>130113600</v>
      </c>
      <c r="G3180" s="560">
        <f t="shared" si="73"/>
        <v>-66</v>
      </c>
      <c r="H3180" s="560"/>
      <c r="I3180" s="560"/>
      <c r="J3180" s="560"/>
    </row>
    <row r="3181" spans="1:10" x14ac:dyDescent="0.25">
      <c r="A3181" s="362"/>
      <c r="B3181" s="609">
        <v>44272</v>
      </c>
      <c r="C3181" s="362" t="s">
        <v>82</v>
      </c>
      <c r="D3181" s="560">
        <v>114289620</v>
      </c>
      <c r="E3181" s="560">
        <v>3614188</v>
      </c>
      <c r="F3181" s="560">
        <v>117903900</v>
      </c>
      <c r="G3181" s="560">
        <f t="shared" si="73"/>
        <v>-92</v>
      </c>
      <c r="H3181" s="560"/>
      <c r="I3181" s="560"/>
      <c r="J3181" s="560"/>
    </row>
    <row r="3182" spans="1:10" x14ac:dyDescent="0.25">
      <c r="A3182" s="362"/>
      <c r="B3182" s="609">
        <v>44272</v>
      </c>
      <c r="C3182" s="362" t="s">
        <v>80</v>
      </c>
      <c r="D3182" s="560">
        <v>310228000</v>
      </c>
      <c r="E3182" s="560"/>
      <c r="F3182" s="560">
        <v>310132000</v>
      </c>
      <c r="G3182" s="560">
        <f t="shared" si="73"/>
        <v>96000</v>
      </c>
      <c r="H3182" s="560"/>
      <c r="I3182" s="560"/>
      <c r="J3182" s="560"/>
    </row>
    <row r="3183" spans="1:10" x14ac:dyDescent="0.25">
      <c r="A3183" s="362"/>
      <c r="B3183" s="609">
        <v>44272</v>
      </c>
      <c r="C3183" s="362" t="s">
        <v>83</v>
      </c>
      <c r="D3183" s="560">
        <v>117497640</v>
      </c>
      <c r="E3183" s="560">
        <v>54158196</v>
      </c>
      <c r="F3183" s="560">
        <v>171655300</v>
      </c>
      <c r="G3183" s="560">
        <f t="shared" si="73"/>
        <v>536</v>
      </c>
      <c r="H3183" s="560"/>
      <c r="I3183" s="560"/>
      <c r="J3183" s="560"/>
    </row>
    <row r="3184" spans="1:10" x14ac:dyDescent="0.25">
      <c r="A3184" s="362"/>
      <c r="B3184" s="609">
        <v>44272</v>
      </c>
      <c r="C3184" s="362" t="s">
        <v>78</v>
      </c>
      <c r="D3184" s="560">
        <v>89783721</v>
      </c>
      <c r="E3184" s="560">
        <v>1273979</v>
      </c>
      <c r="F3184" s="560">
        <v>91057700</v>
      </c>
      <c r="G3184" s="560">
        <f t="shared" si="73"/>
        <v>0</v>
      </c>
      <c r="H3184" s="560"/>
      <c r="I3184" s="560"/>
      <c r="J3184" s="560"/>
    </row>
    <row r="3185" spans="1:10" x14ac:dyDescent="0.25">
      <c r="A3185" s="362"/>
      <c r="B3185" s="609">
        <v>44272</v>
      </c>
      <c r="C3185" s="362" t="s">
        <v>141</v>
      </c>
      <c r="D3185" s="560">
        <v>99432218</v>
      </c>
      <c r="E3185" s="560">
        <v>1098778</v>
      </c>
      <c r="F3185" s="560">
        <v>100531000</v>
      </c>
      <c r="G3185" s="560">
        <f t="shared" si="73"/>
        <v>-4</v>
      </c>
      <c r="H3185" s="560"/>
      <c r="I3185" s="560"/>
      <c r="J3185" s="560"/>
    </row>
    <row r="3186" spans="1:10" x14ac:dyDescent="0.25">
      <c r="A3186" s="362"/>
      <c r="B3186" s="609">
        <v>44272</v>
      </c>
      <c r="C3186" s="362" t="s">
        <v>89</v>
      </c>
      <c r="D3186" s="560">
        <v>131563012</v>
      </c>
      <c r="E3186" s="560">
        <v>11571388</v>
      </c>
      <c r="F3186" s="560">
        <v>143134400</v>
      </c>
      <c r="G3186" s="560">
        <f t="shared" si="73"/>
        <v>0</v>
      </c>
      <c r="H3186" s="560"/>
      <c r="I3186" s="560"/>
      <c r="J3186" s="560"/>
    </row>
    <row r="3187" spans="1:10" x14ac:dyDescent="0.25">
      <c r="A3187" s="362"/>
      <c r="B3187" s="609">
        <v>44272</v>
      </c>
      <c r="C3187" s="362" t="s">
        <v>81</v>
      </c>
      <c r="D3187" s="560">
        <v>69630453</v>
      </c>
      <c r="E3187" s="560">
        <v>7968898</v>
      </c>
      <c r="F3187" s="560">
        <v>77599400</v>
      </c>
      <c r="G3187" s="560">
        <f t="shared" si="73"/>
        <v>-49</v>
      </c>
      <c r="H3187" s="560"/>
      <c r="I3187" s="560"/>
      <c r="J3187" s="560"/>
    </row>
    <row r="3188" spans="1:10" x14ac:dyDescent="0.25">
      <c r="A3188" s="362"/>
      <c r="B3188" s="609">
        <v>44272</v>
      </c>
      <c r="C3188" s="362" t="s">
        <v>84</v>
      </c>
      <c r="D3188" s="560">
        <v>359494928</v>
      </c>
      <c r="E3188" s="560">
        <v>12246987</v>
      </c>
      <c r="F3188" s="560">
        <v>371742000</v>
      </c>
      <c r="G3188" s="560">
        <f t="shared" si="73"/>
        <v>-85</v>
      </c>
      <c r="H3188" s="560"/>
      <c r="I3188" s="560"/>
      <c r="J3188" s="560"/>
    </row>
    <row r="3189" spans="1:10" x14ac:dyDescent="0.25">
      <c r="A3189" s="362"/>
      <c r="B3189" s="609">
        <v>44272</v>
      </c>
      <c r="C3189" s="362" t="s">
        <v>4751</v>
      </c>
      <c r="D3189" s="560">
        <v>144400532</v>
      </c>
      <c r="E3189" s="560">
        <v>12945168</v>
      </c>
      <c r="F3189" s="560">
        <v>157345700</v>
      </c>
      <c r="G3189" s="560">
        <f t="shared" si="73"/>
        <v>0</v>
      </c>
      <c r="H3189" s="560"/>
      <c r="I3189" s="560"/>
      <c r="J3189" s="560"/>
    </row>
    <row r="3190" spans="1:10" x14ac:dyDescent="0.25">
      <c r="A3190" s="362"/>
      <c r="B3190" s="609">
        <v>44272</v>
      </c>
      <c r="C3190" s="362" t="s">
        <v>166</v>
      </c>
      <c r="D3190" s="560">
        <v>56570466</v>
      </c>
      <c r="E3190" s="560"/>
      <c r="F3190" s="560">
        <v>56570500</v>
      </c>
      <c r="G3190" s="560">
        <f t="shared" si="73"/>
        <v>-34</v>
      </c>
      <c r="H3190" s="560"/>
      <c r="I3190" s="560"/>
      <c r="J3190" s="560"/>
    </row>
    <row r="3191" spans="1:10" x14ac:dyDescent="0.25">
      <c r="A3191" s="362"/>
      <c r="B3191" s="609">
        <v>44272</v>
      </c>
      <c r="C3191" s="362" t="s">
        <v>3435</v>
      </c>
      <c r="D3191" s="560">
        <v>88022196</v>
      </c>
      <c r="E3191" s="560"/>
      <c r="F3191" s="560">
        <v>88022200</v>
      </c>
      <c r="G3191" s="560">
        <f t="shared" si="73"/>
        <v>-4</v>
      </c>
      <c r="H3191" s="560"/>
      <c r="I3191" s="560"/>
      <c r="J3191" s="560"/>
    </row>
    <row r="3192" spans="1:10" x14ac:dyDescent="0.25">
      <c r="A3192" s="362"/>
      <c r="B3192" s="609">
        <v>44272</v>
      </c>
      <c r="C3192" s="370" t="s">
        <v>85</v>
      </c>
      <c r="D3192" s="560">
        <v>30820300</v>
      </c>
      <c r="E3192" s="560"/>
      <c r="F3192" s="560">
        <v>30820300</v>
      </c>
      <c r="G3192" s="560">
        <f t="shared" si="73"/>
        <v>0</v>
      </c>
      <c r="H3192" s="560"/>
      <c r="I3192" s="560"/>
      <c r="J3192" s="560"/>
    </row>
    <row r="3193" spans="1:10" x14ac:dyDescent="0.25">
      <c r="A3193" s="530"/>
      <c r="B3193" s="530"/>
      <c r="C3193" s="530"/>
      <c r="D3193" s="562">
        <f>SUM(D3178:D3192)</f>
        <v>1919884895</v>
      </c>
      <c r="E3193" s="562">
        <f>SUM(E3178:E3192)</f>
        <v>178058702</v>
      </c>
      <c r="F3193" s="562">
        <f>SUM(F3178:F3192)</f>
        <v>2097846800</v>
      </c>
      <c r="G3193" s="562">
        <f>SUM(G3178:G3192)</f>
        <v>96797</v>
      </c>
      <c r="H3193" s="562"/>
      <c r="I3193" s="562"/>
      <c r="J3193" s="562"/>
    </row>
    <row r="3194" spans="1:10" x14ac:dyDescent="0.25">
      <c r="A3194" s="362"/>
      <c r="B3194" s="609">
        <v>44273</v>
      </c>
      <c r="C3194" s="362" t="s">
        <v>86</v>
      </c>
      <c r="D3194" s="560">
        <v>61466005</v>
      </c>
      <c r="E3194" s="560">
        <v>21434650</v>
      </c>
      <c r="F3194" s="560">
        <v>82900700</v>
      </c>
      <c r="G3194" s="560">
        <f>D3194+E3194-F3194</f>
        <v>-45</v>
      </c>
      <c r="H3194" s="560"/>
      <c r="I3194" s="560"/>
      <c r="J3194" s="560"/>
    </row>
    <row r="3195" spans="1:10" x14ac:dyDescent="0.25">
      <c r="A3195" s="362"/>
      <c r="B3195" s="609">
        <v>44273</v>
      </c>
      <c r="C3195" s="362" t="s">
        <v>87</v>
      </c>
      <c r="D3195" s="560">
        <v>64117288</v>
      </c>
      <c r="E3195" s="560">
        <v>96832146</v>
      </c>
      <c r="F3195" s="560">
        <v>160949500</v>
      </c>
      <c r="G3195" s="560">
        <f t="shared" ref="G3195:G3208" si="74">D3195+E3195-F3195</f>
        <v>-66</v>
      </c>
      <c r="H3195" s="560"/>
      <c r="I3195" s="560"/>
      <c r="J3195" s="560"/>
    </row>
    <row r="3196" spans="1:10" x14ac:dyDescent="0.25">
      <c r="A3196" s="362"/>
      <c r="B3196" s="609">
        <v>44273</v>
      </c>
      <c r="C3196" s="362" t="s">
        <v>88</v>
      </c>
      <c r="D3196" s="560">
        <v>216354399</v>
      </c>
      <c r="E3196" s="560">
        <v>57937682</v>
      </c>
      <c r="F3196" s="560">
        <v>274292100</v>
      </c>
      <c r="G3196" s="560">
        <f t="shared" si="74"/>
        <v>-19</v>
      </c>
      <c r="H3196" s="560"/>
      <c r="I3196" s="560"/>
      <c r="J3196" s="560"/>
    </row>
    <row r="3197" spans="1:10" x14ac:dyDescent="0.25">
      <c r="A3197" s="362"/>
      <c r="B3197" s="609">
        <v>44273</v>
      </c>
      <c r="C3197" s="362" t="s">
        <v>82</v>
      </c>
      <c r="D3197" s="560">
        <v>135071745</v>
      </c>
      <c r="E3197" s="560">
        <v>2860648</v>
      </c>
      <c r="F3197" s="560">
        <v>137932400</v>
      </c>
      <c r="G3197" s="560">
        <f t="shared" si="74"/>
        <v>-7</v>
      </c>
      <c r="H3197" s="560"/>
      <c r="I3197" s="560"/>
      <c r="J3197" s="560"/>
    </row>
    <row r="3198" spans="1:10" x14ac:dyDescent="0.25">
      <c r="A3198" s="362"/>
      <c r="B3198" s="609">
        <v>44273</v>
      </c>
      <c r="C3198" s="362" t="s">
        <v>80</v>
      </c>
      <c r="D3198" s="560">
        <v>419959900</v>
      </c>
      <c r="E3198" s="560"/>
      <c r="F3198" s="560">
        <v>419959900</v>
      </c>
      <c r="G3198" s="560">
        <f t="shared" si="74"/>
        <v>0</v>
      </c>
      <c r="H3198" s="560"/>
      <c r="I3198" s="560"/>
      <c r="J3198" s="560"/>
    </row>
    <row r="3199" spans="1:10" x14ac:dyDescent="0.25">
      <c r="A3199" s="362"/>
      <c r="B3199" s="609">
        <v>44273</v>
      </c>
      <c r="C3199" s="362" t="s">
        <v>83</v>
      </c>
      <c r="D3199" s="560">
        <v>133813824</v>
      </c>
      <c r="E3199" s="560">
        <v>21436627</v>
      </c>
      <c r="F3199" s="560">
        <v>155250500</v>
      </c>
      <c r="G3199" s="560">
        <f t="shared" si="74"/>
        <v>-49</v>
      </c>
      <c r="H3199" s="560"/>
      <c r="I3199" s="560"/>
      <c r="J3199" s="560"/>
    </row>
    <row r="3200" spans="1:10" x14ac:dyDescent="0.25">
      <c r="A3200" s="362"/>
      <c r="B3200" s="609">
        <v>44273</v>
      </c>
      <c r="C3200" s="362" t="s">
        <v>78</v>
      </c>
      <c r="D3200" s="560">
        <v>117817778</v>
      </c>
      <c r="E3200" s="560">
        <v>907922</v>
      </c>
      <c r="F3200" s="560">
        <v>118725700</v>
      </c>
      <c r="G3200" s="560">
        <f t="shared" si="74"/>
        <v>0</v>
      </c>
      <c r="H3200" s="560"/>
      <c r="I3200" s="560"/>
      <c r="J3200" s="560"/>
    </row>
    <row r="3201" spans="1:10" x14ac:dyDescent="0.25">
      <c r="A3201" s="362"/>
      <c r="B3201" s="609">
        <v>44273</v>
      </c>
      <c r="C3201" s="362" t="s">
        <v>141</v>
      </c>
      <c r="D3201" s="560">
        <v>59463516</v>
      </c>
      <c r="E3201" s="560">
        <v>221595</v>
      </c>
      <c r="F3201" s="560">
        <v>59685200</v>
      </c>
      <c r="G3201" s="560">
        <f t="shared" si="74"/>
        <v>-89</v>
      </c>
      <c r="H3201" s="560"/>
      <c r="I3201" s="560"/>
      <c r="J3201" s="560"/>
    </row>
    <row r="3202" spans="1:10" x14ac:dyDescent="0.25">
      <c r="A3202" s="362"/>
      <c r="B3202" s="609">
        <v>44273</v>
      </c>
      <c r="C3202" s="362" t="s">
        <v>89</v>
      </c>
      <c r="D3202" s="560">
        <v>153272243</v>
      </c>
      <c r="E3202" s="560">
        <v>18384757</v>
      </c>
      <c r="F3202" s="560">
        <v>171657000</v>
      </c>
      <c r="G3202" s="560">
        <f t="shared" si="74"/>
        <v>0</v>
      </c>
      <c r="H3202" s="560"/>
      <c r="I3202" s="560"/>
      <c r="J3202" s="560"/>
    </row>
    <row r="3203" spans="1:10" x14ac:dyDescent="0.25">
      <c r="A3203" s="362"/>
      <c r="B3203" s="609">
        <v>44273</v>
      </c>
      <c r="C3203" s="362" t="s">
        <v>81</v>
      </c>
      <c r="D3203" s="560">
        <v>132497124</v>
      </c>
      <c r="E3203" s="560">
        <v>17176249</v>
      </c>
      <c r="F3203" s="560">
        <v>149673400</v>
      </c>
      <c r="G3203" s="560">
        <f t="shared" si="74"/>
        <v>-27</v>
      </c>
      <c r="H3203" s="560"/>
      <c r="I3203" s="560"/>
      <c r="J3203" s="560"/>
    </row>
    <row r="3204" spans="1:10" x14ac:dyDescent="0.25">
      <c r="A3204" s="362"/>
      <c r="B3204" s="609">
        <v>44273</v>
      </c>
      <c r="C3204" s="362" t="s">
        <v>84</v>
      </c>
      <c r="D3204" s="560">
        <v>215160247</v>
      </c>
      <c r="E3204" s="560">
        <v>14997386</v>
      </c>
      <c r="F3204" s="560">
        <v>230157700</v>
      </c>
      <c r="G3204" s="560">
        <f t="shared" si="74"/>
        <v>-67</v>
      </c>
      <c r="H3204" s="560"/>
      <c r="I3204" s="560"/>
      <c r="J3204" s="560"/>
    </row>
    <row r="3205" spans="1:10" x14ac:dyDescent="0.25">
      <c r="A3205" s="362"/>
      <c r="B3205" s="609">
        <v>44273</v>
      </c>
      <c r="C3205" s="362" t="s">
        <v>4751</v>
      </c>
      <c r="D3205" s="560">
        <v>177937039</v>
      </c>
      <c r="E3205" s="560">
        <v>12037461</v>
      </c>
      <c r="F3205" s="560">
        <v>189974500</v>
      </c>
      <c r="G3205" s="560">
        <f t="shared" si="74"/>
        <v>0</v>
      </c>
      <c r="H3205" s="560"/>
      <c r="I3205" s="560"/>
      <c r="J3205" s="560"/>
    </row>
    <row r="3206" spans="1:10" x14ac:dyDescent="0.25">
      <c r="A3206" s="362"/>
      <c r="B3206" s="609">
        <v>44273</v>
      </c>
      <c r="C3206" s="362" t="s">
        <v>166</v>
      </c>
      <c r="D3206" s="560">
        <v>65514814</v>
      </c>
      <c r="E3206" s="560"/>
      <c r="F3206" s="560">
        <v>65514900</v>
      </c>
      <c r="G3206" s="560">
        <f t="shared" si="74"/>
        <v>-86</v>
      </c>
      <c r="H3206" s="560"/>
      <c r="I3206" s="560"/>
      <c r="J3206" s="560"/>
    </row>
    <row r="3207" spans="1:10" x14ac:dyDescent="0.25">
      <c r="A3207" s="362"/>
      <c r="B3207" s="609">
        <v>44273</v>
      </c>
      <c r="C3207" s="362" t="s">
        <v>3435</v>
      </c>
      <c r="D3207" s="560">
        <v>55260555</v>
      </c>
      <c r="E3207" s="560"/>
      <c r="F3207" s="560">
        <v>55260600</v>
      </c>
      <c r="G3207" s="560">
        <f t="shared" si="74"/>
        <v>-45</v>
      </c>
      <c r="H3207" s="560"/>
      <c r="I3207" s="560"/>
      <c r="J3207" s="560"/>
    </row>
    <row r="3208" spans="1:10" x14ac:dyDescent="0.25">
      <c r="A3208" s="362"/>
      <c r="B3208" s="609">
        <v>44273</v>
      </c>
      <c r="C3208" s="370" t="s">
        <v>85</v>
      </c>
      <c r="D3208" s="560">
        <v>20669900</v>
      </c>
      <c r="E3208" s="560"/>
      <c r="F3208" s="560">
        <v>20669900</v>
      </c>
      <c r="G3208" s="560">
        <f t="shared" si="74"/>
        <v>0</v>
      </c>
      <c r="H3208" s="560"/>
      <c r="I3208" s="560"/>
      <c r="J3208" s="560"/>
    </row>
    <row r="3209" spans="1:10" x14ac:dyDescent="0.25">
      <c r="A3209" s="530"/>
      <c r="B3209" s="530"/>
      <c r="C3209" s="530"/>
      <c r="D3209" s="562">
        <f>SUM(D3194:D3208)</f>
        <v>2028376377</v>
      </c>
      <c r="E3209" s="562">
        <f>SUM(E3194:E3208)</f>
        <v>264227123</v>
      </c>
      <c r="F3209" s="562">
        <f>SUM(F3194:F3208)</f>
        <v>2292604000</v>
      </c>
      <c r="G3209" s="562">
        <f>SUM(G3194:G3208)</f>
        <v>-500</v>
      </c>
      <c r="H3209" s="562"/>
      <c r="I3209" s="562"/>
      <c r="J3209" s="562"/>
    </row>
    <row r="3210" spans="1:10" x14ac:dyDescent="0.25">
      <c r="A3210" s="362"/>
      <c r="B3210" s="609">
        <v>44274</v>
      </c>
      <c r="C3210" s="362" t="s">
        <v>86</v>
      </c>
      <c r="D3210" s="560">
        <v>33518627</v>
      </c>
      <c r="E3210" s="560">
        <v>50263218</v>
      </c>
      <c r="F3210" s="560">
        <v>83781900</v>
      </c>
      <c r="G3210" s="560">
        <f>D3210+E3210-F3210</f>
        <v>-55</v>
      </c>
      <c r="H3210" s="560"/>
      <c r="I3210" s="560"/>
      <c r="J3210" s="560"/>
    </row>
    <row r="3211" spans="1:10" x14ac:dyDescent="0.25">
      <c r="A3211" s="362"/>
      <c r="B3211" s="609">
        <v>44274</v>
      </c>
      <c r="C3211" s="362" t="s">
        <v>87</v>
      </c>
      <c r="D3211" s="560">
        <v>152708612</v>
      </c>
      <c r="E3211" s="560">
        <v>52312078</v>
      </c>
      <c r="F3211" s="560">
        <v>205020700</v>
      </c>
      <c r="G3211" s="560">
        <f t="shared" ref="G3211:G3224" si="75">D3211+E3211-F3211</f>
        <v>-10</v>
      </c>
      <c r="H3211" s="560"/>
      <c r="I3211" s="560"/>
      <c r="J3211" s="560"/>
    </row>
    <row r="3212" spans="1:10" x14ac:dyDescent="0.25">
      <c r="A3212" s="362"/>
      <c r="B3212" s="609">
        <v>44274</v>
      </c>
      <c r="C3212" s="362" t="s">
        <v>88</v>
      </c>
      <c r="D3212" s="560">
        <v>124808287</v>
      </c>
      <c r="E3212" s="560">
        <v>16005182</v>
      </c>
      <c r="F3212" s="560">
        <v>140813500</v>
      </c>
      <c r="G3212" s="560">
        <f t="shared" si="75"/>
        <v>-31</v>
      </c>
      <c r="H3212" s="560"/>
      <c r="I3212" s="560"/>
      <c r="J3212" s="560"/>
    </row>
    <row r="3213" spans="1:10" x14ac:dyDescent="0.25">
      <c r="A3213" s="362"/>
      <c r="B3213" s="609">
        <v>44274</v>
      </c>
      <c r="C3213" s="362" t="s">
        <v>82</v>
      </c>
      <c r="D3213" s="560">
        <v>102653557</v>
      </c>
      <c r="E3213" s="560">
        <v>2861970</v>
      </c>
      <c r="F3213" s="560">
        <v>105515600</v>
      </c>
      <c r="G3213" s="560">
        <f t="shared" si="75"/>
        <v>-73</v>
      </c>
      <c r="H3213" s="560"/>
      <c r="I3213" s="560"/>
      <c r="J3213" s="560"/>
    </row>
    <row r="3214" spans="1:10" x14ac:dyDescent="0.25">
      <c r="A3214" s="362"/>
      <c r="B3214" s="609">
        <v>44274</v>
      </c>
      <c r="C3214" s="362" t="s">
        <v>80</v>
      </c>
      <c r="D3214" s="560">
        <v>180094340</v>
      </c>
      <c r="E3214" s="560"/>
      <c r="F3214" s="560">
        <v>180095300</v>
      </c>
      <c r="G3214" s="560">
        <f t="shared" si="75"/>
        <v>-960</v>
      </c>
      <c r="H3214" s="560"/>
      <c r="I3214" s="560"/>
      <c r="J3214" s="560"/>
    </row>
    <row r="3215" spans="1:10" x14ac:dyDescent="0.25">
      <c r="A3215" s="362"/>
      <c r="B3215" s="609">
        <v>44274</v>
      </c>
      <c r="C3215" s="362" t="s">
        <v>83</v>
      </c>
      <c r="D3215" s="560">
        <v>204168865</v>
      </c>
      <c r="E3215" s="560">
        <v>136170750</v>
      </c>
      <c r="F3215" s="560">
        <v>340339700</v>
      </c>
      <c r="G3215" s="560">
        <f t="shared" si="75"/>
        <v>-85</v>
      </c>
      <c r="H3215" s="560"/>
      <c r="I3215" s="560"/>
      <c r="J3215" s="560"/>
    </row>
    <row r="3216" spans="1:10" x14ac:dyDescent="0.25">
      <c r="A3216" s="362"/>
      <c r="B3216" s="609">
        <v>44274</v>
      </c>
      <c r="C3216" s="362" t="s">
        <v>78</v>
      </c>
      <c r="D3216" s="560">
        <v>159245489</v>
      </c>
      <c r="E3216" s="560">
        <v>2200111</v>
      </c>
      <c r="F3216" s="560">
        <v>161445600</v>
      </c>
      <c r="G3216" s="560">
        <f t="shared" si="75"/>
        <v>0</v>
      </c>
      <c r="H3216" s="560"/>
      <c r="I3216" s="560"/>
      <c r="J3216" s="560"/>
    </row>
    <row r="3217" spans="1:10" x14ac:dyDescent="0.25">
      <c r="A3217" s="362"/>
      <c r="B3217" s="609">
        <v>44274</v>
      </c>
      <c r="C3217" s="362" t="s">
        <v>141</v>
      </c>
      <c r="D3217" s="560">
        <v>74940096</v>
      </c>
      <c r="E3217" s="560">
        <v>2811600</v>
      </c>
      <c r="F3217" s="560">
        <v>77751700</v>
      </c>
      <c r="G3217" s="560">
        <f t="shared" si="75"/>
        <v>-4</v>
      </c>
      <c r="H3217" s="560"/>
      <c r="I3217" s="560"/>
      <c r="J3217" s="560"/>
    </row>
    <row r="3218" spans="1:10" x14ac:dyDescent="0.25">
      <c r="A3218" s="362"/>
      <c r="B3218" s="609">
        <v>44274</v>
      </c>
      <c r="C3218" s="362" t="s">
        <v>89</v>
      </c>
      <c r="D3218" s="560">
        <v>133656978</v>
      </c>
      <c r="E3218" s="560">
        <v>60869022</v>
      </c>
      <c r="F3218" s="560">
        <v>194526000</v>
      </c>
      <c r="G3218" s="560">
        <f t="shared" si="75"/>
        <v>0</v>
      </c>
      <c r="H3218" s="560"/>
      <c r="I3218" s="560"/>
      <c r="J3218" s="560"/>
    </row>
    <row r="3219" spans="1:10" x14ac:dyDescent="0.25">
      <c r="A3219" s="362"/>
      <c r="B3219" s="609">
        <v>44274</v>
      </c>
      <c r="C3219" s="362" t="s">
        <v>81</v>
      </c>
      <c r="D3219" s="560">
        <v>56133767</v>
      </c>
      <c r="E3219" s="560">
        <v>54495689</v>
      </c>
      <c r="F3219" s="560">
        <v>110629500</v>
      </c>
      <c r="G3219" s="560">
        <f t="shared" si="75"/>
        <v>-44</v>
      </c>
      <c r="H3219" s="560"/>
      <c r="I3219" s="560"/>
      <c r="J3219" s="560"/>
    </row>
    <row r="3220" spans="1:10" x14ac:dyDescent="0.25">
      <c r="A3220" s="362"/>
      <c r="B3220" s="609">
        <v>44274</v>
      </c>
      <c r="C3220" s="362" t="s">
        <v>84</v>
      </c>
      <c r="D3220" s="560">
        <v>192548244</v>
      </c>
      <c r="E3220" s="560">
        <v>17373343</v>
      </c>
      <c r="F3220" s="560">
        <v>209921600</v>
      </c>
      <c r="G3220" s="560">
        <f t="shared" si="75"/>
        <v>-13</v>
      </c>
      <c r="H3220" s="560"/>
      <c r="I3220" s="560"/>
      <c r="J3220" s="560"/>
    </row>
    <row r="3221" spans="1:10" x14ac:dyDescent="0.25">
      <c r="A3221" s="362"/>
      <c r="B3221" s="609">
        <v>44274</v>
      </c>
      <c r="C3221" s="362" t="s">
        <v>4751</v>
      </c>
      <c r="D3221" s="560">
        <v>156986562</v>
      </c>
      <c r="E3221" s="560">
        <v>6471738</v>
      </c>
      <c r="F3221" s="560">
        <v>163458300</v>
      </c>
      <c r="G3221" s="560">
        <f t="shared" si="75"/>
        <v>0</v>
      </c>
      <c r="H3221" s="560"/>
      <c r="I3221" s="560"/>
      <c r="J3221" s="560"/>
    </row>
    <row r="3222" spans="1:10" x14ac:dyDescent="0.25">
      <c r="A3222" s="362"/>
      <c r="B3222" s="609">
        <v>44274</v>
      </c>
      <c r="C3222" s="362" t="s">
        <v>166</v>
      </c>
      <c r="D3222" s="560">
        <v>34171871</v>
      </c>
      <c r="E3222" s="560"/>
      <c r="F3222" s="560">
        <v>34171900</v>
      </c>
      <c r="G3222" s="560">
        <f t="shared" si="75"/>
        <v>-29</v>
      </c>
      <c r="H3222" s="560"/>
      <c r="I3222" s="560"/>
      <c r="J3222" s="560"/>
    </row>
    <row r="3223" spans="1:10" x14ac:dyDescent="0.25">
      <c r="A3223" s="362"/>
      <c r="B3223" s="609">
        <v>44274</v>
      </c>
      <c r="C3223" s="362" t="s">
        <v>3435</v>
      </c>
      <c r="D3223" s="560">
        <v>35410982</v>
      </c>
      <c r="E3223" s="560"/>
      <c r="F3223" s="560">
        <v>35411000</v>
      </c>
      <c r="G3223" s="560">
        <f t="shared" si="75"/>
        <v>-18</v>
      </c>
      <c r="H3223" s="560"/>
      <c r="I3223" s="560"/>
      <c r="J3223" s="560"/>
    </row>
    <row r="3224" spans="1:10" x14ac:dyDescent="0.25">
      <c r="A3224" s="362"/>
      <c r="B3224" s="609">
        <v>44274</v>
      </c>
      <c r="C3224" s="370" t="s">
        <v>85</v>
      </c>
      <c r="D3224" s="560">
        <v>19308200</v>
      </c>
      <c r="E3224" s="560"/>
      <c r="F3224" s="560">
        <v>19308200</v>
      </c>
      <c r="G3224" s="560">
        <f t="shared" si="75"/>
        <v>0</v>
      </c>
      <c r="H3224" s="560"/>
      <c r="I3224" s="560"/>
      <c r="J3224" s="560"/>
    </row>
    <row r="3225" spans="1:10" x14ac:dyDescent="0.25">
      <c r="A3225" s="530"/>
      <c r="B3225" s="530"/>
      <c r="C3225" s="530"/>
      <c r="D3225" s="562">
        <f>SUM(D3210:D3224)</f>
        <v>1660354477</v>
      </c>
      <c r="E3225" s="562">
        <f>SUM(E3210:E3224)</f>
        <v>401834701</v>
      </c>
      <c r="F3225" s="562">
        <f>SUM(F3210:F3224)</f>
        <v>2062190500</v>
      </c>
      <c r="G3225" s="562">
        <f>SUM(G3210:G3224)</f>
        <v>-1322</v>
      </c>
      <c r="H3225" s="562"/>
      <c r="I3225" s="562"/>
      <c r="J3225" s="562"/>
    </row>
    <row r="3226" spans="1:10" x14ac:dyDescent="0.25">
      <c r="A3226" s="362"/>
      <c r="B3226" s="609">
        <v>44275</v>
      </c>
      <c r="C3226" s="362" t="s">
        <v>86</v>
      </c>
      <c r="D3226" s="560">
        <v>51915853</v>
      </c>
      <c r="E3226" s="560">
        <v>62112630</v>
      </c>
      <c r="F3226" s="560">
        <v>114028000</v>
      </c>
      <c r="G3226" s="560">
        <f>D3226+E3226-F3226</f>
        <v>483</v>
      </c>
      <c r="H3226" s="560"/>
      <c r="I3226" s="560"/>
      <c r="J3226" s="560"/>
    </row>
    <row r="3227" spans="1:10" x14ac:dyDescent="0.25">
      <c r="A3227" s="362"/>
      <c r="B3227" s="609">
        <v>44275</v>
      </c>
      <c r="C3227" s="362" t="s">
        <v>87</v>
      </c>
      <c r="D3227" s="560">
        <v>76958507</v>
      </c>
      <c r="E3227" s="560">
        <v>132814768</v>
      </c>
      <c r="F3227" s="560">
        <v>209773000</v>
      </c>
      <c r="G3227" s="560">
        <f t="shared" ref="G3227:G3240" si="76">D3227+E3227-F3227</f>
        <v>275</v>
      </c>
      <c r="H3227" s="560"/>
      <c r="I3227" s="560"/>
      <c r="J3227" s="560"/>
    </row>
    <row r="3228" spans="1:10" x14ac:dyDescent="0.25">
      <c r="A3228" s="362"/>
      <c r="B3228" s="609">
        <v>44275</v>
      </c>
      <c r="C3228" s="362" t="s">
        <v>88</v>
      </c>
      <c r="D3228" s="560">
        <v>298606351</v>
      </c>
      <c r="E3228" s="560">
        <v>13301585</v>
      </c>
      <c r="F3228" s="560">
        <v>311908000</v>
      </c>
      <c r="G3228" s="560">
        <f t="shared" si="76"/>
        <v>-64</v>
      </c>
      <c r="H3228" s="560"/>
      <c r="I3228" s="560"/>
      <c r="J3228" s="560"/>
    </row>
    <row r="3229" spans="1:10" x14ac:dyDescent="0.25">
      <c r="A3229" s="362"/>
      <c r="B3229" s="609">
        <v>44275</v>
      </c>
      <c r="C3229" s="362" t="s">
        <v>82</v>
      </c>
      <c r="D3229" s="560">
        <v>61697799</v>
      </c>
      <c r="E3229" s="560">
        <v>6296900</v>
      </c>
      <c r="F3229" s="560">
        <v>67994700</v>
      </c>
      <c r="G3229" s="560">
        <f t="shared" si="76"/>
        <v>-1</v>
      </c>
      <c r="H3229" s="560"/>
      <c r="I3229" s="560"/>
      <c r="J3229" s="560"/>
    </row>
    <row r="3230" spans="1:10" x14ac:dyDescent="0.25">
      <c r="A3230" s="362"/>
      <c r="B3230" s="609">
        <v>44275</v>
      </c>
      <c r="C3230" s="362" t="s">
        <v>80</v>
      </c>
      <c r="D3230" s="560">
        <v>254058200</v>
      </c>
      <c r="E3230" s="560"/>
      <c r="F3230" s="560">
        <v>254058200</v>
      </c>
      <c r="G3230" s="560">
        <f t="shared" si="76"/>
        <v>0</v>
      </c>
      <c r="H3230" s="560"/>
      <c r="I3230" s="560"/>
      <c r="J3230" s="560"/>
    </row>
    <row r="3231" spans="1:10" x14ac:dyDescent="0.25">
      <c r="A3231" s="362"/>
      <c r="B3231" s="609">
        <v>44275</v>
      </c>
      <c r="C3231" s="362" t="s">
        <v>83</v>
      </c>
      <c r="D3231" s="560">
        <v>187403172</v>
      </c>
      <c r="E3231" s="560">
        <v>11450133</v>
      </c>
      <c r="F3231" s="560">
        <v>198853300</v>
      </c>
      <c r="G3231" s="560">
        <f t="shared" si="76"/>
        <v>5</v>
      </c>
      <c r="H3231" s="560"/>
      <c r="I3231" s="560"/>
      <c r="J3231" s="560"/>
    </row>
    <row r="3232" spans="1:10" x14ac:dyDescent="0.25">
      <c r="A3232" s="362"/>
      <c r="B3232" s="609">
        <v>44275</v>
      </c>
      <c r="C3232" s="362" t="s">
        <v>78</v>
      </c>
      <c r="D3232" s="560">
        <v>121119221</v>
      </c>
      <c r="E3232" s="560">
        <v>3813579</v>
      </c>
      <c r="F3232" s="560">
        <v>124932800</v>
      </c>
      <c r="G3232" s="560">
        <f t="shared" si="76"/>
        <v>0</v>
      </c>
      <c r="H3232" s="560"/>
      <c r="I3232" s="560"/>
      <c r="J3232" s="560"/>
    </row>
    <row r="3233" spans="1:10" x14ac:dyDescent="0.25">
      <c r="A3233" s="362"/>
      <c r="B3233" s="609">
        <v>44275</v>
      </c>
      <c r="C3233" s="362" t="s">
        <v>141</v>
      </c>
      <c r="D3233" s="560">
        <v>36726363</v>
      </c>
      <c r="E3233" s="560"/>
      <c r="F3233" s="560">
        <v>36726400</v>
      </c>
      <c r="G3233" s="560">
        <f t="shared" si="76"/>
        <v>-37</v>
      </c>
      <c r="H3233" s="560"/>
      <c r="I3233" s="560"/>
      <c r="J3233" s="560"/>
    </row>
    <row r="3234" spans="1:10" x14ac:dyDescent="0.25">
      <c r="A3234" s="362"/>
      <c r="B3234" s="609">
        <v>44275</v>
      </c>
      <c r="C3234" s="362" t="s">
        <v>89</v>
      </c>
      <c r="D3234" s="560">
        <v>99308326</v>
      </c>
      <c r="E3234" s="560">
        <v>42324790</v>
      </c>
      <c r="F3234" s="560">
        <v>141632500</v>
      </c>
      <c r="G3234" s="560">
        <f t="shared" si="76"/>
        <v>616</v>
      </c>
      <c r="H3234" s="560"/>
      <c r="I3234" s="560"/>
      <c r="J3234" s="560"/>
    </row>
    <row r="3235" spans="1:10" x14ac:dyDescent="0.25">
      <c r="A3235" s="362"/>
      <c r="B3235" s="609">
        <v>44275</v>
      </c>
      <c r="C3235" s="362" t="s">
        <v>81</v>
      </c>
      <c r="D3235" s="560">
        <v>86604027</v>
      </c>
      <c r="E3235" s="560">
        <v>13025300</v>
      </c>
      <c r="F3235" s="560">
        <v>97055300</v>
      </c>
      <c r="G3235" s="560">
        <f t="shared" si="76"/>
        <v>2574027</v>
      </c>
      <c r="H3235" s="560"/>
      <c r="I3235" s="560"/>
      <c r="J3235" s="560"/>
    </row>
    <row r="3236" spans="1:10" x14ac:dyDescent="0.25">
      <c r="A3236" s="362"/>
      <c r="B3236" s="609">
        <v>44275</v>
      </c>
      <c r="C3236" s="362" t="s">
        <v>84</v>
      </c>
      <c r="D3236" s="560">
        <v>168718595</v>
      </c>
      <c r="E3236" s="560">
        <v>8078120</v>
      </c>
      <c r="F3236" s="560">
        <v>182380800</v>
      </c>
      <c r="G3236" s="560">
        <f t="shared" si="76"/>
        <v>-5584085</v>
      </c>
      <c r="H3236" s="560"/>
      <c r="I3236" s="560"/>
      <c r="J3236" s="560"/>
    </row>
    <row r="3237" spans="1:10" x14ac:dyDescent="0.25">
      <c r="A3237" s="362"/>
      <c r="B3237" s="609">
        <v>44275</v>
      </c>
      <c r="C3237" s="362" t="s">
        <v>4751</v>
      </c>
      <c r="D3237" s="560">
        <v>162311070</v>
      </c>
      <c r="E3237" s="560">
        <v>11140430</v>
      </c>
      <c r="F3237" s="560">
        <v>173451500</v>
      </c>
      <c r="G3237" s="560">
        <f t="shared" si="76"/>
        <v>0</v>
      </c>
      <c r="H3237" s="560"/>
      <c r="I3237" s="560"/>
      <c r="J3237" s="560"/>
    </row>
    <row r="3238" spans="1:10" x14ac:dyDescent="0.25">
      <c r="A3238" s="362"/>
      <c r="B3238" s="609">
        <v>44275</v>
      </c>
      <c r="C3238" s="362" t="s">
        <v>166</v>
      </c>
      <c r="D3238" s="560"/>
      <c r="E3238" s="560"/>
      <c r="F3238" s="560"/>
      <c r="G3238" s="560">
        <f t="shared" si="76"/>
        <v>0</v>
      </c>
      <c r="H3238" s="560"/>
      <c r="I3238" s="560"/>
      <c r="J3238" s="560"/>
    </row>
    <row r="3239" spans="1:10" x14ac:dyDescent="0.25">
      <c r="A3239" s="362"/>
      <c r="B3239" s="609">
        <v>44275</v>
      </c>
      <c r="C3239" s="362" t="s">
        <v>3435</v>
      </c>
      <c r="D3239" s="560"/>
      <c r="E3239" s="560"/>
      <c r="F3239" s="560"/>
      <c r="G3239" s="560">
        <f t="shared" si="76"/>
        <v>0</v>
      </c>
      <c r="H3239" s="560"/>
      <c r="I3239" s="560"/>
      <c r="J3239" s="560"/>
    </row>
    <row r="3240" spans="1:10" x14ac:dyDescent="0.25">
      <c r="A3240" s="362"/>
      <c r="B3240" s="609">
        <v>44275</v>
      </c>
      <c r="C3240" s="370" t="s">
        <v>85</v>
      </c>
      <c r="D3240" s="560">
        <v>28911200</v>
      </c>
      <c r="E3240" s="560"/>
      <c r="F3240" s="560">
        <v>28911200</v>
      </c>
      <c r="G3240" s="560">
        <f t="shared" si="76"/>
        <v>0</v>
      </c>
      <c r="H3240" s="560"/>
      <c r="I3240" s="560"/>
      <c r="J3240" s="560"/>
    </row>
    <row r="3241" spans="1:10" x14ac:dyDescent="0.25">
      <c r="A3241" s="530"/>
      <c r="B3241" s="530"/>
      <c r="C3241" s="530"/>
      <c r="D3241" s="562">
        <f>SUM(D3226:D3240)</f>
        <v>1634338684</v>
      </c>
      <c r="E3241" s="562">
        <f>SUM(E3226:E3240)</f>
        <v>304358235</v>
      </c>
      <c r="F3241" s="562">
        <f>SUM(F3226:F3240)</f>
        <v>1941705700</v>
      </c>
      <c r="G3241" s="562">
        <f>SUM(G3226:G3240)</f>
        <v>-3008781</v>
      </c>
      <c r="H3241" s="562"/>
      <c r="I3241" s="562"/>
      <c r="J3241" s="562"/>
    </row>
    <row r="3242" spans="1:10" x14ac:dyDescent="0.25">
      <c r="A3242" s="362"/>
      <c r="B3242" s="609">
        <v>44277</v>
      </c>
      <c r="C3242" s="362" t="s">
        <v>86</v>
      </c>
      <c r="D3242" s="560">
        <v>45267100</v>
      </c>
      <c r="E3242" s="560">
        <v>131685433</v>
      </c>
      <c r="F3242" s="560">
        <v>176952500</v>
      </c>
      <c r="G3242" s="560">
        <f>D3242+E3242-F3242</f>
        <v>33</v>
      </c>
      <c r="H3242" s="560"/>
      <c r="I3242" s="560"/>
      <c r="J3242" s="560"/>
    </row>
    <row r="3243" spans="1:10" x14ac:dyDescent="0.25">
      <c r="A3243" s="362"/>
      <c r="B3243" s="609">
        <v>44277</v>
      </c>
      <c r="C3243" s="362" t="s">
        <v>87</v>
      </c>
      <c r="D3243" s="560">
        <v>97418332</v>
      </c>
      <c r="E3243" s="560">
        <v>13835221</v>
      </c>
      <c r="F3243" s="560">
        <v>111253600</v>
      </c>
      <c r="G3243" s="560">
        <f t="shared" ref="G3243:G3256" si="77">D3243+E3243-F3243</f>
        <v>-47</v>
      </c>
      <c r="H3243" s="560"/>
      <c r="I3243" s="560"/>
      <c r="J3243" s="560"/>
    </row>
    <row r="3244" spans="1:10" x14ac:dyDescent="0.25">
      <c r="A3244" s="362"/>
      <c r="B3244" s="609">
        <v>44277</v>
      </c>
      <c r="C3244" s="362" t="s">
        <v>88</v>
      </c>
      <c r="D3244" s="560">
        <v>159974336</v>
      </c>
      <c r="E3244" s="560">
        <v>18826094</v>
      </c>
      <c r="F3244" s="560">
        <v>178800500</v>
      </c>
      <c r="G3244" s="560">
        <f t="shared" si="77"/>
        <v>-70</v>
      </c>
      <c r="H3244" s="560"/>
      <c r="I3244" s="560"/>
      <c r="J3244" s="560"/>
    </row>
    <row r="3245" spans="1:10" x14ac:dyDescent="0.25">
      <c r="A3245" s="362"/>
      <c r="B3245" s="609">
        <v>44277</v>
      </c>
      <c r="C3245" s="362" t="s">
        <v>82</v>
      </c>
      <c r="D3245" s="560">
        <v>65702519</v>
      </c>
      <c r="E3245" s="560">
        <v>3489100</v>
      </c>
      <c r="F3245" s="560">
        <v>69191700</v>
      </c>
      <c r="G3245" s="560">
        <f t="shared" si="77"/>
        <v>-81</v>
      </c>
      <c r="H3245" s="560"/>
      <c r="I3245" s="560"/>
      <c r="J3245" s="560"/>
    </row>
    <row r="3246" spans="1:10" x14ac:dyDescent="0.25">
      <c r="A3246" s="362"/>
      <c r="B3246" s="609">
        <v>44277</v>
      </c>
      <c r="C3246" s="362" t="s">
        <v>80</v>
      </c>
      <c r="D3246" s="560">
        <v>219180201</v>
      </c>
      <c r="E3246" s="560"/>
      <c r="F3246" s="560">
        <v>219180200</v>
      </c>
      <c r="G3246" s="560">
        <f t="shared" si="77"/>
        <v>1</v>
      </c>
      <c r="H3246" s="560"/>
      <c r="I3246" s="560"/>
      <c r="J3246" s="560"/>
    </row>
    <row r="3247" spans="1:10" x14ac:dyDescent="0.25">
      <c r="A3247" s="362"/>
      <c r="B3247" s="609">
        <v>44277</v>
      </c>
      <c r="C3247" s="362" t="s">
        <v>83</v>
      </c>
      <c r="D3247" s="560">
        <v>195054954</v>
      </c>
      <c r="E3247" s="560">
        <v>35997746</v>
      </c>
      <c r="F3247" s="560">
        <v>231052700</v>
      </c>
      <c r="G3247" s="560">
        <f t="shared" si="77"/>
        <v>0</v>
      </c>
      <c r="H3247" s="560"/>
      <c r="I3247" s="560"/>
      <c r="J3247" s="560"/>
    </row>
    <row r="3248" spans="1:10" x14ac:dyDescent="0.25">
      <c r="A3248" s="362"/>
      <c r="B3248" s="609">
        <v>44277</v>
      </c>
      <c r="C3248" s="362" t="s">
        <v>78</v>
      </c>
      <c r="D3248" s="560">
        <v>62304219</v>
      </c>
      <c r="E3248" s="560">
        <v>1207481</v>
      </c>
      <c r="F3248" s="560">
        <v>63511700</v>
      </c>
      <c r="G3248" s="560">
        <f t="shared" si="77"/>
        <v>0</v>
      </c>
      <c r="H3248" s="560"/>
      <c r="I3248" s="560"/>
      <c r="J3248" s="560"/>
    </row>
    <row r="3249" spans="1:10" x14ac:dyDescent="0.25">
      <c r="A3249" s="362"/>
      <c r="B3249" s="609">
        <v>44277</v>
      </c>
      <c r="C3249" s="362" t="s">
        <v>141</v>
      </c>
      <c r="D3249" s="560">
        <v>30685815</v>
      </c>
      <c r="E3249" s="560">
        <v>5053534</v>
      </c>
      <c r="F3249" s="560">
        <v>35739400</v>
      </c>
      <c r="G3249" s="560">
        <f t="shared" si="77"/>
        <v>-51</v>
      </c>
      <c r="H3249" s="560"/>
      <c r="I3249" s="560"/>
      <c r="J3249" s="560"/>
    </row>
    <row r="3250" spans="1:10" x14ac:dyDescent="0.25">
      <c r="A3250" s="362"/>
      <c r="B3250" s="609">
        <v>44277</v>
      </c>
      <c r="C3250" s="362" t="s">
        <v>89</v>
      </c>
      <c r="D3250" s="560">
        <v>105771354</v>
      </c>
      <c r="E3250" s="560">
        <v>33172646</v>
      </c>
      <c r="F3250" s="560">
        <v>138944000</v>
      </c>
      <c r="G3250" s="560">
        <f t="shared" si="77"/>
        <v>0</v>
      </c>
      <c r="H3250" s="560"/>
      <c r="I3250" s="560"/>
      <c r="J3250" s="560"/>
    </row>
    <row r="3251" spans="1:10" x14ac:dyDescent="0.25">
      <c r="A3251" s="362"/>
      <c r="B3251" s="609">
        <v>44277</v>
      </c>
      <c r="C3251" s="362" t="s">
        <v>81</v>
      </c>
      <c r="D3251" s="560"/>
      <c r="E3251" s="560"/>
      <c r="F3251" s="560">
        <v>104305900</v>
      </c>
      <c r="G3251" s="560">
        <f t="shared" si="77"/>
        <v>-104305900</v>
      </c>
      <c r="H3251" s="560"/>
      <c r="I3251" s="560"/>
      <c r="J3251" s="560"/>
    </row>
    <row r="3252" spans="1:10" x14ac:dyDescent="0.25">
      <c r="A3252" s="362"/>
      <c r="B3252" s="609">
        <v>44277</v>
      </c>
      <c r="C3252" s="362" t="s">
        <v>84</v>
      </c>
      <c r="D3252" s="560"/>
      <c r="E3252" s="560"/>
      <c r="F3252" s="560">
        <v>176797200</v>
      </c>
      <c r="G3252" s="560">
        <f t="shared" si="77"/>
        <v>-176797200</v>
      </c>
      <c r="H3252" s="560"/>
      <c r="I3252" s="560"/>
      <c r="J3252" s="560"/>
    </row>
    <row r="3253" spans="1:10" x14ac:dyDescent="0.25">
      <c r="A3253" s="362"/>
      <c r="B3253" s="609">
        <v>44277</v>
      </c>
      <c r="C3253" s="362" t="s">
        <v>4751</v>
      </c>
      <c r="D3253" s="560">
        <v>167269650</v>
      </c>
      <c r="E3253" s="560">
        <v>20769850</v>
      </c>
      <c r="F3253" s="560">
        <v>188039500</v>
      </c>
      <c r="G3253" s="560">
        <f t="shared" si="77"/>
        <v>0</v>
      </c>
      <c r="H3253" s="560"/>
      <c r="I3253" s="560"/>
      <c r="J3253" s="560"/>
    </row>
    <row r="3254" spans="1:10" x14ac:dyDescent="0.25">
      <c r="A3254" s="362"/>
      <c r="B3254" s="609">
        <v>44277</v>
      </c>
      <c r="C3254" s="362" t="s">
        <v>166</v>
      </c>
      <c r="D3254" s="560">
        <v>34179569</v>
      </c>
      <c r="E3254" s="560"/>
      <c r="F3254" s="560">
        <v>34179500</v>
      </c>
      <c r="G3254" s="560">
        <f t="shared" si="77"/>
        <v>69</v>
      </c>
      <c r="H3254" s="560"/>
      <c r="I3254" s="560"/>
      <c r="J3254" s="560"/>
    </row>
    <row r="3255" spans="1:10" x14ac:dyDescent="0.25">
      <c r="A3255" s="362"/>
      <c r="B3255" s="609">
        <v>44277</v>
      </c>
      <c r="C3255" s="362" t="s">
        <v>3435</v>
      </c>
      <c r="D3255" s="560">
        <v>25577594</v>
      </c>
      <c r="E3255" s="560"/>
      <c r="F3255" s="560"/>
      <c r="G3255" s="560">
        <f t="shared" si="77"/>
        <v>25577594</v>
      </c>
      <c r="H3255" s="560"/>
      <c r="I3255" s="560"/>
      <c r="J3255" s="560"/>
    </row>
    <row r="3256" spans="1:10" x14ac:dyDescent="0.25">
      <c r="A3256" s="362"/>
      <c r="B3256" s="609">
        <v>44277</v>
      </c>
      <c r="C3256" s="370" t="s">
        <v>85</v>
      </c>
      <c r="D3256" s="560">
        <v>44427300</v>
      </c>
      <c r="E3256" s="560"/>
      <c r="F3256" s="560">
        <v>44427300</v>
      </c>
      <c r="G3256" s="560">
        <f t="shared" si="77"/>
        <v>0</v>
      </c>
      <c r="H3256" s="560"/>
      <c r="I3256" s="560"/>
      <c r="J3256" s="560"/>
    </row>
    <row r="3257" spans="1:10" x14ac:dyDescent="0.25">
      <c r="A3257" s="530"/>
      <c r="B3257" s="530"/>
      <c r="C3257" s="530"/>
      <c r="D3257" s="562">
        <f>SUM(D3242:D3256)</f>
        <v>1252812943</v>
      </c>
      <c r="E3257" s="562">
        <f>SUM(E3242:E3256)</f>
        <v>264037105</v>
      </c>
      <c r="F3257" s="562">
        <f>SUM(F3242:F3256)</f>
        <v>1772375700</v>
      </c>
      <c r="G3257" s="562">
        <f>SUM(G3242:G3256)</f>
        <v>-255525652</v>
      </c>
      <c r="H3257" s="562"/>
      <c r="I3257" s="562"/>
      <c r="J3257" s="562"/>
    </row>
    <row r="3258" spans="1:10" x14ac:dyDescent="0.25">
      <c r="A3258" s="362"/>
      <c r="B3258" s="609">
        <v>44278</v>
      </c>
      <c r="C3258" s="362" t="s">
        <v>86</v>
      </c>
      <c r="D3258" s="560">
        <v>81303423</v>
      </c>
      <c r="E3258" s="560">
        <v>15066983</v>
      </c>
      <c r="F3258" s="560">
        <v>96370500</v>
      </c>
      <c r="G3258" s="560">
        <f>D3258+E3258-F3258</f>
        <v>-94</v>
      </c>
      <c r="H3258" s="560"/>
      <c r="I3258" s="560"/>
      <c r="J3258" s="560"/>
    </row>
    <row r="3259" spans="1:10" x14ac:dyDescent="0.25">
      <c r="A3259" s="362"/>
      <c r="B3259" s="609">
        <v>44278</v>
      </c>
      <c r="C3259" s="362" t="s">
        <v>87</v>
      </c>
      <c r="D3259" s="560">
        <v>91627003</v>
      </c>
      <c r="E3259" s="560">
        <v>67708415</v>
      </c>
      <c r="F3259" s="560">
        <v>159335600</v>
      </c>
      <c r="G3259" s="560">
        <f t="shared" ref="G3259:G3272" si="78">D3259+E3259-F3259</f>
        <v>-182</v>
      </c>
      <c r="H3259" s="560"/>
      <c r="I3259" s="560"/>
      <c r="J3259" s="560"/>
    </row>
    <row r="3260" spans="1:10" x14ac:dyDescent="0.25">
      <c r="A3260" s="362"/>
      <c r="B3260" s="609">
        <v>44278</v>
      </c>
      <c r="C3260" s="362" t="s">
        <v>88</v>
      </c>
      <c r="D3260" s="560">
        <v>152910759</v>
      </c>
      <c r="E3260" s="560">
        <v>105583052</v>
      </c>
      <c r="F3260" s="560">
        <v>258494600</v>
      </c>
      <c r="G3260" s="560">
        <f t="shared" si="78"/>
        <v>-789</v>
      </c>
      <c r="H3260" s="560"/>
      <c r="I3260" s="560"/>
      <c r="J3260" s="560"/>
    </row>
    <row r="3261" spans="1:10" x14ac:dyDescent="0.25">
      <c r="A3261" s="362"/>
      <c r="B3261" s="609">
        <v>44278</v>
      </c>
      <c r="C3261" s="362" t="s">
        <v>82</v>
      </c>
      <c r="D3261" s="560">
        <v>45477065</v>
      </c>
      <c r="E3261" s="560">
        <v>2175185</v>
      </c>
      <c r="F3261" s="560">
        <v>47652300</v>
      </c>
      <c r="G3261" s="560">
        <f t="shared" si="78"/>
        <v>-50</v>
      </c>
      <c r="H3261" s="560"/>
      <c r="I3261" s="560"/>
      <c r="J3261" s="560"/>
    </row>
    <row r="3262" spans="1:10" x14ac:dyDescent="0.25">
      <c r="A3262" s="362"/>
      <c r="B3262" s="609">
        <v>44278</v>
      </c>
      <c r="C3262" s="362" t="s">
        <v>80</v>
      </c>
      <c r="D3262" s="560">
        <v>255026600</v>
      </c>
      <c r="E3262" s="560"/>
      <c r="F3262" s="560">
        <v>255026600</v>
      </c>
      <c r="G3262" s="560">
        <f t="shared" si="78"/>
        <v>0</v>
      </c>
      <c r="H3262" s="560"/>
      <c r="I3262" s="560"/>
      <c r="J3262" s="560"/>
    </row>
    <row r="3263" spans="1:10" x14ac:dyDescent="0.25">
      <c r="A3263" s="362"/>
      <c r="B3263" s="609">
        <v>44278</v>
      </c>
      <c r="C3263" s="362" t="s">
        <v>83</v>
      </c>
      <c r="D3263" s="560">
        <v>322012008</v>
      </c>
      <c r="E3263" s="560">
        <v>46003892</v>
      </c>
      <c r="F3263" s="560">
        <v>368015900</v>
      </c>
      <c r="G3263" s="560">
        <f t="shared" si="78"/>
        <v>0</v>
      </c>
      <c r="H3263" s="560"/>
      <c r="I3263" s="560"/>
      <c r="J3263" s="560"/>
    </row>
    <row r="3264" spans="1:10" x14ac:dyDescent="0.25">
      <c r="A3264" s="362"/>
      <c r="B3264" s="609">
        <v>44278</v>
      </c>
      <c r="C3264" s="362" t="s">
        <v>78</v>
      </c>
      <c r="D3264" s="560">
        <v>159126778</v>
      </c>
      <c r="E3264" s="560">
        <v>3927822</v>
      </c>
      <c r="F3264" s="560">
        <v>163054600</v>
      </c>
      <c r="G3264" s="560">
        <f t="shared" si="78"/>
        <v>0</v>
      </c>
      <c r="H3264" s="560"/>
      <c r="I3264" s="560"/>
      <c r="J3264" s="560"/>
    </row>
    <row r="3265" spans="1:10" x14ac:dyDescent="0.25">
      <c r="A3265" s="362"/>
      <c r="B3265" s="609">
        <v>44278</v>
      </c>
      <c r="C3265" s="362" t="s">
        <v>141</v>
      </c>
      <c r="D3265" s="560">
        <v>63443344</v>
      </c>
      <c r="E3265" s="560">
        <v>6031500</v>
      </c>
      <c r="F3265" s="560">
        <v>69474900</v>
      </c>
      <c r="G3265" s="560">
        <f t="shared" si="78"/>
        <v>-56</v>
      </c>
      <c r="H3265" s="560"/>
      <c r="I3265" s="560"/>
      <c r="J3265" s="560"/>
    </row>
    <row r="3266" spans="1:10" x14ac:dyDescent="0.25">
      <c r="A3266" s="362"/>
      <c r="B3266" s="609">
        <v>44278</v>
      </c>
      <c r="C3266" s="362" t="s">
        <v>89</v>
      </c>
      <c r="D3266" s="560">
        <v>159805705</v>
      </c>
      <c r="E3266" s="560">
        <v>58488895</v>
      </c>
      <c r="F3266" s="560">
        <v>218294600</v>
      </c>
      <c r="G3266" s="560">
        <f t="shared" si="78"/>
        <v>0</v>
      </c>
      <c r="H3266" s="560"/>
      <c r="I3266" s="560"/>
      <c r="J3266" s="560"/>
    </row>
    <row r="3267" spans="1:10" x14ac:dyDescent="0.25">
      <c r="A3267" s="362"/>
      <c r="B3267" s="609">
        <v>44278</v>
      </c>
      <c r="C3267" s="362" t="s">
        <v>81</v>
      </c>
      <c r="D3267" s="560">
        <v>76320893</v>
      </c>
      <c r="E3267" s="560">
        <v>10986062</v>
      </c>
      <c r="F3267" s="560">
        <v>87307000</v>
      </c>
      <c r="G3267" s="560">
        <f t="shared" si="78"/>
        <v>-45</v>
      </c>
      <c r="H3267" s="560"/>
      <c r="I3267" s="560"/>
      <c r="J3267" s="560"/>
    </row>
    <row r="3268" spans="1:10" x14ac:dyDescent="0.25">
      <c r="A3268" s="362"/>
      <c r="B3268" s="609">
        <v>44278</v>
      </c>
      <c r="C3268" s="362" t="s">
        <v>84</v>
      </c>
      <c r="D3268" s="560">
        <v>188479071</v>
      </c>
      <c r="E3268" s="560">
        <v>10663019</v>
      </c>
      <c r="F3268" s="560">
        <v>199142100</v>
      </c>
      <c r="G3268" s="560">
        <f t="shared" si="78"/>
        <v>-10</v>
      </c>
      <c r="H3268" s="560"/>
      <c r="I3268" s="560"/>
      <c r="J3268" s="560"/>
    </row>
    <row r="3269" spans="1:10" x14ac:dyDescent="0.25">
      <c r="A3269" s="362"/>
      <c r="B3269" s="609">
        <v>44278</v>
      </c>
      <c r="C3269" s="362" t="s">
        <v>4751</v>
      </c>
      <c r="D3269" s="560">
        <v>196808567</v>
      </c>
      <c r="E3269" s="560">
        <v>14502433</v>
      </c>
      <c r="F3269" s="560">
        <v>211311000</v>
      </c>
      <c r="G3269" s="560">
        <f t="shared" si="78"/>
        <v>0</v>
      </c>
      <c r="H3269" s="560"/>
      <c r="I3269" s="560"/>
      <c r="J3269" s="560"/>
    </row>
    <row r="3270" spans="1:10" x14ac:dyDescent="0.25">
      <c r="A3270" s="362"/>
      <c r="B3270" s="609">
        <v>44278</v>
      </c>
      <c r="C3270" s="362" t="s">
        <v>166</v>
      </c>
      <c r="D3270" s="560">
        <v>59029782</v>
      </c>
      <c r="E3270" s="560"/>
      <c r="F3270" s="560">
        <v>59029900</v>
      </c>
      <c r="G3270" s="560">
        <f t="shared" si="78"/>
        <v>-118</v>
      </c>
      <c r="H3270" s="560"/>
      <c r="I3270" s="560"/>
      <c r="J3270" s="560"/>
    </row>
    <row r="3271" spans="1:10" x14ac:dyDescent="0.25">
      <c r="A3271" s="362"/>
      <c r="B3271" s="609">
        <v>44278</v>
      </c>
      <c r="C3271" s="362" t="s">
        <v>3435</v>
      </c>
      <c r="D3271" s="560">
        <v>29298084</v>
      </c>
      <c r="E3271" s="560"/>
      <c r="F3271" s="560">
        <v>29298100</v>
      </c>
      <c r="G3271" s="560">
        <f t="shared" si="78"/>
        <v>-16</v>
      </c>
      <c r="H3271" s="560"/>
      <c r="I3271" s="560"/>
      <c r="J3271" s="560"/>
    </row>
    <row r="3272" spans="1:10" x14ac:dyDescent="0.25">
      <c r="A3272" s="362"/>
      <c r="B3272" s="609">
        <v>44278</v>
      </c>
      <c r="C3272" s="370" t="s">
        <v>85</v>
      </c>
      <c r="D3272" s="560">
        <v>34990200</v>
      </c>
      <c r="E3272" s="560"/>
      <c r="F3272" s="560">
        <v>34990200</v>
      </c>
      <c r="G3272" s="560">
        <f t="shared" si="78"/>
        <v>0</v>
      </c>
      <c r="H3272" s="560"/>
      <c r="I3272" s="560"/>
      <c r="J3272" s="560"/>
    </row>
    <row r="3273" spans="1:10" x14ac:dyDescent="0.25">
      <c r="A3273" s="530"/>
      <c r="B3273" s="530"/>
      <c r="C3273" s="530"/>
      <c r="D3273" s="562">
        <f>SUM(D3258:D3272)</f>
        <v>1915659282</v>
      </c>
      <c r="E3273" s="562">
        <f>SUM(E3258:E3272)</f>
        <v>341137258</v>
      </c>
      <c r="F3273" s="562">
        <f>SUM(F3258:F3272)</f>
        <v>2256797900</v>
      </c>
      <c r="G3273" s="562">
        <f>SUM(G3258:G3272)</f>
        <v>-1360</v>
      </c>
      <c r="H3273" s="562"/>
      <c r="I3273" s="562"/>
      <c r="J3273" s="562"/>
    </row>
    <row r="3274" spans="1:10" x14ac:dyDescent="0.25">
      <c r="A3274" s="362"/>
      <c r="B3274" s="609">
        <v>44279</v>
      </c>
      <c r="C3274" s="362" t="s">
        <v>86</v>
      </c>
      <c r="D3274" s="560">
        <v>67400393</v>
      </c>
      <c r="E3274" s="560">
        <v>65704325</v>
      </c>
      <c r="F3274" s="560">
        <v>133104800</v>
      </c>
      <c r="G3274" s="560">
        <f>D3274+E3274-F3274</f>
        <v>-82</v>
      </c>
      <c r="H3274" s="560"/>
      <c r="I3274" s="560"/>
      <c r="J3274" s="560"/>
    </row>
    <row r="3275" spans="1:10" x14ac:dyDescent="0.25">
      <c r="A3275" s="362"/>
      <c r="B3275" s="609">
        <v>44279</v>
      </c>
      <c r="C3275" s="362" t="s">
        <v>87</v>
      </c>
      <c r="D3275" s="560">
        <v>131063566</v>
      </c>
      <c r="E3275" s="560">
        <v>110577258</v>
      </c>
      <c r="F3275" s="560">
        <v>241640400</v>
      </c>
      <c r="G3275" s="560">
        <f t="shared" ref="G3275:G3288" si="79">D3275+E3275-F3275</f>
        <v>424</v>
      </c>
      <c r="H3275" s="560"/>
      <c r="I3275" s="560"/>
      <c r="J3275" s="560"/>
    </row>
    <row r="3276" spans="1:10" x14ac:dyDescent="0.25">
      <c r="A3276" s="362"/>
      <c r="B3276" s="609">
        <v>44279</v>
      </c>
      <c r="C3276" s="362" t="s">
        <v>88</v>
      </c>
      <c r="D3276" s="560">
        <v>203222104</v>
      </c>
      <c r="E3276" s="560">
        <v>128006397</v>
      </c>
      <c r="F3276" s="560">
        <v>331228500</v>
      </c>
      <c r="G3276" s="560">
        <f t="shared" si="79"/>
        <v>1</v>
      </c>
      <c r="H3276" s="560"/>
      <c r="I3276" s="560"/>
      <c r="J3276" s="560"/>
    </row>
    <row r="3277" spans="1:10" x14ac:dyDescent="0.25">
      <c r="A3277" s="362"/>
      <c r="B3277" s="609">
        <v>44279</v>
      </c>
      <c r="C3277" s="362" t="s">
        <v>82</v>
      </c>
      <c r="D3277" s="560">
        <v>100259877</v>
      </c>
      <c r="E3277" s="560">
        <v>1251500</v>
      </c>
      <c r="F3277" s="560">
        <v>101511400</v>
      </c>
      <c r="G3277" s="560">
        <f t="shared" si="79"/>
        <v>-23</v>
      </c>
      <c r="H3277" s="560"/>
      <c r="I3277" s="560"/>
      <c r="J3277" s="560"/>
    </row>
    <row r="3278" spans="1:10" x14ac:dyDescent="0.25">
      <c r="A3278" s="362"/>
      <c r="B3278" s="609">
        <v>44279</v>
      </c>
      <c r="C3278" s="362" t="s">
        <v>80</v>
      </c>
      <c r="D3278" s="560">
        <v>232552021</v>
      </c>
      <c r="E3278" s="560"/>
      <c r="F3278" s="560">
        <v>232552100</v>
      </c>
      <c r="G3278" s="560">
        <f t="shared" si="79"/>
        <v>-79</v>
      </c>
      <c r="H3278" s="560"/>
      <c r="I3278" s="560"/>
      <c r="J3278" s="560"/>
    </row>
    <row r="3279" spans="1:10" x14ac:dyDescent="0.25">
      <c r="A3279" s="362"/>
      <c r="B3279" s="609">
        <v>44279</v>
      </c>
      <c r="C3279" s="362" t="s">
        <v>83</v>
      </c>
      <c r="D3279" s="560">
        <v>172845467</v>
      </c>
      <c r="E3279" s="560">
        <v>109272957</v>
      </c>
      <c r="F3279" s="560">
        <v>282118600</v>
      </c>
      <c r="G3279" s="560">
        <f t="shared" si="79"/>
        <v>-176</v>
      </c>
      <c r="H3279" s="560"/>
      <c r="I3279" s="560"/>
      <c r="J3279" s="560"/>
    </row>
    <row r="3280" spans="1:10" x14ac:dyDescent="0.25">
      <c r="A3280" s="362"/>
      <c r="B3280" s="609">
        <v>44279</v>
      </c>
      <c r="C3280" s="362" t="s">
        <v>78</v>
      </c>
      <c r="D3280" s="560">
        <v>168367174</v>
      </c>
      <c r="E3280" s="560">
        <v>8719626</v>
      </c>
      <c r="F3280" s="560">
        <v>177086800</v>
      </c>
      <c r="G3280" s="560">
        <f t="shared" si="79"/>
        <v>0</v>
      </c>
      <c r="H3280" s="560"/>
      <c r="I3280" s="560"/>
      <c r="J3280" s="560"/>
    </row>
    <row r="3281" spans="1:10" x14ac:dyDescent="0.25">
      <c r="A3281" s="362"/>
      <c r="B3281" s="609">
        <v>44279</v>
      </c>
      <c r="C3281" s="362" t="s">
        <v>141</v>
      </c>
      <c r="D3281" s="560">
        <v>82455318</v>
      </c>
      <c r="E3281" s="560">
        <v>233342</v>
      </c>
      <c r="F3281" s="560">
        <v>82688700</v>
      </c>
      <c r="G3281" s="560">
        <f t="shared" si="79"/>
        <v>-40</v>
      </c>
      <c r="H3281" s="560"/>
      <c r="I3281" s="560"/>
      <c r="J3281" s="560"/>
    </row>
    <row r="3282" spans="1:10" x14ac:dyDescent="0.25">
      <c r="A3282" s="362"/>
      <c r="B3282" s="609">
        <v>44279</v>
      </c>
      <c r="C3282" s="362" t="s">
        <v>89</v>
      </c>
      <c r="D3282" s="560">
        <v>122132589</v>
      </c>
      <c r="E3282" s="560">
        <v>29642911</v>
      </c>
      <c r="F3282" s="560">
        <v>151775500</v>
      </c>
      <c r="G3282" s="560">
        <f t="shared" si="79"/>
        <v>0</v>
      </c>
      <c r="H3282" s="560"/>
      <c r="I3282" s="560"/>
      <c r="J3282" s="560"/>
    </row>
    <row r="3283" spans="1:10" x14ac:dyDescent="0.25">
      <c r="A3283" s="362"/>
      <c r="B3283" s="609">
        <v>44279</v>
      </c>
      <c r="C3283" s="362" t="s">
        <v>81</v>
      </c>
      <c r="D3283" s="560">
        <v>97025422</v>
      </c>
      <c r="E3283" s="560">
        <v>43386300</v>
      </c>
      <c r="F3283" s="560">
        <v>140411800</v>
      </c>
      <c r="G3283" s="560">
        <f t="shared" si="79"/>
        <v>-78</v>
      </c>
      <c r="H3283" s="560"/>
      <c r="I3283" s="560"/>
      <c r="J3283" s="560"/>
    </row>
    <row r="3284" spans="1:10" x14ac:dyDescent="0.25">
      <c r="A3284" s="362"/>
      <c r="B3284" s="609">
        <v>44279</v>
      </c>
      <c r="C3284" s="362" t="s">
        <v>84</v>
      </c>
      <c r="D3284" s="560">
        <v>235352644</v>
      </c>
      <c r="E3284" s="560">
        <v>6883288</v>
      </c>
      <c r="F3284" s="560">
        <v>242235500</v>
      </c>
      <c r="G3284" s="560">
        <f t="shared" si="79"/>
        <v>432</v>
      </c>
      <c r="H3284" s="560"/>
      <c r="I3284" s="560"/>
      <c r="J3284" s="560"/>
    </row>
    <row r="3285" spans="1:10" x14ac:dyDescent="0.25">
      <c r="A3285" s="362"/>
      <c r="B3285" s="609">
        <v>44279</v>
      </c>
      <c r="C3285" s="362" t="s">
        <v>4751</v>
      </c>
      <c r="D3285" s="560">
        <v>190803451</v>
      </c>
      <c r="E3285" s="560">
        <v>6357549</v>
      </c>
      <c r="F3285" s="560">
        <v>197161000</v>
      </c>
      <c r="G3285" s="560">
        <f t="shared" si="79"/>
        <v>0</v>
      </c>
      <c r="H3285" s="560"/>
      <c r="I3285" s="560"/>
      <c r="J3285" s="560"/>
    </row>
    <row r="3286" spans="1:10" x14ac:dyDescent="0.25">
      <c r="A3286" s="362"/>
      <c r="B3286" s="609">
        <v>44279</v>
      </c>
      <c r="C3286" s="362" t="s">
        <v>166</v>
      </c>
      <c r="D3286" s="560">
        <v>39391989</v>
      </c>
      <c r="E3286" s="560"/>
      <c r="F3286" s="560">
        <v>39392000</v>
      </c>
      <c r="G3286" s="560">
        <f t="shared" si="79"/>
        <v>-11</v>
      </c>
      <c r="H3286" s="560"/>
      <c r="I3286" s="560"/>
      <c r="J3286" s="560"/>
    </row>
    <row r="3287" spans="1:10" x14ac:dyDescent="0.25">
      <c r="A3287" s="362"/>
      <c r="B3287" s="609">
        <v>44279</v>
      </c>
      <c r="C3287" s="362" t="s">
        <v>3435</v>
      </c>
      <c r="D3287" s="560">
        <v>61667236</v>
      </c>
      <c r="E3287" s="560"/>
      <c r="F3287" s="560">
        <v>61667300</v>
      </c>
      <c r="G3287" s="560">
        <f t="shared" si="79"/>
        <v>-64</v>
      </c>
      <c r="H3287" s="560"/>
      <c r="I3287" s="560"/>
      <c r="J3287" s="560"/>
    </row>
    <row r="3288" spans="1:10" x14ac:dyDescent="0.25">
      <c r="A3288" s="362"/>
      <c r="B3288" s="609">
        <v>44279</v>
      </c>
      <c r="C3288" s="370" t="s">
        <v>85</v>
      </c>
      <c r="D3288" s="560">
        <v>39572000</v>
      </c>
      <c r="E3288" s="560"/>
      <c r="F3288" s="560">
        <v>39572000</v>
      </c>
      <c r="G3288" s="560">
        <f t="shared" si="79"/>
        <v>0</v>
      </c>
      <c r="H3288" s="560"/>
      <c r="I3288" s="560"/>
      <c r="J3288" s="560"/>
    </row>
    <row r="3289" spans="1:10" x14ac:dyDescent="0.25">
      <c r="A3289" s="530"/>
      <c r="B3289" s="530"/>
      <c r="C3289" s="530"/>
      <c r="D3289" s="562">
        <f>SUM(D3274:D3288)</f>
        <v>1944111251</v>
      </c>
      <c r="E3289" s="562">
        <f>SUM(E3274:E3288)</f>
        <v>510035453</v>
      </c>
      <c r="F3289" s="562">
        <f>SUM(F3274:F3288)</f>
        <v>2454146400</v>
      </c>
      <c r="G3289" s="562">
        <f>SUM(G3274:G3288)</f>
        <v>304</v>
      </c>
      <c r="H3289" s="562"/>
      <c r="I3289" s="562"/>
      <c r="J3289" s="562"/>
    </row>
    <row r="3290" spans="1:10" x14ac:dyDescent="0.25">
      <c r="A3290" s="362"/>
      <c r="B3290" s="609">
        <v>44280</v>
      </c>
      <c r="C3290" s="362" t="s">
        <v>86</v>
      </c>
      <c r="D3290" s="560">
        <v>101067925</v>
      </c>
      <c r="E3290" s="560">
        <v>51714031</v>
      </c>
      <c r="F3290" s="560">
        <v>152782000</v>
      </c>
      <c r="G3290" s="560">
        <f>D3290+E3290-F3290</f>
        <v>-44</v>
      </c>
      <c r="H3290" s="560"/>
      <c r="I3290" s="560"/>
      <c r="J3290" s="560"/>
    </row>
    <row r="3291" spans="1:10" x14ac:dyDescent="0.25">
      <c r="A3291" s="362"/>
      <c r="B3291" s="609">
        <v>44280</v>
      </c>
      <c r="C3291" s="362" t="s">
        <v>87</v>
      </c>
      <c r="D3291" s="560">
        <v>80528562</v>
      </c>
      <c r="E3291" s="560">
        <v>27076830</v>
      </c>
      <c r="F3291" s="560">
        <v>107605500</v>
      </c>
      <c r="G3291" s="560">
        <f t="shared" ref="G3291:G3304" si="80">D3291+E3291-F3291</f>
        <v>-108</v>
      </c>
      <c r="H3291" s="560"/>
      <c r="I3291" s="560"/>
      <c r="J3291" s="560"/>
    </row>
    <row r="3292" spans="1:10" x14ac:dyDescent="0.25">
      <c r="A3292" s="362"/>
      <c r="B3292" s="609">
        <v>44280</v>
      </c>
      <c r="C3292" s="362" t="s">
        <v>88</v>
      </c>
      <c r="D3292" s="560">
        <v>246358444</v>
      </c>
      <c r="E3292" s="560">
        <v>14516510</v>
      </c>
      <c r="F3292" s="560">
        <v>260875000</v>
      </c>
      <c r="G3292" s="560">
        <f t="shared" si="80"/>
        <v>-46</v>
      </c>
      <c r="H3292" s="560"/>
      <c r="I3292" s="560"/>
      <c r="J3292" s="560"/>
    </row>
    <row r="3293" spans="1:10" x14ac:dyDescent="0.25">
      <c r="A3293" s="362"/>
      <c r="B3293" s="609">
        <v>44280</v>
      </c>
      <c r="C3293" s="362" t="s">
        <v>82</v>
      </c>
      <c r="D3293" s="560">
        <v>214458901</v>
      </c>
      <c r="E3293" s="560">
        <v>4244800</v>
      </c>
      <c r="F3293" s="560">
        <v>218703800</v>
      </c>
      <c r="G3293" s="560">
        <f t="shared" si="80"/>
        <v>-99</v>
      </c>
      <c r="H3293" s="560"/>
      <c r="I3293" s="560"/>
      <c r="J3293" s="560"/>
    </row>
    <row r="3294" spans="1:10" x14ac:dyDescent="0.25">
      <c r="A3294" s="362"/>
      <c r="B3294" s="609">
        <v>44280</v>
      </c>
      <c r="C3294" s="362" t="s">
        <v>80</v>
      </c>
      <c r="D3294" s="560">
        <v>204745917</v>
      </c>
      <c r="E3294" s="560"/>
      <c r="F3294" s="560">
        <v>204745900</v>
      </c>
      <c r="G3294" s="560">
        <f t="shared" si="80"/>
        <v>17</v>
      </c>
      <c r="H3294" s="560"/>
      <c r="I3294" s="560"/>
      <c r="J3294" s="560"/>
    </row>
    <row r="3295" spans="1:10" x14ac:dyDescent="0.25">
      <c r="A3295" s="362"/>
      <c r="B3295" s="609">
        <v>44280</v>
      </c>
      <c r="C3295" s="362" t="s">
        <v>83</v>
      </c>
      <c r="D3295" s="560">
        <v>143408579</v>
      </c>
      <c r="E3295" s="560">
        <v>105565616</v>
      </c>
      <c r="F3295" s="560">
        <v>248974200</v>
      </c>
      <c r="G3295" s="560">
        <f t="shared" si="80"/>
        <v>-5</v>
      </c>
      <c r="H3295" s="560"/>
      <c r="I3295" s="560"/>
      <c r="J3295" s="560"/>
    </row>
    <row r="3296" spans="1:10" x14ac:dyDescent="0.25">
      <c r="A3296" s="362"/>
      <c r="B3296" s="609">
        <v>44280</v>
      </c>
      <c r="C3296" s="362" t="s">
        <v>78</v>
      </c>
      <c r="D3296" s="560">
        <v>85573851</v>
      </c>
      <c r="E3296" s="560">
        <v>8384949</v>
      </c>
      <c r="F3296" s="560">
        <v>93958800</v>
      </c>
      <c r="G3296" s="560">
        <f t="shared" si="80"/>
        <v>0</v>
      </c>
      <c r="H3296" s="560"/>
      <c r="I3296" s="560"/>
      <c r="J3296" s="560"/>
    </row>
    <row r="3297" spans="1:10" x14ac:dyDescent="0.25">
      <c r="A3297" s="362"/>
      <c r="B3297" s="609">
        <v>44280</v>
      </c>
      <c r="C3297" s="362" t="s">
        <v>141</v>
      </c>
      <c r="D3297" s="560">
        <v>86011655</v>
      </c>
      <c r="E3297" s="560">
        <v>4747893</v>
      </c>
      <c r="F3297" s="560">
        <v>90759800</v>
      </c>
      <c r="G3297" s="560">
        <f t="shared" si="80"/>
        <v>-252</v>
      </c>
      <c r="H3297" s="560"/>
      <c r="I3297" s="560"/>
      <c r="J3297" s="560"/>
    </row>
    <row r="3298" spans="1:10" x14ac:dyDescent="0.25">
      <c r="A3298" s="362"/>
      <c r="B3298" s="609">
        <v>44280</v>
      </c>
      <c r="C3298" s="362" t="s">
        <v>89</v>
      </c>
      <c r="D3298" s="560">
        <v>148839353</v>
      </c>
      <c r="E3298" s="560">
        <v>10022247</v>
      </c>
      <c r="F3298" s="560">
        <v>158861600</v>
      </c>
      <c r="G3298" s="560">
        <f t="shared" si="80"/>
        <v>0</v>
      </c>
      <c r="H3298" s="560"/>
      <c r="I3298" s="560"/>
      <c r="J3298" s="560"/>
    </row>
    <row r="3299" spans="1:10" x14ac:dyDescent="0.25">
      <c r="A3299" s="362"/>
      <c r="B3299" s="609">
        <v>44280</v>
      </c>
      <c r="C3299" s="362" t="s">
        <v>81</v>
      </c>
      <c r="D3299" s="560">
        <v>57531676</v>
      </c>
      <c r="E3299" s="560">
        <v>11523671</v>
      </c>
      <c r="F3299" s="560">
        <v>69055400</v>
      </c>
      <c r="G3299" s="560">
        <f t="shared" si="80"/>
        <v>-53</v>
      </c>
      <c r="H3299" s="560"/>
      <c r="I3299" s="560"/>
      <c r="J3299" s="560"/>
    </row>
    <row r="3300" spans="1:10" x14ac:dyDescent="0.25">
      <c r="A3300" s="362"/>
      <c r="B3300" s="609">
        <v>44280</v>
      </c>
      <c r="C3300" s="362" t="s">
        <v>84</v>
      </c>
      <c r="D3300" s="560">
        <v>235419066</v>
      </c>
      <c r="E3300" s="560">
        <v>11451916</v>
      </c>
      <c r="F3300" s="560">
        <v>246871000</v>
      </c>
      <c r="G3300" s="560">
        <f t="shared" si="80"/>
        <v>-18</v>
      </c>
      <c r="H3300" s="560"/>
      <c r="I3300" s="560"/>
      <c r="J3300" s="560"/>
    </row>
    <row r="3301" spans="1:10" x14ac:dyDescent="0.25">
      <c r="A3301" s="362"/>
      <c r="B3301" s="609">
        <v>44280</v>
      </c>
      <c r="C3301" s="362" t="s">
        <v>4751</v>
      </c>
      <c r="D3301" s="560">
        <v>268047364</v>
      </c>
      <c r="E3301" s="560">
        <v>14423436</v>
      </c>
      <c r="F3301" s="560">
        <v>282470600</v>
      </c>
      <c r="G3301" s="560">
        <f t="shared" si="80"/>
        <v>200</v>
      </c>
      <c r="H3301" s="560"/>
      <c r="I3301" s="560"/>
      <c r="J3301" s="560"/>
    </row>
    <row r="3302" spans="1:10" x14ac:dyDescent="0.25">
      <c r="A3302" s="362"/>
      <c r="B3302" s="609">
        <v>44280</v>
      </c>
      <c r="C3302" s="362" t="s">
        <v>166</v>
      </c>
      <c r="D3302" s="560">
        <v>81258944</v>
      </c>
      <c r="E3302" s="560"/>
      <c r="F3302" s="560">
        <v>81259000</v>
      </c>
      <c r="G3302" s="560">
        <f t="shared" si="80"/>
        <v>-56</v>
      </c>
      <c r="H3302" s="560"/>
      <c r="I3302" s="560"/>
      <c r="J3302" s="560"/>
    </row>
    <row r="3303" spans="1:10" x14ac:dyDescent="0.25">
      <c r="A3303" s="362"/>
      <c r="B3303" s="609">
        <v>44280</v>
      </c>
      <c r="C3303" s="362" t="s">
        <v>3435</v>
      </c>
      <c r="D3303" s="560">
        <v>190903100</v>
      </c>
      <c r="E3303" s="560"/>
      <c r="F3303" s="560">
        <v>190903100</v>
      </c>
      <c r="G3303" s="560">
        <f t="shared" si="80"/>
        <v>0</v>
      </c>
      <c r="H3303" s="560"/>
      <c r="I3303" s="560"/>
      <c r="J3303" s="560"/>
    </row>
    <row r="3304" spans="1:10" x14ac:dyDescent="0.25">
      <c r="A3304" s="362"/>
      <c r="B3304" s="609">
        <v>44280</v>
      </c>
      <c r="C3304" s="370" t="s">
        <v>85</v>
      </c>
      <c r="D3304" s="560">
        <v>22543900</v>
      </c>
      <c r="E3304" s="560"/>
      <c r="F3304" s="560">
        <v>22543900</v>
      </c>
      <c r="G3304" s="560">
        <f t="shared" si="80"/>
        <v>0</v>
      </c>
      <c r="H3304" s="560"/>
      <c r="I3304" s="560"/>
      <c r="J3304" s="560"/>
    </row>
    <row r="3305" spans="1:10" x14ac:dyDescent="0.25">
      <c r="A3305" s="530"/>
      <c r="B3305" s="530"/>
      <c r="C3305" s="530"/>
      <c r="D3305" s="562">
        <f>SUM(D3290:D3304)</f>
        <v>2166697237</v>
      </c>
      <c r="E3305" s="562">
        <f>SUM(E3290:E3304)</f>
        <v>263671899</v>
      </c>
      <c r="F3305" s="562">
        <f>SUM(F3290:F3304)</f>
        <v>2430369600</v>
      </c>
      <c r="G3305" s="562">
        <f>SUM(G3290:G3304)</f>
        <v>-464</v>
      </c>
      <c r="H3305" s="562"/>
      <c r="I3305" s="562"/>
      <c r="J3305" s="562"/>
    </row>
    <row r="3306" spans="1:10" x14ac:dyDescent="0.25">
      <c r="A3306" s="362"/>
      <c r="B3306" s="609">
        <v>44281</v>
      </c>
      <c r="C3306" s="362" t="s">
        <v>86</v>
      </c>
      <c r="D3306" s="560">
        <v>35606243</v>
      </c>
      <c r="E3306" s="560">
        <v>12915743</v>
      </c>
      <c r="F3306" s="560">
        <v>48522000</v>
      </c>
      <c r="G3306" s="560">
        <f>D3306+E3306-F3306</f>
        <v>-14</v>
      </c>
      <c r="H3306" s="560"/>
      <c r="I3306" s="560"/>
      <c r="J3306" s="560"/>
    </row>
    <row r="3307" spans="1:10" x14ac:dyDescent="0.25">
      <c r="A3307" s="362"/>
      <c r="B3307" s="609">
        <v>44281</v>
      </c>
      <c r="C3307" s="362" t="s">
        <v>87</v>
      </c>
      <c r="D3307" s="560">
        <v>78201115</v>
      </c>
      <c r="E3307" s="560">
        <v>34197605</v>
      </c>
      <c r="F3307" s="560">
        <v>112398700</v>
      </c>
      <c r="G3307" s="560">
        <f t="shared" ref="G3307:G3320" si="81">D3307+E3307-F3307</f>
        <v>20</v>
      </c>
      <c r="H3307" s="560"/>
      <c r="I3307" s="560"/>
      <c r="J3307" s="560"/>
    </row>
    <row r="3308" spans="1:10" x14ac:dyDescent="0.25">
      <c r="A3308" s="362"/>
      <c r="B3308" s="609">
        <v>44281</v>
      </c>
      <c r="C3308" s="362" t="s">
        <v>88</v>
      </c>
      <c r="D3308" s="560">
        <v>107837851</v>
      </c>
      <c r="E3308" s="560">
        <v>74049270</v>
      </c>
      <c r="F3308" s="560">
        <v>181887200</v>
      </c>
      <c r="G3308" s="560">
        <f t="shared" si="81"/>
        <v>-79</v>
      </c>
      <c r="H3308" s="560"/>
      <c r="I3308" s="560"/>
      <c r="J3308" s="560"/>
    </row>
    <row r="3309" spans="1:10" x14ac:dyDescent="0.25">
      <c r="A3309" s="362"/>
      <c r="B3309" s="609">
        <v>44281</v>
      </c>
      <c r="C3309" s="362" t="s">
        <v>82</v>
      </c>
      <c r="D3309" s="560">
        <v>72851980</v>
      </c>
      <c r="E3309" s="560">
        <v>2523307</v>
      </c>
      <c r="F3309" s="560">
        <v>75375300</v>
      </c>
      <c r="G3309" s="560">
        <f t="shared" si="81"/>
        <v>-13</v>
      </c>
      <c r="H3309" s="560"/>
      <c r="I3309" s="560"/>
      <c r="J3309" s="560"/>
    </row>
    <row r="3310" spans="1:10" x14ac:dyDescent="0.25">
      <c r="A3310" s="362"/>
      <c r="B3310" s="609">
        <v>44281</v>
      </c>
      <c r="C3310" s="362" t="s">
        <v>80</v>
      </c>
      <c r="D3310" s="560">
        <v>209627054</v>
      </c>
      <c r="E3310" s="560">
        <v>60312699</v>
      </c>
      <c r="F3310" s="560">
        <v>269937100</v>
      </c>
      <c r="G3310" s="560">
        <f t="shared" si="81"/>
        <v>2653</v>
      </c>
      <c r="H3310" s="560"/>
      <c r="I3310" s="560"/>
      <c r="J3310" s="560"/>
    </row>
    <row r="3311" spans="1:10" x14ac:dyDescent="0.25">
      <c r="A3311" s="362"/>
      <c r="B3311" s="609">
        <v>44281</v>
      </c>
      <c r="C3311" s="362" t="s">
        <v>83</v>
      </c>
      <c r="D3311" s="560">
        <v>258676292</v>
      </c>
      <c r="E3311" s="560">
        <v>204902503</v>
      </c>
      <c r="F3311" s="560">
        <v>463578800</v>
      </c>
      <c r="G3311" s="560">
        <f t="shared" si="81"/>
        <v>-5</v>
      </c>
      <c r="H3311" s="560"/>
      <c r="I3311" s="560"/>
      <c r="J3311" s="560"/>
    </row>
    <row r="3312" spans="1:10" x14ac:dyDescent="0.25">
      <c r="A3312" s="362"/>
      <c r="B3312" s="609">
        <v>44281</v>
      </c>
      <c r="C3312" s="362" t="s">
        <v>78</v>
      </c>
      <c r="D3312" s="560">
        <v>72778569</v>
      </c>
      <c r="E3312" s="560">
        <v>3756431</v>
      </c>
      <c r="F3312" s="560">
        <v>76535000</v>
      </c>
      <c r="G3312" s="560">
        <f t="shared" si="81"/>
        <v>0</v>
      </c>
      <c r="H3312" s="560"/>
      <c r="I3312" s="560"/>
      <c r="J3312" s="560"/>
    </row>
    <row r="3313" spans="1:10" x14ac:dyDescent="0.25">
      <c r="A3313" s="362"/>
      <c r="B3313" s="609">
        <v>44281</v>
      </c>
      <c r="C3313" s="362" t="s">
        <v>141</v>
      </c>
      <c r="D3313" s="560">
        <v>56055224</v>
      </c>
      <c r="E3313" s="560">
        <v>57315894</v>
      </c>
      <c r="F3313" s="560">
        <v>113371200</v>
      </c>
      <c r="G3313" s="560">
        <f t="shared" si="81"/>
        <v>-82</v>
      </c>
      <c r="H3313" s="560"/>
      <c r="I3313" s="560"/>
      <c r="J3313" s="560"/>
    </row>
    <row r="3314" spans="1:10" x14ac:dyDescent="0.25">
      <c r="A3314" s="362"/>
      <c r="B3314" s="609">
        <v>44281</v>
      </c>
      <c r="C3314" s="362" t="s">
        <v>89</v>
      </c>
      <c r="D3314" s="560">
        <v>176350461</v>
      </c>
      <c r="E3314" s="560">
        <v>45028539</v>
      </c>
      <c r="F3314" s="560">
        <v>221379000</v>
      </c>
      <c r="G3314" s="560">
        <f t="shared" si="81"/>
        <v>0</v>
      </c>
      <c r="H3314" s="560"/>
      <c r="I3314" s="560"/>
      <c r="J3314" s="560"/>
    </row>
    <row r="3315" spans="1:10" x14ac:dyDescent="0.25">
      <c r="A3315" s="362"/>
      <c r="B3315" s="609">
        <v>44281</v>
      </c>
      <c r="C3315" s="362" t="s">
        <v>81</v>
      </c>
      <c r="D3315" s="560">
        <v>43758058</v>
      </c>
      <c r="E3315" s="560">
        <v>10466097</v>
      </c>
      <c r="F3315" s="560">
        <v>54224200</v>
      </c>
      <c r="G3315" s="560">
        <f t="shared" si="81"/>
        <v>-45</v>
      </c>
      <c r="H3315" s="560"/>
      <c r="I3315" s="560"/>
      <c r="J3315" s="560"/>
    </row>
    <row r="3316" spans="1:10" x14ac:dyDescent="0.25">
      <c r="A3316" s="362"/>
      <c r="B3316" s="609">
        <v>44281</v>
      </c>
      <c r="C3316" s="362" t="s">
        <v>84</v>
      </c>
      <c r="D3316" s="560">
        <v>222858764</v>
      </c>
      <c r="E3316" s="560">
        <v>11291054</v>
      </c>
      <c r="F3316" s="560">
        <v>234149800</v>
      </c>
      <c r="G3316" s="560">
        <f t="shared" si="81"/>
        <v>18</v>
      </c>
      <c r="H3316" s="560"/>
      <c r="I3316" s="560"/>
      <c r="J3316" s="560"/>
    </row>
    <row r="3317" spans="1:10" x14ac:dyDescent="0.25">
      <c r="A3317" s="362"/>
      <c r="B3317" s="609">
        <v>44281</v>
      </c>
      <c r="C3317" s="362" t="s">
        <v>4751</v>
      </c>
      <c r="D3317" s="560">
        <v>134488915</v>
      </c>
      <c r="E3317" s="560">
        <v>15132685</v>
      </c>
      <c r="F3317" s="560">
        <v>149624600</v>
      </c>
      <c r="G3317" s="560">
        <f t="shared" si="81"/>
        <v>-3000</v>
      </c>
      <c r="H3317" s="560"/>
      <c r="I3317" s="560"/>
      <c r="J3317" s="560"/>
    </row>
    <row r="3318" spans="1:10" x14ac:dyDescent="0.25">
      <c r="A3318" s="362"/>
      <c r="B3318" s="609">
        <v>44281</v>
      </c>
      <c r="C3318" s="362" t="s">
        <v>166</v>
      </c>
      <c r="D3318" s="560">
        <v>52269038</v>
      </c>
      <c r="E3318" s="560"/>
      <c r="F3318" s="560">
        <v>52269000</v>
      </c>
      <c r="G3318" s="560">
        <f t="shared" si="81"/>
        <v>38</v>
      </c>
      <c r="H3318" s="560"/>
      <c r="I3318" s="560"/>
      <c r="J3318" s="560"/>
    </row>
    <row r="3319" spans="1:10" x14ac:dyDescent="0.25">
      <c r="A3319" s="362"/>
      <c r="B3319" s="609">
        <v>44281</v>
      </c>
      <c r="C3319" s="362" t="s">
        <v>3435</v>
      </c>
      <c r="D3319" s="560">
        <v>18139725</v>
      </c>
      <c r="E3319" s="560"/>
      <c r="F3319" s="560">
        <v>18139800</v>
      </c>
      <c r="G3319" s="560">
        <f t="shared" si="81"/>
        <v>-75</v>
      </c>
      <c r="H3319" s="560"/>
      <c r="I3319" s="560"/>
      <c r="J3319" s="560"/>
    </row>
    <row r="3320" spans="1:10" x14ac:dyDescent="0.25">
      <c r="A3320" s="362"/>
      <c r="B3320" s="609">
        <v>44281</v>
      </c>
      <c r="C3320" s="370" t="s">
        <v>85</v>
      </c>
      <c r="D3320" s="560">
        <v>25598200</v>
      </c>
      <c r="E3320" s="560"/>
      <c r="F3320" s="560">
        <v>25598200</v>
      </c>
      <c r="G3320" s="560">
        <f t="shared" si="81"/>
        <v>0</v>
      </c>
      <c r="H3320" s="560"/>
      <c r="I3320" s="560"/>
      <c r="J3320" s="560"/>
    </row>
    <row r="3321" spans="1:10" x14ac:dyDescent="0.25">
      <c r="A3321" s="530"/>
      <c r="B3321" s="530"/>
      <c r="C3321" s="530"/>
      <c r="D3321" s="562">
        <f>SUM(D3306:D3320)</f>
        <v>1565097489</v>
      </c>
      <c r="E3321" s="562">
        <f>SUM(E3306:E3320)</f>
        <v>531891827</v>
      </c>
      <c r="F3321" s="562">
        <f>SUM(F3306:F3320)</f>
        <v>2096989900</v>
      </c>
      <c r="G3321" s="562">
        <f>SUM(G3306:G3320)</f>
        <v>-584</v>
      </c>
      <c r="H3321" s="562"/>
      <c r="I3321" s="562"/>
      <c r="J3321" s="562"/>
    </row>
    <row r="3322" spans="1:10" x14ac:dyDescent="0.25">
      <c r="A3322" s="362"/>
      <c r="B3322" s="609">
        <v>44282</v>
      </c>
      <c r="C3322" s="362" t="s">
        <v>86</v>
      </c>
      <c r="D3322" s="560">
        <v>37747788</v>
      </c>
      <c r="E3322" s="560">
        <v>91812600</v>
      </c>
      <c r="F3322" s="560">
        <v>129560400</v>
      </c>
      <c r="G3322" s="560">
        <f>D3322+E3322-F3322</f>
        <v>-12</v>
      </c>
      <c r="H3322" s="560"/>
      <c r="I3322" s="560"/>
      <c r="J3322" s="560"/>
    </row>
    <row r="3323" spans="1:10" x14ac:dyDescent="0.25">
      <c r="A3323" s="362"/>
      <c r="B3323" s="609">
        <v>44282</v>
      </c>
      <c r="C3323" s="362" t="s">
        <v>87</v>
      </c>
      <c r="D3323" s="560">
        <v>18249330</v>
      </c>
      <c r="E3323" s="560">
        <v>67169279</v>
      </c>
      <c r="F3323" s="560">
        <v>85418600</v>
      </c>
      <c r="G3323" s="560">
        <f t="shared" ref="G3323:G3387" si="82">D3323+E3323-F3323</f>
        <v>9</v>
      </c>
      <c r="H3323" s="560"/>
      <c r="I3323" s="560"/>
      <c r="J3323" s="560"/>
    </row>
    <row r="3324" spans="1:10" x14ac:dyDescent="0.25">
      <c r="A3324" s="362"/>
      <c r="B3324" s="609">
        <v>44282</v>
      </c>
      <c r="C3324" s="362" t="s">
        <v>88</v>
      </c>
      <c r="D3324" s="560">
        <v>148967035</v>
      </c>
      <c r="E3324" s="560">
        <v>9212081</v>
      </c>
      <c r="F3324" s="560">
        <v>158179200</v>
      </c>
      <c r="G3324" s="560">
        <f t="shared" si="82"/>
        <v>-84</v>
      </c>
      <c r="H3324" s="560"/>
      <c r="I3324" s="560"/>
      <c r="J3324" s="560"/>
    </row>
    <row r="3325" spans="1:10" x14ac:dyDescent="0.25">
      <c r="A3325" s="362"/>
      <c r="B3325" s="609">
        <v>44282</v>
      </c>
      <c r="C3325" s="362" t="s">
        <v>82</v>
      </c>
      <c r="D3325" s="560">
        <v>42730108</v>
      </c>
      <c r="E3325" s="560">
        <v>14553700</v>
      </c>
      <c r="F3325" s="560">
        <v>57284400</v>
      </c>
      <c r="G3325" s="560">
        <f t="shared" si="82"/>
        <v>-592</v>
      </c>
      <c r="H3325" s="560"/>
      <c r="I3325" s="560"/>
      <c r="J3325" s="560"/>
    </row>
    <row r="3326" spans="1:10" x14ac:dyDescent="0.25">
      <c r="A3326" s="362"/>
      <c r="B3326" s="609">
        <v>44282</v>
      </c>
      <c r="C3326" s="362" t="s">
        <v>80</v>
      </c>
      <c r="D3326" s="560">
        <v>329843210</v>
      </c>
      <c r="E3326" s="560">
        <v>21882790</v>
      </c>
      <c r="F3326" s="560">
        <v>351726000</v>
      </c>
      <c r="G3326" s="560">
        <f t="shared" si="82"/>
        <v>0</v>
      </c>
      <c r="H3326" s="560"/>
      <c r="I3326" s="560"/>
      <c r="J3326" s="560"/>
    </row>
    <row r="3327" spans="1:10" x14ac:dyDescent="0.25">
      <c r="A3327" s="362"/>
      <c r="B3327" s="609">
        <v>44282</v>
      </c>
      <c r="C3327" s="362" t="s">
        <v>83</v>
      </c>
      <c r="D3327" s="560">
        <v>120857457</v>
      </c>
      <c r="E3327" s="560">
        <v>14953813</v>
      </c>
      <c r="F3327" s="560">
        <v>135811300</v>
      </c>
      <c r="G3327" s="560">
        <f t="shared" si="82"/>
        <v>-30</v>
      </c>
      <c r="H3327" s="560"/>
      <c r="I3327" s="560"/>
      <c r="J3327" s="560"/>
    </row>
    <row r="3328" spans="1:10" x14ac:dyDescent="0.25">
      <c r="A3328" s="362"/>
      <c r="B3328" s="609">
        <v>44282</v>
      </c>
      <c r="C3328" s="362" t="s">
        <v>78</v>
      </c>
      <c r="D3328" s="560">
        <v>125147050</v>
      </c>
      <c r="E3328" s="560">
        <v>5607250</v>
      </c>
      <c r="F3328" s="560">
        <v>130754300</v>
      </c>
      <c r="G3328" s="560">
        <f t="shared" si="82"/>
        <v>0</v>
      </c>
      <c r="H3328" s="560"/>
      <c r="I3328" s="560"/>
      <c r="J3328" s="560"/>
    </row>
    <row r="3329" spans="1:10" x14ac:dyDescent="0.25">
      <c r="A3329" s="362"/>
      <c r="B3329" s="609">
        <v>44282</v>
      </c>
      <c r="C3329" s="362" t="s">
        <v>141</v>
      </c>
      <c r="D3329" s="560">
        <v>34187861</v>
      </c>
      <c r="E3329" s="560">
        <v>743940</v>
      </c>
      <c r="F3329" s="560">
        <v>34931900</v>
      </c>
      <c r="G3329" s="560">
        <f t="shared" si="82"/>
        <v>-99</v>
      </c>
      <c r="H3329" s="560"/>
      <c r="I3329" s="560"/>
      <c r="J3329" s="560"/>
    </row>
    <row r="3330" spans="1:10" x14ac:dyDescent="0.25">
      <c r="A3330" s="362"/>
      <c r="B3330" s="609">
        <v>44282</v>
      </c>
      <c r="C3330" s="362" t="s">
        <v>89</v>
      </c>
      <c r="D3330" s="560">
        <v>30341566</v>
      </c>
      <c r="E3330" s="560">
        <v>43030434</v>
      </c>
      <c r="F3330" s="560">
        <v>73372000</v>
      </c>
      <c r="G3330" s="560">
        <f t="shared" si="82"/>
        <v>0</v>
      </c>
      <c r="H3330" s="560"/>
      <c r="I3330" s="560"/>
      <c r="J3330" s="560"/>
    </row>
    <row r="3331" spans="1:10" x14ac:dyDescent="0.25">
      <c r="A3331" s="362"/>
      <c r="B3331" s="609">
        <v>44282</v>
      </c>
      <c r="C3331" s="362" t="s">
        <v>81</v>
      </c>
      <c r="D3331" s="560">
        <v>116361474</v>
      </c>
      <c r="E3331" s="560">
        <v>79709930</v>
      </c>
      <c r="F3331" s="560">
        <v>196071500</v>
      </c>
      <c r="G3331" s="560">
        <f t="shared" si="82"/>
        <v>-96</v>
      </c>
      <c r="H3331" s="560"/>
      <c r="I3331" s="560"/>
      <c r="J3331" s="560"/>
    </row>
    <row r="3332" spans="1:10" x14ac:dyDescent="0.25">
      <c r="A3332" s="362"/>
      <c r="B3332" s="609">
        <v>44282</v>
      </c>
      <c r="C3332" s="362" t="s">
        <v>84</v>
      </c>
      <c r="D3332" s="560">
        <v>74419260</v>
      </c>
      <c r="E3332" s="560">
        <v>9341893</v>
      </c>
      <c r="F3332" s="560">
        <v>83771200</v>
      </c>
      <c r="G3332" s="560">
        <f t="shared" si="82"/>
        <v>-10047</v>
      </c>
      <c r="H3332" s="560"/>
      <c r="I3332" s="560"/>
      <c r="J3332" s="560"/>
    </row>
    <row r="3333" spans="1:10" x14ac:dyDescent="0.25">
      <c r="A3333" s="362"/>
      <c r="B3333" s="609">
        <v>44282</v>
      </c>
      <c r="C3333" s="362" t="s">
        <v>4751</v>
      </c>
      <c r="D3333" s="560">
        <v>103664034</v>
      </c>
      <c r="E3333" s="560">
        <v>8800566</v>
      </c>
      <c r="F3333" s="560">
        <v>112464600</v>
      </c>
      <c r="G3333" s="560">
        <f t="shared" si="82"/>
        <v>0</v>
      </c>
      <c r="H3333" s="560"/>
      <c r="I3333" s="560"/>
      <c r="J3333" s="560"/>
    </row>
    <row r="3334" spans="1:10" x14ac:dyDescent="0.25">
      <c r="A3334" s="362"/>
      <c r="B3334" s="609">
        <v>44282</v>
      </c>
      <c r="C3334" s="362" t="s">
        <v>166</v>
      </c>
      <c r="D3334" s="560"/>
      <c r="E3334" s="560"/>
      <c r="F3334" s="560"/>
      <c r="G3334" s="560">
        <f t="shared" si="82"/>
        <v>0</v>
      </c>
      <c r="H3334" s="560"/>
      <c r="I3334" s="560"/>
      <c r="J3334" s="560"/>
    </row>
    <row r="3335" spans="1:10" x14ac:dyDescent="0.25">
      <c r="A3335" s="362"/>
      <c r="B3335" s="609">
        <v>44282</v>
      </c>
      <c r="C3335" s="362" t="s">
        <v>3435</v>
      </c>
      <c r="D3335" s="560"/>
      <c r="E3335" s="560"/>
      <c r="F3335" s="560"/>
      <c r="G3335" s="560">
        <f t="shared" si="82"/>
        <v>0</v>
      </c>
      <c r="H3335" s="560"/>
      <c r="I3335" s="560"/>
      <c r="J3335" s="560"/>
    </row>
    <row r="3336" spans="1:10" x14ac:dyDescent="0.25">
      <c r="A3336" s="362"/>
      <c r="B3336" s="609">
        <v>44282</v>
      </c>
      <c r="C3336" s="370" t="s">
        <v>85</v>
      </c>
      <c r="D3336" s="560">
        <v>1833800</v>
      </c>
      <c r="E3336" s="560"/>
      <c r="F3336" s="560"/>
      <c r="G3336" s="560">
        <f t="shared" si="82"/>
        <v>1833800</v>
      </c>
      <c r="H3336" s="560"/>
      <c r="I3336" s="560"/>
      <c r="J3336" s="560"/>
    </row>
    <row r="3337" spans="1:10" x14ac:dyDescent="0.25">
      <c r="A3337" s="530"/>
      <c r="B3337" s="530"/>
      <c r="C3337" s="530"/>
      <c r="D3337" s="562">
        <f>SUM(D3322:D3336)</f>
        <v>1184349973</v>
      </c>
      <c r="E3337" s="562">
        <f>SUM(E3322:E3336)</f>
        <v>366818276</v>
      </c>
      <c r="F3337" s="562">
        <f>SUM(F3322:F3336)</f>
        <v>1549345400</v>
      </c>
      <c r="G3337" s="562">
        <f>SUM(G3322:G3336)</f>
        <v>1822849</v>
      </c>
      <c r="H3337" s="562"/>
      <c r="I3337" s="562"/>
      <c r="J3337" s="562"/>
    </row>
    <row r="3338" spans="1:10" x14ac:dyDescent="0.25">
      <c r="A3338" s="362"/>
      <c r="B3338" s="609">
        <v>44284</v>
      </c>
      <c r="C3338" s="362" t="s">
        <v>86</v>
      </c>
      <c r="D3338" s="560">
        <v>56279267</v>
      </c>
      <c r="E3338" s="560">
        <v>121735210</v>
      </c>
      <c r="F3338" s="560">
        <v>178014500</v>
      </c>
      <c r="G3338" s="560">
        <f t="shared" si="82"/>
        <v>-23</v>
      </c>
      <c r="H3338" s="560"/>
      <c r="I3338" s="560"/>
      <c r="J3338" s="560"/>
    </row>
    <row r="3339" spans="1:10" x14ac:dyDescent="0.25">
      <c r="A3339" s="362"/>
      <c r="B3339" s="609">
        <v>44284</v>
      </c>
      <c r="C3339" s="362" t="s">
        <v>87</v>
      </c>
      <c r="D3339" s="560">
        <v>122868795</v>
      </c>
      <c r="E3339" s="560">
        <v>15010672</v>
      </c>
      <c r="F3339" s="560">
        <v>137879400</v>
      </c>
      <c r="G3339" s="560">
        <f t="shared" si="82"/>
        <v>67</v>
      </c>
      <c r="H3339" s="560"/>
      <c r="I3339" s="560"/>
      <c r="J3339" s="560"/>
    </row>
    <row r="3340" spans="1:10" x14ac:dyDescent="0.25">
      <c r="A3340" s="362"/>
      <c r="B3340" s="609">
        <v>44284</v>
      </c>
      <c r="C3340" s="362" t="s">
        <v>88</v>
      </c>
      <c r="D3340" s="560">
        <v>173704579</v>
      </c>
      <c r="E3340" s="560">
        <v>29099763</v>
      </c>
      <c r="F3340" s="560">
        <v>202804400</v>
      </c>
      <c r="G3340" s="560">
        <f t="shared" si="82"/>
        <v>-58</v>
      </c>
      <c r="H3340" s="560"/>
      <c r="I3340" s="560"/>
      <c r="J3340" s="560"/>
    </row>
    <row r="3341" spans="1:10" x14ac:dyDescent="0.25">
      <c r="A3341" s="362"/>
      <c r="B3341" s="609">
        <v>44284</v>
      </c>
      <c r="C3341" s="362" t="s">
        <v>82</v>
      </c>
      <c r="D3341" s="560">
        <v>58948511</v>
      </c>
      <c r="E3341" s="560">
        <v>15507550</v>
      </c>
      <c r="F3341" s="560">
        <v>74456100</v>
      </c>
      <c r="G3341" s="560">
        <f t="shared" si="82"/>
        <v>-39</v>
      </c>
      <c r="H3341" s="560"/>
      <c r="I3341" s="560"/>
      <c r="J3341" s="560"/>
    </row>
    <row r="3342" spans="1:10" x14ac:dyDescent="0.25">
      <c r="A3342" s="362"/>
      <c r="B3342" s="609">
        <v>44284</v>
      </c>
      <c r="C3342" s="362" t="s">
        <v>80</v>
      </c>
      <c r="D3342" s="560">
        <v>229338786</v>
      </c>
      <c r="E3342" s="560">
        <v>1294414</v>
      </c>
      <c r="F3342" s="560">
        <v>230633200</v>
      </c>
      <c r="G3342" s="560">
        <f t="shared" si="82"/>
        <v>0</v>
      </c>
      <c r="H3342" s="560"/>
      <c r="I3342" s="560"/>
      <c r="J3342" s="560"/>
    </row>
    <row r="3343" spans="1:10" x14ac:dyDescent="0.25">
      <c r="A3343" s="362"/>
      <c r="B3343" s="609">
        <v>44284</v>
      </c>
      <c r="C3343" s="362" t="s">
        <v>83</v>
      </c>
      <c r="D3343" s="560">
        <v>393320264</v>
      </c>
      <c r="E3343" s="560">
        <v>4956778</v>
      </c>
      <c r="F3343" s="560">
        <v>398277100</v>
      </c>
      <c r="G3343" s="560">
        <f t="shared" si="82"/>
        <v>-58</v>
      </c>
      <c r="H3343" s="560"/>
      <c r="I3343" s="560"/>
      <c r="J3343" s="560"/>
    </row>
    <row r="3344" spans="1:10" x14ac:dyDescent="0.25">
      <c r="A3344" s="362"/>
      <c r="B3344" s="609">
        <v>44284</v>
      </c>
      <c r="C3344" s="362" t="s">
        <v>78</v>
      </c>
      <c r="D3344" s="560">
        <v>116296446</v>
      </c>
      <c r="E3344" s="560">
        <v>1248754</v>
      </c>
      <c r="F3344" s="560">
        <v>117545200</v>
      </c>
      <c r="G3344" s="560">
        <f t="shared" si="82"/>
        <v>0</v>
      </c>
      <c r="H3344" s="560"/>
      <c r="I3344" s="560"/>
      <c r="J3344" s="560"/>
    </row>
    <row r="3345" spans="1:10" x14ac:dyDescent="0.25">
      <c r="A3345" s="362"/>
      <c r="B3345" s="609">
        <v>44284</v>
      </c>
      <c r="C3345" s="362" t="s">
        <v>141</v>
      </c>
      <c r="D3345" s="560">
        <v>89381247</v>
      </c>
      <c r="E3345" s="560">
        <v>8976687</v>
      </c>
      <c r="F3345" s="560">
        <v>98358000</v>
      </c>
      <c r="G3345" s="560">
        <f t="shared" si="82"/>
        <v>-66</v>
      </c>
      <c r="H3345" s="560"/>
      <c r="I3345" s="560"/>
      <c r="J3345" s="560"/>
    </row>
    <row r="3346" spans="1:10" x14ac:dyDescent="0.25">
      <c r="A3346" s="362"/>
      <c r="B3346" s="609">
        <v>44284</v>
      </c>
      <c r="C3346" s="362" t="s">
        <v>89</v>
      </c>
      <c r="D3346" s="560">
        <v>137598171</v>
      </c>
      <c r="E3346" s="560">
        <v>34854029</v>
      </c>
      <c r="F3346" s="560">
        <v>172452200</v>
      </c>
      <c r="G3346" s="560">
        <f t="shared" si="82"/>
        <v>0</v>
      </c>
      <c r="H3346" s="560"/>
      <c r="I3346" s="560"/>
      <c r="J3346" s="560"/>
    </row>
    <row r="3347" spans="1:10" x14ac:dyDescent="0.25">
      <c r="A3347" s="362"/>
      <c r="B3347" s="609">
        <v>44284</v>
      </c>
      <c r="C3347" s="362" t="s">
        <v>81</v>
      </c>
      <c r="D3347" s="560">
        <v>66851731</v>
      </c>
      <c r="E3347" s="560">
        <v>25028350</v>
      </c>
      <c r="F3347" s="560">
        <v>91880100</v>
      </c>
      <c r="G3347" s="560">
        <f t="shared" si="82"/>
        <v>-19</v>
      </c>
      <c r="H3347" s="560"/>
      <c r="I3347" s="560"/>
      <c r="J3347" s="560"/>
    </row>
    <row r="3348" spans="1:10" x14ac:dyDescent="0.25">
      <c r="A3348" s="362"/>
      <c r="B3348" s="609">
        <v>44284</v>
      </c>
      <c r="C3348" s="362" t="s">
        <v>84</v>
      </c>
      <c r="D3348" s="560">
        <v>199079519</v>
      </c>
      <c r="E3348" s="560">
        <v>12681860</v>
      </c>
      <c r="F3348" s="560">
        <v>211761800</v>
      </c>
      <c r="G3348" s="560">
        <f t="shared" si="82"/>
        <v>-421</v>
      </c>
      <c r="H3348" s="560"/>
      <c r="I3348" s="560"/>
      <c r="J3348" s="560"/>
    </row>
    <row r="3349" spans="1:10" x14ac:dyDescent="0.25">
      <c r="A3349" s="362"/>
      <c r="B3349" s="609">
        <v>44284</v>
      </c>
      <c r="C3349" s="362" t="s">
        <v>4751</v>
      </c>
      <c r="D3349" s="560">
        <v>214716008</v>
      </c>
      <c r="E3349" s="560">
        <v>11143992</v>
      </c>
      <c r="F3349" s="560">
        <v>225860000</v>
      </c>
      <c r="G3349" s="560">
        <f t="shared" si="82"/>
        <v>0</v>
      </c>
      <c r="H3349" s="560"/>
      <c r="I3349" s="560"/>
      <c r="J3349" s="560"/>
    </row>
    <row r="3350" spans="1:10" x14ac:dyDescent="0.25">
      <c r="A3350" s="362"/>
      <c r="B3350" s="609">
        <v>44284</v>
      </c>
      <c r="C3350" s="362" t="s">
        <v>166</v>
      </c>
      <c r="D3350" s="560">
        <v>61025877</v>
      </c>
      <c r="E3350" s="560"/>
      <c r="F3350" s="560">
        <v>61026000</v>
      </c>
      <c r="G3350" s="560">
        <f t="shared" si="82"/>
        <v>-123</v>
      </c>
      <c r="H3350" s="560"/>
      <c r="I3350" s="560"/>
      <c r="J3350" s="560"/>
    </row>
    <row r="3351" spans="1:10" x14ac:dyDescent="0.25">
      <c r="A3351" s="362"/>
      <c r="B3351" s="609">
        <v>44284</v>
      </c>
      <c r="C3351" s="362" t="s">
        <v>3435</v>
      </c>
      <c r="D3351" s="560">
        <v>34959905</v>
      </c>
      <c r="E3351" s="560"/>
      <c r="F3351" s="560">
        <v>34960000</v>
      </c>
      <c r="G3351" s="560">
        <f t="shared" si="82"/>
        <v>-95</v>
      </c>
      <c r="H3351" s="560"/>
      <c r="I3351" s="560"/>
      <c r="J3351" s="560"/>
    </row>
    <row r="3352" spans="1:10" x14ac:dyDescent="0.25">
      <c r="A3352" s="362"/>
      <c r="B3352" s="609">
        <v>44284</v>
      </c>
      <c r="C3352" s="370" t="s">
        <v>85</v>
      </c>
      <c r="D3352" s="560">
        <v>52904800</v>
      </c>
      <c r="E3352" s="560"/>
      <c r="F3352" s="560">
        <v>52904200</v>
      </c>
      <c r="G3352" s="560">
        <f t="shared" si="82"/>
        <v>600</v>
      </c>
      <c r="H3352" s="560"/>
      <c r="I3352" s="560"/>
      <c r="J3352" s="560"/>
    </row>
    <row r="3353" spans="1:10" x14ac:dyDescent="0.25">
      <c r="A3353" s="530"/>
      <c r="B3353" s="530"/>
      <c r="C3353" s="530"/>
      <c r="D3353" s="562">
        <f>SUM(D3338:D3352)</f>
        <v>2007273906</v>
      </c>
      <c r="E3353" s="562">
        <f>SUM(E3338:E3352)</f>
        <v>281538059</v>
      </c>
      <c r="F3353" s="562">
        <f>SUM(F3338:F3352)</f>
        <v>2288812200</v>
      </c>
      <c r="G3353" s="562">
        <f>SUM(G3338:G3352)</f>
        <v>-235</v>
      </c>
      <c r="H3353" s="562"/>
      <c r="I3353" s="562"/>
      <c r="J3353" s="562"/>
    </row>
    <row r="3354" spans="1:10" x14ac:dyDescent="0.25">
      <c r="A3354" s="362"/>
      <c r="B3354" s="609">
        <v>44285</v>
      </c>
      <c r="C3354" s="362" t="s">
        <v>86</v>
      </c>
      <c r="D3354" s="560">
        <v>49364734</v>
      </c>
      <c r="E3354" s="560">
        <v>175658876</v>
      </c>
      <c r="F3354" s="560">
        <v>225023600</v>
      </c>
      <c r="G3354" s="560">
        <f t="shared" si="82"/>
        <v>10</v>
      </c>
      <c r="H3354" s="560"/>
      <c r="I3354" s="560"/>
      <c r="J3354" s="560"/>
    </row>
    <row r="3355" spans="1:10" x14ac:dyDescent="0.25">
      <c r="A3355" s="362"/>
      <c r="B3355" s="609">
        <v>44285</v>
      </c>
      <c r="C3355" s="362" t="s">
        <v>87</v>
      </c>
      <c r="D3355" s="560">
        <v>124714028</v>
      </c>
      <c r="E3355" s="560">
        <v>73420020</v>
      </c>
      <c r="F3355" s="560">
        <v>198133200</v>
      </c>
      <c r="G3355" s="560">
        <f t="shared" si="82"/>
        <v>848</v>
      </c>
      <c r="H3355" s="560"/>
      <c r="I3355" s="560"/>
      <c r="J3355" s="560"/>
    </row>
    <row r="3356" spans="1:10" x14ac:dyDescent="0.25">
      <c r="A3356" s="362"/>
      <c r="B3356" s="609">
        <v>44285</v>
      </c>
      <c r="C3356" s="362" t="s">
        <v>88</v>
      </c>
      <c r="D3356" s="560">
        <v>160768732</v>
      </c>
      <c r="E3356" s="560">
        <v>244396493</v>
      </c>
      <c r="F3356" s="560">
        <v>405165200</v>
      </c>
      <c r="G3356" s="560">
        <f t="shared" si="82"/>
        <v>25</v>
      </c>
      <c r="H3356" s="560"/>
      <c r="I3356" s="560"/>
      <c r="J3356" s="560"/>
    </row>
    <row r="3357" spans="1:10" x14ac:dyDescent="0.25">
      <c r="A3357" s="362"/>
      <c r="B3357" s="609">
        <v>44285</v>
      </c>
      <c r="C3357" s="362" t="s">
        <v>82</v>
      </c>
      <c r="D3357" s="560">
        <v>73270016</v>
      </c>
      <c r="E3357" s="560">
        <v>792000</v>
      </c>
      <c r="F3357" s="560">
        <v>74062100</v>
      </c>
      <c r="G3357" s="560">
        <f t="shared" si="82"/>
        <v>-84</v>
      </c>
      <c r="H3357" s="560"/>
      <c r="I3357" s="560"/>
      <c r="J3357" s="560"/>
    </row>
    <row r="3358" spans="1:10" x14ac:dyDescent="0.25">
      <c r="A3358" s="362"/>
      <c r="B3358" s="609">
        <v>44285</v>
      </c>
      <c r="C3358" s="362" t="s">
        <v>80</v>
      </c>
      <c r="D3358" s="560">
        <v>248449103</v>
      </c>
      <c r="E3358" s="560"/>
      <c r="F3358" s="560">
        <v>248449600</v>
      </c>
      <c r="G3358" s="560">
        <f t="shared" si="82"/>
        <v>-497</v>
      </c>
      <c r="H3358" s="560"/>
      <c r="I3358" s="560"/>
      <c r="J3358" s="560"/>
    </row>
    <row r="3359" spans="1:10" x14ac:dyDescent="0.25">
      <c r="A3359" s="362"/>
      <c r="B3359" s="609">
        <v>44285</v>
      </c>
      <c r="C3359" s="362" t="s">
        <v>83</v>
      </c>
      <c r="D3359" s="560">
        <v>253915015</v>
      </c>
      <c r="E3359" s="560">
        <v>8353934</v>
      </c>
      <c r="F3359" s="560">
        <v>262269000</v>
      </c>
      <c r="G3359" s="560">
        <f t="shared" si="82"/>
        <v>-51</v>
      </c>
      <c r="H3359" s="560"/>
      <c r="I3359" s="560"/>
      <c r="J3359" s="560"/>
    </row>
    <row r="3360" spans="1:10" x14ac:dyDescent="0.25">
      <c r="A3360" s="362"/>
      <c r="B3360" s="609">
        <v>44285</v>
      </c>
      <c r="C3360" s="362" t="s">
        <v>78</v>
      </c>
      <c r="D3360" s="560">
        <v>93864440</v>
      </c>
      <c r="E3360" s="560">
        <v>1973860</v>
      </c>
      <c r="F3360" s="560">
        <v>95838300</v>
      </c>
      <c r="G3360" s="560">
        <f t="shared" si="82"/>
        <v>0</v>
      </c>
      <c r="H3360" s="560"/>
      <c r="I3360" s="560"/>
      <c r="J3360" s="560"/>
    </row>
    <row r="3361" spans="1:10" x14ac:dyDescent="0.25">
      <c r="A3361" s="362"/>
      <c r="B3361" s="609">
        <v>44285</v>
      </c>
      <c r="C3361" s="362" t="s">
        <v>141</v>
      </c>
      <c r="D3361" s="560">
        <v>72955472</v>
      </c>
      <c r="E3361" s="560">
        <v>2926860</v>
      </c>
      <c r="F3361" s="560">
        <v>75882400</v>
      </c>
      <c r="G3361" s="560">
        <f t="shared" si="82"/>
        <v>-68</v>
      </c>
      <c r="H3361" s="560"/>
      <c r="I3361" s="560"/>
      <c r="J3361" s="560"/>
    </row>
    <row r="3362" spans="1:10" x14ac:dyDescent="0.25">
      <c r="A3362" s="362"/>
      <c r="B3362" s="609">
        <v>44285</v>
      </c>
      <c r="C3362" s="362" t="s">
        <v>89</v>
      </c>
      <c r="D3362" s="560">
        <v>85010617</v>
      </c>
      <c r="E3362" s="560">
        <v>5589683</v>
      </c>
      <c r="F3362" s="560">
        <v>90600300</v>
      </c>
      <c r="G3362" s="560">
        <f t="shared" si="82"/>
        <v>0</v>
      </c>
      <c r="H3362" s="560"/>
      <c r="I3362" s="560"/>
      <c r="J3362" s="560"/>
    </row>
    <row r="3363" spans="1:10" x14ac:dyDescent="0.25">
      <c r="A3363" s="362"/>
      <c r="B3363" s="609">
        <v>44285</v>
      </c>
      <c r="C3363" s="362" t="s">
        <v>81</v>
      </c>
      <c r="D3363" s="560">
        <v>111173407</v>
      </c>
      <c r="E3363" s="560">
        <v>8930974</v>
      </c>
      <c r="F3363" s="560">
        <v>120104400</v>
      </c>
      <c r="G3363" s="560">
        <f t="shared" si="82"/>
        <v>-19</v>
      </c>
      <c r="H3363" s="560"/>
      <c r="I3363" s="560"/>
      <c r="J3363" s="560"/>
    </row>
    <row r="3364" spans="1:10" x14ac:dyDescent="0.25">
      <c r="A3364" s="362"/>
      <c r="B3364" s="609">
        <v>44285</v>
      </c>
      <c r="C3364" s="362" t="s">
        <v>84</v>
      </c>
      <c r="D3364" s="560">
        <v>191544959</v>
      </c>
      <c r="E3364" s="560">
        <v>13328680</v>
      </c>
      <c r="F3364" s="560">
        <v>204873600</v>
      </c>
      <c r="G3364" s="560">
        <f t="shared" si="82"/>
        <v>39</v>
      </c>
      <c r="H3364" s="560"/>
      <c r="I3364" s="560"/>
      <c r="J3364" s="560"/>
    </row>
    <row r="3365" spans="1:10" x14ac:dyDescent="0.25">
      <c r="A3365" s="362"/>
      <c r="B3365" s="609">
        <v>44285</v>
      </c>
      <c r="C3365" s="362" t="s">
        <v>4751</v>
      </c>
      <c r="D3365" s="560">
        <v>157735288</v>
      </c>
      <c r="E3365" s="560">
        <v>16799112</v>
      </c>
      <c r="F3365" s="560">
        <v>174534400</v>
      </c>
      <c r="G3365" s="560">
        <f t="shared" si="82"/>
        <v>0</v>
      </c>
      <c r="H3365" s="560"/>
      <c r="I3365" s="560"/>
      <c r="J3365" s="560"/>
    </row>
    <row r="3366" spans="1:10" x14ac:dyDescent="0.25">
      <c r="A3366" s="362"/>
      <c r="B3366" s="609">
        <v>44285</v>
      </c>
      <c r="C3366" s="362" t="s">
        <v>166</v>
      </c>
      <c r="D3366" s="560">
        <v>103061119</v>
      </c>
      <c r="E3366" s="560"/>
      <c r="F3366" s="560">
        <v>103061100</v>
      </c>
      <c r="G3366" s="560">
        <f t="shared" si="82"/>
        <v>19</v>
      </c>
      <c r="H3366" s="560"/>
      <c r="I3366" s="560"/>
      <c r="J3366" s="560"/>
    </row>
    <row r="3367" spans="1:10" x14ac:dyDescent="0.25">
      <c r="A3367" s="362"/>
      <c r="B3367" s="609">
        <v>44285</v>
      </c>
      <c r="C3367" s="362" t="s">
        <v>3435</v>
      </c>
      <c r="D3367" s="560">
        <v>48832598</v>
      </c>
      <c r="E3367" s="560"/>
      <c r="F3367" s="560">
        <v>48832600</v>
      </c>
      <c r="G3367" s="560">
        <f t="shared" si="82"/>
        <v>-2</v>
      </c>
      <c r="H3367" s="560"/>
      <c r="I3367" s="560"/>
      <c r="J3367" s="560"/>
    </row>
    <row r="3368" spans="1:10" x14ac:dyDescent="0.25">
      <c r="A3368" s="362"/>
      <c r="B3368" s="609">
        <v>44285</v>
      </c>
      <c r="C3368" s="370" t="s">
        <v>85</v>
      </c>
      <c r="D3368" s="560">
        <v>30227600</v>
      </c>
      <c r="E3368" s="560"/>
      <c r="F3368" s="560">
        <v>30227600</v>
      </c>
      <c r="G3368" s="560">
        <f t="shared" si="82"/>
        <v>0</v>
      </c>
      <c r="H3368" s="560"/>
      <c r="I3368" s="560"/>
      <c r="J3368" s="560"/>
    </row>
    <row r="3369" spans="1:10" x14ac:dyDescent="0.25">
      <c r="A3369" s="530"/>
      <c r="B3369" s="530"/>
      <c r="C3369" s="530"/>
      <c r="D3369" s="562">
        <f>SUM(D3354:D3368)</f>
        <v>1804887128</v>
      </c>
      <c r="E3369" s="562">
        <f>SUM(E3354:E3368)</f>
        <v>552170492</v>
      </c>
      <c r="F3369" s="562">
        <f>SUM(F3354:F3368)</f>
        <v>2357057400</v>
      </c>
      <c r="G3369" s="562">
        <f>SUM(G3354:G3368)</f>
        <v>220</v>
      </c>
      <c r="H3369" s="562"/>
      <c r="I3369" s="562"/>
      <c r="J3369" s="562"/>
    </row>
    <row r="3370" spans="1:10" x14ac:dyDescent="0.25">
      <c r="A3370" s="362"/>
      <c r="B3370" s="609">
        <v>44286</v>
      </c>
      <c r="C3370" s="362" t="s">
        <v>86</v>
      </c>
      <c r="D3370" s="560">
        <v>61407565</v>
      </c>
      <c r="E3370" s="560">
        <v>218090902</v>
      </c>
      <c r="F3370" s="560">
        <v>279498400</v>
      </c>
      <c r="G3370" s="560">
        <f t="shared" si="82"/>
        <v>67</v>
      </c>
      <c r="H3370" s="560"/>
      <c r="I3370" s="560"/>
      <c r="J3370" s="560"/>
    </row>
    <row r="3371" spans="1:10" x14ac:dyDescent="0.25">
      <c r="A3371" s="362"/>
      <c r="B3371" s="609">
        <v>44286</v>
      </c>
      <c r="C3371" s="362" t="s">
        <v>87</v>
      </c>
      <c r="D3371" s="560">
        <v>69338962</v>
      </c>
      <c r="E3371" s="560">
        <v>82828849</v>
      </c>
      <c r="F3371" s="560">
        <v>152168000</v>
      </c>
      <c r="G3371" s="560">
        <f t="shared" si="82"/>
        <v>-189</v>
      </c>
      <c r="H3371" s="560"/>
      <c r="I3371" s="560"/>
      <c r="J3371" s="560"/>
    </row>
    <row r="3372" spans="1:10" x14ac:dyDescent="0.25">
      <c r="A3372" s="362"/>
      <c r="B3372" s="609">
        <v>44286</v>
      </c>
      <c r="C3372" s="362" t="s">
        <v>88</v>
      </c>
      <c r="D3372" s="560">
        <v>144670990</v>
      </c>
      <c r="E3372" s="560">
        <v>19721791</v>
      </c>
      <c r="F3372" s="560">
        <v>164392800</v>
      </c>
      <c r="G3372" s="560">
        <f t="shared" si="82"/>
        <v>-19</v>
      </c>
      <c r="H3372" s="560"/>
      <c r="I3372" s="560"/>
      <c r="J3372" s="560"/>
    </row>
    <row r="3373" spans="1:10" x14ac:dyDescent="0.25">
      <c r="A3373" s="362"/>
      <c r="B3373" s="609">
        <v>44286</v>
      </c>
      <c r="C3373" s="362" t="s">
        <v>82</v>
      </c>
      <c r="D3373" s="560">
        <v>71962278</v>
      </c>
      <c r="E3373" s="560">
        <v>3573100</v>
      </c>
      <c r="F3373" s="560">
        <v>75535500</v>
      </c>
      <c r="G3373" s="560">
        <f t="shared" si="82"/>
        <v>-122</v>
      </c>
      <c r="H3373" s="560"/>
      <c r="I3373" s="560"/>
      <c r="J3373" s="560"/>
    </row>
    <row r="3374" spans="1:10" x14ac:dyDescent="0.25">
      <c r="A3374" s="362"/>
      <c r="B3374" s="609">
        <v>44286</v>
      </c>
      <c r="C3374" s="362" t="s">
        <v>80</v>
      </c>
      <c r="D3374" s="560">
        <v>247438211</v>
      </c>
      <c r="E3374" s="560">
        <v>4656000</v>
      </c>
      <c r="F3374" s="560">
        <v>252094300</v>
      </c>
      <c r="G3374" s="560">
        <f t="shared" si="82"/>
        <v>-89</v>
      </c>
      <c r="H3374" s="560"/>
      <c r="I3374" s="560"/>
      <c r="J3374" s="560"/>
    </row>
    <row r="3375" spans="1:10" x14ac:dyDescent="0.25">
      <c r="A3375" s="362"/>
      <c r="B3375" s="609">
        <v>44286</v>
      </c>
      <c r="C3375" s="362" t="s">
        <v>83</v>
      </c>
      <c r="D3375" s="560"/>
      <c r="E3375" s="560"/>
      <c r="F3375" s="560">
        <v>297819600</v>
      </c>
      <c r="G3375" s="560">
        <f t="shared" si="82"/>
        <v>-297819600</v>
      </c>
      <c r="H3375" s="560"/>
      <c r="I3375" s="560"/>
      <c r="J3375" s="560"/>
    </row>
    <row r="3376" spans="1:10" x14ac:dyDescent="0.25">
      <c r="A3376" s="362"/>
      <c r="B3376" s="609">
        <v>44286</v>
      </c>
      <c r="C3376" s="362" t="s">
        <v>78</v>
      </c>
      <c r="D3376" s="560">
        <v>135599963</v>
      </c>
      <c r="E3376" s="560">
        <v>150037</v>
      </c>
      <c r="F3376" s="560">
        <v>135750000</v>
      </c>
      <c r="G3376" s="560">
        <f t="shared" si="82"/>
        <v>0</v>
      </c>
      <c r="H3376" s="560"/>
      <c r="I3376" s="560"/>
      <c r="J3376" s="560"/>
    </row>
    <row r="3377" spans="1:11" x14ac:dyDescent="0.25">
      <c r="A3377" s="362"/>
      <c r="B3377" s="609">
        <v>44286</v>
      </c>
      <c r="C3377" s="362" t="s">
        <v>141</v>
      </c>
      <c r="D3377" s="560">
        <v>137494605</v>
      </c>
      <c r="E3377" s="560">
        <v>1006200</v>
      </c>
      <c r="F3377" s="560">
        <v>138500900</v>
      </c>
      <c r="G3377" s="560">
        <f t="shared" si="82"/>
        <v>-95</v>
      </c>
      <c r="H3377" s="560"/>
      <c r="I3377" s="560"/>
      <c r="J3377" s="560"/>
    </row>
    <row r="3378" spans="1:11" x14ac:dyDescent="0.25">
      <c r="A3378" s="362"/>
      <c r="B3378" s="609">
        <v>44286</v>
      </c>
      <c r="C3378" s="362" t="s">
        <v>89</v>
      </c>
      <c r="D3378" s="560">
        <v>128505161</v>
      </c>
      <c r="E3378" s="560">
        <v>24099939</v>
      </c>
      <c r="F3378" s="560">
        <v>152607100</v>
      </c>
      <c r="G3378" s="560">
        <f t="shared" si="82"/>
        <v>-2000</v>
      </c>
      <c r="H3378" s="560"/>
      <c r="I3378" s="560"/>
      <c r="J3378" s="560"/>
    </row>
    <row r="3379" spans="1:11" x14ac:dyDescent="0.25">
      <c r="A3379" s="362"/>
      <c r="B3379" s="609">
        <v>44286</v>
      </c>
      <c r="C3379" s="362" t="s">
        <v>81</v>
      </c>
      <c r="D3379" s="560">
        <v>113101284</v>
      </c>
      <c r="E3379" s="560">
        <v>8064390</v>
      </c>
      <c r="F3379" s="560">
        <v>121165700</v>
      </c>
      <c r="G3379" s="560">
        <f t="shared" si="82"/>
        <v>-26</v>
      </c>
      <c r="H3379" s="560"/>
      <c r="I3379" s="560"/>
      <c r="J3379" s="560"/>
    </row>
    <row r="3380" spans="1:11" x14ac:dyDescent="0.25">
      <c r="A3380" s="362"/>
      <c r="B3380" s="609">
        <v>44286</v>
      </c>
      <c r="C3380" s="362" t="s">
        <v>84</v>
      </c>
      <c r="D3380" s="560">
        <v>230467614</v>
      </c>
      <c r="E3380" s="560">
        <v>12533650</v>
      </c>
      <c r="F3380" s="560">
        <v>243001300</v>
      </c>
      <c r="G3380" s="560">
        <f t="shared" si="82"/>
        <v>-36</v>
      </c>
      <c r="H3380" s="560"/>
      <c r="I3380" s="560"/>
      <c r="J3380" s="560"/>
    </row>
    <row r="3381" spans="1:11" x14ac:dyDescent="0.25">
      <c r="A3381" s="362"/>
      <c r="B3381" s="609">
        <v>44286</v>
      </c>
      <c r="C3381" s="362" t="s">
        <v>4751</v>
      </c>
      <c r="D3381" s="560">
        <v>147164173</v>
      </c>
      <c r="E3381" s="560">
        <v>8035227</v>
      </c>
      <c r="F3381" s="560">
        <v>155199400</v>
      </c>
      <c r="G3381" s="560">
        <f t="shared" si="82"/>
        <v>0</v>
      </c>
      <c r="H3381" s="560"/>
      <c r="I3381" s="560"/>
      <c r="J3381" s="560"/>
    </row>
    <row r="3382" spans="1:11" x14ac:dyDescent="0.25">
      <c r="A3382" s="362"/>
      <c r="B3382" s="609">
        <v>44286</v>
      </c>
      <c r="C3382" s="362" t="s">
        <v>166</v>
      </c>
      <c r="D3382" s="560">
        <v>55165056</v>
      </c>
      <c r="E3382" s="560"/>
      <c r="F3382" s="560">
        <v>55165100</v>
      </c>
      <c r="G3382" s="560">
        <f t="shared" si="82"/>
        <v>-44</v>
      </c>
      <c r="H3382" s="560"/>
      <c r="I3382" s="560"/>
      <c r="J3382" s="560"/>
    </row>
    <row r="3383" spans="1:11" x14ac:dyDescent="0.25">
      <c r="A3383" s="362"/>
      <c r="B3383" s="609">
        <v>44286</v>
      </c>
      <c r="C3383" s="362" t="s">
        <v>3435</v>
      </c>
      <c r="D3383" s="560">
        <v>56676589</v>
      </c>
      <c r="E3383" s="560"/>
      <c r="F3383" s="560">
        <v>56676600</v>
      </c>
      <c r="G3383" s="560">
        <f t="shared" si="82"/>
        <v>-11</v>
      </c>
      <c r="H3383" s="560"/>
      <c r="I3383" s="560"/>
      <c r="J3383" s="560"/>
    </row>
    <row r="3384" spans="1:11" x14ac:dyDescent="0.25">
      <c r="A3384" s="362"/>
      <c r="B3384" s="609">
        <v>44286</v>
      </c>
      <c r="C3384" s="370" t="s">
        <v>85</v>
      </c>
      <c r="D3384" s="560">
        <v>39792200</v>
      </c>
      <c r="E3384" s="560"/>
      <c r="F3384" s="560">
        <v>39792200</v>
      </c>
      <c r="G3384" s="560">
        <f t="shared" si="82"/>
        <v>0</v>
      </c>
      <c r="H3384" s="560"/>
      <c r="I3384" s="560"/>
      <c r="J3384" s="560"/>
    </row>
    <row r="3385" spans="1:11" x14ac:dyDescent="0.25">
      <c r="A3385" s="530"/>
      <c r="B3385" s="530"/>
      <c r="C3385" s="530"/>
      <c r="D3385" s="562">
        <f>SUM(D3370:D3384)</f>
        <v>1638784651</v>
      </c>
      <c r="E3385" s="562">
        <f>SUM(E3370:E3384)</f>
        <v>382760085</v>
      </c>
      <c r="F3385" s="562">
        <f>SUM(F3370:F3384)</f>
        <v>2319366900</v>
      </c>
      <c r="G3385" s="562">
        <f>SUM(G3370:G3384)</f>
        <v>-297822164</v>
      </c>
      <c r="H3385" s="562"/>
      <c r="I3385" s="562"/>
      <c r="J3385" s="562"/>
    </row>
    <row r="3386" spans="1:11" x14ac:dyDescent="0.25">
      <c r="A3386" s="362"/>
      <c r="B3386" s="609">
        <v>44287</v>
      </c>
      <c r="C3386" s="362" t="s">
        <v>86</v>
      </c>
      <c r="D3386" s="560">
        <v>108419440</v>
      </c>
      <c r="E3386" s="560">
        <v>174774951</v>
      </c>
      <c r="F3386" s="560">
        <v>283194400</v>
      </c>
      <c r="G3386" s="560">
        <f t="shared" si="82"/>
        <v>-9</v>
      </c>
      <c r="H3386" s="560"/>
      <c r="I3386" s="560"/>
      <c r="J3386" s="560"/>
    </row>
    <row r="3387" spans="1:11" x14ac:dyDescent="0.25">
      <c r="A3387" s="362"/>
      <c r="B3387" s="609">
        <v>44287</v>
      </c>
      <c r="C3387" s="362" t="s">
        <v>87</v>
      </c>
      <c r="D3387" s="560">
        <v>63751793</v>
      </c>
      <c r="E3387" s="560">
        <v>111060987</v>
      </c>
      <c r="F3387" s="560">
        <v>174812700</v>
      </c>
      <c r="G3387" s="560">
        <f t="shared" si="82"/>
        <v>80</v>
      </c>
      <c r="H3387" s="560"/>
      <c r="I3387" s="560"/>
      <c r="J3387" s="560"/>
    </row>
    <row r="3388" spans="1:11" x14ac:dyDescent="0.25">
      <c r="A3388" s="362"/>
      <c r="B3388" s="609">
        <v>44287</v>
      </c>
      <c r="C3388" s="362" t="s">
        <v>88</v>
      </c>
      <c r="D3388" s="560">
        <v>192048403</v>
      </c>
      <c r="E3388" s="560">
        <v>75494933</v>
      </c>
      <c r="F3388" s="560">
        <v>267543400</v>
      </c>
      <c r="G3388" s="560">
        <f t="shared" ref="G3388:G3451" si="83">D3388+E3388-F3388</f>
        <v>-64</v>
      </c>
      <c r="H3388" s="560"/>
      <c r="I3388" s="560"/>
      <c r="J3388" s="560"/>
    </row>
    <row r="3389" spans="1:11" x14ac:dyDescent="0.25">
      <c r="A3389" s="362"/>
      <c r="B3389" s="609">
        <v>44287</v>
      </c>
      <c r="C3389" s="362" t="s">
        <v>82</v>
      </c>
      <c r="D3389" s="560">
        <v>194398875</v>
      </c>
      <c r="E3389" s="560"/>
      <c r="F3389" s="560">
        <v>202062400</v>
      </c>
      <c r="G3389" s="560">
        <f t="shared" si="83"/>
        <v>-7663525</v>
      </c>
      <c r="H3389" s="560"/>
      <c r="I3389" s="560"/>
      <c r="J3389" s="560"/>
    </row>
    <row r="3390" spans="1:11" x14ac:dyDescent="0.25">
      <c r="A3390" s="362"/>
      <c r="B3390" s="609">
        <v>44287</v>
      </c>
      <c r="C3390" s="362" t="s">
        <v>80</v>
      </c>
      <c r="D3390" s="560">
        <v>309146373</v>
      </c>
      <c r="E3390" s="560">
        <v>1081000</v>
      </c>
      <c r="F3390" s="560">
        <v>310123900</v>
      </c>
      <c r="G3390" s="560">
        <f t="shared" si="83"/>
        <v>103473</v>
      </c>
      <c r="H3390" s="560"/>
      <c r="I3390" s="560"/>
      <c r="J3390" s="560"/>
      <c r="K3390" s="254" t="s">
        <v>6086</v>
      </c>
    </row>
    <row r="3391" spans="1:11" x14ac:dyDescent="0.25">
      <c r="A3391" s="362"/>
      <c r="B3391" s="609">
        <v>44287</v>
      </c>
      <c r="C3391" s="362" t="s">
        <v>83</v>
      </c>
      <c r="D3391" s="560">
        <v>142513773</v>
      </c>
      <c r="E3391" s="560">
        <v>63204119</v>
      </c>
      <c r="F3391" s="560">
        <v>205717900</v>
      </c>
      <c r="G3391" s="560">
        <f t="shared" si="83"/>
        <v>-8</v>
      </c>
      <c r="H3391" s="560"/>
      <c r="I3391" s="560"/>
      <c r="J3391" s="560"/>
    </row>
    <row r="3392" spans="1:11" x14ac:dyDescent="0.25">
      <c r="A3392" s="362"/>
      <c r="B3392" s="609">
        <v>44287</v>
      </c>
      <c r="C3392" s="362" t="s">
        <v>78</v>
      </c>
      <c r="D3392" s="560">
        <v>226097744</v>
      </c>
      <c r="E3392" s="560">
        <v>5170956</v>
      </c>
      <c r="F3392" s="560">
        <v>231268700</v>
      </c>
      <c r="G3392" s="560">
        <f t="shared" si="83"/>
        <v>0</v>
      </c>
      <c r="H3392" s="560"/>
      <c r="I3392" s="560"/>
      <c r="J3392" s="560"/>
    </row>
    <row r="3393" spans="1:10" x14ac:dyDescent="0.25">
      <c r="A3393" s="362"/>
      <c r="B3393" s="609">
        <v>44287</v>
      </c>
      <c r="C3393" s="362" t="s">
        <v>141</v>
      </c>
      <c r="D3393" s="560">
        <v>86226349</v>
      </c>
      <c r="E3393" s="560">
        <v>7369845</v>
      </c>
      <c r="F3393" s="560">
        <v>93596200</v>
      </c>
      <c r="G3393" s="560">
        <f t="shared" si="83"/>
        <v>-6</v>
      </c>
      <c r="H3393" s="560"/>
      <c r="I3393" s="560"/>
      <c r="J3393" s="560"/>
    </row>
    <row r="3394" spans="1:10" x14ac:dyDescent="0.25">
      <c r="A3394" s="362"/>
      <c r="B3394" s="609">
        <v>44287</v>
      </c>
      <c r="C3394" s="362" t="s">
        <v>89</v>
      </c>
      <c r="D3394" s="560">
        <v>136388913</v>
      </c>
      <c r="E3394" s="560">
        <v>18720887</v>
      </c>
      <c r="F3394" s="560">
        <v>155109800</v>
      </c>
      <c r="G3394" s="560">
        <f t="shared" si="83"/>
        <v>0</v>
      </c>
      <c r="H3394" s="560"/>
      <c r="I3394" s="560"/>
      <c r="J3394" s="560"/>
    </row>
    <row r="3395" spans="1:10" x14ac:dyDescent="0.25">
      <c r="A3395" s="362"/>
      <c r="B3395" s="609">
        <v>44287</v>
      </c>
      <c r="C3395" s="362" t="s">
        <v>81</v>
      </c>
      <c r="D3395" s="560">
        <v>134169725</v>
      </c>
      <c r="E3395" s="560">
        <v>46053651</v>
      </c>
      <c r="F3395" s="560">
        <v>180223400</v>
      </c>
      <c r="G3395" s="560">
        <f t="shared" si="83"/>
        <v>-24</v>
      </c>
      <c r="H3395" s="560"/>
      <c r="I3395" s="560"/>
      <c r="J3395" s="560"/>
    </row>
    <row r="3396" spans="1:10" x14ac:dyDescent="0.25">
      <c r="A3396" s="362"/>
      <c r="B3396" s="609">
        <v>44287</v>
      </c>
      <c r="C3396" s="362" t="s">
        <v>84</v>
      </c>
      <c r="D3396" s="560">
        <v>125257463</v>
      </c>
      <c r="E3396" s="560">
        <v>26660328</v>
      </c>
      <c r="F3396" s="560">
        <v>151917800</v>
      </c>
      <c r="G3396" s="560">
        <f t="shared" si="83"/>
        <v>-9</v>
      </c>
      <c r="H3396" s="560"/>
      <c r="I3396" s="560"/>
      <c r="J3396" s="560"/>
    </row>
    <row r="3397" spans="1:10" x14ac:dyDescent="0.25">
      <c r="A3397" s="362"/>
      <c r="B3397" s="609">
        <v>44287</v>
      </c>
      <c r="C3397" s="362" t="s">
        <v>4751</v>
      </c>
      <c r="D3397" s="560">
        <v>144014161</v>
      </c>
      <c r="E3397" s="560">
        <v>6179039</v>
      </c>
      <c r="F3397" s="560">
        <v>150193200</v>
      </c>
      <c r="G3397" s="560">
        <f t="shared" si="83"/>
        <v>0</v>
      </c>
      <c r="H3397" s="560"/>
      <c r="I3397" s="560"/>
      <c r="J3397" s="560"/>
    </row>
    <row r="3398" spans="1:10" x14ac:dyDescent="0.25">
      <c r="A3398" s="362"/>
      <c r="B3398" s="609">
        <v>44287</v>
      </c>
      <c r="C3398" s="362" t="s">
        <v>166</v>
      </c>
      <c r="D3398" s="560">
        <v>88655093</v>
      </c>
      <c r="E3398" s="560"/>
      <c r="F3398" s="560">
        <v>88655100</v>
      </c>
      <c r="G3398" s="560">
        <f t="shared" si="83"/>
        <v>-7</v>
      </c>
      <c r="H3398" s="560"/>
      <c r="I3398" s="560"/>
      <c r="J3398" s="560"/>
    </row>
    <row r="3399" spans="1:10" x14ac:dyDescent="0.25">
      <c r="A3399" s="362"/>
      <c r="B3399" s="609">
        <v>44287</v>
      </c>
      <c r="C3399" s="362" t="s">
        <v>3435</v>
      </c>
      <c r="D3399" s="560">
        <v>82704658</v>
      </c>
      <c r="E3399" s="560"/>
      <c r="F3399" s="560">
        <v>82704700</v>
      </c>
      <c r="G3399" s="560">
        <f t="shared" si="83"/>
        <v>-42</v>
      </c>
      <c r="H3399" s="560"/>
      <c r="I3399" s="560"/>
      <c r="J3399" s="560"/>
    </row>
    <row r="3400" spans="1:10" x14ac:dyDescent="0.25">
      <c r="A3400" s="362"/>
      <c r="B3400" s="609">
        <v>44287</v>
      </c>
      <c r="C3400" s="370" t="s">
        <v>85</v>
      </c>
      <c r="D3400" s="560">
        <v>24023900</v>
      </c>
      <c r="E3400" s="560"/>
      <c r="F3400" s="560">
        <v>24023900</v>
      </c>
      <c r="G3400" s="560">
        <f t="shared" si="83"/>
        <v>0</v>
      </c>
      <c r="H3400" s="560"/>
      <c r="I3400" s="560"/>
      <c r="J3400" s="560"/>
    </row>
    <row r="3401" spans="1:10" x14ac:dyDescent="0.25">
      <c r="A3401" s="530"/>
      <c r="B3401" s="530"/>
      <c r="C3401" s="530"/>
      <c r="D3401" s="562">
        <f>SUM(D3386:D3400)</f>
        <v>2057816663</v>
      </c>
      <c r="E3401" s="562">
        <f>SUM(E3386:E3400)</f>
        <v>535770696</v>
      </c>
      <c r="F3401" s="562">
        <f>SUM(F3386:F3400)</f>
        <v>2601147500</v>
      </c>
      <c r="G3401" s="562">
        <f>SUM(G3386:G3400)</f>
        <v>-7560141</v>
      </c>
      <c r="H3401" s="562"/>
      <c r="I3401" s="562"/>
      <c r="J3401" s="562"/>
    </row>
    <row r="3402" spans="1:10" x14ac:dyDescent="0.25">
      <c r="A3402" s="362"/>
      <c r="B3402" s="609">
        <v>44288</v>
      </c>
      <c r="C3402" s="362" t="s">
        <v>86</v>
      </c>
      <c r="D3402" s="560">
        <v>44576848</v>
      </c>
      <c r="E3402" s="560">
        <v>55687177</v>
      </c>
      <c r="F3402" s="560">
        <v>100264000</v>
      </c>
      <c r="G3402" s="560">
        <f t="shared" si="83"/>
        <v>25</v>
      </c>
      <c r="H3402" s="560"/>
      <c r="I3402" s="560"/>
      <c r="J3402" s="560"/>
    </row>
    <row r="3403" spans="1:10" x14ac:dyDescent="0.25">
      <c r="A3403" s="362"/>
      <c r="B3403" s="609">
        <v>44288</v>
      </c>
      <c r="C3403" s="362" t="s">
        <v>87</v>
      </c>
      <c r="D3403" s="560">
        <v>185564395</v>
      </c>
      <c r="E3403" s="560">
        <v>14964577</v>
      </c>
      <c r="F3403" s="560">
        <v>200584700</v>
      </c>
      <c r="G3403" s="560">
        <f t="shared" si="83"/>
        <v>-55728</v>
      </c>
      <c r="H3403" s="560"/>
      <c r="I3403" s="560"/>
      <c r="J3403" s="560"/>
    </row>
    <row r="3404" spans="1:10" x14ac:dyDescent="0.25">
      <c r="A3404" s="362"/>
      <c r="B3404" s="609">
        <v>44288</v>
      </c>
      <c r="C3404" s="362" t="s">
        <v>88</v>
      </c>
      <c r="D3404" s="560">
        <v>120450510</v>
      </c>
      <c r="E3404" s="560">
        <v>52781768</v>
      </c>
      <c r="F3404" s="560">
        <v>173232300</v>
      </c>
      <c r="G3404" s="560">
        <f t="shared" si="83"/>
        <v>-22</v>
      </c>
      <c r="H3404" s="560"/>
      <c r="I3404" s="560"/>
      <c r="J3404" s="560"/>
    </row>
    <row r="3405" spans="1:10" x14ac:dyDescent="0.25">
      <c r="A3405" s="362"/>
      <c r="B3405" s="609">
        <v>44288</v>
      </c>
      <c r="C3405" s="362" t="s">
        <v>82</v>
      </c>
      <c r="D3405" s="560">
        <v>154720220</v>
      </c>
      <c r="E3405" s="560">
        <v>3247238</v>
      </c>
      <c r="F3405" s="560">
        <v>157967500</v>
      </c>
      <c r="G3405" s="560">
        <f t="shared" si="83"/>
        <v>-42</v>
      </c>
      <c r="H3405" s="560"/>
      <c r="I3405" s="560"/>
      <c r="J3405" s="560"/>
    </row>
    <row r="3406" spans="1:10" x14ac:dyDescent="0.25">
      <c r="A3406" s="362"/>
      <c r="B3406" s="609">
        <v>44288</v>
      </c>
      <c r="C3406" s="362" t="s">
        <v>80</v>
      </c>
      <c r="D3406" s="560">
        <v>140301382</v>
      </c>
      <c r="E3406" s="560">
        <v>10580000</v>
      </c>
      <c r="F3406" s="560">
        <v>150883500</v>
      </c>
      <c r="G3406" s="560">
        <f t="shared" si="83"/>
        <v>-2118</v>
      </c>
      <c r="H3406" s="560"/>
      <c r="I3406" s="560"/>
      <c r="J3406" s="560"/>
    </row>
    <row r="3407" spans="1:10" x14ac:dyDescent="0.25">
      <c r="A3407" s="362"/>
      <c r="B3407" s="609">
        <v>44288</v>
      </c>
      <c r="C3407" s="362" t="s">
        <v>83</v>
      </c>
      <c r="D3407" s="560">
        <v>182409526</v>
      </c>
      <c r="E3407" s="560">
        <v>27348974</v>
      </c>
      <c r="F3407" s="560">
        <v>209758500</v>
      </c>
      <c r="G3407" s="560">
        <f t="shared" si="83"/>
        <v>0</v>
      </c>
      <c r="H3407" s="560"/>
      <c r="I3407" s="560"/>
      <c r="J3407" s="560"/>
    </row>
    <row r="3408" spans="1:10" x14ac:dyDescent="0.25">
      <c r="A3408" s="362"/>
      <c r="B3408" s="609">
        <v>44288</v>
      </c>
      <c r="C3408" s="362" t="s">
        <v>78</v>
      </c>
      <c r="D3408" s="560">
        <v>125747261</v>
      </c>
      <c r="E3408" s="560">
        <v>1569539</v>
      </c>
      <c r="F3408" s="560">
        <v>127316800</v>
      </c>
      <c r="G3408" s="560">
        <f t="shared" si="83"/>
        <v>0</v>
      </c>
      <c r="H3408" s="560"/>
      <c r="I3408" s="560"/>
      <c r="J3408" s="560"/>
    </row>
    <row r="3409" spans="1:10" x14ac:dyDescent="0.25">
      <c r="A3409" s="362"/>
      <c r="B3409" s="609">
        <v>44288</v>
      </c>
      <c r="C3409" s="362" t="s">
        <v>141</v>
      </c>
      <c r="D3409" s="560">
        <v>75844187</v>
      </c>
      <c r="E3409" s="560">
        <v>280139</v>
      </c>
      <c r="F3409" s="560">
        <v>76124400</v>
      </c>
      <c r="G3409" s="560">
        <f t="shared" si="83"/>
        <v>-74</v>
      </c>
      <c r="H3409" s="560"/>
      <c r="I3409" s="560"/>
      <c r="J3409" s="560"/>
    </row>
    <row r="3410" spans="1:10" x14ac:dyDescent="0.25">
      <c r="A3410" s="362"/>
      <c r="B3410" s="609">
        <v>44288</v>
      </c>
      <c r="C3410" s="362" t="s">
        <v>89</v>
      </c>
      <c r="D3410" s="560">
        <v>144418809</v>
      </c>
      <c r="E3410" s="560">
        <v>31735991</v>
      </c>
      <c r="F3410" s="560">
        <v>176154800</v>
      </c>
      <c r="G3410" s="560">
        <f t="shared" si="83"/>
        <v>0</v>
      </c>
      <c r="H3410" s="560"/>
      <c r="I3410" s="560"/>
      <c r="J3410" s="560"/>
    </row>
    <row r="3411" spans="1:10" x14ac:dyDescent="0.25">
      <c r="A3411" s="362"/>
      <c r="B3411" s="609">
        <v>44288</v>
      </c>
      <c r="C3411" s="362" t="s">
        <v>81</v>
      </c>
      <c r="D3411" s="560">
        <v>53470457</v>
      </c>
      <c r="E3411" s="560">
        <v>13075386</v>
      </c>
      <c r="F3411" s="560">
        <v>66545900</v>
      </c>
      <c r="G3411" s="560">
        <f t="shared" si="83"/>
        <v>-57</v>
      </c>
      <c r="H3411" s="560"/>
      <c r="I3411" s="560"/>
      <c r="J3411" s="560"/>
    </row>
    <row r="3412" spans="1:10" x14ac:dyDescent="0.25">
      <c r="A3412" s="362"/>
      <c r="B3412" s="609">
        <v>44288</v>
      </c>
      <c r="C3412" s="362" t="s">
        <v>84</v>
      </c>
      <c r="D3412" s="560">
        <v>187261763</v>
      </c>
      <c r="E3412" s="560">
        <v>9752685</v>
      </c>
      <c r="F3412" s="560">
        <v>197014400</v>
      </c>
      <c r="G3412" s="560">
        <f t="shared" si="83"/>
        <v>48</v>
      </c>
      <c r="H3412" s="560"/>
      <c r="I3412" s="560"/>
      <c r="J3412" s="560"/>
    </row>
    <row r="3413" spans="1:10" x14ac:dyDescent="0.25">
      <c r="A3413" s="362"/>
      <c r="B3413" s="609">
        <v>44288</v>
      </c>
      <c r="C3413" s="362" t="s">
        <v>4751</v>
      </c>
      <c r="D3413" s="560">
        <v>106838300</v>
      </c>
      <c r="E3413" s="560">
        <v>6497600</v>
      </c>
      <c r="F3413" s="560">
        <v>113335900</v>
      </c>
      <c r="G3413" s="560">
        <f t="shared" si="83"/>
        <v>0</v>
      </c>
      <c r="H3413" s="560"/>
      <c r="I3413" s="560"/>
      <c r="J3413" s="560"/>
    </row>
    <row r="3414" spans="1:10" x14ac:dyDescent="0.25">
      <c r="A3414" s="362"/>
      <c r="B3414" s="609">
        <v>44288</v>
      </c>
      <c r="C3414" s="362" t="s">
        <v>166</v>
      </c>
      <c r="D3414" s="560">
        <v>39477811</v>
      </c>
      <c r="E3414" s="560"/>
      <c r="F3414" s="560">
        <v>39477900</v>
      </c>
      <c r="G3414" s="560">
        <f t="shared" si="83"/>
        <v>-89</v>
      </c>
      <c r="H3414" s="560"/>
      <c r="I3414" s="560"/>
      <c r="J3414" s="560"/>
    </row>
    <row r="3415" spans="1:10" x14ac:dyDescent="0.25">
      <c r="A3415" s="362"/>
      <c r="B3415" s="609">
        <v>44288</v>
      </c>
      <c r="C3415" s="362" t="s">
        <v>3435</v>
      </c>
      <c r="D3415" s="560">
        <v>25312859</v>
      </c>
      <c r="E3415" s="560"/>
      <c r="F3415" s="560">
        <v>25312900</v>
      </c>
      <c r="G3415" s="560">
        <f t="shared" si="83"/>
        <v>-41</v>
      </c>
      <c r="H3415" s="560"/>
      <c r="I3415" s="560"/>
      <c r="J3415" s="560"/>
    </row>
    <row r="3416" spans="1:10" x14ac:dyDescent="0.25">
      <c r="A3416" s="362"/>
      <c r="B3416" s="609">
        <v>44288</v>
      </c>
      <c r="C3416" s="370" t="s">
        <v>85</v>
      </c>
      <c r="D3416" s="560">
        <v>19805500</v>
      </c>
      <c r="E3416" s="560"/>
      <c r="F3416" s="560">
        <v>19805500</v>
      </c>
      <c r="G3416" s="560">
        <f t="shared" si="83"/>
        <v>0</v>
      </c>
      <c r="H3416" s="560"/>
      <c r="I3416" s="560"/>
      <c r="J3416" s="560"/>
    </row>
    <row r="3417" spans="1:10" x14ac:dyDescent="0.25">
      <c r="A3417" s="530"/>
      <c r="B3417" s="530"/>
      <c r="C3417" s="530"/>
      <c r="D3417" s="562">
        <f>SUM(D3402:D3416)</f>
        <v>1606199828</v>
      </c>
      <c r="E3417" s="562">
        <f t="shared" ref="E3417:J3417" si="84">SUM(E3402:E3416)</f>
        <v>227521074</v>
      </c>
      <c r="F3417" s="562">
        <f t="shared" si="84"/>
        <v>1833779000</v>
      </c>
      <c r="G3417" s="562">
        <f t="shared" si="84"/>
        <v>-58098</v>
      </c>
      <c r="H3417" s="562">
        <f t="shared" si="84"/>
        <v>0</v>
      </c>
      <c r="I3417" s="562">
        <f t="shared" si="84"/>
        <v>0</v>
      </c>
      <c r="J3417" s="562">
        <f t="shared" si="84"/>
        <v>0</v>
      </c>
    </row>
    <row r="3418" spans="1:10" x14ac:dyDescent="0.25">
      <c r="A3418" s="362"/>
      <c r="B3418" s="609">
        <v>44289</v>
      </c>
      <c r="C3418" s="362" t="s">
        <v>86</v>
      </c>
      <c r="D3418" s="560">
        <v>56781850</v>
      </c>
      <c r="E3418" s="560">
        <v>35508623</v>
      </c>
      <c r="F3418" s="560">
        <v>92290500</v>
      </c>
      <c r="G3418" s="560">
        <f t="shared" si="83"/>
        <v>-27</v>
      </c>
      <c r="H3418" s="560"/>
      <c r="I3418" s="560"/>
      <c r="J3418" s="560"/>
    </row>
    <row r="3419" spans="1:10" x14ac:dyDescent="0.25">
      <c r="A3419" s="362"/>
      <c r="B3419" s="609">
        <v>44289</v>
      </c>
      <c r="C3419" s="362" t="s">
        <v>87</v>
      </c>
      <c r="D3419" s="560">
        <v>118653159</v>
      </c>
      <c r="E3419" s="560">
        <v>118502715</v>
      </c>
      <c r="F3419" s="560">
        <v>237155900</v>
      </c>
      <c r="G3419" s="560">
        <f t="shared" si="83"/>
        <v>-26</v>
      </c>
      <c r="H3419" s="560"/>
      <c r="I3419" s="560"/>
      <c r="J3419" s="560"/>
    </row>
    <row r="3420" spans="1:10" x14ac:dyDescent="0.25">
      <c r="A3420" s="362"/>
      <c r="B3420" s="609">
        <v>44289</v>
      </c>
      <c r="C3420" s="362" t="s">
        <v>88</v>
      </c>
      <c r="D3420" s="560">
        <v>146722273</v>
      </c>
      <c r="E3420" s="560">
        <v>28041256</v>
      </c>
      <c r="F3420" s="560">
        <v>174763600</v>
      </c>
      <c r="G3420" s="560">
        <f t="shared" si="83"/>
        <v>-71</v>
      </c>
      <c r="H3420" s="560"/>
      <c r="I3420" s="560"/>
      <c r="J3420" s="560"/>
    </row>
    <row r="3421" spans="1:10" x14ac:dyDescent="0.25">
      <c r="A3421" s="362"/>
      <c r="B3421" s="609">
        <v>44289</v>
      </c>
      <c r="C3421" s="362" t="s">
        <v>82</v>
      </c>
      <c r="D3421" s="560">
        <v>100575666</v>
      </c>
      <c r="E3421" s="560">
        <v>5817609</v>
      </c>
      <c r="F3421" s="560">
        <v>106393400</v>
      </c>
      <c r="G3421" s="560">
        <f t="shared" si="83"/>
        <v>-125</v>
      </c>
      <c r="H3421" s="560"/>
      <c r="I3421" s="560"/>
      <c r="J3421" s="560"/>
    </row>
    <row r="3422" spans="1:10" x14ac:dyDescent="0.25">
      <c r="A3422" s="362"/>
      <c r="B3422" s="609">
        <v>44289</v>
      </c>
      <c r="C3422" s="362" t="s">
        <v>80</v>
      </c>
      <c r="D3422" s="560">
        <v>373724780</v>
      </c>
      <c r="E3422" s="560">
        <v>196074916</v>
      </c>
      <c r="F3422" s="560">
        <v>237377000</v>
      </c>
      <c r="G3422" s="560">
        <f t="shared" si="83"/>
        <v>332422696</v>
      </c>
      <c r="H3422" s="560"/>
      <c r="I3422" s="560"/>
      <c r="J3422" s="560"/>
    </row>
    <row r="3423" spans="1:10" x14ac:dyDescent="0.25">
      <c r="A3423" s="362"/>
      <c r="B3423" s="609">
        <v>44289</v>
      </c>
      <c r="C3423" s="362" t="s">
        <v>83</v>
      </c>
      <c r="D3423" s="560">
        <v>149390106</v>
      </c>
      <c r="E3423" s="560">
        <v>109986694</v>
      </c>
      <c r="F3423" s="560">
        <v>259376800</v>
      </c>
      <c r="G3423" s="560">
        <f t="shared" si="83"/>
        <v>0</v>
      </c>
      <c r="H3423" s="560"/>
      <c r="I3423" s="560"/>
      <c r="J3423" s="560"/>
    </row>
    <row r="3424" spans="1:10" x14ac:dyDescent="0.25">
      <c r="A3424" s="362"/>
      <c r="B3424" s="609">
        <v>44289</v>
      </c>
      <c r="C3424" s="362" t="s">
        <v>78</v>
      </c>
      <c r="D3424" s="560">
        <v>149530805</v>
      </c>
      <c r="E3424" s="560">
        <v>5321595</v>
      </c>
      <c r="F3424" s="560">
        <v>154852400</v>
      </c>
      <c r="G3424" s="560">
        <f t="shared" si="83"/>
        <v>0</v>
      </c>
      <c r="H3424" s="560"/>
      <c r="I3424" s="560"/>
      <c r="J3424" s="560"/>
    </row>
    <row r="3425" spans="1:10" x14ac:dyDescent="0.25">
      <c r="A3425" s="362"/>
      <c r="B3425" s="609">
        <v>44289</v>
      </c>
      <c r="C3425" s="362" t="s">
        <v>141</v>
      </c>
      <c r="D3425" s="560">
        <v>34376456</v>
      </c>
      <c r="E3425" s="560">
        <v>1815144</v>
      </c>
      <c r="F3425" s="560">
        <v>36191600</v>
      </c>
      <c r="G3425" s="560">
        <f t="shared" si="83"/>
        <v>0</v>
      </c>
      <c r="H3425" s="560"/>
      <c r="I3425" s="560"/>
      <c r="J3425" s="560"/>
    </row>
    <row r="3426" spans="1:10" x14ac:dyDescent="0.25">
      <c r="A3426" s="362"/>
      <c r="B3426" s="609">
        <v>44289</v>
      </c>
      <c r="C3426" s="362" t="s">
        <v>89</v>
      </c>
      <c r="D3426" s="560">
        <v>107969257</v>
      </c>
      <c r="E3426" s="560">
        <v>16493143</v>
      </c>
      <c r="F3426" s="560">
        <v>124462400</v>
      </c>
      <c r="G3426" s="560">
        <f t="shared" si="83"/>
        <v>0</v>
      </c>
      <c r="H3426" s="560"/>
      <c r="I3426" s="560"/>
      <c r="J3426" s="560"/>
    </row>
    <row r="3427" spans="1:10" x14ac:dyDescent="0.25">
      <c r="A3427" s="362"/>
      <c r="B3427" s="609">
        <v>44289</v>
      </c>
      <c r="C3427" s="362" t="s">
        <v>81</v>
      </c>
      <c r="D3427" s="560">
        <v>90579659</v>
      </c>
      <c r="E3427" s="560">
        <v>21036167</v>
      </c>
      <c r="F3427" s="560">
        <v>111615900</v>
      </c>
      <c r="G3427" s="560">
        <f t="shared" si="83"/>
        <v>-74</v>
      </c>
      <c r="H3427" s="560"/>
      <c r="I3427" s="560"/>
      <c r="J3427" s="560"/>
    </row>
    <row r="3428" spans="1:10" x14ac:dyDescent="0.25">
      <c r="A3428" s="362"/>
      <c r="B3428" s="609">
        <v>44289</v>
      </c>
      <c r="C3428" s="362" t="s">
        <v>84</v>
      </c>
      <c r="D3428" s="560">
        <v>219814928</v>
      </c>
      <c r="E3428" s="560">
        <v>13056409</v>
      </c>
      <c r="F3428" s="560">
        <v>232871600</v>
      </c>
      <c r="G3428" s="560">
        <f t="shared" si="83"/>
        <v>-263</v>
      </c>
      <c r="H3428" s="560"/>
      <c r="I3428" s="560"/>
      <c r="J3428" s="560"/>
    </row>
    <row r="3429" spans="1:10" x14ac:dyDescent="0.25">
      <c r="A3429" s="362"/>
      <c r="B3429" s="609">
        <v>44289</v>
      </c>
      <c r="C3429" s="362" t="s">
        <v>4751</v>
      </c>
      <c r="D3429" s="560">
        <v>218217846</v>
      </c>
      <c r="E3429" s="560">
        <v>12810054</v>
      </c>
      <c r="F3429" s="560">
        <v>231027900</v>
      </c>
      <c r="G3429" s="560">
        <f t="shared" si="83"/>
        <v>0</v>
      </c>
      <c r="H3429" s="560"/>
      <c r="I3429" s="560"/>
      <c r="J3429" s="560"/>
    </row>
    <row r="3430" spans="1:10" x14ac:dyDescent="0.25">
      <c r="A3430" s="362"/>
      <c r="B3430" s="609">
        <v>44289</v>
      </c>
      <c r="C3430" s="362" t="s">
        <v>166</v>
      </c>
      <c r="D3430" s="560"/>
      <c r="E3430" s="560"/>
      <c r="F3430" s="560"/>
      <c r="G3430" s="560">
        <f t="shared" si="83"/>
        <v>0</v>
      </c>
      <c r="H3430" s="560"/>
      <c r="I3430" s="560"/>
      <c r="J3430" s="560"/>
    </row>
    <row r="3431" spans="1:10" x14ac:dyDescent="0.25">
      <c r="A3431" s="362"/>
      <c r="B3431" s="609">
        <v>44289</v>
      </c>
      <c r="C3431" s="362" t="s">
        <v>3435</v>
      </c>
      <c r="D3431" s="560"/>
      <c r="E3431" s="560"/>
      <c r="F3431" s="560"/>
      <c r="G3431" s="560">
        <f t="shared" si="83"/>
        <v>0</v>
      </c>
      <c r="H3431" s="560"/>
      <c r="I3431" s="560"/>
      <c r="J3431" s="560"/>
    </row>
    <row r="3432" spans="1:10" x14ac:dyDescent="0.25">
      <c r="A3432" s="362"/>
      <c r="B3432" s="609">
        <v>44289</v>
      </c>
      <c r="C3432" s="370" t="s">
        <v>85</v>
      </c>
      <c r="D3432" s="560">
        <v>27897800</v>
      </c>
      <c r="E3432" s="560"/>
      <c r="F3432" s="560">
        <v>27897800</v>
      </c>
      <c r="G3432" s="560">
        <f t="shared" si="83"/>
        <v>0</v>
      </c>
      <c r="H3432" s="560"/>
      <c r="I3432" s="560"/>
      <c r="J3432" s="560"/>
    </row>
    <row r="3433" spans="1:10" x14ac:dyDescent="0.25">
      <c r="A3433" s="530"/>
      <c r="B3433" s="530"/>
      <c r="C3433" s="530"/>
      <c r="D3433" s="562">
        <f>SUM(D3418:D3432)</f>
        <v>1794234585</v>
      </c>
      <c r="E3433" s="562">
        <f>SUM(E3418:E3432)</f>
        <v>564464325</v>
      </c>
      <c r="F3433" s="562">
        <f>SUM(F3418:F3432)</f>
        <v>2026276800</v>
      </c>
      <c r="G3433" s="562">
        <f>SUM(G3418:G3432)</f>
        <v>332422110</v>
      </c>
      <c r="H3433" s="562"/>
      <c r="I3433" s="562"/>
      <c r="J3433" s="562"/>
    </row>
    <row r="3434" spans="1:10" x14ac:dyDescent="0.25">
      <c r="A3434" s="362"/>
      <c r="B3434" s="609">
        <v>44291</v>
      </c>
      <c r="C3434" s="362" t="s">
        <v>86</v>
      </c>
      <c r="D3434" s="560">
        <v>71167900</v>
      </c>
      <c r="E3434" s="560">
        <v>16502981</v>
      </c>
      <c r="F3434" s="560">
        <v>87671000</v>
      </c>
      <c r="G3434" s="560">
        <f t="shared" si="83"/>
        <v>-119</v>
      </c>
      <c r="H3434" s="560"/>
      <c r="I3434" s="560"/>
      <c r="J3434" s="560"/>
    </row>
    <row r="3435" spans="1:10" x14ac:dyDescent="0.25">
      <c r="A3435" s="362"/>
      <c r="B3435" s="609">
        <v>44291</v>
      </c>
      <c r="C3435" s="362" t="s">
        <v>87</v>
      </c>
      <c r="D3435" s="560">
        <v>114371216</v>
      </c>
      <c r="E3435" s="560">
        <v>10325522</v>
      </c>
      <c r="F3435" s="560">
        <v>124696800</v>
      </c>
      <c r="G3435" s="560">
        <f t="shared" si="83"/>
        <v>-62</v>
      </c>
      <c r="H3435" s="560"/>
      <c r="I3435" s="560"/>
      <c r="J3435" s="560"/>
    </row>
    <row r="3436" spans="1:10" x14ac:dyDescent="0.25">
      <c r="A3436" s="362"/>
      <c r="B3436" s="609">
        <v>44291</v>
      </c>
      <c r="C3436" s="362" t="s">
        <v>88</v>
      </c>
      <c r="D3436" s="560">
        <v>177897978</v>
      </c>
      <c r="E3436" s="560">
        <v>95763288</v>
      </c>
      <c r="F3436" s="560">
        <v>273661300</v>
      </c>
      <c r="G3436" s="560">
        <f t="shared" si="83"/>
        <v>-34</v>
      </c>
      <c r="H3436" s="560"/>
      <c r="I3436" s="560"/>
      <c r="J3436" s="560"/>
    </row>
    <row r="3437" spans="1:10" x14ac:dyDescent="0.25">
      <c r="A3437" s="362"/>
      <c r="B3437" s="609">
        <v>44291</v>
      </c>
      <c r="C3437" s="362" t="s">
        <v>82</v>
      </c>
      <c r="D3437" s="560">
        <v>54423355</v>
      </c>
      <c r="E3437" s="560">
        <v>1731600</v>
      </c>
      <c r="F3437" s="560">
        <v>56155000</v>
      </c>
      <c r="G3437" s="560">
        <f t="shared" si="83"/>
        <v>-45</v>
      </c>
      <c r="H3437" s="560"/>
      <c r="I3437" s="560"/>
      <c r="J3437" s="560"/>
    </row>
    <row r="3438" spans="1:10" x14ac:dyDescent="0.25">
      <c r="A3438" s="362"/>
      <c r="B3438" s="609">
        <v>44291</v>
      </c>
      <c r="C3438" s="362" t="s">
        <v>80</v>
      </c>
      <c r="D3438" s="560">
        <v>178731617</v>
      </c>
      <c r="E3438" s="560"/>
      <c r="F3438" s="560">
        <v>178731600</v>
      </c>
      <c r="G3438" s="560">
        <f t="shared" si="83"/>
        <v>17</v>
      </c>
      <c r="H3438" s="560"/>
      <c r="I3438" s="560"/>
      <c r="J3438" s="560"/>
    </row>
    <row r="3439" spans="1:10" x14ac:dyDescent="0.25">
      <c r="A3439" s="362"/>
      <c r="B3439" s="609">
        <v>44291</v>
      </c>
      <c r="C3439" s="362" t="s">
        <v>83</v>
      </c>
      <c r="D3439" s="560">
        <v>177958262</v>
      </c>
      <c r="E3439" s="560">
        <v>21108156</v>
      </c>
      <c r="F3439" s="560">
        <v>199066500</v>
      </c>
      <c r="G3439" s="560">
        <f t="shared" si="83"/>
        <v>-82</v>
      </c>
      <c r="H3439" s="560"/>
      <c r="I3439" s="560"/>
      <c r="J3439" s="560"/>
    </row>
    <row r="3440" spans="1:10" x14ac:dyDescent="0.25">
      <c r="A3440" s="362"/>
      <c r="B3440" s="609">
        <v>44291</v>
      </c>
      <c r="C3440" s="362" t="s">
        <v>78</v>
      </c>
      <c r="D3440" s="560">
        <v>67473912</v>
      </c>
      <c r="E3440" s="560">
        <v>8273088</v>
      </c>
      <c r="F3440" s="560">
        <v>75747000</v>
      </c>
      <c r="G3440" s="560">
        <f t="shared" si="83"/>
        <v>0</v>
      </c>
      <c r="H3440" s="560"/>
      <c r="I3440" s="560"/>
      <c r="J3440" s="560"/>
    </row>
    <row r="3441" spans="1:10" x14ac:dyDescent="0.25">
      <c r="A3441" s="362"/>
      <c r="B3441" s="609">
        <v>44291</v>
      </c>
      <c r="C3441" s="362" t="s">
        <v>141</v>
      </c>
      <c r="D3441" s="560">
        <v>47503361</v>
      </c>
      <c r="E3441" s="560">
        <v>1292742</v>
      </c>
      <c r="F3441" s="560">
        <v>48796200</v>
      </c>
      <c r="G3441" s="560">
        <f t="shared" si="83"/>
        <v>-97</v>
      </c>
      <c r="H3441" s="560"/>
      <c r="I3441" s="560"/>
      <c r="J3441" s="560"/>
    </row>
    <row r="3442" spans="1:10" x14ac:dyDescent="0.25">
      <c r="A3442" s="362"/>
      <c r="B3442" s="609">
        <v>44291</v>
      </c>
      <c r="C3442" s="362" t="s">
        <v>89</v>
      </c>
      <c r="D3442" s="560">
        <v>135513826</v>
      </c>
      <c r="E3442" s="560">
        <v>61430374</v>
      </c>
      <c r="F3442" s="560">
        <v>196944200</v>
      </c>
      <c r="G3442" s="560">
        <f t="shared" si="83"/>
        <v>0</v>
      </c>
      <c r="H3442" s="560"/>
      <c r="I3442" s="560"/>
      <c r="J3442" s="560"/>
    </row>
    <row r="3443" spans="1:10" x14ac:dyDescent="0.25">
      <c r="A3443" s="362"/>
      <c r="B3443" s="609">
        <v>44291</v>
      </c>
      <c r="C3443" s="362" t="s">
        <v>81</v>
      </c>
      <c r="D3443" s="560">
        <v>84888415</v>
      </c>
      <c r="E3443" s="560">
        <v>20517001</v>
      </c>
      <c r="F3443" s="560">
        <v>105405500</v>
      </c>
      <c r="G3443" s="560">
        <f t="shared" si="83"/>
        <v>-84</v>
      </c>
      <c r="H3443" s="560"/>
      <c r="I3443" s="560"/>
      <c r="J3443" s="560"/>
    </row>
    <row r="3444" spans="1:10" x14ac:dyDescent="0.25">
      <c r="A3444" s="362"/>
      <c r="B3444" s="609">
        <v>44291</v>
      </c>
      <c r="C3444" s="362" t="s">
        <v>84</v>
      </c>
      <c r="D3444" s="560">
        <v>202559072</v>
      </c>
      <c r="E3444" s="560">
        <v>6254940</v>
      </c>
      <c r="F3444" s="560">
        <v>208814000</v>
      </c>
      <c r="G3444" s="560">
        <f t="shared" si="83"/>
        <v>12</v>
      </c>
      <c r="H3444" s="560"/>
      <c r="I3444" s="560"/>
      <c r="J3444" s="560"/>
    </row>
    <row r="3445" spans="1:10" x14ac:dyDescent="0.25">
      <c r="A3445" s="362"/>
      <c r="B3445" s="609">
        <v>44291</v>
      </c>
      <c r="C3445" s="362" t="s">
        <v>4751</v>
      </c>
      <c r="D3445" s="560">
        <v>222763983</v>
      </c>
      <c r="E3445" s="560">
        <v>18375217</v>
      </c>
      <c r="F3445" s="560">
        <v>241139000</v>
      </c>
      <c r="G3445" s="560">
        <f t="shared" si="83"/>
        <v>200</v>
      </c>
      <c r="H3445" s="560"/>
      <c r="I3445" s="560"/>
      <c r="J3445" s="560"/>
    </row>
    <row r="3446" spans="1:10" x14ac:dyDescent="0.25">
      <c r="A3446" s="362"/>
      <c r="B3446" s="609">
        <v>44291</v>
      </c>
      <c r="C3446" s="362" t="s">
        <v>166</v>
      </c>
      <c r="D3446" s="560">
        <v>61137874</v>
      </c>
      <c r="E3446" s="560"/>
      <c r="F3446" s="560">
        <v>61135900</v>
      </c>
      <c r="G3446" s="560">
        <f t="shared" si="83"/>
        <v>1974</v>
      </c>
      <c r="H3446" s="560"/>
      <c r="I3446" s="560"/>
      <c r="J3446" s="560"/>
    </row>
    <row r="3447" spans="1:10" x14ac:dyDescent="0.25">
      <c r="A3447" s="362"/>
      <c r="B3447" s="609">
        <v>44291</v>
      </c>
      <c r="C3447" s="362" t="s">
        <v>3435</v>
      </c>
      <c r="D3447" s="560">
        <v>30853963</v>
      </c>
      <c r="E3447" s="560"/>
      <c r="F3447" s="560">
        <v>30854000</v>
      </c>
      <c r="G3447" s="560">
        <f t="shared" si="83"/>
        <v>-37</v>
      </c>
      <c r="H3447" s="560"/>
      <c r="I3447" s="560"/>
      <c r="J3447" s="560"/>
    </row>
    <row r="3448" spans="1:10" x14ac:dyDescent="0.25">
      <c r="A3448" s="362"/>
      <c r="B3448" s="609">
        <v>44291</v>
      </c>
      <c r="C3448" s="370" t="s">
        <v>85</v>
      </c>
      <c r="D3448" s="560">
        <v>37469600</v>
      </c>
      <c r="E3448" s="560"/>
      <c r="F3448" s="560">
        <v>37469600</v>
      </c>
      <c r="G3448" s="560">
        <f t="shared" si="83"/>
        <v>0</v>
      </c>
      <c r="H3448" s="560"/>
      <c r="I3448" s="560"/>
      <c r="J3448" s="560"/>
    </row>
    <row r="3449" spans="1:10" x14ac:dyDescent="0.25">
      <c r="A3449" s="530"/>
      <c r="B3449" s="530"/>
      <c r="C3449" s="530"/>
      <c r="D3449" s="562">
        <f>SUM(D3434:D3448)</f>
        <v>1664714334</v>
      </c>
      <c r="E3449" s="562">
        <f>SUM(E3434:E3448)</f>
        <v>261574909</v>
      </c>
      <c r="F3449" s="562">
        <f>SUM(F3434:F3448)</f>
        <v>1926287600</v>
      </c>
      <c r="G3449" s="562">
        <f>SUM(G3434:G3448)</f>
        <v>1643</v>
      </c>
      <c r="H3449" s="562"/>
      <c r="I3449" s="562"/>
      <c r="J3449" s="562"/>
    </row>
    <row r="3450" spans="1:10" x14ac:dyDescent="0.25">
      <c r="A3450" s="362"/>
      <c r="B3450" s="609">
        <v>44292</v>
      </c>
      <c r="C3450" s="362" t="s">
        <v>86</v>
      </c>
      <c r="D3450" s="560">
        <v>105056453</v>
      </c>
      <c r="E3450" s="560">
        <v>88680191</v>
      </c>
      <c r="F3450" s="560">
        <v>193736600</v>
      </c>
      <c r="G3450" s="560">
        <f t="shared" si="83"/>
        <v>44</v>
      </c>
      <c r="H3450" s="560"/>
      <c r="I3450" s="560"/>
      <c r="J3450" s="560"/>
    </row>
    <row r="3451" spans="1:10" x14ac:dyDescent="0.25">
      <c r="A3451" s="362"/>
      <c r="B3451" s="609">
        <v>44292</v>
      </c>
      <c r="C3451" s="362" t="s">
        <v>87</v>
      </c>
      <c r="D3451" s="560">
        <v>219343095</v>
      </c>
      <c r="E3451" s="560">
        <v>10143540</v>
      </c>
      <c r="F3451" s="560">
        <v>229486800</v>
      </c>
      <c r="G3451" s="560">
        <f t="shared" si="83"/>
        <v>-165</v>
      </c>
      <c r="H3451" s="560"/>
      <c r="I3451" s="560"/>
      <c r="J3451" s="560"/>
    </row>
    <row r="3452" spans="1:10" x14ac:dyDescent="0.25">
      <c r="A3452" s="362"/>
      <c r="B3452" s="609">
        <v>44292</v>
      </c>
      <c r="C3452" s="362" t="s">
        <v>88</v>
      </c>
      <c r="D3452" s="560">
        <v>441104829</v>
      </c>
      <c r="E3452" s="560">
        <v>6288005</v>
      </c>
      <c r="F3452" s="560">
        <v>447392900</v>
      </c>
      <c r="G3452" s="560">
        <f t="shared" ref="G3452:G3515" si="85">D3452+E3452-F3452</f>
        <v>-66</v>
      </c>
      <c r="H3452" s="560"/>
      <c r="I3452" s="560"/>
      <c r="J3452" s="560"/>
    </row>
    <row r="3453" spans="1:10" x14ac:dyDescent="0.25">
      <c r="A3453" s="362"/>
      <c r="B3453" s="609">
        <v>44292</v>
      </c>
      <c r="C3453" s="362" t="s">
        <v>82</v>
      </c>
      <c r="D3453" s="560">
        <v>67689380</v>
      </c>
      <c r="E3453" s="560">
        <v>3195612</v>
      </c>
      <c r="F3453" s="560">
        <v>70885000</v>
      </c>
      <c r="G3453" s="560">
        <f t="shared" si="85"/>
        <v>-8</v>
      </c>
      <c r="H3453" s="560"/>
      <c r="I3453" s="560"/>
      <c r="J3453" s="560"/>
    </row>
    <row r="3454" spans="1:10" x14ac:dyDescent="0.25">
      <c r="A3454" s="362"/>
      <c r="B3454" s="609">
        <v>44292</v>
      </c>
      <c r="C3454" s="362" t="s">
        <v>80</v>
      </c>
      <c r="D3454" s="560">
        <v>337110805</v>
      </c>
      <c r="E3454" s="560">
        <v>3527040</v>
      </c>
      <c r="F3454" s="560">
        <v>340645900</v>
      </c>
      <c r="G3454" s="560">
        <f t="shared" si="85"/>
        <v>-8055</v>
      </c>
      <c r="H3454" s="560"/>
      <c r="I3454" s="560"/>
      <c r="J3454" s="560"/>
    </row>
    <row r="3455" spans="1:10" x14ac:dyDescent="0.25">
      <c r="A3455" s="362"/>
      <c r="B3455" s="609">
        <v>44292</v>
      </c>
      <c r="C3455" s="362" t="s">
        <v>83</v>
      </c>
      <c r="D3455" s="560">
        <v>256468202</v>
      </c>
      <c r="E3455" s="560">
        <v>12897298</v>
      </c>
      <c r="F3455" s="560">
        <v>269365500</v>
      </c>
      <c r="G3455" s="560">
        <f t="shared" si="85"/>
        <v>0</v>
      </c>
      <c r="H3455" s="560"/>
      <c r="I3455" s="560"/>
      <c r="J3455" s="560"/>
    </row>
    <row r="3456" spans="1:10" x14ac:dyDescent="0.25">
      <c r="A3456" s="362"/>
      <c r="B3456" s="609">
        <v>44292</v>
      </c>
      <c r="C3456" s="362" t="s">
        <v>78</v>
      </c>
      <c r="D3456" s="560">
        <v>82238983</v>
      </c>
      <c r="E3456" s="560">
        <v>1557317</v>
      </c>
      <c r="F3456" s="560">
        <v>83796300</v>
      </c>
      <c r="G3456" s="560">
        <f t="shared" si="85"/>
        <v>0</v>
      </c>
      <c r="H3456" s="560"/>
      <c r="I3456" s="560"/>
      <c r="J3456" s="560"/>
    </row>
    <row r="3457" spans="1:10" x14ac:dyDescent="0.25">
      <c r="A3457" s="362"/>
      <c r="B3457" s="609">
        <v>44292</v>
      </c>
      <c r="C3457" s="362" t="s">
        <v>141</v>
      </c>
      <c r="D3457" s="560">
        <v>85715843</v>
      </c>
      <c r="E3457" s="560">
        <v>3694920</v>
      </c>
      <c r="F3457" s="560">
        <v>89410800</v>
      </c>
      <c r="G3457" s="560">
        <f t="shared" si="85"/>
        <v>-37</v>
      </c>
      <c r="H3457" s="560"/>
      <c r="I3457" s="560"/>
      <c r="J3457" s="560"/>
    </row>
    <row r="3458" spans="1:10" x14ac:dyDescent="0.25">
      <c r="A3458" s="362"/>
      <c r="B3458" s="609">
        <v>44292</v>
      </c>
      <c r="C3458" s="362" t="s">
        <v>89</v>
      </c>
      <c r="D3458" s="560">
        <v>139758327</v>
      </c>
      <c r="E3458" s="560">
        <v>25999673</v>
      </c>
      <c r="F3458" s="560">
        <v>165758000</v>
      </c>
      <c r="G3458" s="560">
        <f t="shared" si="85"/>
        <v>0</v>
      </c>
      <c r="H3458" s="560"/>
      <c r="I3458" s="560"/>
      <c r="J3458" s="560"/>
    </row>
    <row r="3459" spans="1:10" x14ac:dyDescent="0.25">
      <c r="A3459" s="362"/>
      <c r="B3459" s="609">
        <v>44292</v>
      </c>
      <c r="C3459" s="362" t="s">
        <v>81</v>
      </c>
      <c r="D3459" s="560">
        <v>89053302</v>
      </c>
      <c r="E3459" s="560">
        <v>41435019</v>
      </c>
      <c r="F3459" s="560">
        <v>130488400</v>
      </c>
      <c r="G3459" s="560">
        <f t="shared" si="85"/>
        <v>-79</v>
      </c>
      <c r="H3459" s="560"/>
      <c r="I3459" s="560"/>
      <c r="J3459" s="560"/>
    </row>
    <row r="3460" spans="1:10" x14ac:dyDescent="0.25">
      <c r="A3460" s="362"/>
      <c r="B3460" s="609">
        <v>44292</v>
      </c>
      <c r="C3460" s="362" t="s">
        <v>84</v>
      </c>
      <c r="D3460" s="560">
        <v>211321958</v>
      </c>
      <c r="E3460" s="560">
        <v>10050948</v>
      </c>
      <c r="F3460" s="560">
        <v>221372100</v>
      </c>
      <c r="G3460" s="560">
        <f t="shared" si="85"/>
        <v>806</v>
      </c>
      <c r="H3460" s="560"/>
      <c r="I3460" s="560"/>
      <c r="J3460" s="560"/>
    </row>
    <row r="3461" spans="1:10" x14ac:dyDescent="0.25">
      <c r="A3461" s="362"/>
      <c r="B3461" s="609">
        <v>44292</v>
      </c>
      <c r="C3461" s="362" t="s">
        <v>4751</v>
      </c>
      <c r="D3461" s="560">
        <v>218038012</v>
      </c>
      <c r="E3461" s="560">
        <v>12195388</v>
      </c>
      <c r="F3461" s="560">
        <v>230238400</v>
      </c>
      <c r="G3461" s="560">
        <f t="shared" si="85"/>
        <v>-5000</v>
      </c>
      <c r="H3461" s="560"/>
      <c r="I3461" s="560"/>
      <c r="J3461" s="560"/>
    </row>
    <row r="3462" spans="1:10" x14ac:dyDescent="0.25">
      <c r="A3462" s="362"/>
      <c r="B3462" s="609">
        <v>44292</v>
      </c>
      <c r="C3462" s="362" t="s">
        <v>166</v>
      </c>
      <c r="D3462" s="560">
        <v>117178624</v>
      </c>
      <c r="E3462" s="560"/>
      <c r="F3462" s="560">
        <v>117179000</v>
      </c>
      <c r="G3462" s="560">
        <f t="shared" si="85"/>
        <v>-376</v>
      </c>
      <c r="H3462" s="560"/>
      <c r="I3462" s="560"/>
      <c r="J3462" s="560"/>
    </row>
    <row r="3463" spans="1:10" x14ac:dyDescent="0.25">
      <c r="A3463" s="362"/>
      <c r="B3463" s="609">
        <v>44292</v>
      </c>
      <c r="C3463" s="362" t="s">
        <v>3435</v>
      </c>
      <c r="D3463" s="560">
        <v>74076173</v>
      </c>
      <c r="E3463" s="560"/>
      <c r="F3463" s="560">
        <v>74076200</v>
      </c>
      <c r="G3463" s="560">
        <f t="shared" si="85"/>
        <v>-27</v>
      </c>
      <c r="H3463" s="560"/>
      <c r="I3463" s="560"/>
      <c r="J3463" s="560"/>
    </row>
    <row r="3464" spans="1:10" x14ac:dyDescent="0.25">
      <c r="A3464" s="362"/>
      <c r="B3464" s="609">
        <v>44292</v>
      </c>
      <c r="C3464" s="370" t="s">
        <v>85</v>
      </c>
      <c r="D3464" s="560">
        <v>27257600</v>
      </c>
      <c r="E3464" s="560"/>
      <c r="F3464" s="560">
        <v>27257600</v>
      </c>
      <c r="G3464" s="560">
        <f t="shared" si="85"/>
        <v>0</v>
      </c>
      <c r="H3464" s="560"/>
      <c r="I3464" s="560"/>
      <c r="J3464" s="560"/>
    </row>
    <row r="3465" spans="1:10" x14ac:dyDescent="0.25">
      <c r="A3465" s="530"/>
      <c r="B3465" s="530"/>
      <c r="C3465" s="530"/>
      <c r="D3465" s="562">
        <f>SUM(D3450:D3464)</f>
        <v>2471411586</v>
      </c>
      <c r="E3465" s="562">
        <f>SUM(E3450:E3464)</f>
        <v>219664951</v>
      </c>
      <c r="F3465" s="562">
        <f>SUM(F3450:F3464)</f>
        <v>2691089500</v>
      </c>
      <c r="G3465" s="562">
        <f>SUM(G3450:G3464)</f>
        <v>-12963</v>
      </c>
      <c r="H3465" s="562"/>
      <c r="I3465" s="562"/>
      <c r="J3465" s="562"/>
    </row>
    <row r="3466" spans="1:10" x14ac:dyDescent="0.25">
      <c r="A3466" s="362"/>
      <c r="B3466" s="609">
        <v>44293</v>
      </c>
      <c r="C3466" s="362" t="s">
        <v>86</v>
      </c>
      <c r="D3466" s="560">
        <v>90169116</v>
      </c>
      <c r="E3466" s="560">
        <v>56256477</v>
      </c>
      <c r="F3466" s="560">
        <v>146425600</v>
      </c>
      <c r="G3466" s="560">
        <f t="shared" si="85"/>
        <v>-7</v>
      </c>
      <c r="H3466" s="560"/>
      <c r="I3466" s="560"/>
      <c r="J3466" s="560"/>
    </row>
    <row r="3467" spans="1:10" x14ac:dyDescent="0.25">
      <c r="A3467" s="362"/>
      <c r="B3467" s="609">
        <v>44293</v>
      </c>
      <c r="C3467" s="362" t="s">
        <v>87</v>
      </c>
      <c r="D3467" s="560">
        <v>115800023</v>
      </c>
      <c r="E3467" s="560">
        <v>12406742</v>
      </c>
      <c r="F3467" s="560">
        <v>128206300</v>
      </c>
      <c r="G3467" s="560">
        <f t="shared" si="85"/>
        <v>465</v>
      </c>
      <c r="H3467" s="560"/>
      <c r="I3467" s="560"/>
      <c r="J3467" s="560"/>
    </row>
    <row r="3468" spans="1:10" x14ac:dyDescent="0.25">
      <c r="A3468" s="362"/>
      <c r="B3468" s="609">
        <v>44293</v>
      </c>
      <c r="C3468" s="362" t="s">
        <v>88</v>
      </c>
      <c r="D3468" s="560">
        <v>299940674</v>
      </c>
      <c r="E3468" s="560">
        <v>53435597</v>
      </c>
      <c r="F3468" s="560">
        <v>353376300</v>
      </c>
      <c r="G3468" s="560">
        <f t="shared" si="85"/>
        <v>-29</v>
      </c>
      <c r="H3468" s="560"/>
      <c r="I3468" s="560"/>
      <c r="J3468" s="560"/>
    </row>
    <row r="3469" spans="1:10" x14ac:dyDescent="0.25">
      <c r="A3469" s="362"/>
      <c r="B3469" s="609">
        <v>44293</v>
      </c>
      <c r="C3469" s="362" t="s">
        <v>82</v>
      </c>
      <c r="D3469" s="560">
        <v>99363658</v>
      </c>
      <c r="E3469" s="560">
        <v>1834900</v>
      </c>
      <c r="F3469" s="560">
        <v>101198600</v>
      </c>
      <c r="G3469" s="560">
        <f t="shared" si="85"/>
        <v>-42</v>
      </c>
      <c r="H3469" s="560"/>
      <c r="I3469" s="560"/>
      <c r="J3469" s="560"/>
    </row>
    <row r="3470" spans="1:10" x14ac:dyDescent="0.25">
      <c r="A3470" s="362"/>
      <c r="B3470" s="609">
        <v>44293</v>
      </c>
      <c r="C3470" s="362" t="s">
        <v>80</v>
      </c>
      <c r="D3470" s="560">
        <v>262703577</v>
      </c>
      <c r="E3470" s="560"/>
      <c r="F3470" s="560">
        <v>262701500</v>
      </c>
      <c r="G3470" s="560">
        <f t="shared" si="85"/>
        <v>2077</v>
      </c>
      <c r="H3470" s="560"/>
      <c r="I3470" s="560"/>
      <c r="J3470" s="560"/>
    </row>
    <row r="3471" spans="1:10" x14ac:dyDescent="0.25">
      <c r="A3471" s="362"/>
      <c r="B3471" s="609">
        <v>44293</v>
      </c>
      <c r="C3471" s="362" t="s">
        <v>83</v>
      </c>
      <c r="D3471" s="560">
        <v>205085767</v>
      </c>
      <c r="E3471" s="560">
        <v>72165797</v>
      </c>
      <c r="F3471" s="560">
        <v>277251600</v>
      </c>
      <c r="G3471" s="560">
        <f t="shared" si="85"/>
        <v>-36</v>
      </c>
      <c r="H3471" s="560"/>
      <c r="I3471" s="560"/>
      <c r="J3471" s="560"/>
    </row>
    <row r="3472" spans="1:10" x14ac:dyDescent="0.25">
      <c r="A3472" s="362"/>
      <c r="B3472" s="609">
        <v>44293</v>
      </c>
      <c r="C3472" s="362" t="s">
        <v>78</v>
      </c>
      <c r="D3472" s="560">
        <v>79265879</v>
      </c>
      <c r="E3472" s="560">
        <v>3870221</v>
      </c>
      <c r="F3472" s="560">
        <v>83136100</v>
      </c>
      <c r="G3472" s="560">
        <f t="shared" si="85"/>
        <v>0</v>
      </c>
      <c r="H3472" s="560"/>
      <c r="I3472" s="560"/>
      <c r="J3472" s="560"/>
    </row>
    <row r="3473" spans="1:10" x14ac:dyDescent="0.25">
      <c r="A3473" s="362"/>
      <c r="B3473" s="609">
        <v>44293</v>
      </c>
      <c r="C3473" s="362" t="s">
        <v>141</v>
      </c>
      <c r="D3473" s="560">
        <v>64443591</v>
      </c>
      <c r="E3473" s="560">
        <v>2001425</v>
      </c>
      <c r="F3473" s="560">
        <v>66445100</v>
      </c>
      <c r="G3473" s="560">
        <f t="shared" si="85"/>
        <v>-84</v>
      </c>
      <c r="H3473" s="560"/>
      <c r="I3473" s="560"/>
      <c r="J3473" s="560"/>
    </row>
    <row r="3474" spans="1:10" x14ac:dyDescent="0.25">
      <c r="A3474" s="362"/>
      <c r="B3474" s="609">
        <v>44293</v>
      </c>
      <c r="C3474" s="362" t="s">
        <v>89</v>
      </c>
      <c r="D3474" s="560">
        <v>124141762</v>
      </c>
      <c r="E3474" s="560">
        <v>16336538</v>
      </c>
      <c r="F3474" s="560">
        <v>140478300</v>
      </c>
      <c r="G3474" s="560">
        <f t="shared" si="85"/>
        <v>0</v>
      </c>
      <c r="H3474" s="560"/>
      <c r="I3474" s="560"/>
      <c r="J3474" s="560"/>
    </row>
    <row r="3475" spans="1:10" x14ac:dyDescent="0.25">
      <c r="A3475" s="362"/>
      <c r="B3475" s="609">
        <v>44293</v>
      </c>
      <c r="C3475" s="362" t="s">
        <v>81</v>
      </c>
      <c r="D3475" s="560">
        <v>114651573</v>
      </c>
      <c r="E3475" s="560">
        <v>10062064</v>
      </c>
      <c r="F3475" s="560">
        <v>124713700</v>
      </c>
      <c r="G3475" s="560">
        <f t="shared" si="85"/>
        <v>-63</v>
      </c>
      <c r="H3475" s="560"/>
      <c r="I3475" s="560"/>
      <c r="J3475" s="560"/>
    </row>
    <row r="3476" spans="1:10" x14ac:dyDescent="0.25">
      <c r="A3476" s="362"/>
      <c r="B3476" s="609">
        <v>44293</v>
      </c>
      <c r="C3476" s="362" t="s">
        <v>84</v>
      </c>
      <c r="D3476" s="560">
        <v>299502350</v>
      </c>
      <c r="E3476" s="560">
        <v>10609588</v>
      </c>
      <c r="F3476" s="560">
        <v>310111900</v>
      </c>
      <c r="G3476" s="560">
        <f t="shared" si="85"/>
        <v>38</v>
      </c>
      <c r="H3476" s="560"/>
      <c r="I3476" s="560"/>
      <c r="J3476" s="560"/>
    </row>
    <row r="3477" spans="1:10" x14ac:dyDescent="0.25">
      <c r="A3477" s="362"/>
      <c r="B3477" s="609">
        <v>44293</v>
      </c>
      <c r="C3477" s="362" t="s">
        <v>4751</v>
      </c>
      <c r="D3477" s="560">
        <v>204525011</v>
      </c>
      <c r="E3477" s="560">
        <v>38786389</v>
      </c>
      <c r="F3477" s="560">
        <v>243311400</v>
      </c>
      <c r="G3477" s="560">
        <f t="shared" si="85"/>
        <v>0</v>
      </c>
      <c r="H3477" s="560"/>
      <c r="I3477" s="560"/>
      <c r="J3477" s="560"/>
    </row>
    <row r="3478" spans="1:10" x14ac:dyDescent="0.25">
      <c r="A3478" s="362"/>
      <c r="B3478" s="609">
        <v>44293</v>
      </c>
      <c r="C3478" s="362" t="s">
        <v>166</v>
      </c>
      <c r="D3478" s="560">
        <v>77522440</v>
      </c>
      <c r="E3478" s="560"/>
      <c r="F3478" s="560">
        <v>77522500</v>
      </c>
      <c r="G3478" s="560">
        <f t="shared" si="85"/>
        <v>-60</v>
      </c>
      <c r="H3478" s="560"/>
      <c r="I3478" s="560"/>
      <c r="J3478" s="560"/>
    </row>
    <row r="3479" spans="1:10" x14ac:dyDescent="0.25">
      <c r="A3479" s="362"/>
      <c r="B3479" s="609">
        <v>44293</v>
      </c>
      <c r="C3479" s="362" t="s">
        <v>3435</v>
      </c>
      <c r="D3479" s="560">
        <v>82954724</v>
      </c>
      <c r="E3479" s="560"/>
      <c r="F3479" s="560">
        <v>82954800</v>
      </c>
      <c r="G3479" s="560">
        <f t="shared" si="85"/>
        <v>-76</v>
      </c>
      <c r="H3479" s="560"/>
      <c r="I3479" s="560"/>
      <c r="J3479" s="560"/>
    </row>
    <row r="3480" spans="1:10" x14ac:dyDescent="0.25">
      <c r="A3480" s="362"/>
      <c r="B3480" s="609">
        <v>44293</v>
      </c>
      <c r="C3480" s="370" t="s">
        <v>85</v>
      </c>
      <c r="D3480" s="560">
        <v>38174400</v>
      </c>
      <c r="E3480" s="560"/>
      <c r="F3480" s="560">
        <v>38174400</v>
      </c>
      <c r="G3480" s="560">
        <f t="shared" si="85"/>
        <v>0</v>
      </c>
      <c r="H3480" s="560"/>
      <c r="I3480" s="560"/>
      <c r="J3480" s="560"/>
    </row>
    <row r="3481" spans="1:10" x14ac:dyDescent="0.25">
      <c r="A3481" s="530"/>
      <c r="B3481" s="530"/>
      <c r="C3481" s="530"/>
      <c r="D3481" s="562">
        <f>SUM(D3466:D3480)</f>
        <v>2158244545</v>
      </c>
      <c r="E3481" s="562">
        <f>SUM(E3466:E3480)</f>
        <v>277765738</v>
      </c>
      <c r="F3481" s="562">
        <f>SUM(F3466:F3480)</f>
        <v>2436008100</v>
      </c>
      <c r="G3481" s="562">
        <f>SUM(G3466:G3480)</f>
        <v>2183</v>
      </c>
      <c r="H3481" s="562"/>
      <c r="I3481" s="562"/>
      <c r="J3481" s="562"/>
    </row>
    <row r="3482" spans="1:10" x14ac:dyDescent="0.25">
      <c r="A3482" s="362"/>
      <c r="B3482" s="609">
        <v>44294</v>
      </c>
      <c r="C3482" s="362" t="s">
        <v>86</v>
      </c>
      <c r="D3482" s="560">
        <v>95268966</v>
      </c>
      <c r="E3482" s="560">
        <v>34527213</v>
      </c>
      <c r="F3482" s="560">
        <v>129796200</v>
      </c>
      <c r="G3482" s="560">
        <f t="shared" si="85"/>
        <v>-21</v>
      </c>
      <c r="H3482" s="560"/>
      <c r="I3482" s="560"/>
      <c r="J3482" s="560"/>
    </row>
    <row r="3483" spans="1:10" x14ac:dyDescent="0.25">
      <c r="A3483" s="362"/>
      <c r="B3483" s="609">
        <v>44294</v>
      </c>
      <c r="C3483" s="362" t="s">
        <v>87</v>
      </c>
      <c r="D3483" s="560">
        <v>85020541</v>
      </c>
      <c r="E3483" s="560"/>
      <c r="F3483" s="560">
        <v>323999100</v>
      </c>
      <c r="G3483" s="560">
        <f t="shared" si="85"/>
        <v>-238978559</v>
      </c>
      <c r="H3483" s="560"/>
      <c r="I3483" s="560"/>
      <c r="J3483" s="560"/>
    </row>
    <row r="3484" spans="1:10" x14ac:dyDescent="0.25">
      <c r="A3484" s="362"/>
      <c r="B3484" s="609">
        <v>44294</v>
      </c>
      <c r="C3484" s="362" t="s">
        <v>88</v>
      </c>
      <c r="D3484" s="560">
        <v>212255036</v>
      </c>
      <c r="E3484" s="560">
        <v>62298323</v>
      </c>
      <c r="F3484" s="560">
        <v>274288600</v>
      </c>
      <c r="G3484" s="560">
        <f t="shared" si="85"/>
        <v>264759</v>
      </c>
      <c r="H3484" s="560"/>
      <c r="I3484" s="560"/>
      <c r="J3484" s="560"/>
    </row>
    <row r="3485" spans="1:10" x14ac:dyDescent="0.25">
      <c r="A3485" s="362"/>
      <c r="B3485" s="609">
        <v>44294</v>
      </c>
      <c r="C3485" s="362" t="s">
        <v>82</v>
      </c>
      <c r="D3485" s="560">
        <v>161732319</v>
      </c>
      <c r="E3485" s="560">
        <v>847820</v>
      </c>
      <c r="F3485" s="560">
        <v>162580200</v>
      </c>
      <c r="G3485" s="560">
        <f t="shared" si="85"/>
        <v>-61</v>
      </c>
      <c r="H3485" s="560"/>
      <c r="I3485" s="560"/>
      <c r="J3485" s="560"/>
    </row>
    <row r="3486" spans="1:10" x14ac:dyDescent="0.25">
      <c r="A3486" s="362"/>
      <c r="B3486" s="609">
        <v>44294</v>
      </c>
      <c r="C3486" s="362" t="s">
        <v>80</v>
      </c>
      <c r="D3486" s="560">
        <v>181978357</v>
      </c>
      <c r="E3486" s="560">
        <v>118643</v>
      </c>
      <c r="F3486" s="560">
        <v>182097000</v>
      </c>
      <c r="G3486" s="560">
        <f t="shared" si="85"/>
        <v>0</v>
      </c>
      <c r="H3486" s="560"/>
      <c r="I3486" s="560"/>
      <c r="J3486" s="560"/>
    </row>
    <row r="3487" spans="1:10" x14ac:dyDescent="0.25">
      <c r="A3487" s="362"/>
      <c r="B3487" s="609">
        <v>44294</v>
      </c>
      <c r="C3487" s="362" t="s">
        <v>83</v>
      </c>
      <c r="D3487" s="560">
        <v>180366662</v>
      </c>
      <c r="E3487" s="560">
        <v>112333038</v>
      </c>
      <c r="F3487" s="560">
        <v>292699700</v>
      </c>
      <c r="G3487" s="560">
        <f t="shared" si="85"/>
        <v>0</v>
      </c>
      <c r="H3487" s="560"/>
      <c r="I3487" s="560"/>
      <c r="J3487" s="560"/>
    </row>
    <row r="3488" spans="1:10" x14ac:dyDescent="0.25">
      <c r="A3488" s="362"/>
      <c r="B3488" s="609">
        <v>44294</v>
      </c>
      <c r="C3488" s="362" t="s">
        <v>78</v>
      </c>
      <c r="D3488" s="560">
        <v>114788139</v>
      </c>
      <c r="E3488" s="560"/>
      <c r="F3488" s="560">
        <v>116133800</v>
      </c>
      <c r="G3488" s="560">
        <f t="shared" si="85"/>
        <v>-1345661</v>
      </c>
      <c r="H3488" s="560"/>
      <c r="I3488" s="560"/>
      <c r="J3488" s="560"/>
    </row>
    <row r="3489" spans="1:10" x14ac:dyDescent="0.25">
      <c r="A3489" s="362"/>
      <c r="B3489" s="609">
        <v>44294</v>
      </c>
      <c r="C3489" s="362" t="s">
        <v>141</v>
      </c>
      <c r="D3489" s="560">
        <v>101916844</v>
      </c>
      <c r="E3489" s="560"/>
      <c r="F3489" s="560">
        <v>101916900</v>
      </c>
      <c r="G3489" s="560">
        <f t="shared" si="85"/>
        <v>-56</v>
      </c>
      <c r="H3489" s="560"/>
      <c r="I3489" s="560"/>
      <c r="J3489" s="560"/>
    </row>
    <row r="3490" spans="1:10" x14ac:dyDescent="0.25">
      <c r="A3490" s="362"/>
      <c r="B3490" s="609">
        <v>44294</v>
      </c>
      <c r="C3490" s="362" t="s">
        <v>89</v>
      </c>
      <c r="D3490" s="560">
        <v>201155634</v>
      </c>
      <c r="E3490" s="560">
        <v>28240666</v>
      </c>
      <c r="F3490" s="560">
        <v>229396300</v>
      </c>
      <c r="G3490" s="560">
        <f t="shared" si="85"/>
        <v>0</v>
      </c>
      <c r="H3490" s="560"/>
      <c r="I3490" s="560"/>
      <c r="J3490" s="560"/>
    </row>
    <row r="3491" spans="1:10" x14ac:dyDescent="0.25">
      <c r="A3491" s="362"/>
      <c r="B3491" s="609">
        <v>44294</v>
      </c>
      <c r="C3491" s="362" t="s">
        <v>81</v>
      </c>
      <c r="D3491" s="560">
        <v>59592255</v>
      </c>
      <c r="E3491" s="560">
        <v>8580308</v>
      </c>
      <c r="F3491" s="560">
        <v>68172600</v>
      </c>
      <c r="G3491" s="560">
        <f t="shared" si="85"/>
        <v>-37</v>
      </c>
      <c r="H3491" s="560"/>
      <c r="I3491" s="560"/>
      <c r="J3491" s="560"/>
    </row>
    <row r="3492" spans="1:10" x14ac:dyDescent="0.25">
      <c r="A3492" s="362"/>
      <c r="B3492" s="609">
        <v>44294</v>
      </c>
      <c r="C3492" s="362" t="s">
        <v>84</v>
      </c>
      <c r="D3492" s="560">
        <v>353637531</v>
      </c>
      <c r="E3492" s="560">
        <v>13651643</v>
      </c>
      <c r="F3492" s="560">
        <v>367288600</v>
      </c>
      <c r="G3492" s="560">
        <f t="shared" si="85"/>
        <v>574</v>
      </c>
      <c r="H3492" s="560"/>
      <c r="I3492" s="560"/>
      <c r="J3492" s="560"/>
    </row>
    <row r="3493" spans="1:10" x14ac:dyDescent="0.25">
      <c r="A3493" s="362"/>
      <c r="B3493" s="609">
        <v>44294</v>
      </c>
      <c r="C3493" s="362" t="s">
        <v>4751</v>
      </c>
      <c r="D3493" s="560">
        <v>303462678</v>
      </c>
      <c r="E3493" s="560">
        <v>31833622</v>
      </c>
      <c r="F3493" s="560">
        <v>335296300</v>
      </c>
      <c r="G3493" s="560">
        <f t="shared" si="85"/>
        <v>0</v>
      </c>
      <c r="H3493" s="560"/>
      <c r="I3493" s="560"/>
      <c r="J3493" s="560"/>
    </row>
    <row r="3494" spans="1:10" x14ac:dyDescent="0.25">
      <c r="A3494" s="362"/>
      <c r="B3494" s="609">
        <v>44294</v>
      </c>
      <c r="C3494" s="362" t="s">
        <v>166</v>
      </c>
      <c r="D3494" s="560">
        <v>86164813</v>
      </c>
      <c r="E3494" s="560"/>
      <c r="F3494" s="560">
        <v>86165000</v>
      </c>
      <c r="G3494" s="560">
        <f t="shared" si="85"/>
        <v>-187</v>
      </c>
      <c r="H3494" s="560"/>
      <c r="I3494" s="560"/>
      <c r="J3494" s="560"/>
    </row>
    <row r="3495" spans="1:10" x14ac:dyDescent="0.25">
      <c r="A3495" s="362"/>
      <c r="B3495" s="609">
        <v>44294</v>
      </c>
      <c r="C3495" s="362" t="s">
        <v>3435</v>
      </c>
      <c r="D3495" s="560">
        <v>112348256</v>
      </c>
      <c r="E3495" s="560"/>
      <c r="F3495" s="560">
        <v>112348300</v>
      </c>
      <c r="G3495" s="560">
        <f t="shared" si="85"/>
        <v>-44</v>
      </c>
      <c r="H3495" s="560"/>
      <c r="I3495" s="560"/>
      <c r="J3495" s="560"/>
    </row>
    <row r="3496" spans="1:10" x14ac:dyDescent="0.25">
      <c r="A3496" s="362"/>
      <c r="B3496" s="609">
        <v>44294</v>
      </c>
      <c r="C3496" s="370" t="s">
        <v>85</v>
      </c>
      <c r="D3496" s="560">
        <v>22874600</v>
      </c>
      <c r="E3496" s="560"/>
      <c r="F3496" s="560">
        <v>22874600</v>
      </c>
      <c r="G3496" s="560">
        <f t="shared" si="85"/>
        <v>0</v>
      </c>
      <c r="H3496" s="560"/>
      <c r="I3496" s="560"/>
      <c r="J3496" s="560"/>
    </row>
    <row r="3497" spans="1:10" x14ac:dyDescent="0.25">
      <c r="A3497" s="530"/>
      <c r="B3497" s="530"/>
      <c r="C3497" s="530"/>
      <c r="D3497" s="562">
        <f>SUM(D3482:D3496)</f>
        <v>2272562631</v>
      </c>
      <c r="E3497" s="562">
        <f>SUM(E3482:E3496)</f>
        <v>292431276</v>
      </c>
      <c r="F3497" s="562">
        <f>SUM(F3482:F3496)</f>
        <v>2805053200</v>
      </c>
      <c r="G3497" s="562">
        <f>SUM(G3482:G3496)</f>
        <v>-240059293</v>
      </c>
      <c r="H3497" s="562"/>
      <c r="I3497" s="562"/>
      <c r="J3497" s="562"/>
    </row>
    <row r="3498" spans="1:10" x14ac:dyDescent="0.25">
      <c r="A3498" s="362"/>
      <c r="B3498" s="609">
        <v>44295</v>
      </c>
      <c r="C3498" s="362" t="s">
        <v>86</v>
      </c>
      <c r="D3498" s="560">
        <v>43314672</v>
      </c>
      <c r="E3498" s="560">
        <v>30676230</v>
      </c>
      <c r="F3498" s="560">
        <v>73990900</v>
      </c>
      <c r="G3498" s="560">
        <f t="shared" si="85"/>
        <v>2</v>
      </c>
      <c r="H3498" s="560"/>
      <c r="I3498" s="560"/>
      <c r="J3498" s="560"/>
    </row>
    <row r="3499" spans="1:10" x14ac:dyDescent="0.25">
      <c r="A3499" s="362"/>
      <c r="B3499" s="609">
        <v>44295</v>
      </c>
      <c r="C3499" s="362" t="s">
        <v>87</v>
      </c>
      <c r="D3499" s="560">
        <v>160334541</v>
      </c>
      <c r="E3499" s="560">
        <v>186884524</v>
      </c>
      <c r="F3499" s="560">
        <v>347218500</v>
      </c>
      <c r="G3499" s="560">
        <f t="shared" si="85"/>
        <v>565</v>
      </c>
      <c r="H3499" s="560"/>
      <c r="I3499" s="560"/>
      <c r="J3499" s="560"/>
    </row>
    <row r="3500" spans="1:10" x14ac:dyDescent="0.25">
      <c r="A3500" s="362"/>
      <c r="B3500" s="609">
        <v>44295</v>
      </c>
      <c r="C3500" s="362" t="s">
        <v>88</v>
      </c>
      <c r="D3500" s="560">
        <v>90889579</v>
      </c>
      <c r="E3500" s="560">
        <v>56338747</v>
      </c>
      <c r="F3500" s="560">
        <v>147228400</v>
      </c>
      <c r="G3500" s="560">
        <f t="shared" si="85"/>
        <v>-74</v>
      </c>
      <c r="H3500" s="560"/>
      <c r="I3500" s="560"/>
      <c r="J3500" s="560"/>
    </row>
    <row r="3501" spans="1:10" x14ac:dyDescent="0.25">
      <c r="A3501" s="362"/>
      <c r="B3501" s="609">
        <v>44295</v>
      </c>
      <c r="C3501" s="362" t="s">
        <v>82</v>
      </c>
      <c r="D3501" s="560">
        <v>52922229</v>
      </c>
      <c r="E3501" s="560">
        <v>4034123</v>
      </c>
      <c r="F3501" s="560">
        <v>56956400</v>
      </c>
      <c r="G3501" s="560">
        <f t="shared" si="85"/>
        <v>-48</v>
      </c>
      <c r="H3501" s="560"/>
      <c r="I3501" s="560"/>
      <c r="J3501" s="560"/>
    </row>
    <row r="3502" spans="1:10" x14ac:dyDescent="0.25">
      <c r="A3502" s="362"/>
      <c r="B3502" s="609">
        <v>44295</v>
      </c>
      <c r="C3502" s="362" t="s">
        <v>80</v>
      </c>
      <c r="D3502" s="560">
        <v>167460534</v>
      </c>
      <c r="E3502" s="560">
        <v>3478596</v>
      </c>
      <c r="F3502" s="560">
        <v>170969200</v>
      </c>
      <c r="G3502" s="560">
        <f t="shared" si="85"/>
        <v>-30070</v>
      </c>
      <c r="H3502" s="560"/>
      <c r="I3502" s="560"/>
      <c r="J3502" s="560"/>
    </row>
    <row r="3503" spans="1:10" x14ac:dyDescent="0.25">
      <c r="A3503" s="362"/>
      <c r="B3503" s="609">
        <v>44295</v>
      </c>
      <c r="C3503" s="362" t="s">
        <v>83</v>
      </c>
      <c r="D3503" s="560">
        <v>280305389</v>
      </c>
      <c r="E3503" s="560">
        <v>7164218</v>
      </c>
      <c r="F3503" s="560">
        <v>287469200</v>
      </c>
      <c r="G3503" s="560">
        <f t="shared" si="85"/>
        <v>407</v>
      </c>
      <c r="H3503" s="560"/>
      <c r="I3503" s="560"/>
      <c r="J3503" s="560"/>
    </row>
    <row r="3504" spans="1:10" x14ac:dyDescent="0.25">
      <c r="A3504" s="362"/>
      <c r="B3504" s="609">
        <v>44295</v>
      </c>
      <c r="C3504" s="362" t="s">
        <v>78</v>
      </c>
      <c r="D3504" s="560">
        <v>87109853</v>
      </c>
      <c r="E3504" s="560">
        <v>4979547</v>
      </c>
      <c r="F3504" s="560">
        <v>92089400</v>
      </c>
      <c r="G3504" s="560">
        <f t="shared" si="85"/>
        <v>0</v>
      </c>
      <c r="H3504" s="560"/>
      <c r="I3504" s="560"/>
      <c r="J3504" s="560"/>
    </row>
    <row r="3505" spans="1:10" x14ac:dyDescent="0.25">
      <c r="A3505" s="362"/>
      <c r="B3505" s="609">
        <v>44295</v>
      </c>
      <c r="C3505" s="362" t="s">
        <v>141</v>
      </c>
      <c r="D3505" s="560">
        <v>73030266</v>
      </c>
      <c r="E3505" s="560">
        <v>7824180</v>
      </c>
      <c r="F3505" s="560">
        <v>80854500</v>
      </c>
      <c r="G3505" s="560">
        <f t="shared" si="85"/>
        <v>-54</v>
      </c>
      <c r="H3505" s="560"/>
      <c r="I3505" s="560"/>
      <c r="J3505" s="560"/>
    </row>
    <row r="3506" spans="1:10" x14ac:dyDescent="0.25">
      <c r="A3506" s="362"/>
      <c r="B3506" s="609">
        <v>44295</v>
      </c>
      <c r="C3506" s="362" t="s">
        <v>89</v>
      </c>
      <c r="D3506" s="560">
        <v>224362572</v>
      </c>
      <c r="E3506" s="560">
        <v>70535328</v>
      </c>
      <c r="F3506" s="560">
        <v>294897900</v>
      </c>
      <c r="G3506" s="560">
        <f t="shared" si="85"/>
        <v>0</v>
      </c>
      <c r="H3506" s="560"/>
      <c r="I3506" s="560"/>
      <c r="J3506" s="560"/>
    </row>
    <row r="3507" spans="1:10" x14ac:dyDescent="0.25">
      <c r="A3507" s="362"/>
      <c r="B3507" s="609">
        <v>44295</v>
      </c>
      <c r="C3507" s="362" t="s">
        <v>81</v>
      </c>
      <c r="D3507" s="560">
        <v>123683836</v>
      </c>
      <c r="E3507" s="560">
        <v>6752321</v>
      </c>
      <c r="F3507" s="560">
        <v>130436200</v>
      </c>
      <c r="G3507" s="560">
        <f t="shared" si="85"/>
        <v>-43</v>
      </c>
      <c r="H3507" s="560"/>
      <c r="I3507" s="560"/>
      <c r="J3507" s="560"/>
    </row>
    <row r="3508" spans="1:10" x14ac:dyDescent="0.25">
      <c r="A3508" s="362"/>
      <c r="B3508" s="609">
        <v>44295</v>
      </c>
      <c r="C3508" s="362" t="s">
        <v>84</v>
      </c>
      <c r="D3508" s="560">
        <v>324760795</v>
      </c>
      <c r="E3508" s="560">
        <v>10615802</v>
      </c>
      <c r="F3508" s="560">
        <v>335377200</v>
      </c>
      <c r="G3508" s="560">
        <f t="shared" si="85"/>
        <v>-603</v>
      </c>
      <c r="H3508" s="560"/>
      <c r="I3508" s="560"/>
      <c r="J3508" s="560"/>
    </row>
    <row r="3509" spans="1:10" x14ac:dyDescent="0.25">
      <c r="A3509" s="362"/>
      <c r="B3509" s="609">
        <v>44295</v>
      </c>
      <c r="C3509" s="362" t="s">
        <v>4751</v>
      </c>
      <c r="D3509" s="560">
        <v>217851263</v>
      </c>
      <c r="E3509" s="560">
        <v>11868037</v>
      </c>
      <c r="F3509" s="560">
        <v>229719300</v>
      </c>
      <c r="G3509" s="560">
        <f t="shared" si="85"/>
        <v>0</v>
      </c>
      <c r="H3509" s="560"/>
      <c r="I3509" s="560"/>
      <c r="J3509" s="560"/>
    </row>
    <row r="3510" spans="1:10" x14ac:dyDescent="0.25">
      <c r="A3510" s="362"/>
      <c r="B3510" s="609">
        <v>44295</v>
      </c>
      <c r="C3510" s="362" t="s">
        <v>166</v>
      </c>
      <c r="D3510" s="560"/>
      <c r="E3510" s="560"/>
      <c r="F3510" s="560"/>
      <c r="G3510" s="560">
        <f t="shared" si="85"/>
        <v>0</v>
      </c>
      <c r="H3510" s="560"/>
      <c r="I3510" s="560"/>
      <c r="J3510" s="560"/>
    </row>
    <row r="3511" spans="1:10" x14ac:dyDescent="0.25">
      <c r="A3511" s="362"/>
      <c r="B3511" s="609">
        <v>44295</v>
      </c>
      <c r="C3511" s="362" t="s">
        <v>3435</v>
      </c>
      <c r="D3511" s="560">
        <v>114705925</v>
      </c>
      <c r="E3511" s="560"/>
      <c r="F3511" s="560">
        <v>114706000</v>
      </c>
      <c r="G3511" s="560">
        <f t="shared" si="85"/>
        <v>-75</v>
      </c>
      <c r="H3511" s="560"/>
      <c r="I3511" s="560"/>
      <c r="J3511" s="560"/>
    </row>
    <row r="3512" spans="1:10" x14ac:dyDescent="0.25">
      <c r="A3512" s="362"/>
      <c r="B3512" s="609">
        <v>44295</v>
      </c>
      <c r="C3512" s="370" t="s">
        <v>85</v>
      </c>
      <c r="D3512" s="560">
        <v>25426900</v>
      </c>
      <c r="E3512" s="560"/>
      <c r="F3512" s="560">
        <v>25426900</v>
      </c>
      <c r="G3512" s="560">
        <f t="shared" si="85"/>
        <v>0</v>
      </c>
      <c r="H3512" s="560"/>
      <c r="I3512" s="560"/>
      <c r="J3512" s="560"/>
    </row>
    <row r="3513" spans="1:10" x14ac:dyDescent="0.25">
      <c r="A3513" s="530"/>
      <c r="B3513" s="530"/>
      <c r="C3513" s="530"/>
      <c r="D3513" s="562">
        <f>SUM(D3498:D3512)</f>
        <v>1986158354</v>
      </c>
      <c r="E3513" s="562">
        <f>SUM(E3498:E3512)</f>
        <v>401151653</v>
      </c>
      <c r="F3513" s="562">
        <f>SUM(F3498:F3512)</f>
        <v>2387340000</v>
      </c>
      <c r="G3513" s="562">
        <f>SUM(G3498:G3512)</f>
        <v>-29993</v>
      </c>
      <c r="H3513" s="562"/>
      <c r="I3513" s="562"/>
      <c r="J3513" s="562"/>
    </row>
    <row r="3514" spans="1:10" x14ac:dyDescent="0.25">
      <c r="A3514" s="362"/>
      <c r="B3514" s="609">
        <v>44296</v>
      </c>
      <c r="C3514" s="362" t="s">
        <v>86</v>
      </c>
      <c r="D3514" s="560">
        <v>42770195</v>
      </c>
      <c r="E3514" s="560">
        <v>164430730</v>
      </c>
      <c r="F3514" s="560">
        <v>207201000</v>
      </c>
      <c r="G3514" s="560">
        <f t="shared" si="85"/>
        <v>-75</v>
      </c>
      <c r="H3514" s="560"/>
      <c r="I3514" s="560"/>
      <c r="J3514" s="560"/>
    </row>
    <row r="3515" spans="1:10" x14ac:dyDescent="0.25">
      <c r="A3515" s="362"/>
      <c r="B3515" s="609">
        <v>44296</v>
      </c>
      <c r="C3515" s="362" t="s">
        <v>87</v>
      </c>
      <c r="D3515" s="560">
        <v>80168533</v>
      </c>
      <c r="E3515" s="560">
        <v>163829417</v>
      </c>
      <c r="F3515" s="560">
        <v>243998100</v>
      </c>
      <c r="G3515" s="560">
        <f t="shared" si="85"/>
        <v>-150</v>
      </c>
      <c r="H3515" s="560"/>
      <c r="I3515" s="560"/>
      <c r="J3515" s="560"/>
    </row>
    <row r="3516" spans="1:10" x14ac:dyDescent="0.25">
      <c r="A3516" s="362"/>
      <c r="B3516" s="609">
        <v>44296</v>
      </c>
      <c r="C3516" s="362" t="s">
        <v>88</v>
      </c>
      <c r="D3516" s="560">
        <v>200378911</v>
      </c>
      <c r="E3516" s="560">
        <v>95569489</v>
      </c>
      <c r="F3516" s="560">
        <v>295948600</v>
      </c>
      <c r="G3516" s="560">
        <f t="shared" ref="G3516:G3579" si="86">D3516+E3516-F3516</f>
        <v>-200</v>
      </c>
      <c r="H3516" s="560"/>
      <c r="I3516" s="560"/>
      <c r="J3516" s="560"/>
    </row>
    <row r="3517" spans="1:10" x14ac:dyDescent="0.25">
      <c r="A3517" s="362"/>
      <c r="B3517" s="609">
        <v>44296</v>
      </c>
      <c r="C3517" s="362" t="s">
        <v>82</v>
      </c>
      <c r="D3517" s="560">
        <v>63154656</v>
      </c>
      <c r="E3517" s="560">
        <v>22444588</v>
      </c>
      <c r="F3517" s="560">
        <v>85599200</v>
      </c>
      <c r="G3517" s="560">
        <f t="shared" si="86"/>
        <v>44</v>
      </c>
      <c r="H3517" s="560"/>
      <c r="I3517" s="560"/>
      <c r="J3517" s="560"/>
    </row>
    <row r="3518" spans="1:10" x14ac:dyDescent="0.25">
      <c r="A3518" s="362"/>
      <c r="B3518" s="609">
        <v>44296</v>
      </c>
      <c r="C3518" s="362" t="s">
        <v>80</v>
      </c>
      <c r="D3518" s="560">
        <v>322418889</v>
      </c>
      <c r="E3518" s="560"/>
      <c r="F3518" s="560">
        <v>322418500</v>
      </c>
      <c r="G3518" s="560">
        <f t="shared" si="86"/>
        <v>389</v>
      </c>
      <c r="H3518" s="560"/>
      <c r="I3518" s="560"/>
      <c r="J3518" s="560"/>
    </row>
    <row r="3519" spans="1:10" x14ac:dyDescent="0.25">
      <c r="A3519" s="362"/>
      <c r="B3519" s="609">
        <v>44296</v>
      </c>
      <c r="C3519" s="362" t="s">
        <v>83</v>
      </c>
      <c r="D3519" s="560">
        <v>185622354</v>
      </c>
      <c r="E3519" s="560">
        <v>23010413</v>
      </c>
      <c r="F3519" s="560">
        <v>208632800</v>
      </c>
      <c r="G3519" s="560">
        <f t="shared" si="86"/>
        <v>-33</v>
      </c>
      <c r="H3519" s="560"/>
      <c r="I3519" s="560"/>
      <c r="J3519" s="560"/>
    </row>
    <row r="3520" spans="1:10" x14ac:dyDescent="0.25">
      <c r="A3520" s="362"/>
      <c r="B3520" s="609">
        <v>44296</v>
      </c>
      <c r="C3520" s="362" t="s">
        <v>78</v>
      </c>
      <c r="D3520" s="560">
        <v>218456749</v>
      </c>
      <c r="E3520" s="560">
        <v>7260651</v>
      </c>
      <c r="F3520" s="560">
        <v>225717400</v>
      </c>
      <c r="G3520" s="560">
        <f t="shared" si="86"/>
        <v>0</v>
      </c>
      <c r="H3520" s="560"/>
      <c r="I3520" s="560"/>
      <c r="J3520" s="560"/>
    </row>
    <row r="3521" spans="1:10" x14ac:dyDescent="0.25">
      <c r="A3521" s="362"/>
      <c r="B3521" s="609">
        <v>44296</v>
      </c>
      <c r="C3521" s="362" t="s">
        <v>141</v>
      </c>
      <c r="D3521" s="560">
        <v>45686695</v>
      </c>
      <c r="E3521" s="560">
        <v>6787603</v>
      </c>
      <c r="F3521" s="560">
        <v>52474300</v>
      </c>
      <c r="G3521" s="560">
        <f t="shared" si="86"/>
        <v>-2</v>
      </c>
      <c r="H3521" s="560"/>
      <c r="I3521" s="560"/>
      <c r="J3521" s="560"/>
    </row>
    <row r="3522" spans="1:10" x14ac:dyDescent="0.25">
      <c r="A3522" s="362"/>
      <c r="B3522" s="609">
        <v>44296</v>
      </c>
      <c r="C3522" s="362" t="s">
        <v>89</v>
      </c>
      <c r="D3522" s="560">
        <v>150805925</v>
      </c>
      <c r="E3522" s="560">
        <v>29788975</v>
      </c>
      <c r="F3522" s="560">
        <v>180594900</v>
      </c>
      <c r="G3522" s="560">
        <f t="shared" si="86"/>
        <v>0</v>
      </c>
      <c r="H3522" s="560"/>
      <c r="I3522" s="560"/>
      <c r="J3522" s="560"/>
    </row>
    <row r="3523" spans="1:10" x14ac:dyDescent="0.25">
      <c r="A3523" s="362"/>
      <c r="B3523" s="609">
        <v>44296</v>
      </c>
      <c r="C3523" s="362" t="s">
        <v>81</v>
      </c>
      <c r="D3523" s="560">
        <v>136053803</v>
      </c>
      <c r="E3523" s="560">
        <v>5870577</v>
      </c>
      <c r="F3523" s="560">
        <v>141924400</v>
      </c>
      <c r="G3523" s="560">
        <f t="shared" si="86"/>
        <v>-20</v>
      </c>
      <c r="H3523" s="560"/>
      <c r="I3523" s="560"/>
      <c r="J3523" s="560"/>
    </row>
    <row r="3524" spans="1:10" x14ac:dyDescent="0.25">
      <c r="A3524" s="362"/>
      <c r="B3524" s="609">
        <v>44296</v>
      </c>
      <c r="C3524" s="362" t="s">
        <v>84</v>
      </c>
      <c r="D3524" s="560">
        <v>167269723</v>
      </c>
      <c r="E3524" s="560">
        <v>20030847</v>
      </c>
      <c r="F3524" s="560">
        <v>187300700</v>
      </c>
      <c r="G3524" s="560">
        <f t="shared" si="86"/>
        <v>-130</v>
      </c>
      <c r="H3524" s="560"/>
      <c r="I3524" s="560"/>
      <c r="J3524" s="560"/>
    </row>
    <row r="3525" spans="1:10" x14ac:dyDescent="0.25">
      <c r="A3525" s="362"/>
      <c r="B3525" s="609">
        <v>44296</v>
      </c>
      <c r="C3525" s="362" t="s">
        <v>4751</v>
      </c>
      <c r="D3525" s="560">
        <v>238283386</v>
      </c>
      <c r="E3525" s="560">
        <v>5702114</v>
      </c>
      <c r="F3525" s="560">
        <v>243985500</v>
      </c>
      <c r="G3525" s="560">
        <f t="shared" si="86"/>
        <v>0</v>
      </c>
      <c r="H3525" s="560"/>
      <c r="I3525" s="560"/>
      <c r="J3525" s="560"/>
    </row>
    <row r="3526" spans="1:10" x14ac:dyDescent="0.25">
      <c r="A3526" s="362"/>
      <c r="B3526" s="609">
        <v>44296</v>
      </c>
      <c r="C3526" s="362" t="s">
        <v>166</v>
      </c>
      <c r="D3526" s="560"/>
      <c r="E3526" s="560"/>
      <c r="F3526" s="560"/>
      <c r="G3526" s="560">
        <f t="shared" si="86"/>
        <v>0</v>
      </c>
      <c r="H3526" s="560"/>
      <c r="I3526" s="560"/>
      <c r="J3526" s="560"/>
    </row>
    <row r="3527" spans="1:10" x14ac:dyDescent="0.25">
      <c r="A3527" s="362"/>
      <c r="B3527" s="609">
        <v>44296</v>
      </c>
      <c r="C3527" s="362" t="s">
        <v>3435</v>
      </c>
      <c r="D3527" s="560"/>
      <c r="E3527" s="560"/>
      <c r="F3527" s="560"/>
      <c r="G3527" s="560">
        <f t="shared" si="86"/>
        <v>0</v>
      </c>
      <c r="H3527" s="560"/>
      <c r="I3527" s="560"/>
      <c r="J3527" s="560"/>
    </row>
    <row r="3528" spans="1:10" x14ac:dyDescent="0.25">
      <c r="A3528" s="362"/>
      <c r="B3528" s="609">
        <v>44296</v>
      </c>
      <c r="C3528" s="370" t="s">
        <v>85</v>
      </c>
      <c r="D3528" s="560">
        <v>29953900</v>
      </c>
      <c r="E3528" s="560"/>
      <c r="F3528" s="560">
        <v>29953900</v>
      </c>
      <c r="G3528" s="560">
        <f t="shared" si="86"/>
        <v>0</v>
      </c>
      <c r="H3528" s="560"/>
      <c r="I3528" s="560"/>
      <c r="J3528" s="560"/>
    </row>
    <row r="3529" spans="1:10" x14ac:dyDescent="0.25">
      <c r="A3529" s="530"/>
      <c r="B3529" s="530"/>
      <c r="C3529" s="530"/>
      <c r="D3529" s="562"/>
      <c r="E3529" s="562"/>
      <c r="F3529" s="562"/>
      <c r="G3529" s="562"/>
      <c r="H3529" s="562"/>
      <c r="I3529" s="562"/>
      <c r="J3529" s="562"/>
    </row>
    <row r="3530" spans="1:10" x14ac:dyDescent="0.25">
      <c r="A3530" s="362"/>
      <c r="B3530" s="609">
        <v>44298</v>
      </c>
      <c r="C3530" s="362" t="s">
        <v>86</v>
      </c>
      <c r="D3530" s="560">
        <v>53104383</v>
      </c>
      <c r="E3530" s="560">
        <v>9025224</v>
      </c>
      <c r="F3530" s="560">
        <v>62129800</v>
      </c>
      <c r="G3530" s="560">
        <f t="shared" si="86"/>
        <v>-193</v>
      </c>
      <c r="H3530" s="560"/>
      <c r="I3530" s="560"/>
      <c r="J3530" s="560"/>
    </row>
    <row r="3531" spans="1:10" x14ac:dyDescent="0.25">
      <c r="A3531" s="362"/>
      <c r="B3531" s="609">
        <v>44298</v>
      </c>
      <c r="C3531" s="362" t="s">
        <v>87</v>
      </c>
      <c r="D3531" s="560">
        <v>106871709</v>
      </c>
      <c r="E3531" s="560">
        <v>8976018</v>
      </c>
      <c r="F3531" s="560">
        <v>115847900</v>
      </c>
      <c r="G3531" s="560">
        <f t="shared" si="86"/>
        <v>-173</v>
      </c>
      <c r="H3531" s="560"/>
      <c r="I3531" s="560"/>
      <c r="J3531" s="560"/>
    </row>
    <row r="3532" spans="1:10" x14ac:dyDescent="0.25">
      <c r="A3532" s="362"/>
      <c r="B3532" s="609">
        <v>44298</v>
      </c>
      <c r="C3532" s="362" t="s">
        <v>88</v>
      </c>
      <c r="D3532" s="560">
        <v>179195148</v>
      </c>
      <c r="E3532" s="560">
        <v>54456106</v>
      </c>
      <c r="F3532" s="560">
        <v>233651300</v>
      </c>
      <c r="G3532" s="560">
        <f t="shared" si="86"/>
        <v>-46</v>
      </c>
      <c r="H3532" s="560"/>
      <c r="I3532" s="560"/>
      <c r="J3532" s="560"/>
    </row>
    <row r="3533" spans="1:10" x14ac:dyDescent="0.25">
      <c r="A3533" s="362"/>
      <c r="B3533" s="609">
        <v>44298</v>
      </c>
      <c r="C3533" s="362" t="s">
        <v>82</v>
      </c>
      <c r="D3533" s="560">
        <v>52589113</v>
      </c>
      <c r="E3533" s="560">
        <v>926596</v>
      </c>
      <c r="F3533" s="560">
        <v>53515800</v>
      </c>
      <c r="G3533" s="560">
        <f t="shared" si="86"/>
        <v>-91</v>
      </c>
      <c r="H3533" s="560"/>
      <c r="I3533" s="560"/>
      <c r="J3533" s="560"/>
    </row>
    <row r="3534" spans="1:10" x14ac:dyDescent="0.25">
      <c r="A3534" s="362"/>
      <c r="B3534" s="609">
        <v>44298</v>
      </c>
      <c r="C3534" s="362" t="s">
        <v>80</v>
      </c>
      <c r="D3534" s="560">
        <v>218808501</v>
      </c>
      <c r="E3534" s="560">
        <v>46716000</v>
      </c>
      <c r="F3534" s="560">
        <v>265514600</v>
      </c>
      <c r="G3534" s="560">
        <f t="shared" si="86"/>
        <v>9901</v>
      </c>
      <c r="H3534" s="560"/>
      <c r="I3534" s="560"/>
      <c r="J3534" s="560"/>
    </row>
    <row r="3535" spans="1:10" x14ac:dyDescent="0.25">
      <c r="A3535" s="362"/>
      <c r="B3535" s="609">
        <v>44298</v>
      </c>
      <c r="C3535" s="362" t="s">
        <v>83</v>
      </c>
      <c r="D3535" s="560">
        <v>299508400</v>
      </c>
      <c r="E3535" s="560">
        <v>179499629</v>
      </c>
      <c r="F3535" s="560">
        <v>479008000</v>
      </c>
      <c r="G3535" s="560">
        <f t="shared" si="86"/>
        <v>29</v>
      </c>
      <c r="H3535" s="560"/>
      <c r="I3535" s="560"/>
      <c r="J3535" s="560"/>
    </row>
    <row r="3536" spans="1:10" x14ac:dyDescent="0.25">
      <c r="A3536" s="362"/>
      <c r="B3536" s="609">
        <v>44298</v>
      </c>
      <c r="C3536" s="362" t="s">
        <v>78</v>
      </c>
      <c r="D3536" s="560">
        <v>152894408</v>
      </c>
      <c r="E3536" s="560">
        <v>974792</v>
      </c>
      <c r="F3536" s="560">
        <v>153869200</v>
      </c>
      <c r="G3536" s="560">
        <f t="shared" si="86"/>
        <v>0</v>
      </c>
      <c r="H3536" s="560"/>
      <c r="I3536" s="560"/>
      <c r="J3536" s="560"/>
    </row>
    <row r="3537" spans="1:10" x14ac:dyDescent="0.25">
      <c r="A3537" s="362"/>
      <c r="B3537" s="609">
        <v>44298</v>
      </c>
      <c r="C3537" s="362" t="s">
        <v>141</v>
      </c>
      <c r="D3537" s="560">
        <v>108871727</v>
      </c>
      <c r="E3537" s="560">
        <v>12525060</v>
      </c>
      <c r="F3537" s="560">
        <v>121396800</v>
      </c>
      <c r="G3537" s="560">
        <f t="shared" si="86"/>
        <v>-13</v>
      </c>
      <c r="H3537" s="560"/>
      <c r="I3537" s="560"/>
      <c r="J3537" s="560"/>
    </row>
    <row r="3538" spans="1:10" x14ac:dyDescent="0.25">
      <c r="A3538" s="362"/>
      <c r="B3538" s="609">
        <v>44298</v>
      </c>
      <c r="C3538" s="362" t="s">
        <v>89</v>
      </c>
      <c r="D3538" s="940">
        <v>131934111</v>
      </c>
      <c r="E3538" s="940">
        <v>20354489</v>
      </c>
      <c r="F3538" s="560">
        <v>152288600</v>
      </c>
      <c r="G3538" s="560">
        <f t="shared" si="86"/>
        <v>0</v>
      </c>
      <c r="H3538" s="560"/>
      <c r="I3538" s="560"/>
      <c r="J3538" s="560"/>
    </row>
    <row r="3539" spans="1:10" x14ac:dyDescent="0.25">
      <c r="A3539" s="362"/>
      <c r="B3539" s="609">
        <v>44298</v>
      </c>
      <c r="C3539" s="362" t="s">
        <v>81</v>
      </c>
      <c r="D3539" s="560">
        <v>74694009</v>
      </c>
      <c r="E3539" s="560">
        <v>19587799</v>
      </c>
      <c r="F3539" s="560">
        <v>94045800</v>
      </c>
      <c r="G3539" s="560">
        <f t="shared" si="86"/>
        <v>236008</v>
      </c>
      <c r="H3539" s="560"/>
      <c r="I3539" s="560"/>
      <c r="J3539" s="560"/>
    </row>
    <row r="3540" spans="1:10" x14ac:dyDescent="0.25">
      <c r="A3540" s="362"/>
      <c r="B3540" s="609">
        <v>44298</v>
      </c>
      <c r="C3540" s="362" t="s">
        <v>84</v>
      </c>
      <c r="D3540" s="560">
        <v>164792759</v>
      </c>
      <c r="E3540" s="560">
        <v>10087881</v>
      </c>
      <c r="F3540" s="560">
        <v>174880600</v>
      </c>
      <c r="G3540" s="560">
        <f t="shared" si="86"/>
        <v>40</v>
      </c>
      <c r="H3540" s="560"/>
      <c r="I3540" s="560"/>
      <c r="J3540" s="560"/>
    </row>
    <row r="3541" spans="1:10" x14ac:dyDescent="0.25">
      <c r="A3541" s="362"/>
      <c r="B3541" s="609">
        <v>44298</v>
      </c>
      <c r="C3541" s="362" t="s">
        <v>4751</v>
      </c>
      <c r="D3541" s="560">
        <v>165060952</v>
      </c>
      <c r="E3541" s="560">
        <v>12597148</v>
      </c>
      <c r="F3541" s="560">
        <v>177658100</v>
      </c>
      <c r="G3541" s="560">
        <f t="shared" si="86"/>
        <v>0</v>
      </c>
      <c r="H3541" s="560"/>
      <c r="I3541" s="560"/>
      <c r="J3541" s="560"/>
    </row>
    <row r="3542" spans="1:10" x14ac:dyDescent="0.25">
      <c r="A3542" s="362"/>
      <c r="B3542" s="609">
        <v>44298</v>
      </c>
      <c r="C3542" s="362" t="s">
        <v>166</v>
      </c>
      <c r="D3542" s="560">
        <v>104368500</v>
      </c>
      <c r="E3542" s="560"/>
      <c r="F3542" s="560">
        <v>104368500</v>
      </c>
      <c r="G3542" s="560">
        <f t="shared" si="86"/>
        <v>0</v>
      </c>
      <c r="H3542" s="560"/>
      <c r="I3542" s="560"/>
      <c r="J3542" s="560"/>
    </row>
    <row r="3543" spans="1:10" x14ac:dyDescent="0.25">
      <c r="A3543" s="362"/>
      <c r="B3543" s="609">
        <v>44298</v>
      </c>
      <c r="C3543" s="362" t="s">
        <v>3435</v>
      </c>
      <c r="D3543" s="560">
        <v>30982983</v>
      </c>
      <c r="E3543" s="560"/>
      <c r="F3543" s="560">
        <v>30983000</v>
      </c>
      <c r="G3543" s="560">
        <f t="shared" si="86"/>
        <v>-17</v>
      </c>
      <c r="H3543" s="560"/>
      <c r="I3543" s="560"/>
      <c r="J3543" s="560"/>
    </row>
    <row r="3544" spans="1:10" x14ac:dyDescent="0.25">
      <c r="A3544" s="362"/>
      <c r="B3544" s="609">
        <v>44298</v>
      </c>
      <c r="C3544" s="370" t="s">
        <v>85</v>
      </c>
      <c r="D3544" s="560">
        <v>45971700</v>
      </c>
      <c r="E3544" s="560"/>
      <c r="F3544" s="560">
        <v>45971700</v>
      </c>
      <c r="G3544" s="560">
        <f t="shared" si="86"/>
        <v>0</v>
      </c>
      <c r="H3544" s="560"/>
      <c r="I3544" s="560"/>
      <c r="J3544" s="560"/>
    </row>
    <row r="3545" spans="1:10" x14ac:dyDescent="0.25">
      <c r="A3545" s="530"/>
      <c r="B3545" s="530"/>
      <c r="C3545" s="530"/>
      <c r="D3545" s="562"/>
      <c r="E3545" s="562"/>
      <c r="F3545" s="562"/>
      <c r="G3545" s="562"/>
      <c r="H3545" s="562"/>
      <c r="I3545" s="562"/>
      <c r="J3545" s="562"/>
    </row>
    <row r="3546" spans="1:10" x14ac:dyDescent="0.25">
      <c r="A3546" s="362"/>
      <c r="B3546" s="609">
        <v>44299</v>
      </c>
      <c r="C3546" s="362" t="s">
        <v>86</v>
      </c>
      <c r="D3546" s="560">
        <v>30061668</v>
      </c>
      <c r="E3546" s="560">
        <v>26709369</v>
      </c>
      <c r="F3546" s="560">
        <v>56771300</v>
      </c>
      <c r="G3546" s="560">
        <f t="shared" si="86"/>
        <v>-263</v>
      </c>
      <c r="H3546" s="560"/>
      <c r="I3546" s="560"/>
      <c r="J3546" s="560"/>
    </row>
    <row r="3547" spans="1:10" x14ac:dyDescent="0.25">
      <c r="A3547" s="362"/>
      <c r="B3547" s="609">
        <v>44299</v>
      </c>
      <c r="C3547" s="362" t="s">
        <v>87</v>
      </c>
      <c r="D3547" s="560">
        <v>82601847</v>
      </c>
      <c r="E3547" s="560">
        <v>41594206</v>
      </c>
      <c r="F3547" s="560">
        <v>124196200</v>
      </c>
      <c r="G3547" s="560">
        <f t="shared" si="86"/>
        <v>-147</v>
      </c>
      <c r="H3547" s="560"/>
      <c r="I3547" s="560"/>
      <c r="J3547" s="560"/>
    </row>
    <row r="3548" spans="1:10" x14ac:dyDescent="0.25">
      <c r="A3548" s="362"/>
      <c r="B3548" s="609">
        <v>44299</v>
      </c>
      <c r="C3548" s="362" t="s">
        <v>88</v>
      </c>
      <c r="D3548" s="560">
        <v>118476761</v>
      </c>
      <c r="E3548" s="560">
        <v>92551565</v>
      </c>
      <c r="F3548" s="560">
        <v>211028400</v>
      </c>
      <c r="G3548" s="560">
        <f t="shared" si="86"/>
        <v>-74</v>
      </c>
      <c r="H3548" s="560"/>
      <c r="I3548" s="560"/>
      <c r="J3548" s="560"/>
    </row>
    <row r="3549" spans="1:10" x14ac:dyDescent="0.25">
      <c r="A3549" s="362"/>
      <c r="B3549" s="609">
        <v>44299</v>
      </c>
      <c r="C3549" s="362" t="s">
        <v>82</v>
      </c>
      <c r="D3549" s="560">
        <v>149977201</v>
      </c>
      <c r="E3549" s="560">
        <v>954826</v>
      </c>
      <c r="F3549" s="560">
        <v>150932100</v>
      </c>
      <c r="G3549" s="560">
        <f t="shared" si="86"/>
        <v>-73</v>
      </c>
      <c r="H3549" s="560"/>
      <c r="I3549" s="560"/>
      <c r="J3549" s="560"/>
    </row>
    <row r="3550" spans="1:10" x14ac:dyDescent="0.25">
      <c r="A3550" s="362"/>
      <c r="B3550" s="609">
        <v>44299</v>
      </c>
      <c r="C3550" s="362" t="s">
        <v>80</v>
      </c>
      <c r="D3550" s="560">
        <v>213507300</v>
      </c>
      <c r="E3550" s="560">
        <v>13990800</v>
      </c>
      <c r="F3550" s="560">
        <v>227468200</v>
      </c>
      <c r="G3550" s="560">
        <f t="shared" si="86"/>
        <v>29900</v>
      </c>
      <c r="H3550" s="560"/>
      <c r="I3550" s="560"/>
      <c r="J3550" s="560"/>
    </row>
    <row r="3551" spans="1:10" x14ac:dyDescent="0.25">
      <c r="A3551" s="362"/>
      <c r="B3551" s="609">
        <v>44299</v>
      </c>
      <c r="C3551" s="362" t="s">
        <v>83</v>
      </c>
      <c r="D3551" s="560">
        <v>273203826</v>
      </c>
      <c r="E3551" s="560">
        <v>8850674</v>
      </c>
      <c r="F3551" s="560">
        <v>282054500</v>
      </c>
      <c r="G3551" s="560">
        <f t="shared" si="86"/>
        <v>0</v>
      </c>
      <c r="H3551" s="560"/>
      <c r="I3551" s="560"/>
      <c r="J3551" s="560"/>
    </row>
    <row r="3552" spans="1:10" x14ac:dyDescent="0.25">
      <c r="A3552" s="362"/>
      <c r="B3552" s="609">
        <v>44299</v>
      </c>
      <c r="C3552" s="362" t="s">
        <v>78</v>
      </c>
      <c r="D3552" s="560">
        <v>67966427</v>
      </c>
      <c r="E3552" s="560">
        <v>2344573</v>
      </c>
      <c r="F3552" s="560">
        <v>70311000</v>
      </c>
      <c r="G3552" s="560">
        <f t="shared" si="86"/>
        <v>0</v>
      </c>
      <c r="H3552" s="560"/>
      <c r="I3552" s="560"/>
      <c r="J3552" s="560"/>
    </row>
    <row r="3553" spans="1:10" x14ac:dyDescent="0.25">
      <c r="A3553" s="362"/>
      <c r="B3553" s="609">
        <v>44299</v>
      </c>
      <c r="C3553" s="362" t="s">
        <v>141</v>
      </c>
      <c r="D3553" s="560">
        <v>33009183</v>
      </c>
      <c r="E3553" s="560">
        <v>3334100</v>
      </c>
      <c r="F3553" s="560">
        <v>36343300</v>
      </c>
      <c r="G3553" s="560">
        <f t="shared" si="86"/>
        <v>-17</v>
      </c>
      <c r="H3553" s="560"/>
      <c r="I3553" s="560"/>
      <c r="J3553" s="560"/>
    </row>
    <row r="3554" spans="1:10" x14ac:dyDescent="0.25">
      <c r="A3554" s="362"/>
      <c r="B3554" s="609">
        <v>44299</v>
      </c>
      <c r="C3554" s="362" t="s">
        <v>89</v>
      </c>
      <c r="D3554" s="560">
        <v>103948147</v>
      </c>
      <c r="E3554" s="560">
        <v>40520053</v>
      </c>
      <c r="F3554" s="560">
        <v>144468200</v>
      </c>
      <c r="G3554" s="560">
        <f t="shared" si="86"/>
        <v>0</v>
      </c>
      <c r="H3554" s="560"/>
      <c r="I3554" s="560"/>
      <c r="J3554" s="560"/>
    </row>
    <row r="3555" spans="1:10" x14ac:dyDescent="0.25">
      <c r="A3555" s="362"/>
      <c r="B3555" s="609">
        <v>44299</v>
      </c>
      <c r="C3555" s="362" t="s">
        <v>81</v>
      </c>
      <c r="D3555" s="560">
        <v>83379117</v>
      </c>
      <c r="E3555" s="560">
        <v>30206415</v>
      </c>
      <c r="F3555" s="560">
        <v>113585500</v>
      </c>
      <c r="G3555" s="560">
        <f t="shared" si="86"/>
        <v>32</v>
      </c>
      <c r="H3555" s="560"/>
      <c r="I3555" s="560"/>
      <c r="J3555" s="560"/>
    </row>
    <row r="3556" spans="1:10" x14ac:dyDescent="0.25">
      <c r="A3556" s="362"/>
      <c r="B3556" s="609">
        <v>44299</v>
      </c>
      <c r="C3556" s="362" t="s">
        <v>84</v>
      </c>
      <c r="D3556" s="560">
        <v>207866303</v>
      </c>
      <c r="E3556" s="560">
        <v>12438243</v>
      </c>
      <c r="F3556" s="560">
        <v>220304700</v>
      </c>
      <c r="G3556" s="560">
        <f t="shared" si="86"/>
        <v>-154</v>
      </c>
      <c r="H3556" s="560"/>
      <c r="I3556" s="560"/>
      <c r="J3556" s="560"/>
    </row>
    <row r="3557" spans="1:10" x14ac:dyDescent="0.25">
      <c r="A3557" s="362"/>
      <c r="B3557" s="609">
        <v>44299</v>
      </c>
      <c r="C3557" s="362" t="s">
        <v>4751</v>
      </c>
      <c r="D3557" s="560">
        <v>182398471</v>
      </c>
      <c r="E3557" s="560">
        <v>12634729</v>
      </c>
      <c r="F3557" s="560">
        <v>195033200</v>
      </c>
      <c r="G3557" s="560">
        <f t="shared" si="86"/>
        <v>0</v>
      </c>
      <c r="H3557" s="560"/>
      <c r="I3557" s="560"/>
      <c r="J3557" s="560"/>
    </row>
    <row r="3558" spans="1:10" x14ac:dyDescent="0.25">
      <c r="A3558" s="362"/>
      <c r="B3558" s="609">
        <v>44299</v>
      </c>
      <c r="C3558" s="362" t="s">
        <v>166</v>
      </c>
      <c r="D3558" s="560">
        <v>90284540</v>
      </c>
      <c r="E3558" s="560"/>
      <c r="F3558" s="560">
        <v>90284600</v>
      </c>
      <c r="G3558" s="560">
        <f t="shared" si="86"/>
        <v>-60</v>
      </c>
      <c r="H3558" s="560"/>
      <c r="I3558" s="560"/>
      <c r="J3558" s="560"/>
    </row>
    <row r="3559" spans="1:10" x14ac:dyDescent="0.25">
      <c r="A3559" s="362"/>
      <c r="B3559" s="609">
        <v>44299</v>
      </c>
      <c r="C3559" s="362" t="s">
        <v>3435</v>
      </c>
      <c r="D3559" s="560">
        <v>31463895</v>
      </c>
      <c r="E3559" s="560"/>
      <c r="F3559" s="560">
        <v>31463900</v>
      </c>
      <c r="G3559" s="560">
        <f t="shared" si="86"/>
        <v>-5</v>
      </c>
      <c r="H3559" s="560"/>
      <c r="I3559" s="560"/>
      <c r="J3559" s="560"/>
    </row>
    <row r="3560" spans="1:10" x14ac:dyDescent="0.25">
      <c r="A3560" s="362"/>
      <c r="B3560" s="609">
        <v>44299</v>
      </c>
      <c r="C3560" s="370" t="s">
        <v>85</v>
      </c>
      <c r="D3560" s="560">
        <v>27019000</v>
      </c>
      <c r="E3560" s="560"/>
      <c r="F3560" s="560">
        <v>27019000</v>
      </c>
      <c r="G3560" s="560">
        <f t="shared" si="86"/>
        <v>0</v>
      </c>
      <c r="H3560" s="560"/>
      <c r="I3560" s="560"/>
      <c r="J3560" s="560"/>
    </row>
    <row r="3561" spans="1:10" x14ac:dyDescent="0.25">
      <c r="A3561" s="530"/>
      <c r="B3561" s="530"/>
      <c r="C3561" s="530"/>
      <c r="D3561" s="562">
        <f>SUM(D3546:D3560)</f>
        <v>1695163686</v>
      </c>
      <c r="E3561" s="562">
        <f>SUM(E3546:E3560)</f>
        <v>286129553</v>
      </c>
      <c r="F3561" s="562">
        <f>SUM(F3546:F3560)</f>
        <v>1981264100</v>
      </c>
      <c r="G3561" s="562">
        <f>SUM(G3546:G3560)</f>
        <v>29139</v>
      </c>
      <c r="H3561" s="562"/>
      <c r="I3561" s="562"/>
      <c r="J3561" s="562"/>
    </row>
    <row r="3562" spans="1:10" x14ac:dyDescent="0.25">
      <c r="A3562" s="362"/>
      <c r="B3562" s="609">
        <v>44300</v>
      </c>
      <c r="C3562" s="362" t="s">
        <v>86</v>
      </c>
      <c r="D3562" s="560">
        <v>76170848</v>
      </c>
      <c r="E3562" s="560">
        <v>143960374</v>
      </c>
      <c r="F3562" s="560">
        <v>220132200</v>
      </c>
      <c r="G3562" s="560">
        <f t="shared" si="86"/>
        <v>-978</v>
      </c>
      <c r="H3562" s="560"/>
      <c r="I3562" s="560"/>
      <c r="J3562" s="560"/>
    </row>
    <row r="3563" spans="1:10" x14ac:dyDescent="0.25">
      <c r="A3563" s="362"/>
      <c r="B3563" s="609">
        <v>44300</v>
      </c>
      <c r="C3563" s="362" t="s">
        <v>87</v>
      </c>
      <c r="D3563" s="560">
        <v>116635530</v>
      </c>
      <c r="E3563" s="560">
        <v>133804564</v>
      </c>
      <c r="F3563" s="560">
        <v>250440600</v>
      </c>
      <c r="G3563" s="560">
        <f t="shared" si="86"/>
        <v>-506</v>
      </c>
      <c r="H3563" s="560"/>
      <c r="I3563" s="560"/>
      <c r="J3563" s="560"/>
    </row>
    <row r="3564" spans="1:10" x14ac:dyDescent="0.25">
      <c r="A3564" s="362"/>
      <c r="B3564" s="609">
        <v>44300</v>
      </c>
      <c r="C3564" s="362" t="s">
        <v>88</v>
      </c>
      <c r="D3564" s="560">
        <v>247900989</v>
      </c>
      <c r="E3564" s="560">
        <v>12186805</v>
      </c>
      <c r="F3564" s="560">
        <v>260087800</v>
      </c>
      <c r="G3564" s="560">
        <f t="shared" si="86"/>
        <v>-6</v>
      </c>
      <c r="H3564" s="560"/>
      <c r="I3564" s="560"/>
      <c r="J3564" s="560"/>
    </row>
    <row r="3565" spans="1:10" x14ac:dyDescent="0.25">
      <c r="A3565" s="362"/>
      <c r="B3565" s="609">
        <v>44300</v>
      </c>
      <c r="C3565" s="362" t="s">
        <v>82</v>
      </c>
      <c r="D3565" s="560">
        <v>101024772</v>
      </c>
      <c r="E3565" s="560">
        <v>3372240</v>
      </c>
      <c r="F3565" s="560">
        <v>104397300</v>
      </c>
      <c r="G3565" s="560">
        <f t="shared" si="86"/>
        <v>-288</v>
      </c>
      <c r="H3565" s="560"/>
      <c r="I3565" s="560"/>
      <c r="J3565" s="560"/>
    </row>
    <row r="3566" spans="1:10" x14ac:dyDescent="0.25">
      <c r="A3566" s="362"/>
      <c r="B3566" s="609">
        <v>44300</v>
      </c>
      <c r="C3566" s="362" t="s">
        <v>80</v>
      </c>
      <c r="D3566" s="560">
        <v>328505058</v>
      </c>
      <c r="E3566" s="560">
        <v>8544000</v>
      </c>
      <c r="F3566" s="560">
        <v>337049300</v>
      </c>
      <c r="G3566" s="560">
        <f t="shared" si="86"/>
        <v>-242</v>
      </c>
      <c r="H3566" s="560"/>
      <c r="I3566" s="560"/>
      <c r="J3566" s="560"/>
    </row>
    <row r="3567" spans="1:10" x14ac:dyDescent="0.25">
      <c r="A3567" s="362"/>
      <c r="B3567" s="609">
        <v>44300</v>
      </c>
      <c r="C3567" s="362" t="s">
        <v>83</v>
      </c>
      <c r="D3567" s="560">
        <v>153729313</v>
      </c>
      <c r="E3567" s="560">
        <v>148238987</v>
      </c>
      <c r="F3567" s="560">
        <v>301968300</v>
      </c>
      <c r="G3567" s="560">
        <f t="shared" si="86"/>
        <v>0</v>
      </c>
      <c r="H3567" s="560"/>
      <c r="I3567" s="560"/>
      <c r="J3567" s="560"/>
    </row>
    <row r="3568" spans="1:10" x14ac:dyDescent="0.25">
      <c r="A3568" s="362"/>
      <c r="B3568" s="609">
        <v>44300</v>
      </c>
      <c r="C3568" s="362" t="s">
        <v>78</v>
      </c>
      <c r="D3568" s="560">
        <v>100752984</v>
      </c>
      <c r="E3568" s="560">
        <v>740616</v>
      </c>
      <c r="F3568" s="560">
        <v>101493600</v>
      </c>
      <c r="G3568" s="560">
        <f t="shared" si="86"/>
        <v>0</v>
      </c>
      <c r="H3568" s="560"/>
      <c r="I3568" s="560"/>
      <c r="J3568" s="560"/>
    </row>
    <row r="3569" spans="1:12" x14ac:dyDescent="0.25">
      <c r="A3569" s="362"/>
      <c r="B3569" s="609">
        <v>44300</v>
      </c>
      <c r="C3569" s="362" t="s">
        <v>141</v>
      </c>
      <c r="D3569" s="560">
        <v>130755108</v>
      </c>
      <c r="E3569" s="560">
        <v>3540046</v>
      </c>
      <c r="F3569" s="560">
        <v>134295200</v>
      </c>
      <c r="G3569" s="560">
        <f t="shared" si="86"/>
        <v>-46</v>
      </c>
      <c r="H3569" s="560"/>
      <c r="I3569" s="560"/>
      <c r="J3569" s="560"/>
    </row>
    <row r="3570" spans="1:12" x14ac:dyDescent="0.25">
      <c r="A3570" s="362"/>
      <c r="B3570" s="609">
        <v>44300</v>
      </c>
      <c r="C3570" s="362" t="s">
        <v>89</v>
      </c>
      <c r="D3570" s="560">
        <v>150737243</v>
      </c>
      <c r="E3570" s="560">
        <v>34333657</v>
      </c>
      <c r="F3570" s="560">
        <v>185070900</v>
      </c>
      <c r="G3570" s="560">
        <f t="shared" si="86"/>
        <v>0</v>
      </c>
      <c r="H3570" s="560"/>
      <c r="I3570" s="560"/>
      <c r="J3570" s="560"/>
    </row>
    <row r="3571" spans="1:12" x14ac:dyDescent="0.25">
      <c r="A3571" s="362"/>
      <c r="B3571" s="609">
        <v>44300</v>
      </c>
      <c r="C3571" s="362" t="s">
        <v>81</v>
      </c>
      <c r="D3571" s="560">
        <v>56093517</v>
      </c>
      <c r="E3571" s="560">
        <v>47834285</v>
      </c>
      <c r="F3571" s="560">
        <v>103927800</v>
      </c>
      <c r="G3571" s="560">
        <f t="shared" si="86"/>
        <v>2</v>
      </c>
      <c r="H3571" s="560"/>
      <c r="I3571" s="560"/>
      <c r="J3571" s="560"/>
    </row>
    <row r="3572" spans="1:12" x14ac:dyDescent="0.25">
      <c r="A3572" s="362"/>
      <c r="B3572" s="609">
        <v>44300</v>
      </c>
      <c r="C3572" s="362" t="s">
        <v>84</v>
      </c>
      <c r="D3572" s="560">
        <v>494179297</v>
      </c>
      <c r="E3572" s="560">
        <v>7644847</v>
      </c>
      <c r="F3572" s="560">
        <v>501824700</v>
      </c>
      <c r="G3572" s="560">
        <f t="shared" si="86"/>
        <v>-556</v>
      </c>
      <c r="H3572" s="560"/>
      <c r="I3572" s="560"/>
      <c r="J3572" s="560"/>
      <c r="L3572" s="254" t="s">
        <v>6090</v>
      </c>
    </row>
    <row r="3573" spans="1:12" x14ac:dyDescent="0.25">
      <c r="A3573" s="362"/>
      <c r="B3573" s="609">
        <v>44300</v>
      </c>
      <c r="C3573" s="362" t="s">
        <v>4751</v>
      </c>
      <c r="D3573" s="560">
        <v>201154646</v>
      </c>
      <c r="E3573" s="560">
        <v>9626854</v>
      </c>
      <c r="F3573" s="560">
        <v>210781500</v>
      </c>
      <c r="G3573" s="560">
        <f t="shared" si="86"/>
        <v>0</v>
      </c>
      <c r="H3573" s="560"/>
      <c r="I3573" s="560"/>
      <c r="J3573" s="560"/>
    </row>
    <row r="3574" spans="1:12" x14ac:dyDescent="0.25">
      <c r="A3574" s="362"/>
      <c r="B3574" s="609">
        <v>44300</v>
      </c>
      <c r="C3574" s="362" t="s">
        <v>166</v>
      </c>
      <c r="D3574" s="560">
        <v>53634527</v>
      </c>
      <c r="E3574" s="560"/>
      <c r="F3574" s="560">
        <v>53634600</v>
      </c>
      <c r="G3574" s="560">
        <f t="shared" si="86"/>
        <v>-73</v>
      </c>
      <c r="H3574" s="560"/>
      <c r="I3574" s="560"/>
      <c r="J3574" s="560"/>
    </row>
    <row r="3575" spans="1:12" x14ac:dyDescent="0.25">
      <c r="A3575" s="362"/>
      <c r="B3575" s="609">
        <v>44300</v>
      </c>
      <c r="C3575" s="362" t="s">
        <v>3435</v>
      </c>
      <c r="D3575" s="560">
        <v>97155151</v>
      </c>
      <c r="E3575" s="560"/>
      <c r="F3575" s="560">
        <v>97155200</v>
      </c>
      <c r="G3575" s="560">
        <f t="shared" si="86"/>
        <v>-49</v>
      </c>
      <c r="H3575" s="560"/>
      <c r="I3575" s="560"/>
      <c r="J3575" s="560"/>
    </row>
    <row r="3576" spans="1:12" x14ac:dyDescent="0.25">
      <c r="A3576" s="362"/>
      <c r="B3576" s="609">
        <v>44300</v>
      </c>
      <c r="C3576" s="370" t="s">
        <v>85</v>
      </c>
      <c r="D3576" s="560">
        <v>37757900</v>
      </c>
      <c r="E3576" s="560"/>
      <c r="F3576" s="560">
        <v>37757900</v>
      </c>
      <c r="G3576" s="560">
        <f t="shared" si="86"/>
        <v>0</v>
      </c>
      <c r="H3576" s="560"/>
      <c r="I3576" s="560"/>
      <c r="J3576" s="560"/>
    </row>
    <row r="3577" spans="1:12" x14ac:dyDescent="0.25">
      <c r="A3577" s="530"/>
      <c r="B3577" s="530"/>
      <c r="C3577" s="530"/>
      <c r="D3577" s="562">
        <f>SUM(D3562:D3576)</f>
        <v>2346186883</v>
      </c>
      <c r="E3577" s="562">
        <f>SUM(E3562:E3576)</f>
        <v>553827275</v>
      </c>
      <c r="F3577" s="562">
        <f>SUM(F3562:F3576)</f>
        <v>2900016900</v>
      </c>
      <c r="G3577" s="562">
        <f>SUM(G3562:G3576)</f>
        <v>-2742</v>
      </c>
      <c r="H3577" s="562"/>
      <c r="I3577" s="562"/>
      <c r="J3577" s="562"/>
    </row>
    <row r="3578" spans="1:12" x14ac:dyDescent="0.25">
      <c r="A3578" s="362"/>
      <c r="B3578" s="609">
        <v>44301</v>
      </c>
      <c r="C3578" s="362" t="s">
        <v>86</v>
      </c>
      <c r="D3578" s="560">
        <v>103255331</v>
      </c>
      <c r="E3578" s="560">
        <v>123058610</v>
      </c>
      <c r="F3578" s="560">
        <v>226314000</v>
      </c>
      <c r="G3578" s="560">
        <f t="shared" si="86"/>
        <v>-59</v>
      </c>
      <c r="H3578" s="560"/>
      <c r="I3578" s="560"/>
      <c r="J3578" s="560"/>
    </row>
    <row r="3579" spans="1:12" x14ac:dyDescent="0.25">
      <c r="A3579" s="362"/>
      <c r="B3579" s="609">
        <v>44301</v>
      </c>
      <c r="C3579" s="362" t="s">
        <v>87</v>
      </c>
      <c r="D3579" s="560">
        <v>94308618</v>
      </c>
      <c r="E3579" s="560">
        <v>171378730</v>
      </c>
      <c r="F3579" s="560">
        <v>265687300</v>
      </c>
      <c r="G3579" s="560">
        <f t="shared" si="86"/>
        <v>48</v>
      </c>
      <c r="H3579" s="560"/>
      <c r="I3579" s="560"/>
      <c r="J3579" s="560"/>
    </row>
    <row r="3580" spans="1:12" x14ac:dyDescent="0.25">
      <c r="A3580" s="362"/>
      <c r="B3580" s="609">
        <v>44301</v>
      </c>
      <c r="C3580" s="362" t="s">
        <v>88</v>
      </c>
      <c r="D3580" s="560">
        <v>252550575</v>
      </c>
      <c r="E3580" s="560">
        <v>12792400</v>
      </c>
      <c r="F3580" s="560">
        <v>265343100</v>
      </c>
      <c r="G3580" s="560">
        <f t="shared" ref="G3580:G3643" si="87">D3580+E3580-F3580</f>
        <v>-125</v>
      </c>
      <c r="H3580" s="560"/>
      <c r="I3580" s="560"/>
      <c r="J3580" s="560"/>
    </row>
    <row r="3581" spans="1:12" x14ac:dyDescent="0.25">
      <c r="A3581" s="362"/>
      <c r="B3581" s="609">
        <v>44301</v>
      </c>
      <c r="C3581" s="362" t="s">
        <v>82</v>
      </c>
      <c r="D3581" s="560">
        <v>90039044</v>
      </c>
      <c r="E3581" s="560">
        <v>46802166</v>
      </c>
      <c r="F3581" s="560">
        <v>136841300</v>
      </c>
      <c r="G3581" s="560">
        <f t="shared" si="87"/>
        <v>-90</v>
      </c>
      <c r="H3581" s="560"/>
      <c r="I3581" s="560"/>
      <c r="J3581" s="560"/>
    </row>
    <row r="3582" spans="1:12" x14ac:dyDescent="0.25">
      <c r="A3582" s="362"/>
      <c r="B3582" s="609">
        <v>44301</v>
      </c>
      <c r="C3582" s="362" t="s">
        <v>80</v>
      </c>
      <c r="D3582" s="560">
        <v>278322108</v>
      </c>
      <c r="E3582" s="560">
        <v>46716000</v>
      </c>
      <c r="F3582" s="560">
        <v>325019800</v>
      </c>
      <c r="G3582" s="560">
        <f t="shared" si="87"/>
        <v>18308</v>
      </c>
      <c r="H3582" s="560"/>
      <c r="I3582" s="560"/>
      <c r="J3582" s="560"/>
    </row>
    <row r="3583" spans="1:12" x14ac:dyDescent="0.25">
      <c r="A3583" s="362"/>
      <c r="B3583" s="609">
        <v>44301</v>
      </c>
      <c r="C3583" s="362" t="s">
        <v>83</v>
      </c>
      <c r="D3583" s="560">
        <v>138282267</v>
      </c>
      <c r="E3583" s="560">
        <v>9972129</v>
      </c>
      <c r="F3583" s="560">
        <v>148259400</v>
      </c>
      <c r="G3583" s="560">
        <f t="shared" si="87"/>
        <v>-5004</v>
      </c>
      <c r="H3583" s="560"/>
      <c r="I3583" s="560"/>
      <c r="J3583" s="560"/>
    </row>
    <row r="3584" spans="1:12" x14ac:dyDescent="0.25">
      <c r="A3584" s="362"/>
      <c r="B3584" s="609">
        <v>44301</v>
      </c>
      <c r="C3584" s="362" t="s">
        <v>78</v>
      </c>
      <c r="D3584" s="560">
        <v>111823467</v>
      </c>
      <c r="E3584" s="560">
        <v>3317233</v>
      </c>
      <c r="F3584" s="560">
        <v>115140700</v>
      </c>
      <c r="G3584" s="560">
        <f t="shared" si="87"/>
        <v>0</v>
      </c>
      <c r="H3584" s="560"/>
      <c r="I3584" s="560"/>
      <c r="J3584" s="560"/>
    </row>
    <row r="3585" spans="1:10" x14ac:dyDescent="0.25">
      <c r="A3585" s="362"/>
      <c r="B3585" s="609">
        <v>44301</v>
      </c>
      <c r="C3585" s="362" t="s">
        <v>141</v>
      </c>
      <c r="D3585" s="560">
        <v>82611127</v>
      </c>
      <c r="E3585" s="560">
        <v>2429501</v>
      </c>
      <c r="F3585" s="560">
        <v>85040700</v>
      </c>
      <c r="G3585" s="560">
        <f t="shared" si="87"/>
        <v>-72</v>
      </c>
      <c r="H3585" s="560"/>
      <c r="I3585" s="560"/>
      <c r="J3585" s="560"/>
    </row>
    <row r="3586" spans="1:10" x14ac:dyDescent="0.25">
      <c r="A3586" s="362"/>
      <c r="B3586" s="609">
        <v>44301</v>
      </c>
      <c r="C3586" s="362" t="s">
        <v>89</v>
      </c>
      <c r="D3586" s="560">
        <v>151728629</v>
      </c>
      <c r="E3586" s="560">
        <v>35314571</v>
      </c>
      <c r="F3586" s="560">
        <v>187043200</v>
      </c>
      <c r="G3586" s="560">
        <f t="shared" si="87"/>
        <v>0</v>
      </c>
      <c r="H3586" s="560"/>
      <c r="I3586" s="560"/>
      <c r="J3586" s="560"/>
    </row>
    <row r="3587" spans="1:10" x14ac:dyDescent="0.25">
      <c r="A3587" s="362"/>
      <c r="B3587" s="609">
        <v>44301</v>
      </c>
      <c r="C3587" s="362" t="s">
        <v>81</v>
      </c>
      <c r="D3587" s="560">
        <v>131509653</v>
      </c>
      <c r="E3587" s="560">
        <v>86650832</v>
      </c>
      <c r="F3587" s="560">
        <v>218160500</v>
      </c>
      <c r="G3587" s="560">
        <f t="shared" si="87"/>
        <v>-15</v>
      </c>
      <c r="H3587" s="560"/>
      <c r="I3587" s="560"/>
      <c r="J3587" s="560"/>
    </row>
    <row r="3588" spans="1:10" x14ac:dyDescent="0.25">
      <c r="A3588" s="362"/>
      <c r="B3588" s="609">
        <v>44301</v>
      </c>
      <c r="C3588" s="362" t="s">
        <v>84</v>
      </c>
      <c r="D3588" s="560">
        <v>226718701</v>
      </c>
      <c r="E3588" s="560">
        <v>15320760</v>
      </c>
      <c r="F3588" s="560">
        <v>242039500</v>
      </c>
      <c r="G3588" s="560">
        <f t="shared" si="87"/>
        <v>-39</v>
      </c>
      <c r="H3588" s="560"/>
      <c r="I3588" s="560"/>
      <c r="J3588" s="560"/>
    </row>
    <row r="3589" spans="1:10" x14ac:dyDescent="0.25">
      <c r="A3589" s="362"/>
      <c r="B3589" s="609">
        <v>44301</v>
      </c>
      <c r="C3589" s="362" t="s">
        <v>4751</v>
      </c>
      <c r="D3589" s="560">
        <v>180667715</v>
      </c>
      <c r="E3589" s="560">
        <v>6041385</v>
      </c>
      <c r="F3589" s="560">
        <v>186709100</v>
      </c>
      <c r="G3589" s="560">
        <f t="shared" si="87"/>
        <v>0</v>
      </c>
      <c r="H3589" s="560"/>
      <c r="I3589" s="560"/>
      <c r="J3589" s="560"/>
    </row>
    <row r="3590" spans="1:10" x14ac:dyDescent="0.25">
      <c r="A3590" s="362"/>
      <c r="B3590" s="609">
        <v>44301</v>
      </c>
      <c r="C3590" s="362" t="s">
        <v>166</v>
      </c>
      <c r="D3590" s="560">
        <v>117902228</v>
      </c>
      <c r="E3590" s="560"/>
      <c r="F3590" s="560">
        <v>117902300</v>
      </c>
      <c r="G3590" s="560">
        <f t="shared" si="87"/>
        <v>-72</v>
      </c>
      <c r="H3590" s="560"/>
      <c r="I3590" s="560"/>
      <c r="J3590" s="560"/>
    </row>
    <row r="3591" spans="1:10" x14ac:dyDescent="0.25">
      <c r="A3591" s="362"/>
      <c r="B3591" s="609">
        <v>44301</v>
      </c>
      <c r="C3591" s="362" t="s">
        <v>3435</v>
      </c>
      <c r="D3591" s="560">
        <v>90739765</v>
      </c>
      <c r="E3591" s="560"/>
      <c r="F3591" s="560">
        <v>90739800</v>
      </c>
      <c r="G3591" s="560">
        <f t="shared" si="87"/>
        <v>-35</v>
      </c>
      <c r="H3591" s="362"/>
      <c r="I3591" s="362"/>
      <c r="J3591" s="362"/>
    </row>
    <row r="3592" spans="1:10" x14ac:dyDescent="0.25">
      <c r="A3592" s="362"/>
      <c r="B3592" s="609">
        <v>44301</v>
      </c>
      <c r="C3592" s="370" t="s">
        <v>85</v>
      </c>
      <c r="D3592" s="560">
        <v>19542000</v>
      </c>
      <c r="E3592" s="560"/>
      <c r="F3592" s="560">
        <v>19542000</v>
      </c>
      <c r="G3592" s="560">
        <f t="shared" si="87"/>
        <v>0</v>
      </c>
      <c r="H3592" s="362"/>
      <c r="I3592" s="362"/>
      <c r="J3592" s="362"/>
    </row>
    <row r="3593" spans="1:10" x14ac:dyDescent="0.25">
      <c r="A3593" s="530"/>
      <c r="B3593" s="530"/>
      <c r="C3593" s="530"/>
      <c r="D3593" s="562">
        <f>SUM(D3578:D3592)</f>
        <v>2070001228</v>
      </c>
      <c r="E3593" s="562">
        <f>SUM(E3578:E3592)</f>
        <v>559794317</v>
      </c>
      <c r="F3593" s="562">
        <f>SUM(F3578:F3592)</f>
        <v>2629782700</v>
      </c>
      <c r="G3593" s="562">
        <f>SUM(G3578:G3592)</f>
        <v>12845</v>
      </c>
      <c r="H3593" s="530"/>
      <c r="I3593" s="530"/>
      <c r="J3593" s="530"/>
    </row>
    <row r="3594" spans="1:10" x14ac:dyDescent="0.25">
      <c r="A3594" s="362"/>
      <c r="B3594" s="609">
        <v>44302</v>
      </c>
      <c r="C3594" s="362" t="s">
        <v>86</v>
      </c>
      <c r="D3594" s="560">
        <v>34965765</v>
      </c>
      <c r="E3594" s="560">
        <v>78675548</v>
      </c>
      <c r="F3594" s="560">
        <v>113641300</v>
      </c>
      <c r="G3594" s="560">
        <f t="shared" si="87"/>
        <v>13</v>
      </c>
      <c r="H3594" s="362"/>
      <c r="I3594" s="362"/>
      <c r="J3594" s="362"/>
    </row>
    <row r="3595" spans="1:10" x14ac:dyDescent="0.25">
      <c r="A3595" s="362"/>
      <c r="B3595" s="609">
        <v>44302</v>
      </c>
      <c r="C3595" s="362" t="s">
        <v>87</v>
      </c>
      <c r="D3595" s="560">
        <v>141557530</v>
      </c>
      <c r="E3595" s="560">
        <v>83775102</v>
      </c>
      <c r="F3595" s="560">
        <v>225332800</v>
      </c>
      <c r="G3595" s="560">
        <f t="shared" si="87"/>
        <v>-168</v>
      </c>
      <c r="H3595" s="362"/>
      <c r="I3595" s="362"/>
      <c r="J3595" s="362"/>
    </row>
    <row r="3596" spans="1:10" x14ac:dyDescent="0.25">
      <c r="A3596" s="362"/>
      <c r="B3596" s="609">
        <v>44302</v>
      </c>
      <c r="C3596" s="362" t="s">
        <v>88</v>
      </c>
      <c r="D3596" s="560">
        <v>146381227</v>
      </c>
      <c r="E3596" s="560">
        <v>79475763</v>
      </c>
      <c r="F3596" s="560">
        <v>225857000</v>
      </c>
      <c r="G3596" s="560">
        <f t="shared" si="87"/>
        <v>-10</v>
      </c>
      <c r="H3596" s="362"/>
      <c r="I3596" s="362"/>
      <c r="J3596" s="362"/>
    </row>
    <row r="3597" spans="1:10" x14ac:dyDescent="0.25">
      <c r="A3597" s="362"/>
      <c r="B3597" s="609">
        <v>44302</v>
      </c>
      <c r="C3597" s="362" t="s">
        <v>82</v>
      </c>
      <c r="D3597" s="560">
        <v>83877973</v>
      </c>
      <c r="E3597" s="560">
        <v>2758400</v>
      </c>
      <c r="F3597" s="560">
        <v>86636400</v>
      </c>
      <c r="G3597" s="560">
        <f t="shared" si="87"/>
        <v>-27</v>
      </c>
      <c r="H3597" s="362"/>
      <c r="I3597" s="362"/>
      <c r="J3597" s="362"/>
    </row>
    <row r="3598" spans="1:10" x14ac:dyDescent="0.25">
      <c r="A3598" s="362"/>
      <c r="B3598" s="609">
        <v>44302</v>
      </c>
      <c r="C3598" s="362" t="s">
        <v>80</v>
      </c>
      <c r="D3598" s="560">
        <v>200489168</v>
      </c>
      <c r="E3598" s="560">
        <v>4512619</v>
      </c>
      <c r="F3598" s="560">
        <v>205011800</v>
      </c>
      <c r="G3598" s="560">
        <f t="shared" si="87"/>
        <v>-10013</v>
      </c>
      <c r="H3598" s="362"/>
      <c r="I3598" s="362"/>
      <c r="J3598" s="362"/>
    </row>
    <row r="3599" spans="1:10" x14ac:dyDescent="0.25">
      <c r="A3599" s="362"/>
      <c r="B3599" s="609">
        <v>44302</v>
      </c>
      <c r="C3599" s="362" t="s">
        <v>83</v>
      </c>
      <c r="D3599" s="560">
        <v>141420882</v>
      </c>
      <c r="E3599" s="560">
        <v>209051076</v>
      </c>
      <c r="F3599" s="560">
        <v>350472000</v>
      </c>
      <c r="G3599" s="560">
        <f t="shared" si="87"/>
        <v>-42</v>
      </c>
      <c r="H3599" s="362"/>
      <c r="I3599" s="362"/>
      <c r="J3599" s="362"/>
    </row>
    <row r="3600" spans="1:10" x14ac:dyDescent="0.25">
      <c r="A3600" s="362"/>
      <c r="B3600" s="609">
        <v>44302</v>
      </c>
      <c r="C3600" s="362" t="s">
        <v>78</v>
      </c>
      <c r="D3600" s="560">
        <v>138176318</v>
      </c>
      <c r="E3600" s="560">
        <v>5652782</v>
      </c>
      <c r="F3600" s="560">
        <v>143829100</v>
      </c>
      <c r="G3600" s="560">
        <f t="shared" si="87"/>
        <v>0</v>
      </c>
      <c r="H3600" s="362"/>
      <c r="I3600" s="362"/>
      <c r="J3600" s="362"/>
    </row>
    <row r="3601" spans="1:10" x14ac:dyDescent="0.25">
      <c r="A3601" s="362"/>
      <c r="B3601" s="609">
        <v>44302</v>
      </c>
      <c r="C3601" s="362" t="s">
        <v>141</v>
      </c>
      <c r="D3601" s="560">
        <v>98023326</v>
      </c>
      <c r="E3601" s="560">
        <v>500000</v>
      </c>
      <c r="F3601" s="560">
        <v>98523400</v>
      </c>
      <c r="G3601" s="560">
        <f t="shared" si="87"/>
        <v>-74</v>
      </c>
      <c r="H3601" s="362"/>
      <c r="I3601" s="362"/>
      <c r="J3601" s="362"/>
    </row>
    <row r="3602" spans="1:10" x14ac:dyDescent="0.25">
      <c r="A3602" s="362"/>
      <c r="B3602" s="609">
        <v>44302</v>
      </c>
      <c r="C3602" s="362" t="s">
        <v>89</v>
      </c>
      <c r="D3602" s="560">
        <v>138260118</v>
      </c>
      <c r="E3602" s="560">
        <v>153305682</v>
      </c>
      <c r="F3602" s="560">
        <v>291565800</v>
      </c>
      <c r="G3602" s="560">
        <f t="shared" si="87"/>
        <v>0</v>
      </c>
      <c r="H3602" s="362"/>
      <c r="I3602" s="362"/>
      <c r="J3602" s="362"/>
    </row>
    <row r="3603" spans="1:10" x14ac:dyDescent="0.25">
      <c r="A3603" s="362"/>
      <c r="B3603" s="609">
        <v>44302</v>
      </c>
      <c r="C3603" s="362" t="s">
        <v>81</v>
      </c>
      <c r="D3603" s="560">
        <v>71811176</v>
      </c>
      <c r="E3603" s="560">
        <v>9874490</v>
      </c>
      <c r="F3603" s="560">
        <v>81685700</v>
      </c>
      <c r="G3603" s="560">
        <f t="shared" si="87"/>
        <v>-34</v>
      </c>
      <c r="H3603" s="362"/>
      <c r="I3603" s="362"/>
      <c r="J3603" s="362"/>
    </row>
    <row r="3604" spans="1:10" x14ac:dyDescent="0.25">
      <c r="A3604" s="362"/>
      <c r="B3604" s="609">
        <v>44302</v>
      </c>
      <c r="C3604" s="362" t="s">
        <v>84</v>
      </c>
      <c r="D3604" s="560">
        <v>226664839</v>
      </c>
      <c r="E3604" s="560">
        <v>7796665</v>
      </c>
      <c r="F3604" s="560">
        <v>234461500</v>
      </c>
      <c r="G3604" s="560">
        <f t="shared" si="87"/>
        <v>4</v>
      </c>
      <c r="H3604" s="362"/>
      <c r="I3604" s="362"/>
      <c r="J3604" s="362"/>
    </row>
    <row r="3605" spans="1:10" x14ac:dyDescent="0.25">
      <c r="A3605" s="362"/>
      <c r="B3605" s="609">
        <v>44302</v>
      </c>
      <c r="C3605" s="362" t="s">
        <v>4751</v>
      </c>
      <c r="D3605" s="560">
        <v>212427501</v>
      </c>
      <c r="E3605" s="560">
        <v>70265599</v>
      </c>
      <c r="F3605" s="560">
        <v>282693100</v>
      </c>
      <c r="G3605" s="560">
        <f t="shared" si="87"/>
        <v>0</v>
      </c>
      <c r="H3605" s="362"/>
      <c r="I3605" s="362"/>
      <c r="J3605" s="362"/>
    </row>
    <row r="3606" spans="1:10" x14ac:dyDescent="0.25">
      <c r="A3606" s="362"/>
      <c r="B3606" s="609">
        <v>44302</v>
      </c>
      <c r="C3606" s="362" t="s">
        <v>166</v>
      </c>
      <c r="D3606" s="560">
        <v>37451846</v>
      </c>
      <c r="E3606" s="560"/>
      <c r="F3606" s="560">
        <v>37451900</v>
      </c>
      <c r="G3606" s="560">
        <f t="shared" si="87"/>
        <v>-54</v>
      </c>
      <c r="H3606" s="362"/>
      <c r="I3606" s="362"/>
      <c r="J3606" s="362"/>
    </row>
    <row r="3607" spans="1:10" x14ac:dyDescent="0.25">
      <c r="A3607" s="362"/>
      <c r="B3607" s="609">
        <v>44302</v>
      </c>
      <c r="C3607" s="362" t="s">
        <v>3435</v>
      </c>
      <c r="D3607" s="560">
        <v>46672925</v>
      </c>
      <c r="E3607" s="560"/>
      <c r="F3607" s="560">
        <v>46673000</v>
      </c>
      <c r="G3607" s="560">
        <f t="shared" si="87"/>
        <v>-75</v>
      </c>
      <c r="H3607" s="362"/>
      <c r="I3607" s="362"/>
      <c r="J3607" s="362"/>
    </row>
    <row r="3608" spans="1:10" x14ac:dyDescent="0.25">
      <c r="A3608" s="362"/>
      <c r="B3608" s="609">
        <v>44302</v>
      </c>
      <c r="C3608" s="370" t="s">
        <v>85</v>
      </c>
      <c r="D3608" s="560">
        <v>20064000</v>
      </c>
      <c r="E3608" s="560"/>
      <c r="F3608" s="560">
        <v>20064000</v>
      </c>
      <c r="G3608" s="560">
        <f t="shared" si="87"/>
        <v>0</v>
      </c>
      <c r="H3608" s="362"/>
      <c r="I3608" s="362"/>
      <c r="J3608" s="362"/>
    </row>
    <row r="3609" spans="1:10" x14ac:dyDescent="0.25">
      <c r="A3609" s="530"/>
      <c r="B3609" s="530"/>
      <c r="C3609" s="530"/>
      <c r="D3609" s="562">
        <f>SUM(D3594:D3608)</f>
        <v>1738244594</v>
      </c>
      <c r="E3609" s="562">
        <f>SUM(E3594:E3608)</f>
        <v>705643726</v>
      </c>
      <c r="F3609" s="562">
        <f>SUM(F3594:F3608)</f>
        <v>2443898800</v>
      </c>
      <c r="G3609" s="562">
        <f>SUM(G3594:G3608)</f>
        <v>-10480</v>
      </c>
      <c r="H3609" s="530"/>
      <c r="I3609" s="530"/>
      <c r="J3609" s="530"/>
    </row>
    <row r="3610" spans="1:10" x14ac:dyDescent="0.25">
      <c r="A3610" s="362"/>
      <c r="B3610" s="609">
        <v>44303</v>
      </c>
      <c r="C3610" s="362" t="s">
        <v>86</v>
      </c>
      <c r="D3610" s="560">
        <v>60033637</v>
      </c>
      <c r="E3610" s="560">
        <v>14129560</v>
      </c>
      <c r="F3610" s="560">
        <v>74163200</v>
      </c>
      <c r="G3610" s="560">
        <f t="shared" si="87"/>
        <v>-3</v>
      </c>
      <c r="H3610" s="362"/>
      <c r="I3610" s="362"/>
      <c r="J3610" s="362"/>
    </row>
    <row r="3611" spans="1:10" x14ac:dyDescent="0.25">
      <c r="A3611" s="362"/>
      <c r="B3611" s="609">
        <v>44303</v>
      </c>
      <c r="C3611" s="362" t="s">
        <v>87</v>
      </c>
      <c r="D3611" s="560">
        <v>103939520</v>
      </c>
      <c r="E3611" s="560">
        <v>217712240</v>
      </c>
      <c r="F3611" s="560">
        <v>321651800</v>
      </c>
      <c r="G3611" s="560">
        <f t="shared" si="87"/>
        <v>-40</v>
      </c>
      <c r="H3611" s="362"/>
      <c r="I3611" s="362"/>
      <c r="J3611" s="362"/>
    </row>
    <row r="3612" spans="1:10" x14ac:dyDescent="0.25">
      <c r="A3612" s="362"/>
      <c r="B3612" s="609">
        <v>44303</v>
      </c>
      <c r="C3612" s="362" t="s">
        <v>88</v>
      </c>
      <c r="D3612" s="560">
        <v>231477617</v>
      </c>
      <c r="E3612" s="560">
        <v>64241983</v>
      </c>
      <c r="F3612" s="560">
        <v>295719700</v>
      </c>
      <c r="G3612" s="560">
        <f t="shared" si="87"/>
        <v>-100</v>
      </c>
      <c r="H3612" s="362"/>
      <c r="I3612" s="362"/>
      <c r="J3612" s="362"/>
    </row>
    <row r="3613" spans="1:10" x14ac:dyDescent="0.25">
      <c r="A3613" s="362"/>
      <c r="B3613" s="609">
        <v>44303</v>
      </c>
      <c r="C3613" s="362" t="s">
        <v>82</v>
      </c>
      <c r="D3613" s="560">
        <v>46742846</v>
      </c>
      <c r="E3613" s="560">
        <v>7147380</v>
      </c>
      <c r="F3613" s="560">
        <v>53890700</v>
      </c>
      <c r="G3613" s="560">
        <f t="shared" si="87"/>
        <v>-474</v>
      </c>
      <c r="H3613" s="362"/>
      <c r="I3613" s="362"/>
      <c r="J3613" s="362"/>
    </row>
    <row r="3614" spans="1:10" x14ac:dyDescent="0.25">
      <c r="A3614" s="362"/>
      <c r="B3614" s="609">
        <v>44303</v>
      </c>
      <c r="C3614" s="362" t="s">
        <v>80</v>
      </c>
      <c r="D3614" s="560">
        <v>247061900</v>
      </c>
      <c r="E3614" s="560">
        <v>13884000</v>
      </c>
      <c r="F3614" s="560">
        <v>260945900</v>
      </c>
      <c r="G3614" s="560">
        <f t="shared" si="87"/>
        <v>0</v>
      </c>
      <c r="H3614" s="362"/>
      <c r="I3614" s="362"/>
      <c r="J3614" s="362"/>
    </row>
    <row r="3615" spans="1:10" x14ac:dyDescent="0.25">
      <c r="A3615" s="362"/>
      <c r="B3615" s="609">
        <v>44303</v>
      </c>
      <c r="C3615" s="362" t="s">
        <v>83</v>
      </c>
      <c r="D3615" s="560">
        <v>304587744</v>
      </c>
      <c r="E3615" s="560">
        <v>20841510</v>
      </c>
      <c r="F3615" s="560">
        <v>325429300</v>
      </c>
      <c r="G3615" s="560">
        <f t="shared" si="87"/>
        <v>-46</v>
      </c>
      <c r="H3615" s="362"/>
      <c r="I3615" s="362"/>
      <c r="J3615" s="362"/>
    </row>
    <row r="3616" spans="1:10" x14ac:dyDescent="0.25">
      <c r="A3616" s="362"/>
      <c r="B3616" s="609">
        <v>44303</v>
      </c>
      <c r="C3616" s="362" t="s">
        <v>78</v>
      </c>
      <c r="D3616" s="560">
        <v>127052476</v>
      </c>
      <c r="E3616" s="560">
        <v>2061924</v>
      </c>
      <c r="F3616" s="560">
        <v>129114400</v>
      </c>
      <c r="G3616" s="560">
        <f t="shared" si="87"/>
        <v>0</v>
      </c>
      <c r="H3616" s="362"/>
      <c r="I3616" s="362"/>
      <c r="J3616" s="362"/>
    </row>
    <row r="3617" spans="1:10" x14ac:dyDescent="0.25">
      <c r="A3617" s="362"/>
      <c r="B3617" s="609">
        <v>44303</v>
      </c>
      <c r="C3617" s="362" t="s">
        <v>141</v>
      </c>
      <c r="D3617" s="560">
        <v>38777668</v>
      </c>
      <c r="E3617" s="560">
        <v>2017293</v>
      </c>
      <c r="F3617" s="560">
        <v>40795000</v>
      </c>
      <c r="G3617" s="560">
        <f t="shared" si="87"/>
        <v>-39</v>
      </c>
      <c r="H3617" s="362"/>
      <c r="I3617" s="362"/>
      <c r="J3617" s="362"/>
    </row>
    <row r="3618" spans="1:10" x14ac:dyDescent="0.25">
      <c r="A3618" s="362"/>
      <c r="B3618" s="609">
        <v>44303</v>
      </c>
      <c r="C3618" s="362" t="s">
        <v>89</v>
      </c>
      <c r="D3618" s="560">
        <v>117236050</v>
      </c>
      <c r="E3618" s="560">
        <v>106688050</v>
      </c>
      <c r="F3618" s="560">
        <v>223924100</v>
      </c>
      <c r="G3618" s="560">
        <f t="shared" si="87"/>
        <v>0</v>
      </c>
      <c r="H3618" s="362"/>
      <c r="I3618" s="362"/>
      <c r="J3618" s="362"/>
    </row>
    <row r="3619" spans="1:10" x14ac:dyDescent="0.25">
      <c r="A3619" s="362"/>
      <c r="B3619" s="609">
        <v>44303</v>
      </c>
      <c r="C3619" s="362" t="s">
        <v>81</v>
      </c>
      <c r="D3619" s="560">
        <v>77908416</v>
      </c>
      <c r="E3619" s="560">
        <v>5662629</v>
      </c>
      <c r="F3619" s="560">
        <v>83571100</v>
      </c>
      <c r="G3619" s="560">
        <f t="shared" si="87"/>
        <v>-55</v>
      </c>
      <c r="H3619" s="362"/>
      <c r="I3619" s="362"/>
      <c r="J3619" s="362"/>
    </row>
    <row r="3620" spans="1:10" x14ac:dyDescent="0.25">
      <c r="A3620" s="362"/>
      <c r="B3620" s="609">
        <v>44303</v>
      </c>
      <c r="C3620" s="362" t="s">
        <v>84</v>
      </c>
      <c r="D3620" s="560">
        <v>290529284</v>
      </c>
      <c r="E3620" s="560">
        <v>10775625</v>
      </c>
      <c r="F3620" s="560">
        <v>301304800</v>
      </c>
      <c r="G3620" s="560">
        <f t="shared" si="87"/>
        <v>109</v>
      </c>
      <c r="H3620" s="362"/>
      <c r="I3620" s="362"/>
      <c r="J3620" s="362"/>
    </row>
    <row r="3621" spans="1:10" x14ac:dyDescent="0.25">
      <c r="A3621" s="362"/>
      <c r="B3621" s="609">
        <v>44303</v>
      </c>
      <c r="C3621" s="362" t="s">
        <v>4751</v>
      </c>
      <c r="D3621" s="560">
        <v>226691671</v>
      </c>
      <c r="E3621" s="560">
        <v>42500529</v>
      </c>
      <c r="F3621" s="560">
        <v>269192200</v>
      </c>
      <c r="G3621" s="560">
        <f t="shared" si="87"/>
        <v>0</v>
      </c>
      <c r="H3621" s="362"/>
      <c r="I3621" s="362"/>
      <c r="J3621" s="362"/>
    </row>
    <row r="3622" spans="1:10" x14ac:dyDescent="0.25">
      <c r="A3622" s="362"/>
      <c r="B3622" s="609">
        <v>44303</v>
      </c>
      <c r="C3622" s="362" t="s">
        <v>166</v>
      </c>
      <c r="D3622" s="560"/>
      <c r="E3622" s="560"/>
      <c r="F3622" s="560"/>
      <c r="G3622" s="560">
        <f t="shared" si="87"/>
        <v>0</v>
      </c>
      <c r="H3622" s="362"/>
      <c r="I3622" s="362"/>
      <c r="J3622" s="362"/>
    </row>
    <row r="3623" spans="1:10" x14ac:dyDescent="0.25">
      <c r="A3623" s="362"/>
      <c r="B3623" s="609">
        <v>44303</v>
      </c>
      <c r="C3623" s="362" t="s">
        <v>3435</v>
      </c>
      <c r="D3623" s="560"/>
      <c r="E3623" s="560"/>
      <c r="F3623" s="560"/>
      <c r="G3623" s="560">
        <f t="shared" si="87"/>
        <v>0</v>
      </c>
      <c r="H3623" s="362"/>
      <c r="I3623" s="362"/>
      <c r="J3623" s="362"/>
    </row>
    <row r="3624" spans="1:10" x14ac:dyDescent="0.25">
      <c r="A3624" s="362"/>
      <c r="B3624" s="609">
        <v>44303</v>
      </c>
      <c r="C3624" s="370" t="s">
        <v>85</v>
      </c>
      <c r="D3624" s="560">
        <v>25745200</v>
      </c>
      <c r="E3624" s="560"/>
      <c r="F3624" s="560">
        <v>25745200</v>
      </c>
      <c r="G3624" s="560">
        <f t="shared" si="87"/>
        <v>0</v>
      </c>
      <c r="H3624" s="362"/>
      <c r="I3624" s="362"/>
      <c r="J3624" s="362"/>
    </row>
    <row r="3625" spans="1:10" x14ac:dyDescent="0.25">
      <c r="A3625" s="530"/>
      <c r="B3625" s="530"/>
      <c r="C3625" s="530"/>
      <c r="D3625" s="562">
        <f>SUM(D3610:D3624)</f>
        <v>1897784029</v>
      </c>
      <c r="E3625" s="562">
        <f>SUM(E3610:E3624)</f>
        <v>507662723</v>
      </c>
      <c r="F3625" s="562">
        <f>SUM(F3610:F3624)</f>
        <v>2405447400</v>
      </c>
      <c r="G3625" s="562">
        <f>SUM(G3610:G3624)</f>
        <v>-648</v>
      </c>
      <c r="H3625" s="530"/>
      <c r="I3625" s="530"/>
      <c r="J3625" s="530"/>
    </row>
    <row r="3626" spans="1:10" x14ac:dyDescent="0.25">
      <c r="A3626" s="362"/>
      <c r="B3626" s="609">
        <v>44305</v>
      </c>
      <c r="C3626" s="362" t="s">
        <v>86</v>
      </c>
      <c r="D3626" s="560">
        <v>65449411</v>
      </c>
      <c r="E3626" s="560">
        <v>37529100</v>
      </c>
      <c r="F3626" s="560">
        <v>102981900</v>
      </c>
      <c r="G3626" s="560">
        <f t="shared" si="87"/>
        <v>-3389</v>
      </c>
      <c r="H3626" s="362"/>
      <c r="I3626" s="362"/>
      <c r="J3626" s="362"/>
    </row>
    <row r="3627" spans="1:10" x14ac:dyDescent="0.25">
      <c r="A3627" s="362"/>
      <c r="B3627" s="609">
        <v>44305</v>
      </c>
      <c r="C3627" s="362" t="s">
        <v>87</v>
      </c>
      <c r="D3627" s="560">
        <v>104625791</v>
      </c>
      <c r="E3627" s="560">
        <v>214142371</v>
      </c>
      <c r="F3627" s="560">
        <v>318768300</v>
      </c>
      <c r="G3627" s="560">
        <f t="shared" si="87"/>
        <v>-138</v>
      </c>
      <c r="H3627" s="362"/>
      <c r="I3627" s="362"/>
      <c r="J3627" s="362"/>
    </row>
    <row r="3628" spans="1:10" x14ac:dyDescent="0.25">
      <c r="A3628" s="362"/>
      <c r="B3628" s="609">
        <v>44305</v>
      </c>
      <c r="C3628" s="362" t="s">
        <v>88</v>
      </c>
      <c r="D3628" s="560">
        <v>212656131</v>
      </c>
      <c r="E3628" s="560">
        <v>24469300</v>
      </c>
      <c r="F3628" s="560">
        <v>237125500</v>
      </c>
      <c r="G3628" s="560">
        <f t="shared" si="87"/>
        <v>-69</v>
      </c>
      <c r="H3628" s="362"/>
      <c r="I3628" s="362"/>
      <c r="J3628" s="362"/>
    </row>
    <row r="3629" spans="1:10" x14ac:dyDescent="0.25">
      <c r="A3629" s="362"/>
      <c r="B3629" s="609">
        <v>44305</v>
      </c>
      <c r="C3629" s="362" t="s">
        <v>82</v>
      </c>
      <c r="D3629" s="560">
        <v>60801052</v>
      </c>
      <c r="E3629" s="560">
        <v>8391765</v>
      </c>
      <c r="F3629" s="560">
        <v>69192900</v>
      </c>
      <c r="G3629" s="560">
        <f t="shared" si="87"/>
        <v>-83</v>
      </c>
      <c r="H3629" s="362"/>
      <c r="I3629" s="362"/>
      <c r="J3629" s="362"/>
    </row>
    <row r="3630" spans="1:10" x14ac:dyDescent="0.25">
      <c r="A3630" s="362"/>
      <c r="B3630" s="609">
        <v>44305</v>
      </c>
      <c r="C3630" s="362" t="s">
        <v>80</v>
      </c>
      <c r="D3630" s="560">
        <v>284354734</v>
      </c>
      <c r="E3630" s="560">
        <v>6024400</v>
      </c>
      <c r="F3630" s="560">
        <v>290377200</v>
      </c>
      <c r="G3630" s="560">
        <f t="shared" si="87"/>
        <v>1934</v>
      </c>
      <c r="H3630" s="362"/>
      <c r="I3630" s="362"/>
      <c r="J3630" s="362"/>
    </row>
    <row r="3631" spans="1:10" x14ac:dyDescent="0.25">
      <c r="A3631" s="362"/>
      <c r="B3631" s="609">
        <v>44305</v>
      </c>
      <c r="C3631" s="362" t="s">
        <v>83</v>
      </c>
      <c r="D3631" s="560">
        <v>274585949</v>
      </c>
      <c r="E3631" s="560">
        <v>9728098</v>
      </c>
      <c r="F3631" s="560">
        <v>284314100</v>
      </c>
      <c r="G3631" s="560">
        <f t="shared" si="87"/>
        <v>-53</v>
      </c>
      <c r="H3631" s="362"/>
      <c r="I3631" s="362"/>
      <c r="J3631" s="362"/>
    </row>
    <row r="3632" spans="1:10" x14ac:dyDescent="0.25">
      <c r="A3632" s="362"/>
      <c r="B3632" s="609">
        <v>44305</v>
      </c>
      <c r="C3632" s="362" t="s">
        <v>78</v>
      </c>
      <c r="D3632" s="560">
        <v>76671783</v>
      </c>
      <c r="E3632" s="560">
        <v>1151217</v>
      </c>
      <c r="F3632" s="560">
        <v>77823000</v>
      </c>
      <c r="G3632" s="560">
        <f t="shared" si="87"/>
        <v>0</v>
      </c>
      <c r="H3632" s="362"/>
      <c r="I3632" s="362"/>
      <c r="J3632" s="362"/>
    </row>
    <row r="3633" spans="1:10" x14ac:dyDescent="0.25">
      <c r="A3633" s="362"/>
      <c r="B3633" s="609">
        <v>44305</v>
      </c>
      <c r="C3633" s="362" t="s">
        <v>141</v>
      </c>
      <c r="D3633" s="560">
        <v>39029697</v>
      </c>
      <c r="E3633" s="560">
        <v>3343941</v>
      </c>
      <c r="F3633" s="560">
        <v>42373700</v>
      </c>
      <c r="G3633" s="560">
        <f t="shared" si="87"/>
        <v>-62</v>
      </c>
      <c r="H3633" s="362"/>
      <c r="I3633" s="362"/>
      <c r="J3633" s="362"/>
    </row>
    <row r="3634" spans="1:10" x14ac:dyDescent="0.25">
      <c r="A3634" s="362"/>
      <c r="B3634" s="609">
        <v>44305</v>
      </c>
      <c r="C3634" s="362" t="s">
        <v>89</v>
      </c>
      <c r="D3634" s="560">
        <v>131422199</v>
      </c>
      <c r="E3634" s="560">
        <v>27043601</v>
      </c>
      <c r="F3634" s="560">
        <v>158465800</v>
      </c>
      <c r="G3634" s="560">
        <f t="shared" si="87"/>
        <v>0</v>
      </c>
      <c r="H3634" s="362"/>
      <c r="I3634" s="362"/>
      <c r="J3634" s="362"/>
    </row>
    <row r="3635" spans="1:10" x14ac:dyDescent="0.25">
      <c r="A3635" s="362"/>
      <c r="B3635" s="609">
        <v>44305</v>
      </c>
      <c r="C3635" s="362" t="s">
        <v>81</v>
      </c>
      <c r="D3635" s="560">
        <v>113187882</v>
      </c>
      <c r="E3635" s="560">
        <v>13371272</v>
      </c>
      <c r="F3635" s="560">
        <v>126559100</v>
      </c>
      <c r="G3635" s="560">
        <f t="shared" si="87"/>
        <v>54</v>
      </c>
      <c r="H3635" s="362"/>
      <c r="I3635" s="362"/>
      <c r="J3635" s="362"/>
    </row>
    <row r="3636" spans="1:10" x14ac:dyDescent="0.25">
      <c r="A3636" s="362"/>
      <c r="B3636" s="609">
        <v>44305</v>
      </c>
      <c r="C3636" s="362" t="s">
        <v>84</v>
      </c>
      <c r="D3636" s="560">
        <v>179226389</v>
      </c>
      <c r="E3636" s="560">
        <v>7860371</v>
      </c>
      <c r="F3636" s="560">
        <v>187086800</v>
      </c>
      <c r="G3636" s="560">
        <f t="shared" si="87"/>
        <v>-40</v>
      </c>
      <c r="H3636" s="362"/>
      <c r="I3636" s="362"/>
      <c r="J3636" s="362"/>
    </row>
    <row r="3637" spans="1:10" x14ac:dyDescent="0.25">
      <c r="A3637" s="362"/>
      <c r="B3637" s="609">
        <v>44305</v>
      </c>
      <c r="C3637" s="362" t="s">
        <v>4751</v>
      </c>
      <c r="D3637" s="560">
        <v>232383810</v>
      </c>
      <c r="E3637" s="560">
        <v>21242290</v>
      </c>
      <c r="F3637" s="560">
        <v>253626100</v>
      </c>
      <c r="G3637" s="560">
        <f t="shared" si="87"/>
        <v>0</v>
      </c>
      <c r="H3637" s="362"/>
      <c r="I3637" s="362"/>
      <c r="J3637" s="362"/>
    </row>
    <row r="3638" spans="1:10" x14ac:dyDescent="0.25">
      <c r="A3638" s="362"/>
      <c r="B3638" s="609">
        <v>44305</v>
      </c>
      <c r="C3638" s="362" t="s">
        <v>166</v>
      </c>
      <c r="D3638" s="560">
        <v>61431410</v>
      </c>
      <c r="E3638" s="560"/>
      <c r="F3638" s="560">
        <v>61431500</v>
      </c>
      <c r="G3638" s="560">
        <f t="shared" si="87"/>
        <v>-90</v>
      </c>
      <c r="H3638" s="362"/>
      <c r="I3638" s="362"/>
      <c r="J3638" s="362"/>
    </row>
    <row r="3639" spans="1:10" x14ac:dyDescent="0.25">
      <c r="A3639" s="362"/>
      <c r="B3639" s="609">
        <v>44305</v>
      </c>
      <c r="C3639" s="362" t="s">
        <v>3435</v>
      </c>
      <c r="D3639" s="560">
        <v>60254537</v>
      </c>
      <c r="E3639" s="560"/>
      <c r="F3639" s="560">
        <v>60254600</v>
      </c>
      <c r="G3639" s="560">
        <f t="shared" si="87"/>
        <v>-63</v>
      </c>
      <c r="H3639" s="362"/>
      <c r="I3639" s="362"/>
      <c r="J3639" s="362"/>
    </row>
    <row r="3640" spans="1:10" x14ac:dyDescent="0.25">
      <c r="A3640" s="362"/>
      <c r="B3640" s="609">
        <v>44305</v>
      </c>
      <c r="C3640" s="370" t="s">
        <v>85</v>
      </c>
      <c r="D3640" s="560">
        <v>45690100</v>
      </c>
      <c r="E3640" s="560"/>
      <c r="F3640" s="560">
        <v>45690100</v>
      </c>
      <c r="G3640" s="560">
        <f t="shared" si="87"/>
        <v>0</v>
      </c>
      <c r="H3640" s="362"/>
      <c r="I3640" s="362"/>
      <c r="J3640" s="362"/>
    </row>
    <row r="3641" spans="1:10" x14ac:dyDescent="0.25">
      <c r="A3641" s="530"/>
      <c r="B3641" s="530"/>
      <c r="C3641" s="530"/>
      <c r="D3641" s="562">
        <f>SUM(D3626:D3640)</f>
        <v>1941770875</v>
      </c>
      <c r="E3641" s="562">
        <f>SUM(E3626:E3640)</f>
        <v>374297726</v>
      </c>
      <c r="F3641" s="562">
        <f>SUM(F3626:F3640)</f>
        <v>2316070600</v>
      </c>
      <c r="G3641" s="562">
        <f>SUM(G3626:G3640)</f>
        <v>-1999</v>
      </c>
      <c r="H3641" s="530"/>
      <c r="I3641" s="530"/>
      <c r="J3641" s="530"/>
    </row>
    <row r="3642" spans="1:10" x14ac:dyDescent="0.25">
      <c r="A3642" s="362"/>
      <c r="B3642" s="609">
        <v>44306</v>
      </c>
      <c r="C3642" s="362" t="s">
        <v>86</v>
      </c>
      <c r="D3642" s="560">
        <v>126434926</v>
      </c>
      <c r="E3642" s="560">
        <v>61802801</v>
      </c>
      <c r="F3642" s="560">
        <v>102981900</v>
      </c>
      <c r="G3642" s="560">
        <f t="shared" si="87"/>
        <v>85255827</v>
      </c>
      <c r="H3642" s="362"/>
      <c r="I3642" s="362"/>
      <c r="J3642" s="362"/>
    </row>
    <row r="3643" spans="1:10" x14ac:dyDescent="0.25">
      <c r="A3643" s="362"/>
      <c r="B3643" s="609">
        <v>44306</v>
      </c>
      <c r="C3643" s="362" t="s">
        <v>87</v>
      </c>
      <c r="D3643" s="560">
        <v>86562315</v>
      </c>
      <c r="E3643" s="560">
        <v>207062207</v>
      </c>
      <c r="F3643" s="560">
        <v>293624600</v>
      </c>
      <c r="G3643" s="560">
        <f t="shared" si="87"/>
        <v>-78</v>
      </c>
      <c r="H3643" s="362"/>
      <c r="I3643" s="362"/>
      <c r="J3643" s="362"/>
    </row>
    <row r="3644" spans="1:10" x14ac:dyDescent="0.25">
      <c r="A3644" s="362"/>
      <c r="B3644" s="609">
        <v>44306</v>
      </c>
      <c r="C3644" s="362" t="s">
        <v>88</v>
      </c>
      <c r="D3644" s="560">
        <v>177527531</v>
      </c>
      <c r="E3644" s="560">
        <v>37566540</v>
      </c>
      <c r="F3644" s="560">
        <v>215094100</v>
      </c>
      <c r="G3644" s="560">
        <f t="shared" ref="G3644:G3688" si="88">D3644+E3644-F3644</f>
        <v>-29</v>
      </c>
      <c r="H3644" s="362"/>
      <c r="I3644" s="362"/>
      <c r="J3644" s="362"/>
    </row>
    <row r="3645" spans="1:10" x14ac:dyDescent="0.25">
      <c r="A3645" s="362"/>
      <c r="B3645" s="609">
        <v>44306</v>
      </c>
      <c r="C3645" s="362" t="s">
        <v>82</v>
      </c>
      <c r="D3645" s="560">
        <v>57914175</v>
      </c>
      <c r="E3645" s="560">
        <v>4912749</v>
      </c>
      <c r="F3645" s="560">
        <v>62827000</v>
      </c>
      <c r="G3645" s="560">
        <f t="shared" si="88"/>
        <v>-76</v>
      </c>
      <c r="H3645" s="362"/>
      <c r="I3645" s="362"/>
      <c r="J3645" s="362"/>
    </row>
    <row r="3646" spans="1:10" x14ac:dyDescent="0.25">
      <c r="A3646" s="362"/>
      <c r="B3646" s="609">
        <v>44306</v>
      </c>
      <c r="C3646" s="362" t="s">
        <v>80</v>
      </c>
      <c r="D3646" s="560">
        <v>342542240</v>
      </c>
      <c r="E3646" s="560">
        <v>46716000</v>
      </c>
      <c r="F3646" s="560">
        <v>389259000</v>
      </c>
      <c r="G3646" s="560">
        <f t="shared" si="88"/>
        <v>-760</v>
      </c>
      <c r="H3646" s="362"/>
      <c r="I3646" s="362"/>
      <c r="J3646" s="362"/>
    </row>
    <row r="3647" spans="1:10" x14ac:dyDescent="0.25">
      <c r="A3647" s="362"/>
      <c r="B3647" s="609">
        <v>44306</v>
      </c>
      <c r="C3647" s="362" t="s">
        <v>83</v>
      </c>
      <c r="D3647" s="560">
        <v>312181378</v>
      </c>
      <c r="E3647" s="560">
        <v>14942306</v>
      </c>
      <c r="F3647" s="560">
        <v>327123700</v>
      </c>
      <c r="G3647" s="560">
        <f t="shared" si="88"/>
        <v>-16</v>
      </c>
      <c r="H3647" s="362"/>
      <c r="I3647" s="362"/>
      <c r="J3647" s="362"/>
    </row>
    <row r="3648" spans="1:10" x14ac:dyDescent="0.25">
      <c r="A3648" s="362"/>
      <c r="B3648" s="609">
        <v>44306</v>
      </c>
      <c r="C3648" s="362" t="s">
        <v>78</v>
      </c>
      <c r="D3648" s="560">
        <v>164820570</v>
      </c>
      <c r="E3648" s="560">
        <v>4591430</v>
      </c>
      <c r="F3648" s="560">
        <v>169422000</v>
      </c>
      <c r="G3648" s="560">
        <f t="shared" si="88"/>
        <v>-10000</v>
      </c>
      <c r="H3648" s="362"/>
      <c r="I3648" s="362"/>
      <c r="J3648" s="362"/>
    </row>
    <row r="3649" spans="1:10" x14ac:dyDescent="0.25">
      <c r="A3649" s="362"/>
      <c r="B3649" s="609">
        <v>44306</v>
      </c>
      <c r="C3649" s="362" t="s">
        <v>141</v>
      </c>
      <c r="D3649" s="560">
        <v>109371064</v>
      </c>
      <c r="E3649" s="560">
        <v>1157928</v>
      </c>
      <c r="F3649" s="560">
        <v>110529000</v>
      </c>
      <c r="G3649" s="560">
        <f t="shared" si="88"/>
        <v>-8</v>
      </c>
      <c r="H3649" s="362"/>
      <c r="I3649" s="362"/>
      <c r="J3649" s="362"/>
    </row>
    <row r="3650" spans="1:10" x14ac:dyDescent="0.25">
      <c r="A3650" s="362"/>
      <c r="B3650" s="609">
        <v>44306</v>
      </c>
      <c r="C3650" s="362" t="s">
        <v>89</v>
      </c>
      <c r="D3650" s="560">
        <v>174191712</v>
      </c>
      <c r="E3650" s="560">
        <v>38267888</v>
      </c>
      <c r="F3650" s="560">
        <v>212459600</v>
      </c>
      <c r="G3650" s="560">
        <f t="shared" si="88"/>
        <v>0</v>
      </c>
      <c r="H3650" s="362"/>
      <c r="I3650" s="362"/>
      <c r="J3650" s="362"/>
    </row>
    <row r="3651" spans="1:10" x14ac:dyDescent="0.25">
      <c r="A3651" s="362"/>
      <c r="B3651" s="609">
        <v>44306</v>
      </c>
      <c r="C3651" s="362" t="s">
        <v>81</v>
      </c>
      <c r="D3651" s="560">
        <v>81457516</v>
      </c>
      <c r="E3651" s="560">
        <v>24646074</v>
      </c>
      <c r="F3651" s="560">
        <v>106103600</v>
      </c>
      <c r="G3651" s="560">
        <f t="shared" si="88"/>
        <v>-10</v>
      </c>
      <c r="H3651" s="362"/>
      <c r="I3651" s="362"/>
      <c r="J3651" s="362"/>
    </row>
    <row r="3652" spans="1:10" x14ac:dyDescent="0.25">
      <c r="A3652" s="362"/>
      <c r="B3652" s="609">
        <v>44306</v>
      </c>
      <c r="C3652" s="362" t="s">
        <v>84</v>
      </c>
      <c r="D3652" s="560">
        <v>254873378</v>
      </c>
      <c r="E3652" s="560">
        <v>6285420</v>
      </c>
      <c r="F3652" s="560">
        <v>261158800</v>
      </c>
      <c r="G3652" s="560">
        <f t="shared" si="88"/>
        <v>-2</v>
      </c>
      <c r="H3652" s="362"/>
      <c r="I3652" s="362"/>
      <c r="J3652" s="362"/>
    </row>
    <row r="3653" spans="1:10" x14ac:dyDescent="0.25">
      <c r="A3653" s="362"/>
      <c r="B3653" s="609">
        <v>44306</v>
      </c>
      <c r="C3653" s="362" t="s">
        <v>4751</v>
      </c>
      <c r="D3653" s="560">
        <v>310421540</v>
      </c>
      <c r="E3653" s="560">
        <v>37560860</v>
      </c>
      <c r="F3653" s="560">
        <v>347982400</v>
      </c>
      <c r="G3653" s="560">
        <f t="shared" si="88"/>
        <v>0</v>
      </c>
      <c r="H3653" s="362"/>
      <c r="I3653" s="362"/>
      <c r="J3653" s="362"/>
    </row>
    <row r="3654" spans="1:10" x14ac:dyDescent="0.25">
      <c r="A3654" s="362"/>
      <c r="B3654" s="609">
        <v>44306</v>
      </c>
      <c r="C3654" s="362" t="s">
        <v>166</v>
      </c>
      <c r="D3654" s="560">
        <v>78665466</v>
      </c>
      <c r="E3654" s="560"/>
      <c r="F3654" s="560">
        <v>78665500</v>
      </c>
      <c r="G3654" s="560">
        <f t="shared" si="88"/>
        <v>-34</v>
      </c>
      <c r="H3654" s="362"/>
      <c r="I3654" s="362"/>
      <c r="J3654" s="362"/>
    </row>
    <row r="3655" spans="1:10" x14ac:dyDescent="0.25">
      <c r="A3655" s="362"/>
      <c r="B3655" s="609">
        <v>44306</v>
      </c>
      <c r="C3655" s="362" t="s">
        <v>3435</v>
      </c>
      <c r="D3655" s="560">
        <v>56307895</v>
      </c>
      <c r="E3655" s="560"/>
      <c r="F3655" s="560">
        <v>56307900</v>
      </c>
      <c r="G3655" s="560">
        <f t="shared" si="88"/>
        <v>-5</v>
      </c>
      <c r="H3655" s="362"/>
      <c r="I3655" s="362"/>
      <c r="J3655" s="362"/>
    </row>
    <row r="3656" spans="1:10" x14ac:dyDescent="0.25">
      <c r="A3656" s="362"/>
      <c r="B3656" s="609">
        <v>44306</v>
      </c>
      <c r="C3656" s="370" t="s">
        <v>85</v>
      </c>
      <c r="D3656" s="560">
        <v>28949000</v>
      </c>
      <c r="E3656" s="560"/>
      <c r="F3656" s="560">
        <v>28949000</v>
      </c>
      <c r="G3656" s="560">
        <f t="shared" si="88"/>
        <v>0</v>
      </c>
      <c r="H3656" s="362"/>
      <c r="I3656" s="362"/>
      <c r="J3656" s="362"/>
    </row>
    <row r="3657" spans="1:10" x14ac:dyDescent="0.25">
      <c r="A3657" s="530"/>
      <c r="B3657" s="530"/>
      <c r="C3657" s="530"/>
      <c r="D3657" s="562">
        <f>SUM(D3642:D3656)</f>
        <v>2362220706</v>
      </c>
      <c r="E3657" s="562">
        <f>SUM(E3642:E3656)</f>
        <v>485512203</v>
      </c>
      <c r="F3657" s="562">
        <f>SUM(F3642:F3656)</f>
        <v>2762488100</v>
      </c>
      <c r="G3657" s="562">
        <f>SUM(G3642:G3656)</f>
        <v>85244809</v>
      </c>
      <c r="H3657" s="530"/>
      <c r="I3657" s="530"/>
      <c r="J3657" s="530"/>
    </row>
    <row r="3658" spans="1:10" x14ac:dyDescent="0.25">
      <c r="A3658" s="362"/>
      <c r="B3658" s="609">
        <v>44307</v>
      </c>
      <c r="C3658" s="362" t="s">
        <v>86</v>
      </c>
      <c r="D3658" s="560">
        <v>58225333</v>
      </c>
      <c r="E3658" s="560">
        <v>81407080</v>
      </c>
      <c r="F3658" s="560">
        <v>139632500</v>
      </c>
      <c r="G3658" s="560">
        <f t="shared" si="88"/>
        <v>-87</v>
      </c>
      <c r="H3658" s="362"/>
      <c r="I3658" s="362"/>
      <c r="J3658" s="362"/>
    </row>
    <row r="3659" spans="1:10" x14ac:dyDescent="0.25">
      <c r="A3659" s="362"/>
      <c r="B3659" s="609">
        <v>44307</v>
      </c>
      <c r="C3659" s="362" t="s">
        <v>87</v>
      </c>
      <c r="D3659" s="560">
        <v>142505193</v>
      </c>
      <c r="E3659" s="560">
        <v>131442192</v>
      </c>
      <c r="F3659" s="560">
        <v>273947400</v>
      </c>
      <c r="G3659" s="560">
        <f t="shared" si="88"/>
        <v>-15</v>
      </c>
      <c r="H3659" s="362"/>
      <c r="I3659" s="362"/>
      <c r="J3659" s="362"/>
    </row>
    <row r="3660" spans="1:10" x14ac:dyDescent="0.25">
      <c r="A3660" s="362"/>
      <c r="B3660" s="609">
        <v>44307</v>
      </c>
      <c r="C3660" s="362" t="s">
        <v>88</v>
      </c>
      <c r="D3660" s="560">
        <v>144329462</v>
      </c>
      <c r="E3660" s="560">
        <v>15912022</v>
      </c>
      <c r="F3660" s="560">
        <v>160241500</v>
      </c>
      <c r="G3660" s="560">
        <f t="shared" si="88"/>
        <v>-16</v>
      </c>
      <c r="H3660" s="362"/>
      <c r="I3660" s="362"/>
      <c r="J3660" s="362"/>
    </row>
    <row r="3661" spans="1:10" x14ac:dyDescent="0.25">
      <c r="A3661" s="362"/>
      <c r="B3661" s="609">
        <v>44307</v>
      </c>
      <c r="C3661" s="362" t="s">
        <v>82</v>
      </c>
      <c r="D3661" s="560">
        <v>123006115</v>
      </c>
      <c r="E3661" s="560">
        <v>9096295</v>
      </c>
      <c r="F3661" s="560">
        <v>132102500</v>
      </c>
      <c r="G3661" s="560">
        <f t="shared" si="88"/>
        <v>-90</v>
      </c>
      <c r="H3661" s="362"/>
      <c r="I3661" s="362"/>
      <c r="J3661" s="362"/>
    </row>
    <row r="3662" spans="1:10" x14ac:dyDescent="0.25">
      <c r="A3662" s="362"/>
      <c r="B3662" s="609">
        <v>44307</v>
      </c>
      <c r="C3662" s="362" t="s">
        <v>80</v>
      </c>
      <c r="D3662" s="560">
        <v>394754504</v>
      </c>
      <c r="E3662" s="560"/>
      <c r="F3662" s="560">
        <v>394750300</v>
      </c>
      <c r="G3662" s="560">
        <f t="shared" si="88"/>
        <v>4204</v>
      </c>
      <c r="H3662" s="362"/>
      <c r="I3662" s="362"/>
      <c r="J3662" s="362"/>
    </row>
    <row r="3663" spans="1:10" x14ac:dyDescent="0.25">
      <c r="A3663" s="362"/>
      <c r="B3663" s="609">
        <v>44307</v>
      </c>
      <c r="C3663" s="362" t="s">
        <v>83</v>
      </c>
      <c r="D3663" s="560">
        <v>316869052</v>
      </c>
      <c r="E3663" s="560">
        <v>10209615</v>
      </c>
      <c r="F3663" s="560">
        <v>327078700</v>
      </c>
      <c r="G3663" s="560">
        <f t="shared" si="88"/>
        <v>-33</v>
      </c>
      <c r="H3663" s="362"/>
      <c r="I3663" s="362"/>
      <c r="J3663" s="362"/>
    </row>
    <row r="3664" spans="1:10" x14ac:dyDescent="0.25">
      <c r="A3664" s="362"/>
      <c r="B3664" s="609">
        <v>44307</v>
      </c>
      <c r="C3664" s="362" t="s">
        <v>78</v>
      </c>
      <c r="D3664" s="560">
        <v>93217137</v>
      </c>
      <c r="E3664" s="560">
        <v>7250763</v>
      </c>
      <c r="F3664" s="560">
        <v>100467900</v>
      </c>
      <c r="G3664" s="560">
        <f t="shared" si="88"/>
        <v>0</v>
      </c>
      <c r="H3664" s="362"/>
      <c r="I3664" s="362"/>
      <c r="J3664" s="362"/>
    </row>
    <row r="3665" spans="1:10" x14ac:dyDescent="0.25">
      <c r="A3665" s="362"/>
      <c r="B3665" s="609">
        <v>44307</v>
      </c>
      <c r="C3665" s="362" t="s">
        <v>141</v>
      </c>
      <c r="D3665" s="560">
        <v>104387502</v>
      </c>
      <c r="E3665" s="560">
        <v>7824899</v>
      </c>
      <c r="F3665" s="560">
        <v>112212500</v>
      </c>
      <c r="G3665" s="560">
        <f t="shared" si="88"/>
        <v>-99</v>
      </c>
      <c r="H3665" s="362"/>
      <c r="I3665" s="362"/>
      <c r="J3665" s="362"/>
    </row>
    <row r="3666" spans="1:10" x14ac:dyDescent="0.25">
      <c r="A3666" s="362"/>
      <c r="B3666" s="609">
        <v>44307</v>
      </c>
      <c r="C3666" s="362" t="s">
        <v>89</v>
      </c>
      <c r="D3666" s="560">
        <v>136893954</v>
      </c>
      <c r="E3666" s="560">
        <v>23449346</v>
      </c>
      <c r="F3666" s="560">
        <v>160343500</v>
      </c>
      <c r="G3666" s="560">
        <f t="shared" si="88"/>
        <v>-200</v>
      </c>
      <c r="H3666" s="362"/>
      <c r="I3666" s="362"/>
      <c r="J3666" s="362"/>
    </row>
    <row r="3667" spans="1:10" x14ac:dyDescent="0.25">
      <c r="A3667" s="362"/>
      <c r="B3667" s="609">
        <v>44307</v>
      </c>
      <c r="C3667" s="362" t="s">
        <v>81</v>
      </c>
      <c r="D3667" s="560">
        <v>99791599</v>
      </c>
      <c r="E3667" s="560">
        <v>23025517</v>
      </c>
      <c r="F3667" s="560">
        <v>122817200</v>
      </c>
      <c r="G3667" s="560">
        <f t="shared" si="88"/>
        <v>-84</v>
      </c>
      <c r="H3667" s="362"/>
      <c r="I3667" s="362"/>
      <c r="J3667" s="362"/>
    </row>
    <row r="3668" spans="1:10" x14ac:dyDescent="0.25">
      <c r="A3668" s="362"/>
      <c r="B3668" s="609">
        <v>44307</v>
      </c>
      <c r="C3668" s="362" t="s">
        <v>84</v>
      </c>
      <c r="D3668" s="560">
        <v>267035315</v>
      </c>
      <c r="E3668" s="560">
        <v>13260966</v>
      </c>
      <c r="F3668" s="560">
        <v>280296300</v>
      </c>
      <c r="G3668" s="560">
        <f t="shared" si="88"/>
        <v>-19</v>
      </c>
      <c r="H3668" s="362"/>
      <c r="I3668" s="362"/>
      <c r="J3668" s="362"/>
    </row>
    <row r="3669" spans="1:10" x14ac:dyDescent="0.25">
      <c r="A3669" s="362"/>
      <c r="B3669" s="609">
        <v>44307</v>
      </c>
      <c r="C3669" s="362" t="s">
        <v>4751</v>
      </c>
      <c r="D3669" s="560">
        <v>241808006</v>
      </c>
      <c r="E3669" s="560">
        <v>10913594</v>
      </c>
      <c r="F3669" s="560">
        <v>252721700</v>
      </c>
      <c r="G3669" s="560">
        <f t="shared" si="88"/>
        <v>-100</v>
      </c>
      <c r="H3669" s="362"/>
      <c r="I3669" s="362"/>
      <c r="J3669" s="362"/>
    </row>
    <row r="3670" spans="1:10" x14ac:dyDescent="0.25">
      <c r="A3670" s="362"/>
      <c r="B3670" s="609">
        <v>44307</v>
      </c>
      <c r="C3670" s="362" t="s">
        <v>166</v>
      </c>
      <c r="D3670" s="560">
        <v>54847833</v>
      </c>
      <c r="E3670" s="560"/>
      <c r="F3670" s="560">
        <v>54847900</v>
      </c>
      <c r="G3670" s="560">
        <f t="shared" si="88"/>
        <v>-67</v>
      </c>
      <c r="H3670" s="362"/>
      <c r="I3670" s="362"/>
      <c r="J3670" s="362"/>
    </row>
    <row r="3671" spans="1:10" x14ac:dyDescent="0.25">
      <c r="A3671" s="362"/>
      <c r="B3671" s="609">
        <v>44307</v>
      </c>
      <c r="C3671" s="362" t="s">
        <v>3435</v>
      </c>
      <c r="D3671" s="560">
        <v>52401844</v>
      </c>
      <c r="E3671" s="560"/>
      <c r="F3671" s="560">
        <v>52401900</v>
      </c>
      <c r="G3671" s="560">
        <f t="shared" si="88"/>
        <v>-56</v>
      </c>
      <c r="H3671" s="362"/>
      <c r="I3671" s="362"/>
      <c r="J3671" s="362"/>
    </row>
    <row r="3672" spans="1:10" x14ac:dyDescent="0.25">
      <c r="A3672" s="362"/>
      <c r="B3672" s="609">
        <v>44307</v>
      </c>
      <c r="C3672" s="370" t="s">
        <v>85</v>
      </c>
      <c r="D3672" s="560">
        <v>42768400</v>
      </c>
      <c r="E3672" s="560"/>
      <c r="F3672" s="560">
        <v>42768400</v>
      </c>
      <c r="G3672" s="560">
        <f t="shared" si="88"/>
        <v>0</v>
      </c>
      <c r="H3672" s="362"/>
      <c r="I3672" s="362"/>
      <c r="J3672" s="362"/>
    </row>
    <row r="3673" spans="1:10" x14ac:dyDescent="0.25">
      <c r="A3673" s="530"/>
      <c r="B3673" s="530"/>
      <c r="C3673" s="530"/>
      <c r="D3673" s="562">
        <f>SUM(D3658:D3672)</f>
        <v>2272841249</v>
      </c>
      <c r="E3673" s="562">
        <f>SUM(E3658:E3672)</f>
        <v>333792289</v>
      </c>
      <c r="F3673" s="562">
        <f>SUM(F3658:F3672)</f>
        <v>2606630200</v>
      </c>
      <c r="G3673" s="562">
        <f>SUM(G3658:G3672)</f>
        <v>3338</v>
      </c>
      <c r="H3673" s="530"/>
      <c r="I3673" s="530"/>
      <c r="J3673" s="530"/>
    </row>
    <row r="3674" spans="1:10" x14ac:dyDescent="0.25">
      <c r="A3674" s="362"/>
      <c r="B3674" s="609">
        <v>44308</v>
      </c>
      <c r="C3674" s="362" t="s">
        <v>86</v>
      </c>
      <c r="D3674" s="560">
        <v>181901546</v>
      </c>
      <c r="E3674" s="560">
        <v>45754178</v>
      </c>
      <c r="F3674" s="560"/>
      <c r="G3674" s="560">
        <f t="shared" si="88"/>
        <v>227655724</v>
      </c>
      <c r="H3674" s="362"/>
      <c r="I3674" s="362"/>
      <c r="J3674" s="362"/>
    </row>
    <row r="3675" spans="1:10" x14ac:dyDescent="0.25">
      <c r="A3675" s="362"/>
      <c r="B3675" s="609">
        <v>44308</v>
      </c>
      <c r="C3675" s="362" t="s">
        <v>87</v>
      </c>
      <c r="D3675" s="560">
        <v>68229324</v>
      </c>
      <c r="E3675" s="560">
        <v>236470799</v>
      </c>
      <c r="F3675" s="560"/>
      <c r="G3675" s="560">
        <f t="shared" si="88"/>
        <v>304700123</v>
      </c>
      <c r="H3675" s="362"/>
      <c r="I3675" s="362"/>
      <c r="J3675" s="362"/>
    </row>
    <row r="3676" spans="1:10" x14ac:dyDescent="0.25">
      <c r="A3676" s="362"/>
      <c r="B3676" s="609">
        <v>44308</v>
      </c>
      <c r="C3676" s="362" t="s">
        <v>88</v>
      </c>
      <c r="D3676" s="560">
        <v>154646461</v>
      </c>
      <c r="E3676" s="560">
        <v>62181553</v>
      </c>
      <c r="F3676" s="560"/>
      <c r="G3676" s="560">
        <f t="shared" si="88"/>
        <v>216828014</v>
      </c>
      <c r="H3676" s="362"/>
      <c r="I3676" s="362"/>
      <c r="J3676" s="362"/>
    </row>
    <row r="3677" spans="1:10" x14ac:dyDescent="0.25">
      <c r="A3677" s="362"/>
      <c r="B3677" s="609">
        <v>44308</v>
      </c>
      <c r="C3677" s="362" t="s">
        <v>82</v>
      </c>
      <c r="D3677" s="560">
        <v>181126957</v>
      </c>
      <c r="E3677" s="560">
        <v>879367</v>
      </c>
      <c r="F3677" s="560"/>
      <c r="G3677" s="560">
        <f t="shared" si="88"/>
        <v>182006324</v>
      </c>
      <c r="H3677" s="362"/>
      <c r="I3677" s="362"/>
      <c r="J3677" s="362"/>
    </row>
    <row r="3678" spans="1:10" x14ac:dyDescent="0.25">
      <c r="A3678" s="362"/>
      <c r="B3678" s="609">
        <v>44308</v>
      </c>
      <c r="C3678" s="362" t="s">
        <v>80</v>
      </c>
      <c r="D3678" s="560">
        <v>217564910</v>
      </c>
      <c r="E3678" s="560">
        <v>1359280</v>
      </c>
      <c r="F3678" s="560"/>
      <c r="G3678" s="560">
        <f t="shared" si="88"/>
        <v>218924190</v>
      </c>
      <c r="H3678" s="362"/>
      <c r="I3678" s="362"/>
      <c r="J3678" s="362"/>
    </row>
    <row r="3679" spans="1:10" x14ac:dyDescent="0.25">
      <c r="A3679" s="362"/>
      <c r="B3679" s="609">
        <v>44308</v>
      </c>
      <c r="C3679" s="362" t="s">
        <v>83</v>
      </c>
      <c r="D3679" s="560">
        <v>227150026</v>
      </c>
      <c r="E3679" s="560">
        <v>4714964</v>
      </c>
      <c r="F3679" s="560"/>
      <c r="G3679" s="560">
        <f t="shared" si="88"/>
        <v>231864990</v>
      </c>
      <c r="H3679" s="362"/>
      <c r="I3679" s="362"/>
      <c r="J3679" s="362"/>
    </row>
    <row r="3680" spans="1:10" x14ac:dyDescent="0.25">
      <c r="A3680" s="362"/>
      <c r="B3680" s="609">
        <v>44308</v>
      </c>
      <c r="C3680" s="362" t="s">
        <v>78</v>
      </c>
      <c r="D3680" s="560">
        <v>105790077</v>
      </c>
      <c r="E3680" s="560">
        <v>1396723</v>
      </c>
      <c r="F3680" s="560"/>
      <c r="G3680" s="560">
        <f t="shared" si="88"/>
        <v>107186800</v>
      </c>
      <c r="H3680" s="362"/>
      <c r="I3680" s="362"/>
      <c r="J3680" s="362"/>
    </row>
    <row r="3681" spans="1:10" x14ac:dyDescent="0.25">
      <c r="A3681" s="362"/>
      <c r="B3681" s="609">
        <v>44308</v>
      </c>
      <c r="C3681" s="362" t="s">
        <v>141</v>
      </c>
      <c r="D3681" s="560">
        <v>77720599</v>
      </c>
      <c r="E3681" s="560">
        <v>10318452</v>
      </c>
      <c r="F3681" s="560"/>
      <c r="G3681" s="560">
        <f t="shared" si="88"/>
        <v>88039051</v>
      </c>
      <c r="H3681" s="362"/>
      <c r="I3681" s="362"/>
      <c r="J3681" s="362"/>
    </row>
    <row r="3682" spans="1:10" x14ac:dyDescent="0.25">
      <c r="A3682" s="362"/>
      <c r="B3682" s="609">
        <v>44308</v>
      </c>
      <c r="C3682" s="362" t="s">
        <v>89</v>
      </c>
      <c r="D3682" s="560">
        <v>246627700</v>
      </c>
      <c r="E3682" s="560">
        <v>23672800</v>
      </c>
      <c r="F3682" s="560"/>
      <c r="G3682" s="560">
        <f t="shared" si="88"/>
        <v>270300500</v>
      </c>
      <c r="H3682" s="362"/>
      <c r="I3682" s="362"/>
      <c r="J3682" s="362"/>
    </row>
    <row r="3683" spans="1:10" x14ac:dyDescent="0.25">
      <c r="A3683" s="362"/>
      <c r="B3683" s="609">
        <v>44308</v>
      </c>
      <c r="C3683" s="362" t="s">
        <v>81</v>
      </c>
      <c r="D3683" s="560">
        <v>61805771</v>
      </c>
      <c r="E3683" s="560">
        <v>9111989</v>
      </c>
      <c r="F3683" s="560"/>
      <c r="G3683" s="560">
        <f t="shared" si="88"/>
        <v>70917760</v>
      </c>
      <c r="H3683" s="362"/>
      <c r="I3683" s="362"/>
      <c r="J3683" s="362"/>
    </row>
    <row r="3684" spans="1:10" x14ac:dyDescent="0.25">
      <c r="A3684" s="362"/>
      <c r="B3684" s="609">
        <v>44308</v>
      </c>
      <c r="C3684" s="362" t="s">
        <v>84</v>
      </c>
      <c r="D3684" s="560">
        <v>384421817</v>
      </c>
      <c r="E3684" s="560">
        <v>17082980</v>
      </c>
      <c r="F3684" s="560"/>
      <c r="G3684" s="560">
        <f t="shared" si="88"/>
        <v>401504797</v>
      </c>
      <c r="H3684" s="362"/>
      <c r="I3684" s="362"/>
      <c r="J3684" s="362"/>
    </row>
    <row r="3685" spans="1:10" x14ac:dyDescent="0.25">
      <c r="A3685" s="362"/>
      <c r="B3685" s="609">
        <v>44308</v>
      </c>
      <c r="C3685" s="362" t="s">
        <v>4751</v>
      </c>
      <c r="D3685" s="560">
        <v>296743701</v>
      </c>
      <c r="E3685" s="560">
        <v>33000899</v>
      </c>
      <c r="F3685" s="560"/>
      <c r="G3685" s="560">
        <f t="shared" si="88"/>
        <v>329744600</v>
      </c>
      <c r="H3685" s="362"/>
      <c r="I3685" s="362"/>
      <c r="J3685" s="362"/>
    </row>
    <row r="3686" spans="1:10" x14ac:dyDescent="0.25">
      <c r="A3686" s="362"/>
      <c r="B3686" s="609">
        <v>44308</v>
      </c>
      <c r="C3686" s="362" t="s">
        <v>166</v>
      </c>
      <c r="D3686" s="560">
        <v>102172775</v>
      </c>
      <c r="E3686" s="560"/>
      <c r="F3686" s="560"/>
      <c r="G3686" s="560">
        <f t="shared" si="88"/>
        <v>102172775</v>
      </c>
      <c r="H3686" s="362"/>
      <c r="I3686" s="362"/>
      <c r="J3686" s="362"/>
    </row>
    <row r="3687" spans="1:10" x14ac:dyDescent="0.25">
      <c r="A3687" s="362"/>
      <c r="B3687" s="609">
        <v>44308</v>
      </c>
      <c r="C3687" s="362" t="s">
        <v>3435</v>
      </c>
      <c r="D3687" s="560">
        <v>91138056</v>
      </c>
      <c r="E3687" s="560"/>
      <c r="F3687" s="560"/>
      <c r="G3687" s="560">
        <f t="shared" si="88"/>
        <v>91138056</v>
      </c>
      <c r="H3687" s="362"/>
      <c r="I3687" s="362"/>
      <c r="J3687" s="362"/>
    </row>
    <row r="3688" spans="1:10" x14ac:dyDescent="0.25">
      <c r="A3688" s="362"/>
      <c r="B3688" s="609">
        <v>44308</v>
      </c>
      <c r="C3688" s="370" t="s">
        <v>85</v>
      </c>
      <c r="D3688" s="560">
        <v>26578700</v>
      </c>
      <c r="E3688" s="560"/>
      <c r="F3688" s="560"/>
      <c r="G3688" s="560">
        <f t="shared" si="88"/>
        <v>26578700</v>
      </c>
      <c r="H3688" s="560"/>
      <c r="I3688" s="362"/>
      <c r="J3688" s="362"/>
    </row>
    <row r="3689" spans="1:10" x14ac:dyDescent="0.25">
      <c r="A3689" s="530"/>
      <c r="B3689" s="530"/>
      <c r="C3689" s="530"/>
      <c r="D3689" s="562">
        <f>SUM(D3674:D3688)</f>
        <v>2423618420</v>
      </c>
      <c r="E3689" s="562">
        <f>SUM(E3674:E3688)</f>
        <v>445943984</v>
      </c>
      <c r="F3689" s="562">
        <f>SUM(F3674:F3688)</f>
        <v>0</v>
      </c>
      <c r="G3689" s="562">
        <f>SUM(G3674:G3688)</f>
        <v>2869562404</v>
      </c>
      <c r="H3689" s="562"/>
      <c r="I3689" s="530"/>
      <c r="J3689" s="530"/>
    </row>
    <row r="3690" spans="1:10" x14ac:dyDescent="0.25">
      <c r="A3690" s="362"/>
      <c r="B3690" s="609">
        <v>44309</v>
      </c>
      <c r="C3690" s="362" t="s">
        <v>86</v>
      </c>
      <c r="D3690" s="560"/>
      <c r="E3690" s="560"/>
      <c r="F3690" s="560"/>
      <c r="G3690" s="560"/>
      <c r="H3690" s="560"/>
      <c r="I3690" s="362"/>
      <c r="J3690" s="362"/>
    </row>
    <row r="3691" spans="1:10" x14ac:dyDescent="0.25">
      <c r="A3691" s="362"/>
      <c r="B3691" s="609">
        <v>44309</v>
      </c>
      <c r="C3691" s="362" t="s">
        <v>87</v>
      </c>
      <c r="D3691" s="560"/>
      <c r="E3691" s="560"/>
      <c r="F3691" s="560"/>
      <c r="G3691" s="560"/>
      <c r="H3691" s="560"/>
      <c r="I3691" s="362"/>
      <c r="J3691" s="362"/>
    </row>
    <row r="3692" spans="1:10" x14ac:dyDescent="0.25">
      <c r="A3692" s="362"/>
      <c r="B3692" s="609">
        <v>44309</v>
      </c>
      <c r="C3692" s="362" t="s">
        <v>88</v>
      </c>
      <c r="D3692" s="560"/>
      <c r="E3692" s="560"/>
      <c r="F3692" s="560"/>
      <c r="G3692" s="560"/>
      <c r="H3692" s="560"/>
      <c r="I3692" s="362"/>
      <c r="J3692" s="362"/>
    </row>
    <row r="3693" spans="1:10" x14ac:dyDescent="0.25">
      <c r="A3693" s="362"/>
      <c r="B3693" s="609">
        <v>44309</v>
      </c>
      <c r="C3693" s="362" t="s">
        <v>82</v>
      </c>
      <c r="D3693" s="560"/>
      <c r="E3693" s="560"/>
      <c r="F3693" s="560"/>
      <c r="G3693" s="560"/>
      <c r="H3693" s="560"/>
      <c r="I3693" s="362"/>
      <c r="J3693" s="362"/>
    </row>
    <row r="3694" spans="1:10" x14ac:dyDescent="0.25">
      <c r="A3694" s="362"/>
      <c r="B3694" s="609">
        <v>44309</v>
      </c>
      <c r="C3694" s="362" t="s">
        <v>80</v>
      </c>
      <c r="D3694" s="560"/>
      <c r="E3694" s="560"/>
      <c r="F3694" s="560"/>
      <c r="G3694" s="560"/>
      <c r="H3694" s="560"/>
      <c r="I3694" s="362"/>
      <c r="J3694" s="362"/>
    </row>
    <row r="3695" spans="1:10" x14ac:dyDescent="0.25">
      <c r="A3695" s="362"/>
      <c r="B3695" s="609">
        <v>44309</v>
      </c>
      <c r="C3695" s="362" t="s">
        <v>83</v>
      </c>
      <c r="D3695" s="560"/>
      <c r="E3695" s="560"/>
      <c r="F3695" s="560"/>
      <c r="G3695" s="560"/>
      <c r="H3695" s="560"/>
      <c r="I3695" s="362"/>
      <c r="J3695" s="362"/>
    </row>
    <row r="3696" spans="1:10" x14ac:dyDescent="0.25">
      <c r="A3696" s="362"/>
      <c r="B3696" s="609">
        <v>44309</v>
      </c>
      <c r="C3696" s="362" t="s">
        <v>78</v>
      </c>
      <c r="D3696" s="560"/>
      <c r="E3696" s="560"/>
      <c r="F3696" s="560"/>
      <c r="G3696" s="560"/>
      <c r="H3696" s="560"/>
      <c r="I3696" s="362"/>
      <c r="J3696" s="362"/>
    </row>
    <row r="3697" spans="1:10" x14ac:dyDescent="0.25">
      <c r="A3697" s="362"/>
      <c r="B3697" s="609">
        <v>44309</v>
      </c>
      <c r="C3697" s="362" t="s">
        <v>141</v>
      </c>
      <c r="D3697" s="560"/>
      <c r="E3697" s="560"/>
      <c r="F3697" s="560"/>
      <c r="G3697" s="560"/>
      <c r="H3697" s="560"/>
      <c r="I3697" s="362"/>
      <c r="J3697" s="362"/>
    </row>
    <row r="3698" spans="1:10" x14ac:dyDescent="0.25">
      <c r="A3698" s="362"/>
      <c r="B3698" s="609">
        <v>44309</v>
      </c>
      <c r="C3698" s="362" t="s">
        <v>89</v>
      </c>
      <c r="D3698" s="560"/>
      <c r="E3698" s="560"/>
      <c r="F3698" s="560"/>
      <c r="G3698" s="560"/>
      <c r="H3698" s="560"/>
      <c r="I3698" s="362"/>
      <c r="J3698" s="362"/>
    </row>
    <row r="3699" spans="1:10" x14ac:dyDescent="0.25">
      <c r="A3699" s="362"/>
      <c r="B3699" s="609">
        <v>44309</v>
      </c>
      <c r="C3699" s="362" t="s">
        <v>81</v>
      </c>
      <c r="D3699" s="560"/>
      <c r="E3699" s="560"/>
      <c r="F3699" s="560"/>
      <c r="G3699" s="560"/>
      <c r="H3699" s="560"/>
      <c r="I3699" s="362"/>
      <c r="J3699" s="362"/>
    </row>
    <row r="3700" spans="1:10" x14ac:dyDescent="0.25">
      <c r="A3700" s="362"/>
      <c r="B3700" s="609">
        <v>44309</v>
      </c>
      <c r="C3700" s="362" t="s">
        <v>84</v>
      </c>
      <c r="D3700" s="560"/>
      <c r="E3700" s="560"/>
      <c r="F3700" s="560"/>
      <c r="G3700" s="560"/>
      <c r="H3700" s="560"/>
      <c r="I3700" s="362"/>
      <c r="J3700" s="362"/>
    </row>
    <row r="3701" spans="1:10" x14ac:dyDescent="0.25">
      <c r="A3701" s="362"/>
      <c r="B3701" s="609">
        <v>44309</v>
      </c>
      <c r="C3701" s="362" t="s">
        <v>4751</v>
      </c>
      <c r="D3701" s="560"/>
      <c r="E3701" s="560"/>
      <c r="F3701" s="560"/>
      <c r="G3701" s="560"/>
      <c r="H3701" s="560"/>
      <c r="I3701" s="362"/>
      <c r="J3701" s="362"/>
    </row>
    <row r="3702" spans="1:10" x14ac:dyDescent="0.25">
      <c r="A3702" s="362"/>
      <c r="B3702" s="609">
        <v>44309</v>
      </c>
      <c r="C3702" s="362" t="s">
        <v>166</v>
      </c>
      <c r="D3702" s="560"/>
      <c r="E3702" s="560"/>
      <c r="F3702" s="560"/>
      <c r="G3702" s="560"/>
      <c r="H3702" s="560"/>
      <c r="I3702" s="362"/>
      <c r="J3702" s="362"/>
    </row>
    <row r="3703" spans="1:10" x14ac:dyDescent="0.25">
      <c r="A3703" s="362"/>
      <c r="B3703" s="609">
        <v>44309</v>
      </c>
      <c r="C3703" s="362" t="s">
        <v>3435</v>
      </c>
      <c r="D3703" s="560"/>
      <c r="E3703" s="560"/>
      <c r="F3703" s="560"/>
      <c r="G3703" s="560"/>
      <c r="H3703" s="560"/>
      <c r="I3703" s="362"/>
      <c r="J3703" s="362"/>
    </row>
    <row r="3704" spans="1:10" x14ac:dyDescent="0.25">
      <c r="A3704" s="362"/>
      <c r="B3704" s="609">
        <v>44309</v>
      </c>
      <c r="C3704" s="370" t="s">
        <v>85</v>
      </c>
      <c r="D3704" s="560"/>
      <c r="E3704" s="560"/>
      <c r="F3704" s="560"/>
      <c r="G3704" s="560"/>
      <c r="H3704" s="560"/>
      <c r="I3704" s="362"/>
      <c r="J3704" s="362"/>
    </row>
    <row r="3705" spans="1:10" x14ac:dyDescent="0.25">
      <c r="A3705" s="530"/>
      <c r="B3705" s="530"/>
      <c r="C3705" s="530"/>
      <c r="D3705" s="562"/>
      <c r="E3705" s="562"/>
      <c r="F3705" s="562"/>
      <c r="G3705" s="562"/>
      <c r="H3705" s="562"/>
      <c r="I3705" s="530"/>
      <c r="J3705" s="530"/>
    </row>
    <row r="3706" spans="1:10" x14ac:dyDescent="0.25">
      <c r="A3706" s="362"/>
      <c r="B3706" s="609">
        <v>44310</v>
      </c>
      <c r="C3706" s="362" t="s">
        <v>86</v>
      </c>
      <c r="D3706" s="560"/>
      <c r="E3706" s="560"/>
      <c r="F3706" s="560"/>
      <c r="G3706" s="560"/>
      <c r="H3706" s="560"/>
      <c r="I3706" s="362"/>
      <c r="J3706" s="362"/>
    </row>
    <row r="3707" spans="1:10" x14ac:dyDescent="0.25">
      <c r="A3707" s="362"/>
      <c r="B3707" s="609">
        <v>44310</v>
      </c>
      <c r="C3707" s="362" t="s">
        <v>87</v>
      </c>
      <c r="D3707" s="560"/>
      <c r="E3707" s="560"/>
      <c r="F3707" s="560"/>
      <c r="G3707" s="560"/>
      <c r="H3707" s="560"/>
      <c r="I3707" s="362"/>
      <c r="J3707" s="362"/>
    </row>
    <row r="3708" spans="1:10" x14ac:dyDescent="0.25">
      <c r="A3708" s="362"/>
      <c r="B3708" s="609">
        <v>44310</v>
      </c>
      <c r="C3708" s="362" t="s">
        <v>88</v>
      </c>
      <c r="D3708" s="560"/>
      <c r="E3708" s="560"/>
      <c r="F3708" s="560"/>
      <c r="G3708" s="560"/>
      <c r="H3708" s="560"/>
      <c r="I3708" s="362"/>
      <c r="J3708" s="362"/>
    </row>
    <row r="3709" spans="1:10" x14ac:dyDescent="0.25">
      <c r="A3709" s="362"/>
      <c r="B3709" s="609">
        <v>44310</v>
      </c>
      <c r="C3709" s="362" t="s">
        <v>82</v>
      </c>
      <c r="D3709" s="560"/>
      <c r="E3709" s="560"/>
      <c r="F3709" s="560"/>
      <c r="G3709" s="560"/>
      <c r="H3709" s="560"/>
      <c r="I3709" s="362"/>
      <c r="J3709" s="362"/>
    </row>
    <row r="3710" spans="1:10" x14ac:dyDescent="0.25">
      <c r="A3710" s="362"/>
      <c r="B3710" s="609">
        <v>44310</v>
      </c>
      <c r="C3710" s="362" t="s">
        <v>80</v>
      </c>
      <c r="D3710" s="560"/>
      <c r="E3710" s="560"/>
      <c r="F3710" s="560"/>
      <c r="G3710" s="560"/>
      <c r="H3710" s="560"/>
      <c r="I3710" s="362"/>
      <c r="J3710" s="362"/>
    </row>
    <row r="3711" spans="1:10" x14ac:dyDescent="0.25">
      <c r="A3711" s="362"/>
      <c r="B3711" s="609">
        <v>44310</v>
      </c>
      <c r="C3711" s="362" t="s">
        <v>83</v>
      </c>
      <c r="D3711" s="560"/>
      <c r="E3711" s="560"/>
      <c r="F3711" s="560"/>
      <c r="G3711" s="560"/>
      <c r="H3711" s="560"/>
      <c r="I3711" s="362"/>
      <c r="J3711" s="362"/>
    </row>
    <row r="3712" spans="1:10" x14ac:dyDescent="0.25">
      <c r="A3712" s="362"/>
      <c r="B3712" s="609">
        <v>44310</v>
      </c>
      <c r="C3712" s="362" t="s">
        <v>78</v>
      </c>
      <c r="D3712" s="560"/>
      <c r="E3712" s="560"/>
      <c r="F3712" s="560"/>
      <c r="G3712" s="560"/>
      <c r="H3712" s="560"/>
      <c r="I3712" s="362"/>
      <c r="J3712" s="362"/>
    </row>
    <row r="3713" spans="1:10" x14ac:dyDescent="0.25">
      <c r="A3713" s="362"/>
      <c r="B3713" s="609">
        <v>44310</v>
      </c>
      <c r="C3713" s="362" t="s">
        <v>141</v>
      </c>
      <c r="D3713" s="560"/>
      <c r="E3713" s="560"/>
      <c r="F3713" s="560"/>
      <c r="G3713" s="560"/>
      <c r="H3713" s="560"/>
      <c r="I3713" s="362"/>
      <c r="J3713" s="362"/>
    </row>
    <row r="3714" spans="1:10" x14ac:dyDescent="0.25">
      <c r="A3714" s="362"/>
      <c r="B3714" s="609">
        <v>44310</v>
      </c>
      <c r="C3714" s="362" t="s">
        <v>89</v>
      </c>
      <c r="D3714" s="560"/>
      <c r="E3714" s="560"/>
      <c r="F3714" s="560"/>
      <c r="G3714" s="560"/>
      <c r="H3714" s="560"/>
      <c r="I3714" s="362"/>
      <c r="J3714" s="362"/>
    </row>
    <row r="3715" spans="1:10" x14ac:dyDescent="0.25">
      <c r="A3715" s="362"/>
      <c r="B3715" s="609">
        <v>44310</v>
      </c>
      <c r="C3715" s="362" t="s">
        <v>81</v>
      </c>
      <c r="D3715" s="560"/>
      <c r="E3715" s="560"/>
      <c r="F3715" s="560"/>
      <c r="G3715" s="560"/>
      <c r="H3715" s="560"/>
      <c r="I3715" s="362"/>
      <c r="J3715" s="362"/>
    </row>
    <row r="3716" spans="1:10" x14ac:dyDescent="0.25">
      <c r="A3716" s="362"/>
      <c r="B3716" s="609">
        <v>44310</v>
      </c>
      <c r="C3716" s="362" t="s">
        <v>84</v>
      </c>
      <c r="D3716" s="560"/>
      <c r="E3716" s="560"/>
      <c r="F3716" s="560"/>
      <c r="G3716" s="560"/>
      <c r="H3716" s="560"/>
      <c r="I3716" s="362"/>
      <c r="J3716" s="362"/>
    </row>
    <row r="3717" spans="1:10" x14ac:dyDescent="0.25">
      <c r="A3717" s="362"/>
      <c r="B3717" s="609">
        <v>44310</v>
      </c>
      <c r="C3717" s="362" t="s">
        <v>4751</v>
      </c>
      <c r="D3717" s="560"/>
      <c r="E3717" s="560"/>
      <c r="F3717" s="560"/>
      <c r="G3717" s="560"/>
      <c r="H3717" s="560"/>
      <c r="I3717" s="362"/>
      <c r="J3717" s="362"/>
    </row>
    <row r="3718" spans="1:10" x14ac:dyDescent="0.25">
      <c r="A3718" s="362"/>
      <c r="B3718" s="609">
        <v>44310</v>
      </c>
      <c r="C3718" s="362" t="s">
        <v>166</v>
      </c>
      <c r="D3718" s="560"/>
      <c r="E3718" s="560"/>
      <c r="F3718" s="560"/>
      <c r="G3718" s="560"/>
      <c r="H3718" s="560"/>
      <c r="I3718" s="362"/>
      <c r="J3718" s="362"/>
    </row>
    <row r="3719" spans="1:10" x14ac:dyDescent="0.25">
      <c r="A3719" s="362"/>
      <c r="B3719" s="609">
        <v>44310</v>
      </c>
      <c r="C3719" s="362" t="s">
        <v>3435</v>
      </c>
      <c r="D3719" s="560"/>
      <c r="E3719" s="560"/>
      <c r="F3719" s="560"/>
      <c r="G3719" s="560"/>
      <c r="H3719" s="560"/>
      <c r="I3719" s="362"/>
      <c r="J3719" s="362"/>
    </row>
    <row r="3720" spans="1:10" x14ac:dyDescent="0.25">
      <c r="A3720" s="362"/>
      <c r="B3720" s="609">
        <v>44310</v>
      </c>
      <c r="C3720" s="370" t="s">
        <v>85</v>
      </c>
      <c r="D3720" s="560"/>
      <c r="E3720" s="560"/>
      <c r="F3720" s="560"/>
      <c r="G3720" s="560"/>
      <c r="H3720" s="560"/>
      <c r="I3720" s="362"/>
      <c r="J3720" s="362"/>
    </row>
    <row r="3721" spans="1:10" x14ac:dyDescent="0.25">
      <c r="A3721" s="530"/>
      <c r="B3721" s="530"/>
      <c r="C3721" s="530"/>
      <c r="D3721" s="562"/>
      <c r="E3721" s="562"/>
      <c r="F3721" s="562"/>
      <c r="G3721" s="562"/>
      <c r="H3721" s="562"/>
      <c r="I3721" s="530"/>
      <c r="J3721" s="530"/>
    </row>
    <row r="3722" spans="1:10" x14ac:dyDescent="0.25">
      <c r="A3722" s="362"/>
      <c r="B3722" s="609">
        <v>44312</v>
      </c>
      <c r="C3722" s="362" t="s">
        <v>86</v>
      </c>
      <c r="D3722" s="560"/>
      <c r="E3722" s="560"/>
      <c r="F3722" s="560"/>
      <c r="G3722" s="560"/>
      <c r="H3722" s="560"/>
      <c r="I3722" s="362"/>
      <c r="J3722" s="362"/>
    </row>
    <row r="3723" spans="1:10" x14ac:dyDescent="0.25">
      <c r="A3723" s="362"/>
      <c r="B3723" s="609">
        <v>44312</v>
      </c>
      <c r="C3723" s="362" t="s">
        <v>87</v>
      </c>
      <c r="D3723" s="560"/>
      <c r="E3723" s="560"/>
      <c r="F3723" s="560"/>
      <c r="G3723" s="560"/>
      <c r="H3723" s="560"/>
      <c r="I3723" s="362"/>
      <c r="J3723" s="362"/>
    </row>
    <row r="3724" spans="1:10" x14ac:dyDescent="0.25">
      <c r="A3724" s="362"/>
      <c r="B3724" s="609">
        <v>44312</v>
      </c>
      <c r="C3724" s="362" t="s">
        <v>88</v>
      </c>
      <c r="D3724" s="560"/>
      <c r="E3724" s="560"/>
      <c r="F3724" s="560"/>
      <c r="G3724" s="560"/>
      <c r="H3724" s="560"/>
      <c r="I3724" s="362"/>
      <c r="J3724" s="362"/>
    </row>
    <row r="3725" spans="1:10" x14ac:dyDescent="0.25">
      <c r="A3725" s="362"/>
      <c r="B3725" s="609">
        <v>44312</v>
      </c>
      <c r="C3725" s="362" t="s">
        <v>82</v>
      </c>
      <c r="D3725" s="560"/>
      <c r="E3725" s="560"/>
      <c r="F3725" s="560"/>
      <c r="G3725" s="560"/>
      <c r="H3725" s="560"/>
      <c r="I3725" s="362"/>
      <c r="J3725" s="362"/>
    </row>
    <row r="3726" spans="1:10" x14ac:dyDescent="0.25">
      <c r="A3726" s="362"/>
      <c r="B3726" s="609">
        <v>44312</v>
      </c>
      <c r="C3726" s="362" t="s">
        <v>80</v>
      </c>
      <c r="D3726" s="560"/>
      <c r="E3726" s="560"/>
      <c r="F3726" s="560"/>
      <c r="G3726" s="560"/>
      <c r="H3726" s="560"/>
      <c r="I3726" s="362"/>
      <c r="J3726" s="362"/>
    </row>
    <row r="3727" spans="1:10" x14ac:dyDescent="0.25">
      <c r="A3727" s="362"/>
      <c r="B3727" s="609">
        <v>44312</v>
      </c>
      <c r="C3727" s="362" t="s">
        <v>83</v>
      </c>
      <c r="D3727" s="560"/>
      <c r="E3727" s="560"/>
      <c r="F3727" s="560"/>
      <c r="G3727" s="560"/>
      <c r="H3727" s="560"/>
      <c r="I3727" s="362"/>
      <c r="J3727" s="362"/>
    </row>
    <row r="3728" spans="1:10" x14ac:dyDescent="0.25">
      <c r="A3728" s="362"/>
      <c r="B3728" s="609">
        <v>44312</v>
      </c>
      <c r="C3728" s="362" t="s">
        <v>78</v>
      </c>
      <c r="D3728" s="560"/>
      <c r="E3728" s="560"/>
      <c r="F3728" s="560"/>
      <c r="G3728" s="560"/>
      <c r="H3728" s="560"/>
      <c r="I3728" s="362"/>
      <c r="J3728" s="362"/>
    </row>
    <row r="3729" spans="1:10" x14ac:dyDescent="0.25">
      <c r="A3729" s="362"/>
      <c r="B3729" s="609">
        <v>44312</v>
      </c>
      <c r="C3729" s="362" t="s">
        <v>141</v>
      </c>
      <c r="D3729" s="560"/>
      <c r="E3729" s="560"/>
      <c r="F3729" s="560"/>
      <c r="G3729" s="560"/>
      <c r="H3729" s="560"/>
      <c r="I3729" s="362"/>
      <c r="J3729" s="362"/>
    </row>
    <row r="3730" spans="1:10" x14ac:dyDescent="0.25">
      <c r="A3730" s="362"/>
      <c r="B3730" s="609">
        <v>44312</v>
      </c>
      <c r="C3730" s="362" t="s">
        <v>89</v>
      </c>
      <c r="D3730" s="560"/>
      <c r="E3730" s="560"/>
      <c r="F3730" s="560"/>
      <c r="G3730" s="560"/>
      <c r="H3730" s="560"/>
      <c r="I3730" s="362"/>
      <c r="J3730" s="362"/>
    </row>
    <row r="3731" spans="1:10" x14ac:dyDescent="0.25">
      <c r="A3731" s="362"/>
      <c r="B3731" s="609">
        <v>44312</v>
      </c>
      <c r="C3731" s="362" t="s">
        <v>81</v>
      </c>
      <c r="D3731" s="560"/>
      <c r="E3731" s="560"/>
      <c r="F3731" s="560"/>
      <c r="G3731" s="560"/>
      <c r="H3731" s="560"/>
      <c r="I3731" s="362"/>
      <c r="J3731" s="362"/>
    </row>
    <row r="3732" spans="1:10" x14ac:dyDescent="0.25">
      <c r="A3732" s="362"/>
      <c r="B3732" s="609">
        <v>44312</v>
      </c>
      <c r="C3732" s="362" t="s">
        <v>84</v>
      </c>
      <c r="D3732" s="560"/>
      <c r="E3732" s="560"/>
      <c r="F3732" s="560"/>
      <c r="G3732" s="560"/>
      <c r="H3732" s="560"/>
      <c r="I3732" s="362"/>
      <c r="J3732" s="362"/>
    </row>
    <row r="3733" spans="1:10" x14ac:dyDescent="0.25">
      <c r="A3733" s="362"/>
      <c r="B3733" s="609">
        <v>44312</v>
      </c>
      <c r="C3733" s="362" t="s">
        <v>4751</v>
      </c>
      <c r="D3733" s="560"/>
      <c r="E3733" s="560"/>
      <c r="F3733" s="560"/>
      <c r="G3733" s="560"/>
      <c r="H3733" s="560"/>
      <c r="I3733" s="362"/>
      <c r="J3733" s="362"/>
    </row>
    <row r="3734" spans="1:10" x14ac:dyDescent="0.25">
      <c r="A3734" s="362"/>
      <c r="B3734" s="609">
        <v>44312</v>
      </c>
      <c r="C3734" s="362" t="s">
        <v>166</v>
      </c>
      <c r="D3734" s="560"/>
      <c r="E3734" s="560"/>
      <c r="F3734" s="560"/>
      <c r="G3734" s="560"/>
      <c r="H3734" s="560"/>
      <c r="I3734" s="362"/>
      <c r="J3734" s="362"/>
    </row>
    <row r="3735" spans="1:10" x14ac:dyDescent="0.25">
      <c r="A3735" s="362"/>
      <c r="B3735" s="609">
        <v>44312</v>
      </c>
      <c r="C3735" s="362" t="s">
        <v>3435</v>
      </c>
      <c r="D3735" s="560"/>
      <c r="E3735" s="560"/>
      <c r="F3735" s="560"/>
      <c r="G3735" s="560"/>
      <c r="H3735" s="560"/>
      <c r="I3735" s="362"/>
      <c r="J3735" s="362"/>
    </row>
    <row r="3736" spans="1:10" x14ac:dyDescent="0.25">
      <c r="A3736" s="362"/>
      <c r="B3736" s="609">
        <v>44312</v>
      </c>
      <c r="C3736" s="370" t="s">
        <v>85</v>
      </c>
      <c r="D3736" s="560"/>
      <c r="E3736" s="560"/>
      <c r="F3736" s="560"/>
      <c r="G3736" s="560"/>
      <c r="H3736" s="560"/>
      <c r="I3736" s="362"/>
      <c r="J3736" s="362"/>
    </row>
    <row r="3737" spans="1:10" x14ac:dyDescent="0.25">
      <c r="A3737" s="530"/>
      <c r="B3737" s="530"/>
      <c r="C3737" s="530"/>
      <c r="D3737" s="562"/>
      <c r="E3737" s="562"/>
      <c r="F3737" s="562"/>
      <c r="G3737" s="562"/>
      <c r="H3737" s="562"/>
      <c r="I3737" s="530"/>
      <c r="J3737" s="530"/>
    </row>
    <row r="3738" spans="1:10" x14ac:dyDescent="0.25">
      <c r="A3738" s="362"/>
      <c r="B3738" s="609">
        <v>44313</v>
      </c>
      <c r="C3738" s="362" t="s">
        <v>86</v>
      </c>
      <c r="D3738" s="560">
        <v>50704824</v>
      </c>
      <c r="E3738" s="560">
        <v>209289507</v>
      </c>
      <c r="F3738" s="560">
        <v>259994400</v>
      </c>
      <c r="G3738" s="560">
        <f>D3738+E3738-F3738</f>
        <v>-69</v>
      </c>
      <c r="H3738" s="560"/>
      <c r="I3738" s="362"/>
      <c r="J3738" s="362"/>
    </row>
    <row r="3739" spans="1:10" x14ac:dyDescent="0.25">
      <c r="A3739" s="362"/>
      <c r="B3739" s="609">
        <v>44313</v>
      </c>
      <c r="C3739" s="362" t="s">
        <v>87</v>
      </c>
      <c r="D3739" s="560">
        <v>138082785</v>
      </c>
      <c r="E3739" s="560">
        <v>81604469</v>
      </c>
      <c r="F3739" s="560">
        <v>219687300</v>
      </c>
      <c r="G3739" s="560">
        <f t="shared" ref="G3739:G3752" si="89">D3739+E3739-F3739</f>
        <v>-46</v>
      </c>
      <c r="H3739" s="560"/>
      <c r="I3739" s="362"/>
      <c r="J3739" s="362"/>
    </row>
    <row r="3740" spans="1:10" x14ac:dyDescent="0.25">
      <c r="A3740" s="362"/>
      <c r="B3740" s="609">
        <v>44313</v>
      </c>
      <c r="C3740" s="362" t="s">
        <v>88</v>
      </c>
      <c r="D3740" s="560">
        <v>295096819</v>
      </c>
      <c r="E3740" s="560">
        <v>6649896</v>
      </c>
      <c r="F3740" s="560">
        <v>301746800</v>
      </c>
      <c r="G3740" s="560">
        <f t="shared" si="89"/>
        <v>-85</v>
      </c>
      <c r="H3740" s="560"/>
      <c r="I3740" s="362"/>
      <c r="J3740" s="362"/>
    </row>
    <row r="3741" spans="1:10" x14ac:dyDescent="0.25">
      <c r="A3741" s="362"/>
      <c r="B3741" s="609">
        <v>44313</v>
      </c>
      <c r="C3741" s="362" t="s">
        <v>82</v>
      </c>
      <c r="D3741" s="560">
        <v>99843759</v>
      </c>
      <c r="E3741" s="560">
        <v>1277460</v>
      </c>
      <c r="F3741" s="560">
        <v>101121800</v>
      </c>
      <c r="G3741" s="560">
        <f t="shared" si="89"/>
        <v>-581</v>
      </c>
      <c r="H3741" s="560"/>
      <c r="I3741" s="362"/>
      <c r="J3741" s="362"/>
    </row>
    <row r="3742" spans="1:10" x14ac:dyDescent="0.25">
      <c r="A3742" s="362"/>
      <c r="B3742" s="609">
        <v>44313</v>
      </c>
      <c r="C3742" s="362" t="s">
        <v>80</v>
      </c>
      <c r="D3742" s="560">
        <v>304484300</v>
      </c>
      <c r="E3742" s="560">
        <v>84321000</v>
      </c>
      <c r="F3742" s="560">
        <v>388805300</v>
      </c>
      <c r="G3742" s="560">
        <f t="shared" si="89"/>
        <v>0</v>
      </c>
      <c r="H3742" s="560"/>
      <c r="I3742" s="362"/>
      <c r="J3742" s="362"/>
    </row>
    <row r="3743" spans="1:10" x14ac:dyDescent="0.25">
      <c r="A3743" s="362"/>
      <c r="B3743" s="609">
        <v>44313</v>
      </c>
      <c r="C3743" s="362" t="s">
        <v>83</v>
      </c>
      <c r="D3743" s="560">
        <v>399055344</v>
      </c>
      <c r="E3743" s="560">
        <v>72361755</v>
      </c>
      <c r="F3743" s="560">
        <v>471417100</v>
      </c>
      <c r="G3743" s="560">
        <f t="shared" si="89"/>
        <v>-1</v>
      </c>
      <c r="H3743" s="560"/>
      <c r="I3743" s="362"/>
      <c r="J3743" s="362"/>
    </row>
    <row r="3744" spans="1:10" x14ac:dyDescent="0.25">
      <c r="A3744" s="362"/>
      <c r="B3744" s="609">
        <v>44313</v>
      </c>
      <c r="C3744" s="362" t="s">
        <v>78</v>
      </c>
      <c r="D3744" s="560">
        <v>85696218</v>
      </c>
      <c r="E3744" s="560">
        <v>3122482</v>
      </c>
      <c r="F3744" s="560">
        <v>88818700</v>
      </c>
      <c r="G3744" s="560">
        <f t="shared" si="89"/>
        <v>0</v>
      </c>
      <c r="H3744" s="560"/>
      <c r="I3744" s="362"/>
      <c r="J3744" s="362"/>
    </row>
    <row r="3745" spans="1:10" x14ac:dyDescent="0.25">
      <c r="A3745" s="362"/>
      <c r="B3745" s="609">
        <v>44313</v>
      </c>
      <c r="C3745" s="362" t="s">
        <v>141</v>
      </c>
      <c r="D3745" s="560">
        <v>55596785</v>
      </c>
      <c r="E3745" s="560">
        <v>2654476</v>
      </c>
      <c r="F3745" s="560">
        <v>58251300</v>
      </c>
      <c r="G3745" s="560">
        <f t="shared" si="89"/>
        <v>-39</v>
      </c>
      <c r="H3745" s="560"/>
      <c r="I3745" s="362"/>
      <c r="J3745" s="362"/>
    </row>
    <row r="3746" spans="1:10" x14ac:dyDescent="0.25">
      <c r="A3746" s="362"/>
      <c r="B3746" s="609">
        <v>44313</v>
      </c>
      <c r="C3746" s="362" t="s">
        <v>89</v>
      </c>
      <c r="D3746" s="560">
        <v>118429064</v>
      </c>
      <c r="E3746" s="560">
        <v>23526636</v>
      </c>
      <c r="F3746" s="560">
        <v>141955700</v>
      </c>
      <c r="G3746" s="560">
        <f t="shared" si="89"/>
        <v>0</v>
      </c>
      <c r="H3746" s="560"/>
      <c r="I3746" s="362"/>
      <c r="J3746" s="362"/>
    </row>
    <row r="3747" spans="1:10" x14ac:dyDescent="0.25">
      <c r="A3747" s="362"/>
      <c r="B3747" s="609">
        <v>44313</v>
      </c>
      <c r="C3747" s="362" t="s">
        <v>81</v>
      </c>
      <c r="D3747" s="560">
        <v>137683300</v>
      </c>
      <c r="E3747" s="560">
        <v>11733391</v>
      </c>
      <c r="F3747" s="560">
        <v>149416700</v>
      </c>
      <c r="G3747" s="560">
        <f t="shared" si="89"/>
        <v>-9</v>
      </c>
      <c r="H3747" s="560"/>
      <c r="I3747" s="362"/>
      <c r="J3747" s="362"/>
    </row>
    <row r="3748" spans="1:10" x14ac:dyDescent="0.25">
      <c r="A3748" s="362"/>
      <c r="B3748" s="609">
        <v>44313</v>
      </c>
      <c r="C3748" s="362" t="s">
        <v>84</v>
      </c>
      <c r="D3748" s="560">
        <v>195168301</v>
      </c>
      <c r="E3748" s="560">
        <v>12324263</v>
      </c>
      <c r="F3748" s="560">
        <v>207492600</v>
      </c>
      <c r="G3748" s="560">
        <f t="shared" si="89"/>
        <v>-36</v>
      </c>
      <c r="H3748" s="560"/>
      <c r="I3748" s="362"/>
      <c r="J3748" s="362"/>
    </row>
    <row r="3749" spans="1:10" x14ac:dyDescent="0.25">
      <c r="A3749" s="362"/>
      <c r="B3749" s="609">
        <v>44313</v>
      </c>
      <c r="C3749" s="362" t="s">
        <v>4751</v>
      </c>
      <c r="D3749" s="560">
        <v>234075176</v>
      </c>
      <c r="E3749" s="560">
        <v>20989024</v>
      </c>
      <c r="F3749" s="560">
        <v>255064200</v>
      </c>
      <c r="G3749" s="560">
        <f t="shared" si="89"/>
        <v>0</v>
      </c>
      <c r="H3749" s="560"/>
      <c r="I3749" s="362"/>
      <c r="J3749" s="362"/>
    </row>
    <row r="3750" spans="1:10" x14ac:dyDescent="0.25">
      <c r="A3750" s="362"/>
      <c r="B3750" s="609">
        <v>44313</v>
      </c>
      <c r="C3750" s="362" t="s">
        <v>166</v>
      </c>
      <c r="D3750" s="560">
        <v>164163133</v>
      </c>
      <c r="E3750" s="560"/>
      <c r="F3750" s="560">
        <v>164163200</v>
      </c>
      <c r="G3750" s="560">
        <f t="shared" si="89"/>
        <v>-67</v>
      </c>
      <c r="H3750" s="560"/>
      <c r="I3750" s="362"/>
      <c r="J3750" s="362"/>
    </row>
    <row r="3751" spans="1:10" x14ac:dyDescent="0.25">
      <c r="A3751" s="362"/>
      <c r="B3751" s="609">
        <v>44313</v>
      </c>
      <c r="C3751" s="362" t="s">
        <v>3435</v>
      </c>
      <c r="D3751" s="560">
        <v>38271995</v>
      </c>
      <c r="E3751" s="560"/>
      <c r="F3751" s="560">
        <v>38272000</v>
      </c>
      <c r="G3751" s="560">
        <f t="shared" si="89"/>
        <v>-5</v>
      </c>
      <c r="H3751" s="560"/>
      <c r="I3751" s="362"/>
      <c r="J3751" s="362"/>
    </row>
    <row r="3752" spans="1:10" x14ac:dyDescent="0.25">
      <c r="A3752" s="362"/>
      <c r="B3752" s="609">
        <v>44313</v>
      </c>
      <c r="C3752" s="370" t="s">
        <v>85</v>
      </c>
      <c r="D3752" s="560">
        <v>39809300</v>
      </c>
      <c r="E3752" s="560"/>
      <c r="F3752" s="560">
        <v>39809300</v>
      </c>
      <c r="G3752" s="560">
        <f t="shared" si="89"/>
        <v>0</v>
      </c>
      <c r="H3752" s="560"/>
      <c r="I3752" s="362"/>
      <c r="J3752" s="362"/>
    </row>
    <row r="3753" spans="1:10" x14ac:dyDescent="0.25">
      <c r="A3753" s="530"/>
      <c r="B3753" s="530"/>
      <c r="C3753" s="530"/>
      <c r="D3753" s="562">
        <f>SUM(D3738:D3752)</f>
        <v>2356161103</v>
      </c>
      <c r="E3753" s="562">
        <f>SUM(E3738:E3752)</f>
        <v>529854359</v>
      </c>
      <c r="F3753" s="562">
        <f>SUM(F3738:F3752)</f>
        <v>2886016400</v>
      </c>
      <c r="G3753" s="562">
        <f>SUM(G3738:G3752)</f>
        <v>-938</v>
      </c>
      <c r="H3753" s="562"/>
      <c r="I3753" s="530"/>
      <c r="J3753" s="530"/>
    </row>
    <row r="3754" spans="1:10" x14ac:dyDescent="0.25">
      <c r="A3754" s="362"/>
      <c r="B3754" s="609">
        <v>44314</v>
      </c>
      <c r="C3754" s="362" t="s">
        <v>86</v>
      </c>
      <c r="D3754" s="560">
        <v>108079282</v>
      </c>
      <c r="E3754" s="560">
        <v>166637050</v>
      </c>
      <c r="F3754" s="560"/>
      <c r="G3754" s="560"/>
      <c r="H3754" s="560"/>
      <c r="I3754" s="362"/>
      <c r="J3754" s="362"/>
    </row>
    <row r="3755" spans="1:10" x14ac:dyDescent="0.25">
      <c r="A3755" s="362"/>
      <c r="B3755" s="609">
        <v>44314</v>
      </c>
      <c r="C3755" s="362" t="s">
        <v>87</v>
      </c>
      <c r="D3755" s="560">
        <v>126591631</v>
      </c>
      <c r="E3755" s="560">
        <v>50538673</v>
      </c>
      <c r="F3755" s="560"/>
      <c r="G3755" s="560"/>
      <c r="H3755" s="560"/>
      <c r="I3755" s="362"/>
      <c r="J3755" s="362"/>
    </row>
    <row r="3756" spans="1:10" x14ac:dyDescent="0.25">
      <c r="A3756" s="362"/>
      <c r="B3756" s="609">
        <v>44314</v>
      </c>
      <c r="C3756" s="362" t="s">
        <v>88</v>
      </c>
      <c r="D3756" s="560">
        <v>317933194</v>
      </c>
      <c r="E3756" s="560">
        <v>6137900</v>
      </c>
      <c r="F3756" s="560"/>
      <c r="G3756" s="560"/>
      <c r="H3756" s="560"/>
      <c r="I3756" s="362"/>
      <c r="J3756" s="362"/>
    </row>
    <row r="3757" spans="1:10" x14ac:dyDescent="0.25">
      <c r="A3757" s="362"/>
      <c r="B3757" s="609">
        <v>44314</v>
      </c>
      <c r="C3757" s="362" t="s">
        <v>82</v>
      </c>
      <c r="D3757" s="560">
        <v>115092304</v>
      </c>
      <c r="E3757" s="560">
        <v>3865300</v>
      </c>
      <c r="F3757" s="560"/>
      <c r="G3757" s="560"/>
      <c r="H3757" s="560"/>
      <c r="I3757" s="362"/>
      <c r="J3757" s="362"/>
    </row>
    <row r="3758" spans="1:10" x14ac:dyDescent="0.25">
      <c r="A3758" s="362"/>
      <c r="B3758" s="609">
        <v>44314</v>
      </c>
      <c r="C3758" s="362" t="s">
        <v>80</v>
      </c>
      <c r="D3758" s="560">
        <v>332349372</v>
      </c>
      <c r="E3758" s="560">
        <v>3596793</v>
      </c>
      <c r="F3758" s="560"/>
      <c r="G3758" s="560"/>
      <c r="H3758" s="560"/>
      <c r="I3758" s="362"/>
      <c r="J3758" s="362"/>
    </row>
    <row r="3759" spans="1:10" x14ac:dyDescent="0.25">
      <c r="A3759" s="362"/>
      <c r="B3759" s="609">
        <v>44314</v>
      </c>
      <c r="C3759" s="362" t="s">
        <v>83</v>
      </c>
      <c r="D3759" s="560">
        <v>246103013</v>
      </c>
      <c r="E3759" s="560">
        <v>11041087</v>
      </c>
      <c r="F3759" s="560"/>
      <c r="G3759" s="560"/>
      <c r="H3759" s="560"/>
      <c r="I3759" s="362"/>
      <c r="J3759" s="362"/>
    </row>
    <row r="3760" spans="1:10" x14ac:dyDescent="0.25">
      <c r="A3760" s="362"/>
      <c r="B3760" s="609">
        <v>44314</v>
      </c>
      <c r="C3760" s="362" t="s">
        <v>78</v>
      </c>
      <c r="D3760" s="560">
        <v>152639538</v>
      </c>
      <c r="E3760" s="560">
        <v>215262</v>
      </c>
      <c r="F3760" s="560"/>
      <c r="G3760" s="560"/>
      <c r="H3760" s="560"/>
      <c r="I3760" s="362"/>
      <c r="J3760" s="362"/>
    </row>
    <row r="3761" spans="1:10" x14ac:dyDescent="0.25">
      <c r="A3761" s="362"/>
      <c r="B3761" s="609">
        <v>44314</v>
      </c>
      <c r="C3761" s="362" t="s">
        <v>141</v>
      </c>
      <c r="D3761" s="560">
        <v>137403015</v>
      </c>
      <c r="E3761" s="560">
        <v>2358246</v>
      </c>
      <c r="F3761" s="560"/>
      <c r="G3761" s="560"/>
      <c r="H3761" s="560"/>
      <c r="I3761" s="362"/>
      <c r="J3761" s="362"/>
    </row>
    <row r="3762" spans="1:10" x14ac:dyDescent="0.25">
      <c r="A3762" s="362"/>
      <c r="B3762" s="609">
        <v>44314</v>
      </c>
      <c r="C3762" s="362" t="s">
        <v>89</v>
      </c>
      <c r="D3762" s="560">
        <v>184963303</v>
      </c>
      <c r="E3762" s="560">
        <v>36328997</v>
      </c>
      <c r="F3762" s="560"/>
      <c r="G3762" s="560"/>
      <c r="H3762" s="560"/>
      <c r="I3762" s="362"/>
      <c r="J3762" s="362"/>
    </row>
    <row r="3763" spans="1:10" x14ac:dyDescent="0.25">
      <c r="A3763" s="362"/>
      <c r="B3763" s="609">
        <v>44314</v>
      </c>
      <c r="C3763" s="362" t="s">
        <v>81</v>
      </c>
      <c r="D3763" s="560">
        <v>93029591</v>
      </c>
      <c r="E3763" s="560">
        <v>24082880</v>
      </c>
      <c r="F3763" s="560"/>
      <c r="G3763" s="560"/>
      <c r="H3763" s="560"/>
      <c r="I3763" s="362"/>
      <c r="J3763" s="362"/>
    </row>
    <row r="3764" spans="1:10" x14ac:dyDescent="0.25">
      <c r="A3764" s="362"/>
      <c r="B3764" s="609">
        <v>44314</v>
      </c>
      <c r="C3764" s="362" t="s">
        <v>84</v>
      </c>
      <c r="D3764" s="560">
        <v>337877272</v>
      </c>
      <c r="E3764" s="560">
        <v>6355100</v>
      </c>
      <c r="F3764" s="560"/>
      <c r="G3764" s="560"/>
      <c r="H3764" s="560"/>
      <c r="I3764" s="362"/>
      <c r="J3764" s="362"/>
    </row>
    <row r="3765" spans="1:10" x14ac:dyDescent="0.25">
      <c r="A3765" s="362"/>
      <c r="B3765" s="609">
        <v>44314</v>
      </c>
      <c r="C3765" s="362" t="s">
        <v>4751</v>
      </c>
      <c r="D3765" s="560">
        <v>202164344</v>
      </c>
      <c r="E3765" s="560">
        <v>66256756</v>
      </c>
      <c r="F3765" s="560"/>
      <c r="G3765" s="560"/>
      <c r="H3765" s="560"/>
      <c r="I3765" s="362"/>
      <c r="J3765" s="362"/>
    </row>
    <row r="3766" spans="1:10" x14ac:dyDescent="0.25">
      <c r="A3766" s="362"/>
      <c r="B3766" s="609">
        <v>44314</v>
      </c>
      <c r="C3766" s="362" t="s">
        <v>166</v>
      </c>
      <c r="D3766" s="560">
        <v>62911435</v>
      </c>
      <c r="E3766" s="560"/>
      <c r="F3766" s="560"/>
      <c r="G3766" s="560"/>
      <c r="H3766" s="560"/>
      <c r="I3766" s="362"/>
      <c r="J3766" s="362"/>
    </row>
    <row r="3767" spans="1:10" x14ac:dyDescent="0.25">
      <c r="A3767" s="362"/>
      <c r="B3767" s="609">
        <v>44314</v>
      </c>
      <c r="C3767" s="362" t="s">
        <v>3435</v>
      </c>
      <c r="D3767" s="560">
        <v>201364395</v>
      </c>
      <c r="E3767" s="560"/>
      <c r="F3767" s="560"/>
      <c r="G3767" s="560"/>
      <c r="H3767" s="560"/>
      <c r="I3767" s="362"/>
      <c r="J3767" s="362"/>
    </row>
    <row r="3768" spans="1:10" x14ac:dyDescent="0.25">
      <c r="A3768" s="362"/>
      <c r="B3768" s="609">
        <v>44314</v>
      </c>
      <c r="C3768" s="370" t="s">
        <v>85</v>
      </c>
      <c r="D3768" s="560">
        <v>39481400</v>
      </c>
      <c r="E3768" s="560"/>
      <c r="F3768" s="560"/>
      <c r="G3768" s="560"/>
      <c r="H3768" s="560"/>
      <c r="I3768" s="362"/>
      <c r="J3768" s="362"/>
    </row>
    <row r="3769" spans="1:10" x14ac:dyDescent="0.25">
      <c r="A3769" s="530"/>
      <c r="B3769" s="530"/>
      <c r="C3769" s="530"/>
      <c r="D3769" s="562">
        <f>SUM(D3754:D3768)</f>
        <v>2657983089</v>
      </c>
      <c r="E3769" s="562">
        <f>SUM(E3754:E3768)</f>
        <v>377414044</v>
      </c>
      <c r="F3769" s="562">
        <f>SUM(F3754:F3768)</f>
        <v>0</v>
      </c>
      <c r="G3769" s="562">
        <f>SUM(G3754:G3768)</f>
        <v>0</v>
      </c>
      <c r="H3769" s="562"/>
      <c r="I3769" s="530"/>
      <c r="J3769" s="530"/>
    </row>
    <row r="3770" spans="1:10" x14ac:dyDescent="0.25">
      <c r="A3770" s="362"/>
      <c r="B3770" s="609">
        <v>44315</v>
      </c>
      <c r="C3770" s="362" t="s">
        <v>86</v>
      </c>
      <c r="D3770" s="560">
        <v>127133797</v>
      </c>
      <c r="E3770" s="560">
        <v>154278490</v>
      </c>
      <c r="F3770" s="560"/>
      <c r="G3770" s="560"/>
      <c r="H3770" s="560"/>
      <c r="I3770" s="362"/>
      <c r="J3770" s="362"/>
    </row>
    <row r="3771" spans="1:10" x14ac:dyDescent="0.25">
      <c r="A3771" s="362"/>
      <c r="B3771" s="609">
        <v>44315</v>
      </c>
      <c r="C3771" s="362" t="s">
        <v>87</v>
      </c>
      <c r="D3771" s="560">
        <v>126275405</v>
      </c>
      <c r="E3771" s="560">
        <v>202961029</v>
      </c>
      <c r="F3771" s="560"/>
      <c r="G3771" s="560"/>
      <c r="H3771" s="560"/>
      <c r="I3771" s="362"/>
      <c r="J3771" s="362"/>
    </row>
    <row r="3772" spans="1:10" x14ac:dyDescent="0.25">
      <c r="A3772" s="362"/>
      <c r="B3772" s="609">
        <v>44315</v>
      </c>
      <c r="C3772" s="362" t="s">
        <v>88</v>
      </c>
      <c r="D3772" s="560">
        <v>295329696</v>
      </c>
      <c r="E3772" s="560">
        <v>106372086</v>
      </c>
      <c r="F3772" s="560"/>
      <c r="G3772" s="560"/>
      <c r="H3772" s="560"/>
      <c r="I3772" s="362"/>
      <c r="J3772" s="362"/>
    </row>
    <row r="3773" spans="1:10" x14ac:dyDescent="0.25">
      <c r="A3773" s="362"/>
      <c r="B3773" s="609">
        <v>44315</v>
      </c>
      <c r="C3773" s="362" t="s">
        <v>82</v>
      </c>
      <c r="D3773" s="560">
        <v>177628642</v>
      </c>
      <c r="E3773" s="560">
        <v>2462359</v>
      </c>
      <c r="F3773" s="560"/>
      <c r="G3773" s="560"/>
      <c r="H3773" s="560"/>
      <c r="I3773" s="362"/>
      <c r="J3773" s="362"/>
    </row>
    <row r="3774" spans="1:10" x14ac:dyDescent="0.25">
      <c r="A3774" s="362"/>
      <c r="B3774" s="609">
        <v>44315</v>
      </c>
      <c r="C3774" s="362" t="s">
        <v>80</v>
      </c>
      <c r="D3774" s="560">
        <v>461603042</v>
      </c>
      <c r="E3774" s="560">
        <v>11998558</v>
      </c>
      <c r="F3774" s="560"/>
      <c r="G3774" s="560"/>
      <c r="H3774" s="560"/>
      <c r="I3774" s="362"/>
      <c r="J3774" s="362"/>
    </row>
    <row r="3775" spans="1:10" x14ac:dyDescent="0.25">
      <c r="A3775" s="362"/>
      <c r="B3775" s="609">
        <v>44315</v>
      </c>
      <c r="C3775" s="362" t="s">
        <v>83</v>
      </c>
      <c r="D3775" s="560">
        <v>317792438</v>
      </c>
      <c r="E3775" s="560">
        <v>104071748</v>
      </c>
      <c r="F3775" s="560"/>
      <c r="G3775" s="560"/>
      <c r="H3775" s="560"/>
      <c r="I3775" s="362"/>
      <c r="J3775" s="362"/>
    </row>
    <row r="3776" spans="1:10" x14ac:dyDescent="0.25">
      <c r="A3776" s="362"/>
      <c r="B3776" s="609">
        <v>44315</v>
      </c>
      <c r="C3776" s="362" t="s">
        <v>78</v>
      </c>
      <c r="D3776" s="560">
        <v>134634539</v>
      </c>
      <c r="E3776" s="560">
        <v>97361</v>
      </c>
      <c r="F3776" s="560"/>
      <c r="G3776" s="560"/>
      <c r="H3776" s="560"/>
      <c r="I3776" s="362"/>
      <c r="J3776" s="362"/>
    </row>
    <row r="3777" spans="1:10" x14ac:dyDescent="0.25">
      <c r="A3777" s="362"/>
      <c r="B3777" s="609">
        <v>44315</v>
      </c>
      <c r="C3777" s="362" t="s">
        <v>141</v>
      </c>
      <c r="D3777" s="560">
        <v>130390189</v>
      </c>
      <c r="E3777" s="560">
        <v>2350507</v>
      </c>
      <c r="F3777" s="560"/>
      <c r="G3777" s="560"/>
      <c r="H3777" s="560"/>
      <c r="I3777" s="362"/>
      <c r="J3777" s="362"/>
    </row>
    <row r="3778" spans="1:10" x14ac:dyDescent="0.25">
      <c r="A3778" s="362"/>
      <c r="B3778" s="609">
        <v>44315</v>
      </c>
      <c r="C3778" s="362" t="s">
        <v>89</v>
      </c>
      <c r="D3778" s="560">
        <v>192174091</v>
      </c>
      <c r="E3778" s="560">
        <v>35825409</v>
      </c>
      <c r="F3778" s="560"/>
      <c r="G3778" s="560"/>
      <c r="H3778" s="560"/>
      <c r="I3778" s="362"/>
      <c r="J3778" s="362"/>
    </row>
    <row r="3779" spans="1:10" x14ac:dyDescent="0.25">
      <c r="A3779" s="362"/>
      <c r="B3779" s="609">
        <v>44315</v>
      </c>
      <c r="C3779" s="362" t="s">
        <v>81</v>
      </c>
      <c r="D3779" s="560">
        <v>125717881</v>
      </c>
      <c r="E3779" s="560">
        <v>77796959</v>
      </c>
      <c r="F3779" s="560"/>
      <c r="G3779" s="560"/>
      <c r="H3779" s="560"/>
      <c r="I3779" s="362"/>
      <c r="J3779" s="362"/>
    </row>
    <row r="3780" spans="1:10" x14ac:dyDescent="0.25">
      <c r="A3780" s="362"/>
      <c r="B3780" s="609">
        <v>44315</v>
      </c>
      <c r="C3780" s="362" t="s">
        <v>84</v>
      </c>
      <c r="D3780" s="560">
        <v>145968362</v>
      </c>
      <c r="E3780" s="560">
        <v>103814785</v>
      </c>
      <c r="F3780" s="560"/>
      <c r="G3780" s="560"/>
      <c r="H3780" s="560"/>
      <c r="I3780" s="362"/>
      <c r="J3780" s="362"/>
    </row>
    <row r="3781" spans="1:10" x14ac:dyDescent="0.25">
      <c r="A3781" s="362"/>
      <c r="B3781" s="609">
        <v>44315</v>
      </c>
      <c r="C3781" s="362" t="s">
        <v>4751</v>
      </c>
      <c r="D3781" s="560">
        <v>242028400</v>
      </c>
      <c r="E3781" s="560">
        <v>36098500</v>
      </c>
      <c r="F3781" s="560"/>
      <c r="G3781" s="560"/>
      <c r="H3781" s="560"/>
      <c r="I3781" s="362"/>
      <c r="J3781" s="362"/>
    </row>
    <row r="3782" spans="1:10" x14ac:dyDescent="0.25">
      <c r="A3782" s="362"/>
      <c r="B3782" s="609">
        <v>44315</v>
      </c>
      <c r="C3782" s="362" t="s">
        <v>166</v>
      </c>
      <c r="D3782" s="560">
        <v>72686052</v>
      </c>
      <c r="E3782" s="560"/>
      <c r="F3782" s="560"/>
      <c r="G3782" s="560"/>
      <c r="H3782" s="560"/>
      <c r="I3782" s="362"/>
      <c r="J3782" s="362"/>
    </row>
    <row r="3783" spans="1:10" x14ac:dyDescent="0.25">
      <c r="A3783" s="362"/>
      <c r="B3783" s="609">
        <v>44315</v>
      </c>
      <c r="C3783" s="362" t="s">
        <v>3435</v>
      </c>
      <c r="D3783" s="560">
        <v>138093596</v>
      </c>
      <c r="E3783" s="560"/>
      <c r="F3783" s="560"/>
      <c r="G3783" s="560"/>
      <c r="H3783" s="560"/>
      <c r="I3783" s="362"/>
      <c r="J3783" s="362"/>
    </row>
    <row r="3784" spans="1:10" x14ac:dyDescent="0.25">
      <c r="A3784" s="362"/>
      <c r="B3784" s="609">
        <v>44315</v>
      </c>
      <c r="C3784" s="370" t="s">
        <v>85</v>
      </c>
      <c r="D3784" s="560">
        <v>26417000</v>
      </c>
      <c r="E3784" s="560"/>
      <c r="F3784" s="560"/>
      <c r="G3784" s="560"/>
      <c r="H3784" s="560"/>
      <c r="I3784" s="362"/>
      <c r="J3784" s="362"/>
    </row>
    <row r="3785" spans="1:10" x14ac:dyDescent="0.25">
      <c r="A3785" s="530"/>
      <c r="B3785" s="530"/>
      <c r="C3785" s="530"/>
      <c r="D3785" s="562">
        <f>SUM(D3770:D3784)</f>
        <v>2713873130</v>
      </c>
      <c r="E3785" s="562">
        <f>SUM(E3770:E3784)</f>
        <v>838127791</v>
      </c>
      <c r="F3785" s="562">
        <f>SUM(F3770:F3784)</f>
        <v>0</v>
      </c>
      <c r="G3785" s="562">
        <f>SUM(G3770:G3784)</f>
        <v>0</v>
      </c>
      <c r="H3785" s="562"/>
      <c r="I3785" s="530"/>
      <c r="J3785" s="530"/>
    </row>
    <row r="3786" spans="1:10" x14ac:dyDescent="0.25">
      <c r="A3786" s="362"/>
      <c r="B3786" s="609">
        <v>44316</v>
      </c>
      <c r="C3786" s="362" t="s">
        <v>86</v>
      </c>
      <c r="D3786" s="560">
        <v>47463204</v>
      </c>
      <c r="E3786" s="560">
        <v>144943834</v>
      </c>
      <c r="F3786" s="560"/>
      <c r="G3786" s="560"/>
      <c r="H3786" s="560"/>
      <c r="I3786" s="362"/>
      <c r="J3786" s="362"/>
    </row>
    <row r="3787" spans="1:10" x14ac:dyDescent="0.25">
      <c r="A3787" s="362"/>
      <c r="B3787" s="609">
        <v>44316</v>
      </c>
      <c r="C3787" s="362" t="s">
        <v>87</v>
      </c>
      <c r="D3787" s="560">
        <v>206293672</v>
      </c>
      <c r="E3787" s="560">
        <v>59373069</v>
      </c>
      <c r="F3787" s="560"/>
      <c r="G3787" s="560"/>
      <c r="H3787" s="560"/>
      <c r="I3787" s="362"/>
      <c r="J3787" s="362"/>
    </row>
    <row r="3788" spans="1:10" x14ac:dyDescent="0.25">
      <c r="A3788" s="362"/>
      <c r="B3788" s="609">
        <v>44316</v>
      </c>
      <c r="C3788" s="362" t="s">
        <v>88</v>
      </c>
      <c r="D3788" s="560">
        <v>119277782</v>
      </c>
      <c r="E3788" s="560">
        <v>116667049</v>
      </c>
      <c r="F3788" s="560"/>
      <c r="G3788" s="560"/>
      <c r="H3788" s="560"/>
      <c r="I3788" s="362"/>
      <c r="J3788" s="362"/>
    </row>
    <row r="3789" spans="1:10" x14ac:dyDescent="0.25">
      <c r="A3789" s="362"/>
      <c r="B3789" s="609">
        <v>44316</v>
      </c>
      <c r="C3789" s="362" t="s">
        <v>82</v>
      </c>
      <c r="D3789" s="560">
        <v>225897024</v>
      </c>
      <c r="E3789" s="560">
        <v>3750467</v>
      </c>
      <c r="F3789" s="560"/>
      <c r="G3789" s="560"/>
      <c r="H3789" s="560"/>
      <c r="I3789" s="362"/>
      <c r="J3789" s="362"/>
    </row>
    <row r="3790" spans="1:10" x14ac:dyDescent="0.25">
      <c r="A3790" s="362"/>
      <c r="B3790" s="609">
        <v>44316</v>
      </c>
      <c r="C3790" s="362" t="s">
        <v>80</v>
      </c>
      <c r="D3790" s="560">
        <v>255202909</v>
      </c>
      <c r="E3790" s="560">
        <v>87699480</v>
      </c>
      <c r="F3790" s="560"/>
      <c r="G3790" s="560"/>
      <c r="H3790" s="560"/>
      <c r="I3790" s="362"/>
      <c r="J3790" s="362"/>
    </row>
    <row r="3791" spans="1:10" x14ac:dyDescent="0.25">
      <c r="A3791" s="362"/>
      <c r="B3791" s="609">
        <v>44316</v>
      </c>
      <c r="C3791" s="362" t="s">
        <v>83</v>
      </c>
      <c r="D3791" s="560">
        <v>246737270</v>
      </c>
      <c r="E3791" s="560">
        <v>139655930</v>
      </c>
      <c r="F3791" s="560"/>
      <c r="G3791" s="560"/>
      <c r="H3791" s="560"/>
      <c r="I3791" s="362"/>
      <c r="J3791" s="362"/>
    </row>
    <row r="3792" spans="1:10" x14ac:dyDescent="0.25">
      <c r="A3792" s="362"/>
      <c r="B3792" s="609">
        <v>44316</v>
      </c>
      <c r="C3792" s="362" t="s">
        <v>78</v>
      </c>
      <c r="D3792" s="560">
        <v>208904948</v>
      </c>
      <c r="E3792" s="560">
        <v>2035252</v>
      </c>
      <c r="F3792" s="560"/>
      <c r="G3792" s="560"/>
      <c r="H3792" s="560"/>
      <c r="I3792" s="362"/>
      <c r="J3792" s="362"/>
    </row>
    <row r="3793" spans="1:10" x14ac:dyDescent="0.25">
      <c r="A3793" s="362"/>
      <c r="B3793" s="609">
        <v>44316</v>
      </c>
      <c r="C3793" s="362" t="s">
        <v>141</v>
      </c>
      <c r="D3793" s="560">
        <v>101028885</v>
      </c>
      <c r="E3793" s="560">
        <v>965198</v>
      </c>
      <c r="F3793" s="560"/>
      <c r="G3793" s="560"/>
      <c r="H3793" s="560"/>
      <c r="I3793" s="362"/>
      <c r="J3793" s="362"/>
    </row>
    <row r="3794" spans="1:10" x14ac:dyDescent="0.25">
      <c r="A3794" s="362"/>
      <c r="B3794" s="609">
        <v>44316</v>
      </c>
      <c r="C3794" s="362" t="s">
        <v>89</v>
      </c>
      <c r="D3794" s="560">
        <v>207464254</v>
      </c>
      <c r="E3794" s="560">
        <v>20827946</v>
      </c>
      <c r="F3794" s="560"/>
      <c r="G3794" s="560"/>
      <c r="H3794" s="560"/>
      <c r="I3794" s="362"/>
      <c r="J3794" s="362"/>
    </row>
    <row r="3795" spans="1:10" x14ac:dyDescent="0.25">
      <c r="A3795" s="362"/>
      <c r="B3795" s="609">
        <v>44316</v>
      </c>
      <c r="C3795" s="362" t="s">
        <v>81</v>
      </c>
      <c r="D3795" s="560">
        <v>88374407</v>
      </c>
      <c r="E3795" s="560">
        <v>34700065</v>
      </c>
      <c r="F3795" s="560"/>
      <c r="G3795" s="560"/>
      <c r="H3795" s="560"/>
      <c r="I3795" s="362"/>
      <c r="J3795" s="362"/>
    </row>
    <row r="3796" spans="1:10" x14ac:dyDescent="0.25">
      <c r="A3796" s="362"/>
      <c r="B3796" s="609">
        <v>44316</v>
      </c>
      <c r="C3796" s="362" t="s">
        <v>84</v>
      </c>
      <c r="D3796" s="560">
        <v>238619250</v>
      </c>
      <c r="E3796" s="560">
        <v>19458301</v>
      </c>
      <c r="F3796" s="560"/>
      <c r="G3796" s="560"/>
      <c r="H3796" s="560"/>
      <c r="I3796" s="362"/>
      <c r="J3796" s="362"/>
    </row>
    <row r="3797" spans="1:10" x14ac:dyDescent="0.25">
      <c r="A3797" s="362"/>
      <c r="B3797" s="609">
        <v>44316</v>
      </c>
      <c r="C3797" s="362" t="s">
        <v>4751</v>
      </c>
      <c r="D3797" s="560">
        <v>338688252</v>
      </c>
      <c r="E3797" s="560">
        <v>10373648</v>
      </c>
      <c r="F3797" s="560"/>
      <c r="G3797" s="560"/>
      <c r="H3797" s="560"/>
      <c r="I3797" s="362"/>
      <c r="J3797" s="362"/>
    </row>
    <row r="3798" spans="1:10" x14ac:dyDescent="0.25">
      <c r="A3798" s="362"/>
      <c r="B3798" s="609">
        <v>44316</v>
      </c>
      <c r="C3798" s="362" t="s">
        <v>166</v>
      </c>
      <c r="D3798" s="560">
        <v>43256455</v>
      </c>
      <c r="E3798" s="560"/>
      <c r="F3798" s="560"/>
      <c r="G3798" s="560"/>
      <c r="H3798" s="560"/>
      <c r="I3798" s="362"/>
      <c r="J3798" s="362"/>
    </row>
    <row r="3799" spans="1:10" x14ac:dyDescent="0.25">
      <c r="A3799" s="362"/>
      <c r="B3799" s="609">
        <v>44316</v>
      </c>
      <c r="C3799" s="362" t="s">
        <v>3435</v>
      </c>
      <c r="D3799" s="560">
        <v>131536423</v>
      </c>
      <c r="E3799" s="560"/>
      <c r="F3799" s="560"/>
      <c r="G3799" s="560"/>
      <c r="H3799" s="560"/>
      <c r="I3799" s="362"/>
      <c r="J3799" s="362"/>
    </row>
    <row r="3800" spans="1:10" x14ac:dyDescent="0.25">
      <c r="A3800" s="362"/>
      <c r="B3800" s="609">
        <v>44316</v>
      </c>
      <c r="C3800" s="370" t="s">
        <v>85</v>
      </c>
      <c r="D3800" s="560">
        <v>25995600</v>
      </c>
      <c r="E3800" s="560"/>
      <c r="F3800" s="560"/>
      <c r="G3800" s="560"/>
      <c r="H3800" s="560"/>
      <c r="I3800" s="362"/>
      <c r="J3800" s="362"/>
    </row>
    <row r="3801" spans="1:10" x14ac:dyDescent="0.25">
      <c r="A3801" s="530"/>
      <c r="B3801" s="530"/>
      <c r="C3801" s="530"/>
      <c r="D3801" s="562">
        <f>SUM(D3786:D3800)</f>
        <v>2484740335</v>
      </c>
      <c r="E3801" s="562">
        <f>SUM(E3786:E3800)</f>
        <v>640450239</v>
      </c>
      <c r="F3801" s="562">
        <f>SUM(F3786:F3800)</f>
        <v>0</v>
      </c>
      <c r="G3801" s="562">
        <f>SUM(G3786:G3800)</f>
        <v>0</v>
      </c>
      <c r="H3801" s="562"/>
      <c r="I3801" s="530"/>
      <c r="J3801" s="530"/>
    </row>
    <row r="3802" spans="1:10" x14ac:dyDescent="0.25">
      <c r="A3802" s="362"/>
      <c r="B3802" s="609">
        <v>44317</v>
      </c>
      <c r="C3802" s="362" t="s">
        <v>86</v>
      </c>
      <c r="D3802" s="560">
        <v>100715806</v>
      </c>
      <c r="E3802" s="560">
        <v>210264475</v>
      </c>
      <c r="F3802" s="560"/>
      <c r="G3802" s="560"/>
      <c r="H3802" s="560"/>
      <c r="I3802" s="362"/>
      <c r="J3802" s="362"/>
    </row>
    <row r="3803" spans="1:10" x14ac:dyDescent="0.25">
      <c r="A3803" s="362"/>
      <c r="B3803" s="609">
        <v>44317</v>
      </c>
      <c r="C3803" s="362" t="s">
        <v>87</v>
      </c>
      <c r="D3803" s="560">
        <v>299280213</v>
      </c>
      <c r="E3803" s="560">
        <v>138827867</v>
      </c>
      <c r="F3803" s="560"/>
      <c r="G3803" s="560"/>
      <c r="H3803" s="560"/>
      <c r="I3803" s="362"/>
      <c r="J3803" s="362"/>
    </row>
    <row r="3804" spans="1:10" x14ac:dyDescent="0.25">
      <c r="A3804" s="362"/>
      <c r="B3804" s="609">
        <v>44317</v>
      </c>
      <c r="C3804" s="362" t="s">
        <v>88</v>
      </c>
      <c r="D3804" s="560">
        <v>162722077</v>
      </c>
      <c r="E3804" s="560">
        <v>34432520</v>
      </c>
      <c r="F3804" s="560"/>
      <c r="G3804" s="560"/>
      <c r="H3804" s="560"/>
      <c r="I3804" s="362"/>
      <c r="J3804" s="362"/>
    </row>
    <row r="3805" spans="1:10" x14ac:dyDescent="0.25">
      <c r="A3805" s="362"/>
      <c r="B3805" s="609">
        <v>44317</v>
      </c>
      <c r="C3805" s="362" t="s">
        <v>82</v>
      </c>
      <c r="D3805" s="560">
        <v>58011084</v>
      </c>
      <c r="E3805" s="560">
        <v>5709381</v>
      </c>
      <c r="F3805" s="560"/>
      <c r="G3805" s="560"/>
      <c r="H3805" s="560"/>
      <c r="I3805" s="362"/>
      <c r="J3805" s="362"/>
    </row>
    <row r="3806" spans="1:10" x14ac:dyDescent="0.25">
      <c r="A3806" s="362"/>
      <c r="B3806" s="609">
        <v>44317</v>
      </c>
      <c r="C3806" s="362" t="s">
        <v>80</v>
      </c>
      <c r="D3806" s="560">
        <v>182010920</v>
      </c>
      <c r="E3806" s="560"/>
      <c r="F3806" s="560"/>
      <c r="G3806" s="560"/>
      <c r="H3806" s="560"/>
      <c r="I3806" s="362"/>
      <c r="J3806" s="362"/>
    </row>
    <row r="3807" spans="1:10" x14ac:dyDescent="0.25">
      <c r="A3807" s="362"/>
      <c r="B3807" s="609">
        <v>44317</v>
      </c>
      <c r="C3807" s="362" t="s">
        <v>83</v>
      </c>
      <c r="D3807" s="560">
        <v>148931534</v>
      </c>
      <c r="E3807" s="560">
        <v>117882966</v>
      </c>
      <c r="F3807" s="560"/>
      <c r="G3807" s="560"/>
      <c r="H3807" s="560"/>
      <c r="I3807" s="362"/>
      <c r="J3807" s="362"/>
    </row>
    <row r="3808" spans="1:10" x14ac:dyDescent="0.25">
      <c r="A3808" s="362"/>
      <c r="B3808" s="609">
        <v>44317</v>
      </c>
      <c r="C3808" s="362" t="s">
        <v>78</v>
      </c>
      <c r="D3808" s="560">
        <v>228621100</v>
      </c>
      <c r="E3808" s="560">
        <v>1586300</v>
      </c>
      <c r="F3808" s="560"/>
      <c r="G3808" s="560"/>
      <c r="H3808" s="560"/>
      <c r="I3808" s="362"/>
      <c r="J3808" s="362"/>
    </row>
    <row r="3809" spans="1:10" x14ac:dyDescent="0.25">
      <c r="A3809" s="362"/>
      <c r="B3809" s="609">
        <v>44317</v>
      </c>
      <c r="C3809" s="362" t="s">
        <v>141</v>
      </c>
      <c r="D3809" s="560">
        <v>40990462</v>
      </c>
      <c r="E3809" s="560">
        <v>1111429</v>
      </c>
      <c r="F3809" s="560"/>
      <c r="G3809" s="560"/>
      <c r="H3809" s="560"/>
      <c r="I3809" s="362"/>
      <c r="J3809" s="362"/>
    </row>
    <row r="3810" spans="1:10" x14ac:dyDescent="0.25">
      <c r="A3810" s="362"/>
      <c r="B3810" s="609">
        <v>44317</v>
      </c>
      <c r="C3810" s="362" t="s">
        <v>89</v>
      </c>
      <c r="D3810" s="560">
        <v>157221184</v>
      </c>
      <c r="E3810" s="560">
        <v>65032416</v>
      </c>
      <c r="F3810" s="560"/>
      <c r="G3810" s="560"/>
      <c r="H3810" s="560"/>
      <c r="I3810" s="362"/>
      <c r="J3810" s="362"/>
    </row>
    <row r="3811" spans="1:10" x14ac:dyDescent="0.25">
      <c r="A3811" s="362"/>
      <c r="B3811" s="609">
        <v>44317</v>
      </c>
      <c r="C3811" s="362" t="s">
        <v>81</v>
      </c>
      <c r="D3811" s="560">
        <v>101764711</v>
      </c>
      <c r="E3811" s="560">
        <v>22457917</v>
      </c>
      <c r="F3811" s="560"/>
      <c r="G3811" s="560"/>
      <c r="H3811" s="560"/>
      <c r="I3811" s="362"/>
      <c r="J3811" s="362"/>
    </row>
    <row r="3812" spans="1:10" x14ac:dyDescent="0.25">
      <c r="A3812" s="362"/>
      <c r="B3812" s="609">
        <v>44317</v>
      </c>
      <c r="C3812" s="362" t="s">
        <v>84</v>
      </c>
      <c r="D3812" s="560">
        <v>128378386</v>
      </c>
      <c r="E3812" s="560">
        <v>20510759</v>
      </c>
      <c r="F3812" s="560"/>
      <c r="G3812" s="560"/>
      <c r="H3812" s="560"/>
      <c r="I3812" s="362"/>
      <c r="J3812" s="362"/>
    </row>
    <row r="3813" spans="1:10" x14ac:dyDescent="0.25">
      <c r="A3813" s="362"/>
      <c r="B3813" s="609">
        <v>44317</v>
      </c>
      <c r="C3813" s="362" t="s">
        <v>4751</v>
      </c>
      <c r="D3813" s="560">
        <v>229606498</v>
      </c>
      <c r="E3813" s="560">
        <v>11490002</v>
      </c>
      <c r="F3813" s="560"/>
      <c r="G3813" s="560"/>
      <c r="H3813" s="560"/>
      <c r="I3813" s="362"/>
      <c r="J3813" s="362"/>
    </row>
    <row r="3814" spans="1:10" x14ac:dyDescent="0.25">
      <c r="A3814" s="362"/>
      <c r="B3814" s="609">
        <v>44317</v>
      </c>
      <c r="C3814" s="362" t="s">
        <v>166</v>
      </c>
      <c r="D3814" s="560"/>
      <c r="E3814" s="560"/>
      <c r="F3814" s="560"/>
      <c r="G3814" s="560"/>
      <c r="H3814" s="560"/>
      <c r="I3814" s="362"/>
      <c r="J3814" s="362"/>
    </row>
    <row r="3815" spans="1:10" x14ac:dyDescent="0.25">
      <c r="A3815" s="362"/>
      <c r="B3815" s="609">
        <v>44317</v>
      </c>
      <c r="C3815" s="362" t="s">
        <v>3435</v>
      </c>
      <c r="D3815" s="560"/>
      <c r="E3815" s="560"/>
      <c r="F3815" s="560"/>
      <c r="G3815" s="560"/>
      <c r="H3815" s="560"/>
      <c r="I3815" s="362"/>
      <c r="J3815" s="362"/>
    </row>
    <row r="3816" spans="1:10" x14ac:dyDescent="0.25">
      <c r="A3816" s="362"/>
      <c r="B3816" s="609">
        <v>44317</v>
      </c>
      <c r="C3816" s="370" t="s">
        <v>85</v>
      </c>
      <c r="D3816" s="560">
        <v>35987600</v>
      </c>
      <c r="E3816" s="560"/>
      <c r="F3816" s="560"/>
      <c r="G3816" s="560"/>
      <c r="H3816" s="560"/>
      <c r="I3816" s="362"/>
      <c r="J3816" s="362"/>
    </row>
    <row r="3817" spans="1:10" x14ac:dyDescent="0.25">
      <c r="A3817" s="530"/>
      <c r="B3817" s="530"/>
      <c r="C3817" s="530"/>
      <c r="D3817" s="562"/>
      <c r="E3817" s="562"/>
      <c r="F3817" s="562"/>
      <c r="G3817" s="562"/>
      <c r="H3817" s="562"/>
      <c r="I3817" s="530"/>
      <c r="J3817" s="530"/>
    </row>
    <row r="3818" spans="1:10" x14ac:dyDescent="0.25">
      <c r="A3818" s="362"/>
      <c r="B3818" s="609">
        <v>44319</v>
      </c>
      <c r="C3818" s="362" t="s">
        <v>86</v>
      </c>
      <c r="D3818" s="560">
        <v>83020327</v>
      </c>
      <c r="E3818" s="560">
        <v>29529870</v>
      </c>
      <c r="F3818" s="560">
        <v>112550200</v>
      </c>
      <c r="G3818" s="560">
        <f>D3818+E3818-F3818</f>
        <v>-3</v>
      </c>
      <c r="H3818" s="560"/>
      <c r="I3818" s="362"/>
      <c r="J3818" s="362"/>
    </row>
    <row r="3819" spans="1:10" x14ac:dyDescent="0.25">
      <c r="A3819" s="362"/>
      <c r="B3819" s="609">
        <v>44319</v>
      </c>
      <c r="C3819" s="362" t="s">
        <v>87</v>
      </c>
      <c r="D3819" s="560">
        <v>174680130</v>
      </c>
      <c r="E3819" s="560">
        <v>8012535</v>
      </c>
      <c r="F3819" s="560">
        <v>182692700</v>
      </c>
      <c r="G3819" s="560">
        <f t="shared" ref="G3819:G3832" si="90">D3819+E3819-F3819</f>
        <v>-35</v>
      </c>
      <c r="H3819" s="560"/>
      <c r="I3819" s="362"/>
      <c r="J3819" s="362"/>
    </row>
    <row r="3820" spans="1:10" x14ac:dyDescent="0.25">
      <c r="A3820" s="362"/>
      <c r="B3820" s="609">
        <v>44319</v>
      </c>
      <c r="C3820" s="362" t="s">
        <v>88</v>
      </c>
      <c r="D3820" s="560">
        <v>225977669</v>
      </c>
      <c r="E3820" s="560">
        <v>118734210</v>
      </c>
      <c r="F3820" s="560">
        <v>344711900</v>
      </c>
      <c r="G3820" s="560">
        <f t="shared" si="90"/>
        <v>-21</v>
      </c>
      <c r="H3820" s="560"/>
      <c r="I3820" s="362"/>
      <c r="J3820" s="362"/>
    </row>
    <row r="3821" spans="1:10" x14ac:dyDescent="0.25">
      <c r="A3821" s="362"/>
      <c r="B3821" s="609">
        <v>44319</v>
      </c>
      <c r="C3821" s="362" t="s">
        <v>82</v>
      </c>
      <c r="D3821" s="560">
        <v>56856456</v>
      </c>
      <c r="E3821" s="560">
        <v>7022940</v>
      </c>
      <c r="F3821" s="560">
        <v>63879400</v>
      </c>
      <c r="G3821" s="560">
        <f t="shared" si="90"/>
        <v>-4</v>
      </c>
      <c r="H3821" s="560"/>
      <c r="I3821" s="362"/>
      <c r="J3821" s="362"/>
    </row>
    <row r="3822" spans="1:10" x14ac:dyDescent="0.25">
      <c r="A3822" s="362"/>
      <c r="B3822" s="609">
        <v>44319</v>
      </c>
      <c r="C3822" s="362" t="s">
        <v>80</v>
      </c>
      <c r="D3822" s="560">
        <v>424374642</v>
      </c>
      <c r="E3822" s="560">
        <v>87451000</v>
      </c>
      <c r="F3822" s="560">
        <v>511780600</v>
      </c>
      <c r="G3822" s="560">
        <f t="shared" si="90"/>
        <v>45042</v>
      </c>
      <c r="H3822" s="560"/>
      <c r="I3822" s="362"/>
      <c r="J3822" s="362"/>
    </row>
    <row r="3823" spans="1:10" x14ac:dyDescent="0.25">
      <c r="A3823" s="362"/>
      <c r="B3823" s="609">
        <v>44319</v>
      </c>
      <c r="C3823" s="362" t="s">
        <v>83</v>
      </c>
      <c r="D3823" s="560">
        <v>219195091</v>
      </c>
      <c r="E3823" s="560">
        <v>4045100</v>
      </c>
      <c r="F3823" s="560">
        <v>223240200</v>
      </c>
      <c r="G3823" s="560">
        <f t="shared" si="90"/>
        <v>-9</v>
      </c>
      <c r="H3823" s="560"/>
      <c r="I3823" s="362"/>
      <c r="J3823" s="362"/>
    </row>
    <row r="3824" spans="1:10" x14ac:dyDescent="0.25">
      <c r="A3824" s="362"/>
      <c r="B3824" s="609">
        <v>44319</v>
      </c>
      <c r="C3824" s="362" t="s">
        <v>78</v>
      </c>
      <c r="D3824" s="560">
        <v>209532470</v>
      </c>
      <c r="E3824" s="560">
        <v>1514730</v>
      </c>
      <c r="F3824" s="560">
        <v>211047200</v>
      </c>
      <c r="G3824" s="560">
        <f t="shared" si="90"/>
        <v>0</v>
      </c>
      <c r="H3824" s="560"/>
      <c r="I3824" s="362"/>
      <c r="J3824" s="362"/>
    </row>
    <row r="3825" spans="1:10" x14ac:dyDescent="0.25">
      <c r="A3825" s="362"/>
      <c r="B3825" s="609">
        <v>44319</v>
      </c>
      <c r="C3825" s="362" t="s">
        <v>141</v>
      </c>
      <c r="D3825" s="560">
        <v>61447026</v>
      </c>
      <c r="E3825" s="560">
        <v>5100980</v>
      </c>
      <c r="F3825" s="560">
        <v>66548100</v>
      </c>
      <c r="G3825" s="560">
        <f t="shared" si="90"/>
        <v>-94</v>
      </c>
      <c r="H3825" s="560"/>
      <c r="I3825" s="362"/>
      <c r="J3825" s="362"/>
    </row>
    <row r="3826" spans="1:10" x14ac:dyDescent="0.25">
      <c r="A3826" s="362"/>
      <c r="B3826" s="609">
        <v>44319</v>
      </c>
      <c r="C3826" s="362" t="s">
        <v>89</v>
      </c>
      <c r="D3826" s="560">
        <v>154238992</v>
      </c>
      <c r="E3826" s="560">
        <v>25107308</v>
      </c>
      <c r="F3826" s="560">
        <v>179346300</v>
      </c>
      <c r="G3826" s="560">
        <f t="shared" si="90"/>
        <v>0</v>
      </c>
      <c r="H3826" s="560"/>
      <c r="I3826" s="362"/>
      <c r="J3826" s="362"/>
    </row>
    <row r="3827" spans="1:10" x14ac:dyDescent="0.25">
      <c r="A3827" s="362"/>
      <c r="B3827" s="609">
        <v>44319</v>
      </c>
      <c r="C3827" s="362" t="s">
        <v>81</v>
      </c>
      <c r="D3827" s="560">
        <v>165825413</v>
      </c>
      <c r="E3827" s="560">
        <v>6465380</v>
      </c>
      <c r="F3827" s="560">
        <v>172290800</v>
      </c>
      <c r="G3827" s="560">
        <f t="shared" si="90"/>
        <v>-7</v>
      </c>
      <c r="H3827" s="560"/>
      <c r="I3827" s="362"/>
      <c r="J3827" s="362"/>
    </row>
    <row r="3828" spans="1:10" x14ac:dyDescent="0.25">
      <c r="A3828" s="362"/>
      <c r="B3828" s="609">
        <v>44319</v>
      </c>
      <c r="C3828" s="362" t="s">
        <v>84</v>
      </c>
      <c r="D3828" s="560">
        <v>243418630</v>
      </c>
      <c r="E3828" s="560">
        <v>4979968</v>
      </c>
      <c r="F3828" s="560">
        <v>248398800</v>
      </c>
      <c r="G3828" s="560">
        <f t="shared" si="90"/>
        <v>-202</v>
      </c>
      <c r="H3828" s="560"/>
      <c r="I3828" s="362"/>
      <c r="J3828" s="362"/>
    </row>
    <row r="3829" spans="1:10" x14ac:dyDescent="0.25">
      <c r="A3829" s="362"/>
      <c r="B3829" s="609">
        <v>44319</v>
      </c>
      <c r="C3829" s="362" t="s">
        <v>4751</v>
      </c>
      <c r="D3829" s="560">
        <v>287277853</v>
      </c>
      <c r="E3829" s="560">
        <v>8680147</v>
      </c>
      <c r="F3829" s="560">
        <v>295958000</v>
      </c>
      <c r="G3829" s="560">
        <f t="shared" si="90"/>
        <v>0</v>
      </c>
      <c r="H3829" s="560"/>
      <c r="I3829" s="362"/>
      <c r="J3829" s="362"/>
    </row>
    <row r="3830" spans="1:10" x14ac:dyDescent="0.25">
      <c r="A3830" s="362"/>
      <c r="B3830" s="609">
        <v>44319</v>
      </c>
      <c r="C3830" s="362" t="s">
        <v>166</v>
      </c>
      <c r="D3830" s="560">
        <v>71510523</v>
      </c>
      <c r="E3830" s="560"/>
      <c r="F3830" s="560">
        <v>71510500</v>
      </c>
      <c r="G3830" s="560">
        <f t="shared" si="90"/>
        <v>23</v>
      </c>
      <c r="H3830" s="560"/>
      <c r="I3830" s="362"/>
      <c r="J3830" s="362"/>
    </row>
    <row r="3831" spans="1:10" x14ac:dyDescent="0.25">
      <c r="A3831" s="362"/>
      <c r="B3831" s="609">
        <v>44319</v>
      </c>
      <c r="C3831" s="362" t="s">
        <v>3435</v>
      </c>
      <c r="D3831" s="560">
        <v>39669087</v>
      </c>
      <c r="E3831" s="560"/>
      <c r="F3831" s="560">
        <v>39669100</v>
      </c>
      <c r="G3831" s="560">
        <f t="shared" si="90"/>
        <v>-13</v>
      </c>
      <c r="H3831" s="560"/>
      <c r="I3831" s="362"/>
      <c r="J3831" s="362"/>
    </row>
    <row r="3832" spans="1:10" x14ac:dyDescent="0.25">
      <c r="A3832" s="362"/>
      <c r="B3832" s="609">
        <v>44319</v>
      </c>
      <c r="C3832" s="370" t="s">
        <v>85</v>
      </c>
      <c r="D3832" s="560">
        <v>52529200</v>
      </c>
      <c r="E3832" s="560"/>
      <c r="F3832" s="560">
        <v>52529200</v>
      </c>
      <c r="G3832" s="560">
        <f t="shared" si="90"/>
        <v>0</v>
      </c>
      <c r="H3832" s="560"/>
      <c r="I3832" s="362"/>
      <c r="J3832" s="362"/>
    </row>
    <row r="3833" spans="1:10" x14ac:dyDescent="0.25">
      <c r="A3833" s="530"/>
      <c r="B3833" s="530"/>
      <c r="C3833" s="530"/>
      <c r="D3833" s="562">
        <f>SUM(D3818:D3832)</f>
        <v>2469553509</v>
      </c>
      <c r="E3833" s="562">
        <f>SUM(E3818:E3832)</f>
        <v>306644168</v>
      </c>
      <c r="F3833" s="562">
        <f>SUM(F3818:F3832)</f>
        <v>2776153000</v>
      </c>
      <c r="G3833" s="562">
        <f>SUM(G3818:G3832)</f>
        <v>44677</v>
      </c>
      <c r="H3833" s="562"/>
      <c r="I3833" s="530"/>
      <c r="J3833" s="530"/>
    </row>
    <row r="3834" spans="1:10" x14ac:dyDescent="0.25">
      <c r="A3834" s="362"/>
      <c r="B3834" s="609">
        <v>44320</v>
      </c>
      <c r="C3834" s="362" t="s">
        <v>86</v>
      </c>
      <c r="D3834" s="560">
        <v>134543719</v>
      </c>
      <c r="E3834" s="560">
        <v>14850774</v>
      </c>
      <c r="F3834" s="560">
        <v>149394600</v>
      </c>
      <c r="G3834" s="560">
        <f>D3834+E3834-F3834</f>
        <v>-107</v>
      </c>
      <c r="H3834" s="560"/>
      <c r="I3834" s="362"/>
      <c r="J3834" s="362"/>
    </row>
    <row r="3835" spans="1:10" x14ac:dyDescent="0.25">
      <c r="A3835" s="362"/>
      <c r="B3835" s="609">
        <v>44320</v>
      </c>
      <c r="C3835" s="362" t="s">
        <v>87</v>
      </c>
      <c r="D3835" s="560">
        <v>58319928</v>
      </c>
      <c r="E3835" s="560">
        <v>94450342</v>
      </c>
      <c r="F3835" s="560">
        <v>152770300</v>
      </c>
      <c r="G3835" s="560">
        <f t="shared" ref="G3835:G3848" si="91">D3835+E3835-F3835</f>
        <v>-30</v>
      </c>
      <c r="H3835" s="560"/>
      <c r="I3835" s="362"/>
      <c r="J3835" s="362"/>
    </row>
    <row r="3836" spans="1:10" x14ac:dyDescent="0.25">
      <c r="A3836" s="362"/>
      <c r="B3836" s="609">
        <v>44320</v>
      </c>
      <c r="C3836" s="362" t="s">
        <v>88</v>
      </c>
      <c r="D3836" s="560">
        <v>286862864</v>
      </c>
      <c r="E3836" s="560">
        <v>45785577</v>
      </c>
      <c r="F3836" s="560">
        <v>332648500</v>
      </c>
      <c r="G3836" s="560">
        <f t="shared" si="91"/>
        <v>-59</v>
      </c>
      <c r="H3836" s="560"/>
      <c r="I3836" s="362"/>
      <c r="J3836" s="362"/>
    </row>
    <row r="3837" spans="1:10" x14ac:dyDescent="0.25">
      <c r="A3837" s="362"/>
      <c r="B3837" s="609">
        <v>44320</v>
      </c>
      <c r="C3837" s="362" t="s">
        <v>82</v>
      </c>
      <c r="D3837" s="560">
        <v>55018789</v>
      </c>
      <c r="E3837" s="560">
        <v>1428664</v>
      </c>
      <c r="F3837" s="560">
        <v>56447500</v>
      </c>
      <c r="G3837" s="560">
        <f t="shared" si="91"/>
        <v>-47</v>
      </c>
      <c r="H3837" s="560"/>
      <c r="I3837" s="362"/>
      <c r="J3837" s="362"/>
    </row>
    <row r="3838" spans="1:10" x14ac:dyDescent="0.25">
      <c r="A3838" s="362"/>
      <c r="B3838" s="609">
        <v>44320</v>
      </c>
      <c r="C3838" s="362" t="s">
        <v>80</v>
      </c>
      <c r="D3838" s="560">
        <v>430447265</v>
      </c>
      <c r="E3838" s="560">
        <v>3336735</v>
      </c>
      <c r="F3838" s="560">
        <v>433784000</v>
      </c>
      <c r="G3838" s="560">
        <f t="shared" si="91"/>
        <v>0</v>
      </c>
      <c r="H3838" s="560"/>
      <c r="I3838" s="362"/>
      <c r="J3838" s="362"/>
    </row>
    <row r="3839" spans="1:10" x14ac:dyDescent="0.25">
      <c r="A3839" s="362"/>
      <c r="B3839" s="609">
        <v>44320</v>
      </c>
      <c r="C3839" s="362" t="s">
        <v>83</v>
      </c>
      <c r="D3839" s="560">
        <v>262002558</v>
      </c>
      <c r="E3839" s="560">
        <v>54591718</v>
      </c>
      <c r="F3839" s="560">
        <v>316594300</v>
      </c>
      <c r="G3839" s="560">
        <f t="shared" si="91"/>
        <v>-24</v>
      </c>
      <c r="H3839" s="560"/>
      <c r="I3839" s="362"/>
      <c r="J3839" s="362"/>
    </row>
    <row r="3840" spans="1:10" x14ac:dyDescent="0.25">
      <c r="A3840" s="362"/>
      <c r="B3840" s="609">
        <v>44320</v>
      </c>
      <c r="C3840" s="362" t="s">
        <v>78</v>
      </c>
      <c r="D3840" s="560">
        <v>99725099</v>
      </c>
      <c r="E3840" s="560">
        <v>3005301</v>
      </c>
      <c r="F3840" s="560">
        <v>102730400</v>
      </c>
      <c r="G3840" s="560">
        <f t="shared" si="91"/>
        <v>0</v>
      </c>
      <c r="H3840" s="560"/>
      <c r="I3840" s="362"/>
      <c r="J3840" s="362"/>
    </row>
    <row r="3841" spans="1:10" x14ac:dyDescent="0.25">
      <c r="A3841" s="362"/>
      <c r="B3841" s="609">
        <v>44320</v>
      </c>
      <c r="C3841" s="362" t="s">
        <v>141</v>
      </c>
      <c r="D3841" s="560">
        <v>150952222</v>
      </c>
      <c r="E3841" s="560">
        <v>611600</v>
      </c>
      <c r="F3841" s="560">
        <v>151563800</v>
      </c>
      <c r="G3841" s="560">
        <f t="shared" si="91"/>
        <v>22</v>
      </c>
      <c r="H3841" s="560"/>
      <c r="I3841" s="362"/>
      <c r="J3841" s="362"/>
    </row>
    <row r="3842" spans="1:10" x14ac:dyDescent="0.25">
      <c r="A3842" s="362"/>
      <c r="B3842" s="609">
        <v>44320</v>
      </c>
      <c r="C3842" s="362" t="s">
        <v>89</v>
      </c>
      <c r="D3842" s="560">
        <v>214753640</v>
      </c>
      <c r="E3842" s="560">
        <v>74160660</v>
      </c>
      <c r="F3842" s="560">
        <v>288914400</v>
      </c>
      <c r="G3842" s="560">
        <f t="shared" si="91"/>
        <v>-100</v>
      </c>
      <c r="H3842" s="560"/>
      <c r="I3842" s="362"/>
      <c r="J3842" s="362"/>
    </row>
    <row r="3843" spans="1:10" x14ac:dyDescent="0.25">
      <c r="A3843" s="362"/>
      <c r="B3843" s="609">
        <v>44320</v>
      </c>
      <c r="C3843" s="362" t="s">
        <v>81</v>
      </c>
      <c r="D3843" s="560">
        <v>94283047</v>
      </c>
      <c r="E3843" s="560">
        <v>4926852</v>
      </c>
      <c r="F3843" s="560">
        <v>99209900</v>
      </c>
      <c r="G3843" s="560">
        <f t="shared" si="91"/>
        <v>-1</v>
      </c>
      <c r="H3843" s="560"/>
      <c r="I3843" s="362"/>
      <c r="J3843" s="362"/>
    </row>
    <row r="3844" spans="1:10" x14ac:dyDescent="0.25">
      <c r="A3844" s="362"/>
      <c r="B3844" s="609">
        <v>44320</v>
      </c>
      <c r="C3844" s="362" t="s">
        <v>84</v>
      </c>
      <c r="D3844" s="560">
        <v>280002544</v>
      </c>
      <c r="E3844" s="560">
        <v>14874579</v>
      </c>
      <c r="F3844" s="560">
        <v>294876100</v>
      </c>
      <c r="G3844" s="560">
        <f t="shared" si="91"/>
        <v>1023</v>
      </c>
      <c r="H3844" s="560"/>
      <c r="I3844" s="362"/>
      <c r="J3844" s="362"/>
    </row>
    <row r="3845" spans="1:10" x14ac:dyDescent="0.25">
      <c r="A3845" s="362"/>
      <c r="B3845" s="609">
        <v>44320</v>
      </c>
      <c r="C3845" s="362" t="s">
        <v>4751</v>
      </c>
      <c r="D3845" s="560">
        <v>267336004</v>
      </c>
      <c r="E3845" s="560">
        <v>7604396</v>
      </c>
      <c r="F3845" s="560">
        <v>274940400</v>
      </c>
      <c r="G3845" s="560">
        <f t="shared" si="91"/>
        <v>0</v>
      </c>
      <c r="H3845" s="560"/>
      <c r="I3845" s="362"/>
      <c r="J3845" s="362"/>
    </row>
    <row r="3846" spans="1:10" x14ac:dyDescent="0.25">
      <c r="A3846" s="362"/>
      <c r="B3846" s="609">
        <v>44320</v>
      </c>
      <c r="C3846" s="362" t="s">
        <v>166</v>
      </c>
      <c r="D3846" s="560">
        <v>80773253</v>
      </c>
      <c r="E3846" s="560"/>
      <c r="F3846" s="560">
        <v>80773300</v>
      </c>
      <c r="G3846" s="560">
        <f t="shared" si="91"/>
        <v>-47</v>
      </c>
      <c r="H3846" s="560"/>
      <c r="I3846" s="362"/>
      <c r="J3846" s="362"/>
    </row>
    <row r="3847" spans="1:10" x14ac:dyDescent="0.25">
      <c r="A3847" s="362"/>
      <c r="B3847" s="609">
        <v>44320</v>
      </c>
      <c r="C3847" s="362" t="s">
        <v>3435</v>
      </c>
      <c r="D3847" s="560">
        <v>60881857</v>
      </c>
      <c r="E3847" s="560"/>
      <c r="F3847" s="560">
        <v>60881900</v>
      </c>
      <c r="G3847" s="560">
        <f t="shared" si="91"/>
        <v>-43</v>
      </c>
      <c r="H3847" s="560"/>
      <c r="I3847" s="362"/>
      <c r="J3847" s="362"/>
    </row>
    <row r="3848" spans="1:10" x14ac:dyDescent="0.25">
      <c r="A3848" s="362"/>
      <c r="B3848" s="609">
        <v>44320</v>
      </c>
      <c r="C3848" s="370" t="s">
        <v>85</v>
      </c>
      <c r="D3848" s="560">
        <v>44047000</v>
      </c>
      <c r="E3848" s="560"/>
      <c r="F3848" s="560">
        <v>44047000</v>
      </c>
      <c r="G3848" s="560">
        <f t="shared" si="91"/>
        <v>0</v>
      </c>
      <c r="H3848" s="560"/>
      <c r="I3848" s="362"/>
      <c r="J3848" s="362"/>
    </row>
    <row r="3849" spans="1:10" x14ac:dyDescent="0.25">
      <c r="A3849" s="530"/>
      <c r="B3849" s="530"/>
      <c r="C3849" s="530"/>
      <c r="D3849" s="562">
        <f>SUM(D3834:D3848)</f>
        <v>2519949789</v>
      </c>
      <c r="E3849" s="562">
        <f>SUM(E3834:E3848)</f>
        <v>319627198</v>
      </c>
      <c r="F3849" s="562">
        <f>SUM(F3834:F3848)</f>
        <v>2839576400</v>
      </c>
      <c r="G3849" s="562">
        <f>SUM(G3834:G3848)</f>
        <v>587</v>
      </c>
      <c r="H3849" s="562"/>
      <c r="I3849" s="530"/>
      <c r="J3849" s="530"/>
    </row>
    <row r="3850" spans="1:10" x14ac:dyDescent="0.25">
      <c r="A3850" s="362"/>
      <c r="B3850" s="609">
        <v>44321</v>
      </c>
      <c r="C3850" s="362" t="s">
        <v>86</v>
      </c>
      <c r="D3850" s="560">
        <v>118072375</v>
      </c>
      <c r="E3850" s="560">
        <v>177887320</v>
      </c>
      <c r="F3850" s="560">
        <v>295959700</v>
      </c>
      <c r="G3850" s="560">
        <f>D3850+E3850-F3850</f>
        <v>-5</v>
      </c>
      <c r="H3850" s="560"/>
      <c r="I3850" s="362"/>
      <c r="J3850" s="362"/>
    </row>
    <row r="3851" spans="1:10" x14ac:dyDescent="0.25">
      <c r="A3851" s="362"/>
      <c r="B3851" s="609">
        <v>44321</v>
      </c>
      <c r="C3851" s="362" t="s">
        <v>87</v>
      </c>
      <c r="D3851" s="560">
        <v>135985425</v>
      </c>
      <c r="E3851" s="560">
        <v>253854150</v>
      </c>
      <c r="F3851" s="560">
        <v>389839100</v>
      </c>
      <c r="G3851" s="560">
        <f t="shared" ref="G3851:G3914" si="92">D3851+E3851-F3851</f>
        <v>475</v>
      </c>
      <c r="H3851" s="560"/>
      <c r="I3851" s="362"/>
      <c r="J3851" s="362"/>
    </row>
    <row r="3852" spans="1:10" x14ac:dyDescent="0.25">
      <c r="A3852" s="362"/>
      <c r="B3852" s="609">
        <v>44321</v>
      </c>
      <c r="C3852" s="362" t="s">
        <v>88</v>
      </c>
      <c r="D3852" s="560">
        <v>231865741</v>
      </c>
      <c r="E3852" s="560">
        <v>36899127</v>
      </c>
      <c r="F3852" s="560">
        <v>268764900</v>
      </c>
      <c r="G3852" s="560">
        <f t="shared" si="92"/>
        <v>-32</v>
      </c>
      <c r="H3852" s="560"/>
      <c r="I3852" s="362"/>
      <c r="J3852" s="362"/>
    </row>
    <row r="3853" spans="1:10" x14ac:dyDescent="0.25">
      <c r="A3853" s="362"/>
      <c r="B3853" s="609">
        <v>44321</v>
      </c>
      <c r="C3853" s="362" t="s">
        <v>82</v>
      </c>
      <c r="D3853" s="560">
        <v>100176823</v>
      </c>
      <c r="E3853" s="560">
        <v>7069912</v>
      </c>
      <c r="F3853" s="560">
        <v>107246800</v>
      </c>
      <c r="G3853" s="560">
        <f t="shared" si="92"/>
        <v>-65</v>
      </c>
      <c r="H3853" s="560"/>
      <c r="I3853" s="362"/>
      <c r="J3853" s="362"/>
    </row>
    <row r="3854" spans="1:10" x14ac:dyDescent="0.25">
      <c r="A3854" s="362"/>
      <c r="B3854" s="609">
        <v>44321</v>
      </c>
      <c r="C3854" s="362" t="s">
        <v>80</v>
      </c>
      <c r="D3854" s="560">
        <v>391010598</v>
      </c>
      <c r="E3854" s="560">
        <v>72002</v>
      </c>
      <c r="F3854" s="560">
        <v>391082600</v>
      </c>
      <c r="G3854" s="560">
        <f t="shared" si="92"/>
        <v>0</v>
      </c>
      <c r="H3854" s="560"/>
      <c r="I3854" s="362"/>
      <c r="J3854" s="362"/>
    </row>
    <row r="3855" spans="1:10" x14ac:dyDescent="0.25">
      <c r="A3855" s="362"/>
      <c r="B3855" s="609">
        <v>44321</v>
      </c>
      <c r="C3855" s="362" t="s">
        <v>83</v>
      </c>
      <c r="D3855" s="560">
        <v>229996365</v>
      </c>
      <c r="E3855" s="560">
        <v>20109931</v>
      </c>
      <c r="F3855" s="560">
        <v>250115800</v>
      </c>
      <c r="G3855" s="560">
        <f t="shared" si="92"/>
        <v>-9504</v>
      </c>
      <c r="H3855" s="560"/>
      <c r="I3855" s="362"/>
      <c r="J3855" s="362"/>
    </row>
    <row r="3856" spans="1:10" x14ac:dyDescent="0.25">
      <c r="A3856" s="362"/>
      <c r="B3856" s="609">
        <v>44321</v>
      </c>
      <c r="C3856" s="362" t="s">
        <v>78</v>
      </c>
      <c r="D3856" s="560">
        <v>118791683</v>
      </c>
      <c r="E3856" s="560">
        <v>35760117</v>
      </c>
      <c r="F3856" s="560">
        <v>154551800</v>
      </c>
      <c r="G3856" s="560">
        <f t="shared" si="92"/>
        <v>0</v>
      </c>
      <c r="H3856" s="560"/>
      <c r="I3856" s="362"/>
      <c r="J3856" s="362"/>
    </row>
    <row r="3857" spans="1:10" x14ac:dyDescent="0.25">
      <c r="A3857" s="362"/>
      <c r="B3857" s="609">
        <v>44321</v>
      </c>
      <c r="C3857" s="362" t="s">
        <v>141</v>
      </c>
      <c r="D3857" s="560">
        <v>130891861</v>
      </c>
      <c r="E3857" s="560">
        <v>6237833</v>
      </c>
      <c r="F3857" s="560">
        <v>137129700</v>
      </c>
      <c r="G3857" s="560">
        <f t="shared" si="92"/>
        <v>-6</v>
      </c>
      <c r="H3857" s="560"/>
      <c r="I3857" s="362"/>
      <c r="J3857" s="362"/>
    </row>
    <row r="3858" spans="1:10" x14ac:dyDescent="0.25">
      <c r="A3858" s="362"/>
      <c r="B3858" s="609">
        <v>44321</v>
      </c>
      <c r="C3858" s="362" t="s">
        <v>89</v>
      </c>
      <c r="D3858" s="560">
        <v>157287566</v>
      </c>
      <c r="E3858" s="560">
        <v>49848434</v>
      </c>
      <c r="F3858" s="560">
        <v>207136000</v>
      </c>
      <c r="G3858" s="560">
        <f t="shared" si="92"/>
        <v>0</v>
      </c>
      <c r="H3858" s="560"/>
      <c r="I3858" s="362"/>
      <c r="J3858" s="362"/>
    </row>
    <row r="3859" spans="1:10" x14ac:dyDescent="0.25">
      <c r="A3859" s="362"/>
      <c r="B3859" s="609">
        <v>44321</v>
      </c>
      <c r="C3859" s="362" t="s">
        <v>81</v>
      </c>
      <c r="D3859" s="560">
        <v>117956627</v>
      </c>
      <c r="E3859" s="560">
        <v>8064582</v>
      </c>
      <c r="F3859" s="560">
        <v>126021300</v>
      </c>
      <c r="G3859" s="560">
        <f t="shared" si="92"/>
        <v>-91</v>
      </c>
      <c r="H3859" s="560"/>
      <c r="I3859" s="362"/>
      <c r="J3859" s="362"/>
    </row>
    <row r="3860" spans="1:10" x14ac:dyDescent="0.25">
      <c r="A3860" s="362"/>
      <c r="B3860" s="609">
        <v>44321</v>
      </c>
      <c r="C3860" s="362" t="s">
        <v>84</v>
      </c>
      <c r="D3860" s="560">
        <v>463062424</v>
      </c>
      <c r="E3860" s="560">
        <v>12377700</v>
      </c>
      <c r="F3860" s="560">
        <v>475440200</v>
      </c>
      <c r="G3860" s="560">
        <f t="shared" si="92"/>
        <v>-76</v>
      </c>
      <c r="H3860" s="560"/>
      <c r="I3860" s="362"/>
      <c r="J3860" s="362"/>
    </row>
    <row r="3861" spans="1:10" x14ac:dyDescent="0.25">
      <c r="A3861" s="362"/>
      <c r="B3861" s="609">
        <v>44321</v>
      </c>
      <c r="C3861" s="362" t="s">
        <v>4751</v>
      </c>
      <c r="D3861" s="560">
        <v>328987526</v>
      </c>
      <c r="E3861" s="560">
        <v>14235374</v>
      </c>
      <c r="F3861" s="560">
        <v>343222900</v>
      </c>
      <c r="G3861" s="560">
        <f t="shared" si="92"/>
        <v>0</v>
      </c>
      <c r="H3861" s="560"/>
      <c r="I3861" s="362"/>
      <c r="J3861" s="362"/>
    </row>
    <row r="3862" spans="1:10" x14ac:dyDescent="0.25">
      <c r="A3862" s="362"/>
      <c r="B3862" s="609">
        <v>44321</v>
      </c>
      <c r="C3862" s="362" t="s">
        <v>166</v>
      </c>
      <c r="D3862" s="560">
        <v>59400167</v>
      </c>
      <c r="E3862" s="560"/>
      <c r="F3862" s="560">
        <v>59400200</v>
      </c>
      <c r="G3862" s="560">
        <f t="shared" si="92"/>
        <v>-33</v>
      </c>
      <c r="H3862" s="560"/>
      <c r="I3862" s="362"/>
      <c r="J3862" s="362"/>
    </row>
    <row r="3863" spans="1:10" x14ac:dyDescent="0.25">
      <c r="A3863" s="362"/>
      <c r="B3863" s="609">
        <v>44321</v>
      </c>
      <c r="C3863" s="362" t="s">
        <v>3435</v>
      </c>
      <c r="D3863" s="560">
        <v>102581689</v>
      </c>
      <c r="E3863" s="560"/>
      <c r="F3863" s="560">
        <v>102581700</v>
      </c>
      <c r="G3863" s="560">
        <f t="shared" si="92"/>
        <v>-11</v>
      </c>
      <c r="H3863" s="560"/>
      <c r="I3863" s="362"/>
      <c r="J3863" s="362"/>
    </row>
    <row r="3864" spans="1:10" x14ac:dyDescent="0.25">
      <c r="A3864" s="362"/>
      <c r="B3864" s="609">
        <v>44321</v>
      </c>
      <c r="C3864" s="370" t="s">
        <v>85</v>
      </c>
      <c r="D3864" s="560">
        <v>50234900</v>
      </c>
      <c r="E3864" s="560"/>
      <c r="F3864" s="560">
        <v>50234900</v>
      </c>
      <c r="G3864" s="560">
        <f t="shared" si="92"/>
        <v>0</v>
      </c>
      <c r="H3864" s="560"/>
      <c r="I3864" s="362"/>
      <c r="J3864" s="362"/>
    </row>
    <row r="3865" spans="1:10" x14ac:dyDescent="0.25">
      <c r="A3865" s="362"/>
      <c r="B3865" s="530"/>
      <c r="C3865" s="530"/>
      <c r="D3865" s="562">
        <f>SUM(D3850:D3864)</f>
        <v>2736301770</v>
      </c>
      <c r="E3865" s="562">
        <f>SUM(E3850:E3864)</f>
        <v>622416482</v>
      </c>
      <c r="F3865" s="562">
        <f>SUM(F3850:F3864)</f>
        <v>3358727600</v>
      </c>
      <c r="G3865" s="562">
        <f>SUM(G3850:G3864)</f>
        <v>-9348</v>
      </c>
      <c r="H3865" s="562"/>
      <c r="I3865" s="530"/>
      <c r="J3865" s="530"/>
    </row>
    <row r="3866" spans="1:10" x14ac:dyDescent="0.25">
      <c r="A3866" s="362"/>
      <c r="B3866" s="609">
        <v>44322</v>
      </c>
      <c r="C3866" s="362" t="s">
        <v>86</v>
      </c>
      <c r="D3866" s="560">
        <v>206686335</v>
      </c>
      <c r="E3866" s="560">
        <v>172729805</v>
      </c>
      <c r="F3866" s="560">
        <v>379416200</v>
      </c>
      <c r="G3866" s="560">
        <f t="shared" si="92"/>
        <v>-60</v>
      </c>
      <c r="H3866" s="560"/>
      <c r="I3866" s="362"/>
      <c r="J3866" s="362"/>
    </row>
    <row r="3867" spans="1:10" x14ac:dyDescent="0.25">
      <c r="A3867" s="362"/>
      <c r="B3867" s="609">
        <v>44322</v>
      </c>
      <c r="C3867" s="362" t="s">
        <v>87</v>
      </c>
      <c r="D3867" s="560">
        <v>94650145</v>
      </c>
      <c r="E3867" s="560">
        <v>143182447</v>
      </c>
      <c r="F3867" s="560">
        <v>237832700</v>
      </c>
      <c r="G3867" s="560">
        <f t="shared" si="92"/>
        <v>-108</v>
      </c>
      <c r="H3867" s="560"/>
      <c r="I3867" s="362"/>
      <c r="J3867" s="362"/>
    </row>
    <row r="3868" spans="1:10" x14ac:dyDescent="0.25">
      <c r="A3868" s="362"/>
      <c r="B3868" s="609">
        <v>44322</v>
      </c>
      <c r="C3868" s="362" t="s">
        <v>88</v>
      </c>
      <c r="D3868" s="560">
        <v>219780305</v>
      </c>
      <c r="E3868" s="560">
        <v>10191119</v>
      </c>
      <c r="F3868" s="560">
        <v>229971500</v>
      </c>
      <c r="G3868" s="560">
        <f t="shared" si="92"/>
        <v>-76</v>
      </c>
      <c r="H3868" s="560"/>
      <c r="I3868" s="362"/>
      <c r="J3868" s="362"/>
    </row>
    <row r="3869" spans="1:10" x14ac:dyDescent="0.25">
      <c r="A3869" s="362"/>
      <c r="B3869" s="609">
        <v>44322</v>
      </c>
      <c r="C3869" s="362" t="s">
        <v>82</v>
      </c>
      <c r="D3869" s="560">
        <v>186397393</v>
      </c>
      <c r="E3869" s="560">
        <v>361009184</v>
      </c>
      <c r="F3869" s="560">
        <v>547406700</v>
      </c>
      <c r="G3869" s="560">
        <f t="shared" si="92"/>
        <v>-123</v>
      </c>
      <c r="H3869" s="560"/>
      <c r="I3869" s="362"/>
      <c r="J3869" s="362"/>
    </row>
    <row r="3870" spans="1:10" x14ac:dyDescent="0.25">
      <c r="A3870" s="362"/>
      <c r="B3870" s="609">
        <v>44322</v>
      </c>
      <c r="C3870" s="362" t="s">
        <v>80</v>
      </c>
      <c r="D3870" s="560">
        <v>174090700</v>
      </c>
      <c r="E3870" s="560">
        <v>45325000</v>
      </c>
      <c r="F3870" s="560">
        <v>219415700</v>
      </c>
      <c r="G3870" s="560">
        <f t="shared" si="92"/>
        <v>0</v>
      </c>
      <c r="H3870" s="560"/>
      <c r="I3870" s="362"/>
      <c r="J3870" s="362"/>
    </row>
    <row r="3871" spans="1:10" x14ac:dyDescent="0.25">
      <c r="A3871" s="362"/>
      <c r="B3871" s="609">
        <v>44322</v>
      </c>
      <c r="C3871" s="362" t="s">
        <v>83</v>
      </c>
      <c r="D3871" s="560">
        <v>233446984</v>
      </c>
      <c r="E3871" s="560">
        <v>94286016</v>
      </c>
      <c r="F3871" s="560">
        <v>327733000</v>
      </c>
      <c r="G3871" s="560">
        <f t="shared" si="92"/>
        <v>0</v>
      </c>
      <c r="H3871" s="560"/>
      <c r="I3871" s="362"/>
      <c r="J3871" s="362"/>
    </row>
    <row r="3872" spans="1:10" x14ac:dyDescent="0.25">
      <c r="A3872" s="362"/>
      <c r="B3872" s="609">
        <v>44322</v>
      </c>
      <c r="C3872" s="362" t="s">
        <v>78</v>
      </c>
      <c r="D3872" s="560">
        <v>148297626</v>
      </c>
      <c r="E3872" s="560">
        <v>13970974</v>
      </c>
      <c r="F3872" s="560">
        <v>162268600</v>
      </c>
      <c r="G3872" s="560">
        <f t="shared" si="92"/>
        <v>0</v>
      </c>
      <c r="H3872" s="560"/>
      <c r="I3872" s="362"/>
      <c r="J3872" s="362"/>
    </row>
    <row r="3873" spans="1:10" x14ac:dyDescent="0.25">
      <c r="A3873" s="362"/>
      <c r="B3873" s="609">
        <v>44322</v>
      </c>
      <c r="C3873" s="362" t="s">
        <v>141</v>
      </c>
      <c r="D3873" s="560">
        <v>143291378</v>
      </c>
      <c r="E3873" s="560"/>
      <c r="F3873" s="560">
        <v>143291400</v>
      </c>
      <c r="G3873" s="560">
        <f t="shared" si="92"/>
        <v>-22</v>
      </c>
      <c r="H3873" s="560"/>
      <c r="I3873" s="362"/>
      <c r="J3873" s="362"/>
    </row>
    <row r="3874" spans="1:10" x14ac:dyDescent="0.25">
      <c r="A3874" s="362"/>
      <c r="B3874" s="609">
        <v>44322</v>
      </c>
      <c r="C3874" s="362" t="s">
        <v>89</v>
      </c>
      <c r="D3874" s="560">
        <v>250771041</v>
      </c>
      <c r="E3874" s="560">
        <v>15035659</v>
      </c>
      <c r="F3874" s="560">
        <v>265806700</v>
      </c>
      <c r="G3874" s="560">
        <f t="shared" si="92"/>
        <v>0</v>
      </c>
      <c r="H3874" s="560"/>
      <c r="I3874" s="362"/>
      <c r="J3874" s="362"/>
    </row>
    <row r="3875" spans="1:10" x14ac:dyDescent="0.25">
      <c r="A3875" s="362"/>
      <c r="B3875" s="609">
        <v>44322</v>
      </c>
      <c r="C3875" s="362" t="s">
        <v>81</v>
      </c>
      <c r="D3875" s="560">
        <v>86524830</v>
      </c>
      <c r="E3875" s="560">
        <v>7152000</v>
      </c>
      <c r="F3875" s="560">
        <v>93676900</v>
      </c>
      <c r="G3875" s="560">
        <f t="shared" si="92"/>
        <v>-70</v>
      </c>
      <c r="H3875" s="560"/>
      <c r="I3875" s="362"/>
      <c r="J3875" s="362"/>
    </row>
    <row r="3876" spans="1:10" x14ac:dyDescent="0.25">
      <c r="A3876" s="362"/>
      <c r="B3876" s="609">
        <v>44322</v>
      </c>
      <c r="C3876" s="362" t="s">
        <v>84</v>
      </c>
      <c r="D3876" s="560">
        <v>303911628</v>
      </c>
      <c r="E3876" s="560">
        <v>36873377</v>
      </c>
      <c r="F3876" s="560">
        <v>340786400</v>
      </c>
      <c r="G3876" s="560">
        <f t="shared" si="92"/>
        <v>-1395</v>
      </c>
      <c r="H3876" s="560"/>
      <c r="I3876" s="362"/>
      <c r="J3876" s="362"/>
    </row>
    <row r="3877" spans="1:10" x14ac:dyDescent="0.25">
      <c r="A3877" s="362"/>
      <c r="B3877" s="609">
        <v>44322</v>
      </c>
      <c r="C3877" s="362" t="s">
        <v>4751</v>
      </c>
      <c r="D3877" s="560">
        <v>413221756</v>
      </c>
      <c r="E3877" s="560">
        <v>10078244</v>
      </c>
      <c r="F3877" s="560">
        <v>423300000</v>
      </c>
      <c r="G3877" s="560">
        <f t="shared" si="92"/>
        <v>0</v>
      </c>
      <c r="H3877" s="560"/>
      <c r="I3877" s="362"/>
      <c r="J3877" s="362"/>
    </row>
    <row r="3878" spans="1:10" x14ac:dyDescent="0.25">
      <c r="A3878" s="362"/>
      <c r="B3878" s="609">
        <v>44322</v>
      </c>
      <c r="C3878" s="362" t="s">
        <v>166</v>
      </c>
      <c r="D3878" s="560">
        <v>111712348</v>
      </c>
      <c r="E3878" s="560"/>
      <c r="F3878" s="560">
        <v>111712400</v>
      </c>
      <c r="G3878" s="560">
        <f t="shared" si="92"/>
        <v>-52</v>
      </c>
      <c r="H3878" s="560"/>
      <c r="I3878" s="362"/>
      <c r="J3878" s="362"/>
    </row>
    <row r="3879" spans="1:10" x14ac:dyDescent="0.25">
      <c r="A3879" s="362"/>
      <c r="B3879" s="609">
        <v>44322</v>
      </c>
      <c r="C3879" s="362" t="s">
        <v>3435</v>
      </c>
      <c r="D3879" s="560">
        <v>132128900</v>
      </c>
      <c r="E3879" s="560"/>
      <c r="F3879" s="560">
        <v>132128900</v>
      </c>
      <c r="G3879" s="560">
        <f t="shared" si="92"/>
        <v>0</v>
      </c>
      <c r="H3879" s="560"/>
      <c r="I3879" s="362"/>
      <c r="J3879" s="362"/>
    </row>
    <row r="3880" spans="1:10" x14ac:dyDescent="0.25">
      <c r="A3880" s="362"/>
      <c r="B3880" s="609">
        <v>44322</v>
      </c>
      <c r="C3880" s="370" t="s">
        <v>85</v>
      </c>
      <c r="D3880" s="560">
        <v>33695400</v>
      </c>
      <c r="E3880" s="560"/>
      <c r="F3880" s="560">
        <v>33695400</v>
      </c>
      <c r="G3880" s="560">
        <f t="shared" si="92"/>
        <v>0</v>
      </c>
      <c r="H3880" s="560"/>
      <c r="I3880" s="362"/>
      <c r="J3880" s="362"/>
    </row>
    <row r="3881" spans="1:10" x14ac:dyDescent="0.25">
      <c r="A3881" s="530"/>
      <c r="B3881" s="530"/>
      <c r="C3881" s="530"/>
      <c r="D3881" s="562">
        <f>SUM(D3866:D3880)</f>
        <v>2738606769</v>
      </c>
      <c r="E3881" s="562">
        <f>SUM(E3866:E3880)</f>
        <v>909833825</v>
      </c>
      <c r="F3881" s="562">
        <f>SUM(F3866:F3880)</f>
        <v>3648442500</v>
      </c>
      <c r="G3881" s="562">
        <f>SUM(G3866:G3880)</f>
        <v>-1906</v>
      </c>
      <c r="H3881" s="562"/>
      <c r="I3881" s="530"/>
      <c r="J3881" s="530"/>
    </row>
    <row r="3882" spans="1:10" x14ac:dyDescent="0.25">
      <c r="A3882" s="362"/>
      <c r="B3882" s="609">
        <v>44323</v>
      </c>
      <c r="C3882" s="362" t="s">
        <v>86</v>
      </c>
      <c r="D3882" s="560">
        <v>89011701</v>
      </c>
      <c r="E3882" s="560">
        <v>73852750</v>
      </c>
      <c r="F3882" s="560">
        <v>162864500</v>
      </c>
      <c r="G3882" s="560">
        <f t="shared" si="92"/>
        <v>-49</v>
      </c>
      <c r="H3882" s="560"/>
      <c r="I3882" s="362"/>
      <c r="J3882" s="362"/>
    </row>
    <row r="3883" spans="1:10" x14ac:dyDescent="0.25">
      <c r="A3883" s="362"/>
      <c r="B3883" s="609">
        <v>44323</v>
      </c>
      <c r="C3883" s="362" t="s">
        <v>87</v>
      </c>
      <c r="D3883" s="560">
        <v>281372437</v>
      </c>
      <c r="E3883" s="560">
        <v>4772799</v>
      </c>
      <c r="F3883" s="560">
        <v>286144800</v>
      </c>
      <c r="G3883" s="560">
        <f t="shared" si="92"/>
        <v>436</v>
      </c>
      <c r="H3883" s="560"/>
      <c r="I3883" s="362"/>
      <c r="J3883" s="362"/>
    </row>
    <row r="3884" spans="1:10" x14ac:dyDescent="0.25">
      <c r="A3884" s="362"/>
      <c r="B3884" s="609">
        <v>44323</v>
      </c>
      <c r="C3884" s="362" t="s">
        <v>88</v>
      </c>
      <c r="D3884" s="560">
        <v>171547534</v>
      </c>
      <c r="E3884" s="560">
        <v>78090239</v>
      </c>
      <c r="F3884" s="560">
        <v>249637900</v>
      </c>
      <c r="G3884" s="560">
        <f t="shared" si="92"/>
        <v>-127</v>
      </c>
      <c r="H3884" s="560"/>
      <c r="I3884" s="362"/>
      <c r="J3884" s="362"/>
    </row>
    <row r="3885" spans="1:10" x14ac:dyDescent="0.25">
      <c r="A3885" s="362"/>
      <c r="B3885" s="609">
        <v>44323</v>
      </c>
      <c r="C3885" s="362" t="s">
        <v>82</v>
      </c>
      <c r="D3885" s="560">
        <v>59803065</v>
      </c>
      <c r="E3885" s="560">
        <v>50927262</v>
      </c>
      <c r="F3885" s="560">
        <v>110730400</v>
      </c>
      <c r="G3885" s="560">
        <f t="shared" si="92"/>
        <v>-73</v>
      </c>
      <c r="H3885" s="560"/>
      <c r="I3885" s="362"/>
      <c r="J3885" s="362"/>
    </row>
    <row r="3886" spans="1:10" x14ac:dyDescent="0.25">
      <c r="A3886" s="362"/>
      <c r="B3886" s="609">
        <v>44323</v>
      </c>
      <c r="C3886" s="362" t="s">
        <v>80</v>
      </c>
      <c r="D3886" s="560">
        <v>299497296</v>
      </c>
      <c r="E3886" s="560">
        <v>20119004</v>
      </c>
      <c r="F3886" s="560">
        <v>319616300</v>
      </c>
      <c r="G3886" s="560">
        <f t="shared" si="92"/>
        <v>0</v>
      </c>
      <c r="H3886" s="560"/>
      <c r="I3886" s="362"/>
      <c r="J3886" s="362"/>
    </row>
    <row r="3887" spans="1:10" x14ac:dyDescent="0.25">
      <c r="A3887" s="362"/>
      <c r="B3887" s="609">
        <v>44323</v>
      </c>
      <c r="C3887" s="362" t="s">
        <v>83</v>
      </c>
      <c r="D3887" s="560">
        <v>205214769</v>
      </c>
      <c r="E3887" s="560">
        <v>4287280</v>
      </c>
      <c r="F3887" s="560">
        <v>209502100</v>
      </c>
      <c r="G3887" s="560">
        <f t="shared" si="92"/>
        <v>-51</v>
      </c>
      <c r="H3887" s="560"/>
      <c r="I3887" s="362"/>
      <c r="J3887" s="362"/>
    </row>
    <row r="3888" spans="1:10" x14ac:dyDescent="0.25">
      <c r="A3888" s="362"/>
      <c r="B3888" s="609">
        <v>44323</v>
      </c>
      <c r="C3888" s="362" t="s">
        <v>78</v>
      </c>
      <c r="D3888" s="560">
        <v>105908592</v>
      </c>
      <c r="E3888" s="560">
        <v>4903108</v>
      </c>
      <c r="F3888" s="560">
        <v>110811700</v>
      </c>
      <c r="G3888" s="560">
        <f t="shared" si="92"/>
        <v>0</v>
      </c>
      <c r="H3888" s="560"/>
      <c r="I3888" s="362"/>
      <c r="J3888" s="362"/>
    </row>
    <row r="3889" spans="1:10" x14ac:dyDescent="0.25">
      <c r="A3889" s="362"/>
      <c r="B3889" s="609">
        <v>44323</v>
      </c>
      <c r="C3889" s="362" t="s">
        <v>141</v>
      </c>
      <c r="D3889" s="560">
        <v>99660980</v>
      </c>
      <c r="E3889" s="560">
        <v>7655498</v>
      </c>
      <c r="F3889" s="560">
        <v>107316500</v>
      </c>
      <c r="G3889" s="560">
        <f t="shared" si="92"/>
        <v>-22</v>
      </c>
      <c r="H3889" s="560"/>
      <c r="I3889" s="362"/>
      <c r="J3889" s="362"/>
    </row>
    <row r="3890" spans="1:10" x14ac:dyDescent="0.25">
      <c r="A3890" s="362"/>
      <c r="B3890" s="609">
        <v>44323</v>
      </c>
      <c r="C3890" s="362" t="s">
        <v>89</v>
      </c>
      <c r="D3890" s="560">
        <v>221515628</v>
      </c>
      <c r="E3890" s="560">
        <v>69001072</v>
      </c>
      <c r="F3890" s="560">
        <v>290516700</v>
      </c>
      <c r="G3890" s="560">
        <f t="shared" si="92"/>
        <v>0</v>
      </c>
      <c r="H3890" s="560"/>
      <c r="I3890" s="362"/>
      <c r="J3890" s="362"/>
    </row>
    <row r="3891" spans="1:10" x14ac:dyDescent="0.25">
      <c r="A3891" s="362"/>
      <c r="B3891" s="609">
        <v>44323</v>
      </c>
      <c r="C3891" s="362" t="s">
        <v>81</v>
      </c>
      <c r="D3891" s="560">
        <v>118667859</v>
      </c>
      <c r="E3891" s="560">
        <v>22177295</v>
      </c>
      <c r="F3891" s="560">
        <f>94012900+46832300</f>
        <v>140845200</v>
      </c>
      <c r="G3891" s="560">
        <f t="shared" si="92"/>
        <v>-46</v>
      </c>
      <c r="H3891" s="560"/>
      <c r="I3891" s="362"/>
      <c r="J3891" s="362"/>
    </row>
    <row r="3892" spans="1:10" x14ac:dyDescent="0.25">
      <c r="A3892" s="362"/>
      <c r="B3892" s="609">
        <v>44323</v>
      </c>
      <c r="C3892" s="362" t="s">
        <v>84</v>
      </c>
      <c r="D3892" s="560">
        <v>348335436</v>
      </c>
      <c r="E3892" s="560">
        <v>44849631</v>
      </c>
      <c r="F3892" s="560">
        <v>393185000</v>
      </c>
      <c r="G3892" s="560">
        <f t="shared" si="92"/>
        <v>67</v>
      </c>
      <c r="H3892" s="560"/>
      <c r="I3892" s="362"/>
      <c r="J3892" s="362"/>
    </row>
    <row r="3893" spans="1:10" x14ac:dyDescent="0.25">
      <c r="A3893" s="362"/>
      <c r="B3893" s="609">
        <v>44323</v>
      </c>
      <c r="C3893" s="362" t="s">
        <v>4751</v>
      </c>
      <c r="D3893" s="560">
        <v>207407968</v>
      </c>
      <c r="E3893" s="560">
        <v>28002732</v>
      </c>
      <c r="F3893" s="560">
        <v>235410700</v>
      </c>
      <c r="G3893" s="560">
        <f t="shared" si="92"/>
        <v>0</v>
      </c>
      <c r="H3893" s="560"/>
      <c r="I3893" s="362"/>
      <c r="J3893" s="362"/>
    </row>
    <row r="3894" spans="1:10" x14ac:dyDescent="0.25">
      <c r="A3894" s="362"/>
      <c r="B3894" s="609">
        <v>44323</v>
      </c>
      <c r="C3894" s="362" t="s">
        <v>166</v>
      </c>
      <c r="D3894" s="560"/>
      <c r="E3894" s="560"/>
      <c r="F3894" s="560"/>
      <c r="G3894" s="560">
        <f t="shared" si="92"/>
        <v>0</v>
      </c>
      <c r="H3894" s="560"/>
      <c r="I3894" s="362"/>
      <c r="J3894" s="362"/>
    </row>
    <row r="3895" spans="1:10" x14ac:dyDescent="0.25">
      <c r="A3895" s="362"/>
      <c r="B3895" s="609">
        <v>44323</v>
      </c>
      <c r="C3895" s="362" t="s">
        <v>3435</v>
      </c>
      <c r="D3895" s="560">
        <v>94561895</v>
      </c>
      <c r="E3895" s="560"/>
      <c r="F3895" s="560">
        <v>94561900</v>
      </c>
      <c r="G3895" s="560">
        <f t="shared" si="92"/>
        <v>-5</v>
      </c>
      <c r="H3895" s="560"/>
      <c r="I3895" s="362"/>
      <c r="J3895" s="362"/>
    </row>
    <row r="3896" spans="1:10" x14ac:dyDescent="0.25">
      <c r="A3896" s="362"/>
      <c r="B3896" s="609">
        <v>44323</v>
      </c>
      <c r="C3896" s="370" t="s">
        <v>85</v>
      </c>
      <c r="D3896" s="560">
        <v>29904300</v>
      </c>
      <c r="E3896" s="560"/>
      <c r="F3896" s="560">
        <v>29904300</v>
      </c>
      <c r="G3896" s="560">
        <f t="shared" si="92"/>
        <v>0</v>
      </c>
      <c r="H3896" s="560"/>
      <c r="I3896" s="362"/>
      <c r="J3896" s="362"/>
    </row>
    <row r="3897" spans="1:10" x14ac:dyDescent="0.25">
      <c r="A3897" s="530"/>
      <c r="B3897" s="530"/>
      <c r="C3897" s="530"/>
      <c r="D3897" s="562">
        <f>SUM(D3882:D3896)</f>
        <v>2332409460</v>
      </c>
      <c r="E3897" s="562">
        <f>SUM(E3882:E3896)</f>
        <v>408638670</v>
      </c>
      <c r="F3897" s="562">
        <f>SUM(F3882:F3896)</f>
        <v>2741048000</v>
      </c>
      <c r="G3897" s="562">
        <f>SUM(G3882:G3896)</f>
        <v>130</v>
      </c>
      <c r="H3897" s="562"/>
      <c r="I3897" s="530"/>
      <c r="J3897" s="530"/>
    </row>
    <row r="3898" spans="1:10" x14ac:dyDescent="0.25">
      <c r="A3898" s="362"/>
      <c r="B3898" s="609">
        <v>44324</v>
      </c>
      <c r="C3898" s="362" t="s">
        <v>86</v>
      </c>
      <c r="D3898" s="560">
        <v>78508906</v>
      </c>
      <c r="E3898" s="560">
        <v>39419995</v>
      </c>
      <c r="F3898" s="560">
        <v>117929000</v>
      </c>
      <c r="G3898" s="560">
        <f t="shared" si="92"/>
        <v>-99</v>
      </c>
      <c r="H3898" s="560"/>
      <c r="I3898" s="362"/>
      <c r="J3898" s="362"/>
    </row>
    <row r="3899" spans="1:10" x14ac:dyDescent="0.25">
      <c r="A3899" s="362"/>
      <c r="B3899" s="609">
        <v>44324</v>
      </c>
      <c r="C3899" s="362" t="s">
        <v>87</v>
      </c>
      <c r="D3899" s="560">
        <v>70315383</v>
      </c>
      <c r="E3899" s="560">
        <v>183014772</v>
      </c>
      <c r="F3899" s="560">
        <f>46507800+206822500</f>
        <v>253330300</v>
      </c>
      <c r="G3899" s="560">
        <f t="shared" si="92"/>
        <v>-145</v>
      </c>
      <c r="H3899" s="560"/>
      <c r="I3899" s="362"/>
      <c r="J3899" s="362"/>
    </row>
    <row r="3900" spans="1:10" x14ac:dyDescent="0.25">
      <c r="A3900" s="362"/>
      <c r="B3900" s="609">
        <v>44324</v>
      </c>
      <c r="C3900" s="362" t="s">
        <v>88</v>
      </c>
      <c r="D3900" s="560">
        <v>269768308</v>
      </c>
      <c r="E3900" s="560">
        <v>24679155</v>
      </c>
      <c r="F3900" s="560">
        <v>294447500</v>
      </c>
      <c r="G3900" s="560">
        <f t="shared" si="92"/>
        <v>-37</v>
      </c>
      <c r="H3900" s="560"/>
      <c r="I3900" s="362"/>
      <c r="J3900" s="362"/>
    </row>
    <row r="3901" spans="1:10" x14ac:dyDescent="0.25">
      <c r="A3901" s="362"/>
      <c r="B3901" s="609">
        <v>44324</v>
      </c>
      <c r="C3901" s="362" t="s">
        <v>82</v>
      </c>
      <c r="D3901" s="560">
        <v>92358715</v>
      </c>
      <c r="E3901" s="560">
        <v>162948836</v>
      </c>
      <c r="F3901" s="560">
        <v>255307700</v>
      </c>
      <c r="G3901" s="560">
        <f t="shared" si="92"/>
        <v>-149</v>
      </c>
      <c r="H3901" s="560"/>
      <c r="I3901" s="362"/>
      <c r="J3901" s="362"/>
    </row>
    <row r="3902" spans="1:10" x14ac:dyDescent="0.25">
      <c r="A3902" s="362"/>
      <c r="B3902" s="609">
        <v>44324</v>
      </c>
      <c r="C3902" s="362" t="s">
        <v>80</v>
      </c>
      <c r="D3902" s="560">
        <v>200098889</v>
      </c>
      <c r="E3902" s="560">
        <v>101857375</v>
      </c>
      <c r="F3902" s="560">
        <v>301956300</v>
      </c>
      <c r="G3902" s="560">
        <f t="shared" si="92"/>
        <v>-36</v>
      </c>
      <c r="H3902" s="560"/>
      <c r="I3902" s="362"/>
      <c r="J3902" s="362"/>
    </row>
    <row r="3903" spans="1:10" x14ac:dyDescent="0.25">
      <c r="A3903" s="362"/>
      <c r="B3903" s="609">
        <v>44324</v>
      </c>
      <c r="C3903" s="362" t="s">
        <v>83</v>
      </c>
      <c r="D3903" s="560">
        <v>215388273</v>
      </c>
      <c r="E3903" s="560">
        <v>257020382</v>
      </c>
      <c r="F3903" s="560">
        <v>481928800</v>
      </c>
      <c r="G3903" s="560">
        <f t="shared" si="92"/>
        <v>-9520145</v>
      </c>
      <c r="H3903" s="560"/>
      <c r="I3903" s="362"/>
      <c r="J3903" s="362"/>
    </row>
    <row r="3904" spans="1:10" x14ac:dyDescent="0.25">
      <c r="A3904" s="362"/>
      <c r="B3904" s="609">
        <v>44324</v>
      </c>
      <c r="C3904" s="362" t="s">
        <v>78</v>
      </c>
      <c r="D3904" s="560">
        <v>224288403</v>
      </c>
      <c r="E3904" s="560">
        <v>3844097</v>
      </c>
      <c r="F3904" s="560">
        <v>228132500</v>
      </c>
      <c r="G3904" s="560">
        <f t="shared" si="92"/>
        <v>0</v>
      </c>
      <c r="H3904" s="560"/>
      <c r="I3904" s="362"/>
      <c r="J3904" s="362"/>
    </row>
    <row r="3905" spans="1:10" x14ac:dyDescent="0.25">
      <c r="A3905" s="362"/>
      <c r="B3905" s="609">
        <v>44324</v>
      </c>
      <c r="C3905" s="362" t="s">
        <v>141</v>
      </c>
      <c r="D3905" s="560">
        <v>57585669</v>
      </c>
      <c r="E3905" s="560">
        <v>614700</v>
      </c>
      <c r="F3905" s="560">
        <v>58200400</v>
      </c>
      <c r="G3905" s="560">
        <f t="shared" si="92"/>
        <v>-31</v>
      </c>
      <c r="H3905" s="560"/>
      <c r="I3905" s="362"/>
      <c r="J3905" s="362"/>
    </row>
    <row r="3906" spans="1:10" x14ac:dyDescent="0.25">
      <c r="A3906" s="362"/>
      <c r="B3906" s="609">
        <v>44324</v>
      </c>
      <c r="C3906" s="362" t="s">
        <v>89</v>
      </c>
      <c r="D3906" s="560">
        <v>143251140</v>
      </c>
      <c r="E3906" s="560">
        <v>104984060</v>
      </c>
      <c r="F3906" s="560">
        <v>248235200</v>
      </c>
      <c r="G3906" s="560">
        <f t="shared" si="92"/>
        <v>0</v>
      </c>
      <c r="H3906" s="560"/>
      <c r="I3906" s="362"/>
      <c r="J3906" s="362"/>
    </row>
    <row r="3907" spans="1:10" x14ac:dyDescent="0.25">
      <c r="A3907" s="362"/>
      <c r="B3907" s="609">
        <v>44324</v>
      </c>
      <c r="C3907" s="362" t="s">
        <v>81</v>
      </c>
      <c r="D3907" s="560">
        <v>115700192</v>
      </c>
      <c r="E3907" s="560">
        <v>10319863</v>
      </c>
      <c r="F3907" s="560">
        <f>42767100+83253000</f>
        <v>126020100</v>
      </c>
      <c r="G3907" s="560">
        <f t="shared" si="92"/>
        <v>-45</v>
      </c>
      <c r="H3907" s="560"/>
      <c r="I3907" s="362"/>
      <c r="J3907" s="362"/>
    </row>
    <row r="3908" spans="1:10" x14ac:dyDescent="0.25">
      <c r="A3908" s="362"/>
      <c r="B3908" s="609">
        <v>44324</v>
      </c>
      <c r="C3908" s="362" t="s">
        <v>84</v>
      </c>
      <c r="D3908" s="560">
        <v>193654831</v>
      </c>
      <c r="E3908" s="560">
        <v>29080422</v>
      </c>
      <c r="F3908" s="560">
        <v>222735200</v>
      </c>
      <c r="G3908" s="560">
        <f t="shared" si="92"/>
        <v>53</v>
      </c>
      <c r="H3908" s="560"/>
      <c r="I3908" s="362"/>
      <c r="J3908" s="362"/>
    </row>
    <row r="3909" spans="1:10" x14ac:dyDescent="0.25">
      <c r="A3909" s="362"/>
      <c r="B3909" s="609">
        <v>44324</v>
      </c>
      <c r="C3909" s="362" t="s">
        <v>4751</v>
      </c>
      <c r="D3909" s="560">
        <v>264589253</v>
      </c>
      <c r="E3909" s="560">
        <v>35409147</v>
      </c>
      <c r="F3909" s="560">
        <v>299998200</v>
      </c>
      <c r="G3909" s="560">
        <f t="shared" si="92"/>
        <v>200</v>
      </c>
      <c r="H3909" s="560"/>
      <c r="I3909" s="362"/>
      <c r="J3909" s="362"/>
    </row>
    <row r="3910" spans="1:10" x14ac:dyDescent="0.25">
      <c r="A3910" s="362"/>
      <c r="B3910" s="609">
        <v>44324</v>
      </c>
      <c r="C3910" s="362" t="s">
        <v>166</v>
      </c>
      <c r="D3910" s="560"/>
      <c r="E3910" s="560"/>
      <c r="F3910" s="560"/>
      <c r="G3910" s="560">
        <f t="shared" si="92"/>
        <v>0</v>
      </c>
      <c r="H3910" s="560"/>
      <c r="I3910" s="362"/>
      <c r="J3910" s="362"/>
    </row>
    <row r="3911" spans="1:10" x14ac:dyDescent="0.25">
      <c r="A3911" s="362"/>
      <c r="B3911" s="609">
        <v>44324</v>
      </c>
      <c r="C3911" s="362" t="s">
        <v>3435</v>
      </c>
      <c r="D3911" s="560"/>
      <c r="E3911" s="560"/>
      <c r="F3911" s="560"/>
      <c r="G3911" s="560">
        <f t="shared" si="92"/>
        <v>0</v>
      </c>
      <c r="H3911" s="560"/>
      <c r="I3911" s="362"/>
      <c r="J3911" s="362"/>
    </row>
    <row r="3912" spans="1:10" x14ac:dyDescent="0.25">
      <c r="A3912" s="362"/>
      <c r="B3912" s="609">
        <v>44324</v>
      </c>
      <c r="C3912" s="370" t="s">
        <v>85</v>
      </c>
      <c r="D3912" s="560">
        <v>26304400</v>
      </c>
      <c r="E3912" s="560"/>
      <c r="F3912" s="560">
        <v>26304400</v>
      </c>
      <c r="G3912" s="560">
        <f t="shared" si="92"/>
        <v>0</v>
      </c>
      <c r="H3912" s="560"/>
      <c r="I3912" s="362"/>
      <c r="J3912" s="362"/>
    </row>
    <row r="3913" spans="1:10" x14ac:dyDescent="0.25">
      <c r="A3913" s="530"/>
      <c r="B3913" s="530"/>
      <c r="C3913" s="530"/>
      <c r="D3913" s="562">
        <f>SUM(D3898:D3912)</f>
        <v>1951812362</v>
      </c>
      <c r="E3913" s="562">
        <f>SUM(E3898:E3912)</f>
        <v>953192804</v>
      </c>
      <c r="F3913" s="562">
        <f>SUM(F3898:F3912)</f>
        <v>2914525600</v>
      </c>
      <c r="G3913" s="562">
        <f>SUM(G3898:G3912)</f>
        <v>-9520434</v>
      </c>
      <c r="H3913" s="562"/>
      <c r="I3913" s="530"/>
      <c r="J3913" s="530"/>
    </row>
    <row r="3914" spans="1:10" x14ac:dyDescent="0.25">
      <c r="A3914" s="362"/>
      <c r="B3914" s="609">
        <v>44326</v>
      </c>
      <c r="C3914" s="362" t="s">
        <v>86</v>
      </c>
      <c r="D3914" s="560">
        <v>72883376</v>
      </c>
      <c r="E3914" s="560">
        <v>127822859</v>
      </c>
      <c r="F3914" s="560">
        <v>201095500</v>
      </c>
      <c r="G3914" s="560">
        <f t="shared" si="92"/>
        <v>-389265</v>
      </c>
      <c r="H3914" s="560"/>
      <c r="I3914" s="362"/>
      <c r="J3914" s="362"/>
    </row>
    <row r="3915" spans="1:10" x14ac:dyDescent="0.25">
      <c r="A3915" s="362"/>
      <c r="B3915" s="609">
        <v>44326</v>
      </c>
      <c r="C3915" s="362" t="s">
        <v>87</v>
      </c>
      <c r="D3915" s="560">
        <v>117902654</v>
      </c>
      <c r="E3915" s="560">
        <v>160136244</v>
      </c>
      <c r="F3915" s="560">
        <v>278039000</v>
      </c>
      <c r="G3915" s="560">
        <f t="shared" ref="G3915:G3979" si="93">D3915+E3915-F3915</f>
        <v>-102</v>
      </c>
      <c r="H3915" s="560"/>
      <c r="I3915" s="362"/>
      <c r="J3915" s="362"/>
    </row>
    <row r="3916" spans="1:10" x14ac:dyDescent="0.25">
      <c r="A3916" s="362"/>
      <c r="B3916" s="609">
        <v>44326</v>
      </c>
      <c r="C3916" s="362" t="s">
        <v>88</v>
      </c>
      <c r="D3916" s="560">
        <v>234246579</v>
      </c>
      <c r="E3916" s="560">
        <v>99632709</v>
      </c>
      <c r="F3916" s="560">
        <v>333879300</v>
      </c>
      <c r="G3916" s="560">
        <f t="shared" si="93"/>
        <v>-12</v>
      </c>
      <c r="H3916" s="560"/>
      <c r="I3916" s="362"/>
      <c r="J3916" s="362"/>
    </row>
    <row r="3917" spans="1:10" x14ac:dyDescent="0.25">
      <c r="A3917" s="362"/>
      <c r="B3917" s="609">
        <v>44326</v>
      </c>
      <c r="C3917" s="362" t="s">
        <v>82</v>
      </c>
      <c r="D3917" s="560">
        <v>42622932</v>
      </c>
      <c r="E3917" s="560">
        <v>62323306</v>
      </c>
      <c r="F3917" s="560">
        <v>104946300</v>
      </c>
      <c r="G3917" s="560">
        <f t="shared" si="93"/>
        <v>-62</v>
      </c>
      <c r="H3917" s="560"/>
      <c r="I3917" s="362"/>
      <c r="J3917" s="362"/>
    </row>
    <row r="3918" spans="1:10" x14ac:dyDescent="0.25">
      <c r="A3918" s="362"/>
      <c r="B3918" s="609">
        <v>44326</v>
      </c>
      <c r="C3918" s="362" t="s">
        <v>80</v>
      </c>
      <c r="D3918" s="560">
        <v>286801190</v>
      </c>
      <c r="E3918" s="560"/>
      <c r="F3918" s="560">
        <v>286801600</v>
      </c>
      <c r="G3918" s="560">
        <f t="shared" si="93"/>
        <v>-410</v>
      </c>
      <c r="H3918" s="560"/>
      <c r="I3918" s="362"/>
      <c r="J3918" s="362"/>
    </row>
    <row r="3919" spans="1:10" x14ac:dyDescent="0.25">
      <c r="A3919" s="362"/>
      <c r="B3919" s="609">
        <v>44326</v>
      </c>
      <c r="C3919" s="362" t="s">
        <v>83</v>
      </c>
      <c r="D3919" s="560">
        <v>299360016</v>
      </c>
      <c r="E3919" s="560">
        <v>113478184</v>
      </c>
      <c r="F3919" s="560">
        <v>412838200</v>
      </c>
      <c r="G3919" s="560">
        <f t="shared" si="93"/>
        <v>0</v>
      </c>
      <c r="H3919" s="560"/>
      <c r="I3919" s="362"/>
      <c r="J3919" s="362"/>
    </row>
    <row r="3920" spans="1:10" x14ac:dyDescent="0.25">
      <c r="A3920" s="362"/>
      <c r="B3920" s="609">
        <v>44326</v>
      </c>
      <c r="C3920" s="362" t="s">
        <v>78</v>
      </c>
      <c r="D3920" s="560">
        <v>164998203</v>
      </c>
      <c r="E3920" s="560">
        <v>782597</v>
      </c>
      <c r="F3920" s="560">
        <v>165780800</v>
      </c>
      <c r="G3920" s="560">
        <f t="shared" si="93"/>
        <v>0</v>
      </c>
      <c r="H3920" s="560"/>
      <c r="I3920" s="362"/>
      <c r="J3920" s="362"/>
    </row>
    <row r="3921" spans="1:11" x14ac:dyDescent="0.25">
      <c r="A3921" s="362"/>
      <c r="B3921" s="609">
        <v>44326</v>
      </c>
      <c r="C3921" s="362" t="s">
        <v>141</v>
      </c>
      <c r="D3921" s="560">
        <v>141269007</v>
      </c>
      <c r="E3921" s="560">
        <v>7839182</v>
      </c>
      <c r="F3921" s="560">
        <v>149108200</v>
      </c>
      <c r="G3921" s="560">
        <f t="shared" si="93"/>
        <v>-11</v>
      </c>
      <c r="H3921" s="560"/>
      <c r="I3921" s="362"/>
      <c r="J3921" s="362"/>
    </row>
    <row r="3922" spans="1:11" x14ac:dyDescent="0.25">
      <c r="A3922" s="362"/>
      <c r="B3922" s="609">
        <v>44326</v>
      </c>
      <c r="C3922" s="362" t="s">
        <v>89</v>
      </c>
      <c r="D3922" s="560">
        <v>93079707</v>
      </c>
      <c r="E3922" s="560">
        <v>71509593</v>
      </c>
      <c r="F3922" s="560">
        <v>164589200</v>
      </c>
      <c r="G3922" s="560">
        <f t="shared" si="93"/>
        <v>100</v>
      </c>
      <c r="H3922" s="560"/>
      <c r="I3922" s="362"/>
      <c r="J3922" s="362"/>
    </row>
    <row r="3923" spans="1:11" x14ac:dyDescent="0.25">
      <c r="A3923" s="362"/>
      <c r="B3923" s="609">
        <v>44326</v>
      </c>
      <c r="C3923" s="362" t="s">
        <v>81</v>
      </c>
      <c r="D3923" s="560">
        <v>60649804</v>
      </c>
      <c r="E3923" s="560">
        <v>12477524</v>
      </c>
      <c r="F3923" s="560">
        <v>73127400</v>
      </c>
      <c r="G3923" s="560">
        <f t="shared" si="93"/>
        <v>-72</v>
      </c>
      <c r="H3923" s="560"/>
      <c r="I3923" s="362"/>
      <c r="J3923" s="362"/>
      <c r="K3923" s="560"/>
    </row>
    <row r="3924" spans="1:11" x14ac:dyDescent="0.25">
      <c r="A3924" s="362"/>
      <c r="B3924" s="609">
        <v>44326</v>
      </c>
      <c r="C3924" s="362" t="s">
        <v>84</v>
      </c>
      <c r="D3924" s="560">
        <v>253807880</v>
      </c>
      <c r="E3924" s="560">
        <v>8265944</v>
      </c>
      <c r="F3924" s="560">
        <v>262073900</v>
      </c>
      <c r="G3924" s="560">
        <f t="shared" si="93"/>
        <v>-76</v>
      </c>
      <c r="H3924" s="560"/>
      <c r="I3924" s="362"/>
      <c r="J3924" s="362"/>
    </row>
    <row r="3925" spans="1:11" x14ac:dyDescent="0.25">
      <c r="A3925" s="362"/>
      <c r="B3925" s="609">
        <v>44326</v>
      </c>
      <c r="C3925" s="362" t="s">
        <v>4751</v>
      </c>
      <c r="D3925" s="560">
        <v>245378188</v>
      </c>
      <c r="E3925" s="560">
        <v>7331712</v>
      </c>
      <c r="F3925" s="560">
        <v>252709900</v>
      </c>
      <c r="G3925" s="560">
        <f t="shared" si="93"/>
        <v>0</v>
      </c>
      <c r="H3925" s="560"/>
      <c r="I3925" s="362"/>
      <c r="J3925" s="362"/>
    </row>
    <row r="3926" spans="1:11" x14ac:dyDescent="0.25">
      <c r="A3926" s="362"/>
      <c r="B3926" s="609">
        <v>44326</v>
      </c>
      <c r="C3926" s="362" t="s">
        <v>166</v>
      </c>
      <c r="D3926" s="560">
        <v>94994046</v>
      </c>
      <c r="E3926" s="560"/>
      <c r="F3926" s="560">
        <v>94994000</v>
      </c>
      <c r="G3926" s="560">
        <f t="shared" si="93"/>
        <v>46</v>
      </c>
      <c r="H3926" s="560"/>
      <c r="I3926" s="362"/>
      <c r="J3926" s="362"/>
      <c r="K3926" s="560"/>
    </row>
    <row r="3927" spans="1:11" x14ac:dyDescent="0.25">
      <c r="A3927" s="362"/>
      <c r="B3927" s="609">
        <v>44326</v>
      </c>
      <c r="C3927" s="362" t="s">
        <v>3435</v>
      </c>
      <c r="D3927" s="560">
        <v>38436756</v>
      </c>
      <c r="E3927" s="560"/>
      <c r="F3927" s="560">
        <v>38436800</v>
      </c>
      <c r="G3927" s="560">
        <f t="shared" si="93"/>
        <v>-44</v>
      </c>
      <c r="H3927" s="560"/>
      <c r="I3927" s="362"/>
      <c r="J3927" s="362"/>
    </row>
    <row r="3928" spans="1:11" x14ac:dyDescent="0.25">
      <c r="A3928" s="362"/>
      <c r="B3928" s="609">
        <v>44326</v>
      </c>
      <c r="C3928" s="370" t="s">
        <v>85</v>
      </c>
      <c r="D3928" s="560">
        <v>27302800</v>
      </c>
      <c r="E3928" s="560"/>
      <c r="F3928" s="560">
        <v>27302800</v>
      </c>
      <c r="G3928" s="560">
        <f t="shared" si="93"/>
        <v>0</v>
      </c>
      <c r="H3928" s="560"/>
      <c r="I3928" s="362"/>
      <c r="J3928" s="362"/>
    </row>
    <row r="3929" spans="1:11" x14ac:dyDescent="0.25">
      <c r="A3929" s="530"/>
      <c r="B3929" s="530"/>
      <c r="C3929" s="530"/>
      <c r="D3929" s="562">
        <f>SUM(D3914:D3928)</f>
        <v>2173733138</v>
      </c>
      <c r="E3929" s="562">
        <f>SUM(E3914:E3928)</f>
        <v>671599854</v>
      </c>
      <c r="F3929" s="562">
        <f>SUM(F3914:F3928)</f>
        <v>2845722900</v>
      </c>
      <c r="G3929" s="562">
        <f>SUM(G3914:G3928)</f>
        <v>-389908</v>
      </c>
      <c r="H3929" s="562"/>
      <c r="I3929" s="530"/>
      <c r="J3929" s="530"/>
    </row>
    <row r="3930" spans="1:11" x14ac:dyDescent="0.25">
      <c r="A3930" s="362"/>
      <c r="B3930" s="609">
        <v>44327</v>
      </c>
      <c r="C3930" s="362" t="s">
        <v>86</v>
      </c>
      <c r="D3930" s="560">
        <v>50981309</v>
      </c>
      <c r="E3930" s="560">
        <v>5806981</v>
      </c>
      <c r="F3930" s="560">
        <v>56788300</v>
      </c>
      <c r="G3930" s="560">
        <f t="shared" si="93"/>
        <v>-10</v>
      </c>
      <c r="H3930" s="560"/>
      <c r="I3930" s="362"/>
      <c r="J3930" s="362"/>
    </row>
    <row r="3931" spans="1:11" x14ac:dyDescent="0.25">
      <c r="A3931" s="362"/>
      <c r="B3931" s="609">
        <v>44327</v>
      </c>
      <c r="C3931" s="362" t="s">
        <v>87</v>
      </c>
      <c r="D3931" s="560">
        <v>104716064</v>
      </c>
      <c r="E3931" s="560">
        <v>58735262</v>
      </c>
      <c r="F3931" s="560">
        <v>163451100</v>
      </c>
      <c r="G3931" s="560">
        <f t="shared" si="93"/>
        <v>226</v>
      </c>
      <c r="H3931" s="560"/>
      <c r="I3931" s="362"/>
      <c r="J3931" s="362"/>
    </row>
    <row r="3932" spans="1:11" x14ac:dyDescent="0.25">
      <c r="A3932" s="362"/>
      <c r="B3932" s="609">
        <v>44327</v>
      </c>
      <c r="C3932" s="362" t="s">
        <v>88</v>
      </c>
      <c r="D3932" s="560">
        <v>19547532</v>
      </c>
      <c r="E3932" s="560">
        <v>83919519</v>
      </c>
      <c r="F3932" s="560">
        <v>103467100</v>
      </c>
      <c r="G3932" s="560">
        <f t="shared" si="93"/>
        <v>-49</v>
      </c>
      <c r="H3932" s="560"/>
      <c r="I3932" s="362"/>
      <c r="J3932" s="362"/>
    </row>
    <row r="3933" spans="1:11" x14ac:dyDescent="0.25">
      <c r="A3933" s="362"/>
      <c r="B3933" s="609">
        <v>44327</v>
      </c>
      <c r="C3933" s="362" t="s">
        <v>82</v>
      </c>
      <c r="D3933" s="560">
        <v>50463427</v>
      </c>
      <c r="E3933" s="560">
        <v>1059286</v>
      </c>
      <c r="F3933" s="560">
        <v>51522800</v>
      </c>
      <c r="G3933" s="560">
        <f t="shared" si="93"/>
        <v>-87</v>
      </c>
      <c r="H3933" s="560"/>
      <c r="I3933" s="362"/>
      <c r="J3933" s="362"/>
    </row>
    <row r="3934" spans="1:11" x14ac:dyDescent="0.25">
      <c r="A3934" s="362"/>
      <c r="B3934" s="609">
        <v>44327</v>
      </c>
      <c r="C3934" s="362" t="s">
        <v>80</v>
      </c>
      <c r="D3934" s="560">
        <v>131398993</v>
      </c>
      <c r="E3934" s="560">
        <v>48741120</v>
      </c>
      <c r="F3934" s="560">
        <v>180140200</v>
      </c>
      <c r="G3934" s="560">
        <f t="shared" si="93"/>
        <v>-87</v>
      </c>
      <c r="H3934" s="560"/>
      <c r="I3934" s="362"/>
      <c r="J3934" s="362"/>
    </row>
    <row r="3935" spans="1:11" x14ac:dyDescent="0.25">
      <c r="A3935" s="362"/>
      <c r="B3935" s="609">
        <v>44327</v>
      </c>
      <c r="C3935" s="362" t="s">
        <v>83</v>
      </c>
      <c r="D3935" s="560">
        <v>126928468</v>
      </c>
      <c r="E3935" s="560">
        <v>52632932</v>
      </c>
      <c r="F3935" s="560">
        <v>179561400</v>
      </c>
      <c r="G3935" s="560">
        <f t="shared" si="93"/>
        <v>0</v>
      </c>
      <c r="H3935" s="560"/>
      <c r="I3935" s="362"/>
      <c r="J3935" s="362"/>
    </row>
    <row r="3936" spans="1:11" x14ac:dyDescent="0.25">
      <c r="A3936" s="362"/>
      <c r="B3936" s="609">
        <v>44327</v>
      </c>
      <c r="C3936" s="362" t="s">
        <v>78</v>
      </c>
      <c r="D3936" s="560">
        <v>145912142</v>
      </c>
      <c r="E3936" s="560">
        <v>2123558</v>
      </c>
      <c r="F3936" s="560">
        <v>148035700</v>
      </c>
      <c r="G3936" s="560">
        <f t="shared" si="93"/>
        <v>0</v>
      </c>
      <c r="H3936" s="560"/>
      <c r="I3936" s="362"/>
      <c r="J3936" s="362"/>
    </row>
    <row r="3937" spans="1:10" x14ac:dyDescent="0.25">
      <c r="A3937" s="362"/>
      <c r="B3937" s="609">
        <v>44327</v>
      </c>
      <c r="C3937" s="362" t="s">
        <v>141</v>
      </c>
      <c r="D3937" s="560">
        <v>74676891</v>
      </c>
      <c r="E3937" s="560">
        <v>9151965</v>
      </c>
      <c r="F3937" s="560">
        <v>83828900</v>
      </c>
      <c r="G3937" s="560">
        <f t="shared" si="93"/>
        <v>-44</v>
      </c>
      <c r="H3937" s="560"/>
      <c r="I3937" s="362"/>
      <c r="J3937" s="362"/>
    </row>
    <row r="3938" spans="1:10" x14ac:dyDescent="0.25">
      <c r="A3938" s="362"/>
      <c r="B3938" s="609">
        <v>44327</v>
      </c>
      <c r="C3938" s="362" t="s">
        <v>89</v>
      </c>
      <c r="D3938" s="560">
        <v>14752224</v>
      </c>
      <c r="E3938" s="560">
        <v>8030676</v>
      </c>
      <c r="F3938" s="560">
        <v>23865400</v>
      </c>
      <c r="G3938" s="560">
        <f t="shared" si="93"/>
        <v>-1082500</v>
      </c>
      <c r="H3938" s="560"/>
      <c r="I3938" s="362"/>
      <c r="J3938" s="362"/>
    </row>
    <row r="3939" spans="1:10" x14ac:dyDescent="0.25">
      <c r="A3939" s="362"/>
      <c r="B3939" s="609">
        <v>44327</v>
      </c>
      <c r="C3939" s="362" t="s">
        <v>81</v>
      </c>
      <c r="D3939" s="560">
        <v>176640363</v>
      </c>
      <c r="E3939" s="560">
        <v>17484420</v>
      </c>
      <c r="F3939" s="560">
        <v>194124800</v>
      </c>
      <c r="G3939" s="560">
        <f t="shared" si="93"/>
        <v>-17</v>
      </c>
      <c r="H3939" s="560"/>
      <c r="I3939" s="362"/>
      <c r="J3939" s="362"/>
    </row>
    <row r="3940" spans="1:10" x14ac:dyDescent="0.25">
      <c r="A3940" s="362"/>
      <c r="B3940" s="609">
        <v>44327</v>
      </c>
      <c r="C3940" s="362" t="s">
        <v>84</v>
      </c>
      <c r="D3940" s="560">
        <v>154424018</v>
      </c>
      <c r="E3940" s="560">
        <v>1448387</v>
      </c>
      <c r="F3940" s="560">
        <v>155872400</v>
      </c>
      <c r="G3940" s="560">
        <f t="shared" si="93"/>
        <v>5</v>
      </c>
      <c r="H3940" s="560"/>
      <c r="I3940" s="362"/>
      <c r="J3940" s="362"/>
    </row>
    <row r="3941" spans="1:10" x14ac:dyDescent="0.25">
      <c r="A3941" s="362"/>
      <c r="B3941" s="609">
        <v>44327</v>
      </c>
      <c r="C3941" s="362" t="s">
        <v>4751</v>
      </c>
      <c r="D3941" s="560">
        <v>107022425</v>
      </c>
      <c r="E3941" s="560">
        <v>2443275</v>
      </c>
      <c r="F3941" s="560">
        <v>109465700</v>
      </c>
      <c r="G3941" s="560">
        <f t="shared" si="93"/>
        <v>0</v>
      </c>
      <c r="H3941" s="560"/>
      <c r="I3941" s="362"/>
      <c r="J3941" s="362"/>
    </row>
    <row r="3942" spans="1:10" x14ac:dyDescent="0.25">
      <c r="A3942" s="362"/>
      <c r="B3942" s="609">
        <v>44327</v>
      </c>
      <c r="C3942" s="362" t="s">
        <v>166</v>
      </c>
      <c r="D3942" s="560"/>
      <c r="E3942" s="560"/>
      <c r="F3942" s="560"/>
      <c r="G3942" s="560">
        <f t="shared" si="93"/>
        <v>0</v>
      </c>
      <c r="H3942" s="560"/>
      <c r="I3942" s="362"/>
      <c r="J3942" s="362"/>
    </row>
    <row r="3943" spans="1:10" x14ac:dyDescent="0.25">
      <c r="A3943" s="362"/>
      <c r="B3943" s="609">
        <v>44327</v>
      </c>
      <c r="C3943" s="362" t="s">
        <v>3435</v>
      </c>
      <c r="D3943" s="560"/>
      <c r="E3943" s="560"/>
      <c r="F3943" s="560"/>
      <c r="G3943" s="560">
        <f t="shared" si="93"/>
        <v>0</v>
      </c>
      <c r="H3943" s="560"/>
      <c r="I3943" s="362"/>
      <c r="J3943" s="362"/>
    </row>
    <row r="3944" spans="1:10" x14ac:dyDescent="0.25">
      <c r="A3944" s="362"/>
      <c r="B3944" s="609">
        <v>44327</v>
      </c>
      <c r="C3944" s="370" t="s">
        <v>85</v>
      </c>
      <c r="D3944" s="560">
        <v>30499200</v>
      </c>
      <c r="E3944" s="560"/>
      <c r="F3944" s="560">
        <v>30499200</v>
      </c>
      <c r="G3944" s="560">
        <f t="shared" si="93"/>
        <v>0</v>
      </c>
      <c r="H3944" s="560"/>
      <c r="I3944" s="362"/>
      <c r="J3944" s="362"/>
    </row>
    <row r="3945" spans="1:10" x14ac:dyDescent="0.25">
      <c r="A3945" s="530"/>
      <c r="B3945" s="530"/>
      <c r="C3945" s="530"/>
      <c r="D3945" s="562">
        <f>SUM(D3930:D3944)</f>
        <v>1187963056</v>
      </c>
      <c r="E3945" s="562">
        <f>SUM(E3930:E3944)</f>
        <v>291577381</v>
      </c>
      <c r="F3945" s="562">
        <f>SUM(F3930:F3944)</f>
        <v>1480623000</v>
      </c>
      <c r="G3945" s="562">
        <f>SUM(G3930:G3944)</f>
        <v>-1082563</v>
      </c>
      <c r="H3945" s="562"/>
      <c r="I3945" s="530"/>
      <c r="J3945" s="530"/>
    </row>
    <row r="3946" spans="1:10" x14ac:dyDescent="0.25">
      <c r="A3946" s="362"/>
      <c r="B3946" s="609">
        <v>44333</v>
      </c>
      <c r="C3946" s="362" t="s">
        <v>86</v>
      </c>
      <c r="D3946" s="560">
        <v>66192961</v>
      </c>
      <c r="E3946" s="560">
        <v>5665440</v>
      </c>
      <c r="F3946" s="560">
        <v>71858400</v>
      </c>
      <c r="G3946" s="560">
        <f t="shared" si="93"/>
        <v>1</v>
      </c>
      <c r="H3946" s="560"/>
      <c r="I3946" s="362"/>
      <c r="J3946" s="362"/>
    </row>
    <row r="3947" spans="1:10" x14ac:dyDescent="0.25">
      <c r="A3947" s="362"/>
      <c r="B3947" s="609">
        <v>44333</v>
      </c>
      <c r="C3947" s="362" t="s">
        <v>87</v>
      </c>
      <c r="D3947" s="560">
        <v>88683903</v>
      </c>
      <c r="E3947" s="560">
        <v>16171961</v>
      </c>
      <c r="F3947" s="560">
        <v>104855900</v>
      </c>
      <c r="G3947" s="560">
        <f t="shared" si="93"/>
        <v>-36</v>
      </c>
      <c r="H3947" s="560"/>
      <c r="I3947" s="362"/>
      <c r="J3947" s="362"/>
    </row>
    <row r="3948" spans="1:10" x14ac:dyDescent="0.25">
      <c r="A3948" s="362"/>
      <c r="B3948" s="609">
        <v>44333</v>
      </c>
      <c r="C3948" s="362" t="s">
        <v>88</v>
      </c>
      <c r="D3948" s="560">
        <v>205124605</v>
      </c>
      <c r="E3948" s="560">
        <v>69518640</v>
      </c>
      <c r="F3948" s="560">
        <v>274643300</v>
      </c>
      <c r="G3948" s="560">
        <f t="shared" si="93"/>
        <v>-55</v>
      </c>
      <c r="H3948" s="560"/>
      <c r="I3948" s="362"/>
      <c r="J3948" s="362"/>
    </row>
    <row r="3949" spans="1:10" x14ac:dyDescent="0.25">
      <c r="A3949" s="362"/>
      <c r="B3949" s="609">
        <v>44333</v>
      </c>
      <c r="C3949" s="362" t="s">
        <v>82</v>
      </c>
      <c r="D3949" s="560">
        <v>42030175</v>
      </c>
      <c r="E3949" s="560">
        <v>953700</v>
      </c>
      <c r="F3949" s="560">
        <v>42983900</v>
      </c>
      <c r="G3949" s="560">
        <f t="shared" si="93"/>
        <v>-25</v>
      </c>
      <c r="H3949" s="560"/>
      <c r="I3949" s="362"/>
      <c r="J3949" s="362"/>
    </row>
    <row r="3950" spans="1:10" x14ac:dyDescent="0.25">
      <c r="A3950" s="362"/>
      <c r="B3950" s="609">
        <v>44333</v>
      </c>
      <c r="C3950" s="362" t="s">
        <v>80</v>
      </c>
      <c r="D3950" s="560">
        <v>232611230</v>
      </c>
      <c r="E3950" s="560"/>
      <c r="F3950" s="560">
        <v>232611300</v>
      </c>
      <c r="G3950" s="560">
        <f t="shared" si="93"/>
        <v>-70</v>
      </c>
      <c r="H3950" s="560"/>
      <c r="I3950" s="362"/>
      <c r="J3950" s="362"/>
    </row>
    <row r="3951" spans="1:10" x14ac:dyDescent="0.25">
      <c r="A3951" s="362"/>
      <c r="B3951" s="609">
        <v>44333</v>
      </c>
      <c r="C3951" s="362" t="s">
        <v>83</v>
      </c>
      <c r="D3951" s="560">
        <v>369157926</v>
      </c>
      <c r="E3951" s="560">
        <v>4228157</v>
      </c>
      <c r="F3951" s="560">
        <v>373386100</v>
      </c>
      <c r="G3951" s="560">
        <f t="shared" si="93"/>
        <v>-17</v>
      </c>
      <c r="H3951" s="560"/>
      <c r="I3951" s="362"/>
      <c r="J3951" s="362"/>
    </row>
    <row r="3952" spans="1:10" x14ac:dyDescent="0.25">
      <c r="A3952" s="362"/>
      <c r="B3952" s="609">
        <v>44333</v>
      </c>
      <c r="C3952" s="362" t="s">
        <v>78</v>
      </c>
      <c r="D3952" s="560">
        <v>79330033</v>
      </c>
      <c r="E3952" s="560">
        <v>40967</v>
      </c>
      <c r="F3952" s="560">
        <v>79371000</v>
      </c>
      <c r="G3952" s="560">
        <f t="shared" si="93"/>
        <v>0</v>
      </c>
      <c r="H3952" s="560"/>
      <c r="I3952" s="362"/>
      <c r="J3952" s="362"/>
    </row>
    <row r="3953" spans="1:10" x14ac:dyDescent="0.25">
      <c r="A3953" s="362"/>
      <c r="B3953" s="609">
        <v>44333</v>
      </c>
      <c r="C3953" s="362" t="s">
        <v>141</v>
      </c>
      <c r="D3953" s="560">
        <v>44174019</v>
      </c>
      <c r="E3953" s="560">
        <v>32625</v>
      </c>
      <c r="F3953" s="560">
        <v>44206700</v>
      </c>
      <c r="G3953" s="560">
        <f t="shared" si="93"/>
        <v>-56</v>
      </c>
      <c r="H3953" s="560"/>
      <c r="I3953" s="362"/>
      <c r="J3953" s="362"/>
    </row>
    <row r="3954" spans="1:10" x14ac:dyDescent="0.25">
      <c r="A3954" s="362"/>
      <c r="B3954" s="609">
        <v>44333</v>
      </c>
      <c r="C3954" s="362" t="s">
        <v>89</v>
      </c>
      <c r="D3954" s="560">
        <v>51059162</v>
      </c>
      <c r="E3954" s="560">
        <v>51912238</v>
      </c>
      <c r="F3954" s="560">
        <v>102971400</v>
      </c>
      <c r="G3954" s="560">
        <f t="shared" si="93"/>
        <v>0</v>
      </c>
      <c r="H3954" s="560"/>
      <c r="I3954" s="362"/>
      <c r="J3954" s="362"/>
    </row>
    <row r="3955" spans="1:10" x14ac:dyDescent="0.25">
      <c r="A3955" s="362"/>
      <c r="B3955" s="609">
        <v>44333</v>
      </c>
      <c r="C3955" s="362" t="s">
        <v>81</v>
      </c>
      <c r="D3955" s="560">
        <v>122598560</v>
      </c>
      <c r="E3955" s="560">
        <v>3746694</v>
      </c>
      <c r="F3955" s="560">
        <v>126345300</v>
      </c>
      <c r="G3955" s="560">
        <f t="shared" si="93"/>
        <v>-46</v>
      </c>
      <c r="H3955" s="560"/>
      <c r="I3955" s="362"/>
      <c r="J3955" s="362"/>
    </row>
    <row r="3956" spans="1:10" x14ac:dyDescent="0.25">
      <c r="A3956" s="362"/>
      <c r="B3956" s="609">
        <v>44333</v>
      </c>
      <c r="C3956" s="362" t="s">
        <v>84</v>
      </c>
      <c r="D3956" s="560">
        <v>199051224</v>
      </c>
      <c r="E3956" s="560">
        <v>3407476</v>
      </c>
      <c r="F3956" s="560">
        <v>202458700</v>
      </c>
      <c r="G3956" s="560">
        <f t="shared" si="93"/>
        <v>0</v>
      </c>
      <c r="H3956" s="560"/>
      <c r="I3956" s="362"/>
      <c r="J3956" s="362"/>
    </row>
    <row r="3957" spans="1:10" x14ac:dyDescent="0.25">
      <c r="A3957" s="362"/>
      <c r="B3957" s="609">
        <v>44333</v>
      </c>
      <c r="C3957" s="362" t="s">
        <v>4751</v>
      </c>
      <c r="D3957" s="560">
        <v>163481319</v>
      </c>
      <c r="E3957" s="560">
        <v>7190081</v>
      </c>
      <c r="F3957" s="560">
        <v>170671400</v>
      </c>
      <c r="G3957" s="560">
        <f t="shared" si="93"/>
        <v>0</v>
      </c>
      <c r="H3957" s="560"/>
      <c r="I3957" s="362"/>
      <c r="J3957" s="362"/>
    </row>
    <row r="3958" spans="1:10" x14ac:dyDescent="0.25">
      <c r="A3958" s="362"/>
      <c r="B3958" s="609">
        <v>44333</v>
      </c>
      <c r="C3958" s="362" t="s">
        <v>166</v>
      </c>
      <c r="D3958" s="560">
        <v>51448658</v>
      </c>
      <c r="E3958" s="560"/>
      <c r="F3958" s="560">
        <v>51448500</v>
      </c>
      <c r="G3958" s="560">
        <f t="shared" si="93"/>
        <v>158</v>
      </c>
      <c r="H3958" s="560"/>
      <c r="I3958" s="362"/>
      <c r="J3958" s="362"/>
    </row>
    <row r="3959" spans="1:10" x14ac:dyDescent="0.25">
      <c r="A3959" s="362"/>
      <c r="B3959" s="609">
        <v>44333</v>
      </c>
      <c r="C3959" s="362" t="s">
        <v>3435</v>
      </c>
      <c r="D3959" s="560">
        <v>39676488</v>
      </c>
      <c r="E3959" s="560"/>
      <c r="F3959" s="560">
        <v>39676500</v>
      </c>
      <c r="G3959" s="560">
        <f t="shared" si="93"/>
        <v>-12</v>
      </c>
      <c r="H3959" s="560"/>
      <c r="I3959" s="362"/>
      <c r="J3959" s="362"/>
    </row>
    <row r="3960" spans="1:10" x14ac:dyDescent="0.25">
      <c r="A3960" s="362"/>
      <c r="B3960" s="609">
        <v>44333</v>
      </c>
      <c r="C3960" s="370" t="s">
        <v>85</v>
      </c>
      <c r="D3960" s="560">
        <v>72125300</v>
      </c>
      <c r="E3960" s="560"/>
      <c r="F3960" s="560">
        <v>72125300</v>
      </c>
      <c r="G3960" s="560">
        <f t="shared" si="93"/>
        <v>0</v>
      </c>
      <c r="H3960" s="560"/>
      <c r="I3960" s="362"/>
      <c r="J3960" s="362"/>
    </row>
    <row r="3961" spans="1:10" x14ac:dyDescent="0.25">
      <c r="A3961" s="530"/>
      <c r="B3961" s="530"/>
      <c r="C3961" s="530"/>
      <c r="D3961" s="562">
        <f>SUM(D3946:D3960)</f>
        <v>1826745563</v>
      </c>
      <c r="E3961" s="562">
        <f>SUM(E3946:E3960)</f>
        <v>162867979</v>
      </c>
      <c r="F3961" s="562">
        <f>SUM(F3946:F3960)</f>
        <v>1989613700</v>
      </c>
      <c r="G3961" s="562">
        <f>SUM(G3946:G3960)</f>
        <v>-158</v>
      </c>
      <c r="H3961" s="562"/>
      <c r="I3961" s="530"/>
      <c r="J3961" s="530"/>
    </row>
    <row r="3962" spans="1:10" x14ac:dyDescent="0.25">
      <c r="A3962" s="362"/>
      <c r="B3962" s="609">
        <v>44334</v>
      </c>
      <c r="C3962" s="362" t="s">
        <v>86</v>
      </c>
      <c r="D3962" s="560">
        <v>99502028</v>
      </c>
      <c r="E3962" s="560">
        <v>154950895</v>
      </c>
      <c r="F3962" s="560">
        <v>254453000</v>
      </c>
      <c r="G3962" s="560">
        <f t="shared" si="93"/>
        <v>-77</v>
      </c>
      <c r="H3962" s="560"/>
      <c r="I3962" s="560"/>
      <c r="J3962" s="560"/>
    </row>
    <row r="3963" spans="1:10" x14ac:dyDescent="0.25">
      <c r="A3963" s="362"/>
      <c r="B3963" s="609">
        <v>44334</v>
      </c>
      <c r="C3963" s="362" t="s">
        <v>87</v>
      </c>
      <c r="D3963" s="560">
        <v>176492097</v>
      </c>
      <c r="E3963" s="560">
        <v>211176080</v>
      </c>
      <c r="F3963" s="560">
        <v>387668300</v>
      </c>
      <c r="G3963" s="560">
        <f t="shared" si="93"/>
        <v>-123</v>
      </c>
      <c r="H3963" s="560"/>
      <c r="I3963" s="560"/>
      <c r="J3963" s="560"/>
    </row>
    <row r="3964" spans="1:10" x14ac:dyDescent="0.25">
      <c r="A3964" s="362"/>
      <c r="B3964" s="609">
        <v>44334</v>
      </c>
      <c r="C3964" s="362" t="s">
        <v>88</v>
      </c>
      <c r="D3964" s="560">
        <v>211410960</v>
      </c>
      <c r="E3964" s="560">
        <v>74397144</v>
      </c>
      <c r="F3964" s="560">
        <v>285808200</v>
      </c>
      <c r="G3964" s="560">
        <f t="shared" si="93"/>
        <v>-96</v>
      </c>
      <c r="H3964" s="560"/>
      <c r="I3964" s="560"/>
      <c r="J3964" s="560"/>
    </row>
    <row r="3965" spans="1:10" x14ac:dyDescent="0.25">
      <c r="A3965" s="362"/>
      <c r="B3965" s="609">
        <v>44334</v>
      </c>
      <c r="C3965" s="362" t="s">
        <v>82</v>
      </c>
      <c r="D3965" s="560">
        <v>79582443</v>
      </c>
      <c r="E3965" s="560">
        <v>2527500</v>
      </c>
      <c r="F3965" s="560">
        <v>82110000</v>
      </c>
      <c r="G3965" s="560">
        <f t="shared" si="93"/>
        <v>-57</v>
      </c>
      <c r="H3965" s="560"/>
      <c r="I3965" s="560"/>
      <c r="J3965" s="560"/>
    </row>
    <row r="3966" spans="1:10" x14ac:dyDescent="0.25">
      <c r="A3966" s="362"/>
      <c r="B3966" s="609">
        <v>44334</v>
      </c>
      <c r="C3966" s="362" t="s">
        <v>80</v>
      </c>
      <c r="D3966" s="560">
        <v>244534831</v>
      </c>
      <c r="E3966" s="560"/>
      <c r="F3966" s="560">
        <v>244534900</v>
      </c>
      <c r="G3966" s="560">
        <f t="shared" si="93"/>
        <v>-69</v>
      </c>
      <c r="H3966" s="560"/>
      <c r="I3966" s="560"/>
      <c r="J3966" s="560"/>
    </row>
    <row r="3967" spans="1:10" x14ac:dyDescent="0.25">
      <c r="A3967" s="362"/>
      <c r="B3967" s="609">
        <v>44334</v>
      </c>
      <c r="C3967" s="362" t="s">
        <v>83</v>
      </c>
      <c r="D3967" s="560">
        <v>318959419</v>
      </c>
      <c r="E3967" s="560">
        <v>54291146</v>
      </c>
      <c r="F3967" s="560">
        <v>373250600</v>
      </c>
      <c r="G3967" s="560">
        <f t="shared" si="93"/>
        <v>-35</v>
      </c>
      <c r="H3967" s="560"/>
      <c r="I3967" s="560"/>
      <c r="J3967" s="560"/>
    </row>
    <row r="3968" spans="1:10" x14ac:dyDescent="0.25">
      <c r="A3968" s="362"/>
      <c r="B3968" s="609">
        <v>44334</v>
      </c>
      <c r="C3968" s="362" t="s">
        <v>78</v>
      </c>
      <c r="D3968" s="560">
        <v>96236300</v>
      </c>
      <c r="E3968" s="560"/>
      <c r="F3968" s="560">
        <v>96236300</v>
      </c>
      <c r="G3968" s="560">
        <f t="shared" si="93"/>
        <v>0</v>
      </c>
      <c r="H3968" s="560"/>
      <c r="I3968" s="560"/>
      <c r="J3968" s="560"/>
    </row>
    <row r="3969" spans="1:10" x14ac:dyDescent="0.25">
      <c r="A3969" s="362"/>
      <c r="B3969" s="609">
        <v>44334</v>
      </c>
      <c r="C3969" s="362" t="s">
        <v>141</v>
      </c>
      <c r="D3969" s="560">
        <v>64946036</v>
      </c>
      <c r="E3969" s="560">
        <v>1596488</v>
      </c>
      <c r="F3969" s="560">
        <v>66542600</v>
      </c>
      <c r="G3969" s="560">
        <f t="shared" si="93"/>
        <v>-76</v>
      </c>
      <c r="H3969" s="560"/>
      <c r="I3969" s="560"/>
      <c r="J3969" s="560"/>
    </row>
    <row r="3970" spans="1:10" x14ac:dyDescent="0.25">
      <c r="A3970" s="362"/>
      <c r="B3970" s="609">
        <v>44334</v>
      </c>
      <c r="C3970" s="362" t="s">
        <v>89</v>
      </c>
      <c r="D3970" s="560">
        <v>131644829</v>
      </c>
      <c r="E3970" s="560">
        <v>16747971</v>
      </c>
      <c r="F3970" s="560">
        <v>148392800</v>
      </c>
      <c r="G3970" s="560">
        <f t="shared" si="93"/>
        <v>0</v>
      </c>
      <c r="H3970" s="560"/>
      <c r="I3970" s="560"/>
      <c r="J3970" s="560"/>
    </row>
    <row r="3971" spans="1:10" x14ac:dyDescent="0.25">
      <c r="A3971" s="362"/>
      <c r="B3971" s="609">
        <v>44334</v>
      </c>
      <c r="C3971" s="362" t="s">
        <v>81</v>
      </c>
      <c r="D3971" s="560">
        <v>108506902</v>
      </c>
      <c r="E3971" s="560">
        <v>10276529</v>
      </c>
      <c r="F3971" s="560">
        <v>118783500</v>
      </c>
      <c r="G3971" s="560">
        <f t="shared" si="93"/>
        <v>-69</v>
      </c>
      <c r="H3971" s="560"/>
      <c r="I3971" s="560"/>
      <c r="J3971" s="560"/>
    </row>
    <row r="3972" spans="1:10" x14ac:dyDescent="0.25">
      <c r="A3972" s="362"/>
      <c r="B3972" s="609">
        <v>44334</v>
      </c>
      <c r="C3972" s="362" t="s">
        <v>84</v>
      </c>
      <c r="D3972" s="560">
        <v>214786821</v>
      </c>
      <c r="E3972" s="560">
        <v>11572462</v>
      </c>
      <c r="F3972" s="560">
        <v>226359300</v>
      </c>
      <c r="G3972" s="560">
        <f t="shared" si="93"/>
        <v>-17</v>
      </c>
      <c r="H3972" s="560"/>
      <c r="I3972" s="560"/>
      <c r="J3972" s="560"/>
    </row>
    <row r="3973" spans="1:10" x14ac:dyDescent="0.25">
      <c r="A3973" s="362"/>
      <c r="B3973" s="609">
        <v>44334</v>
      </c>
      <c r="C3973" s="362" t="s">
        <v>4751</v>
      </c>
      <c r="D3973" s="560">
        <v>212853438</v>
      </c>
      <c r="E3973" s="560">
        <v>7206562</v>
      </c>
      <c r="F3973" s="560">
        <v>220060000</v>
      </c>
      <c r="G3973" s="560">
        <f t="shared" si="93"/>
        <v>0</v>
      </c>
      <c r="H3973" s="560"/>
      <c r="I3973" s="560"/>
      <c r="J3973" s="560"/>
    </row>
    <row r="3974" spans="1:10" x14ac:dyDescent="0.25">
      <c r="A3974" s="362"/>
      <c r="B3974" s="609">
        <v>44334</v>
      </c>
      <c r="C3974" s="362" t="s">
        <v>166</v>
      </c>
      <c r="D3974" s="560">
        <v>51207756</v>
      </c>
      <c r="E3974" s="560"/>
      <c r="F3974" s="560">
        <v>51207900</v>
      </c>
      <c r="G3974" s="560">
        <f t="shared" si="93"/>
        <v>-144</v>
      </c>
      <c r="H3974" s="560"/>
      <c r="I3974" s="560"/>
      <c r="J3974" s="560"/>
    </row>
    <row r="3975" spans="1:10" x14ac:dyDescent="0.25">
      <c r="A3975" s="362"/>
      <c r="B3975" s="609">
        <v>44334</v>
      </c>
      <c r="C3975" s="362" t="s">
        <v>3435</v>
      </c>
      <c r="D3975" s="560">
        <v>177938748</v>
      </c>
      <c r="E3975" s="560"/>
      <c r="F3975" s="560">
        <v>177938800</v>
      </c>
      <c r="G3975" s="560">
        <f t="shared" si="93"/>
        <v>-52</v>
      </c>
      <c r="H3975" s="560"/>
      <c r="I3975" s="560"/>
      <c r="J3975" s="560"/>
    </row>
    <row r="3976" spans="1:10" x14ac:dyDescent="0.25">
      <c r="A3976" s="362"/>
      <c r="B3976" s="609">
        <v>44334</v>
      </c>
      <c r="C3976" s="370" t="s">
        <v>85</v>
      </c>
      <c r="D3976" s="560">
        <v>45236400</v>
      </c>
      <c r="E3976" s="560"/>
      <c r="F3976" s="560">
        <v>45236400</v>
      </c>
      <c r="G3976" s="560">
        <f t="shared" si="93"/>
        <v>0</v>
      </c>
      <c r="H3976" s="560"/>
      <c r="I3976" s="560"/>
      <c r="J3976" s="560"/>
    </row>
    <row r="3977" spans="1:10" x14ac:dyDescent="0.25">
      <c r="A3977" s="530"/>
      <c r="B3977" s="530"/>
      <c r="C3977" s="530"/>
      <c r="D3977" s="562">
        <f>SUM(D3962:D3976)</f>
        <v>2233839008</v>
      </c>
      <c r="E3977" s="562">
        <f>SUM(E3962:E3976)</f>
        <v>544742777</v>
      </c>
      <c r="F3977" s="562">
        <f>SUM(F3962:F3976)</f>
        <v>2778582600</v>
      </c>
      <c r="G3977" s="562">
        <f>SUM(G3962:G3976)</f>
        <v>-815</v>
      </c>
      <c r="H3977" s="562"/>
      <c r="I3977" s="562"/>
      <c r="J3977" s="562"/>
    </row>
    <row r="3978" spans="1:10" x14ac:dyDescent="0.25">
      <c r="A3978" s="362"/>
      <c r="B3978" s="609">
        <v>44335</v>
      </c>
      <c r="C3978" s="362" t="s">
        <v>86</v>
      </c>
      <c r="D3978" s="560">
        <v>148290184</v>
      </c>
      <c r="E3978" s="560">
        <v>8176517</v>
      </c>
      <c r="F3978" s="560">
        <v>156466700</v>
      </c>
      <c r="G3978" s="560">
        <f t="shared" si="93"/>
        <v>1</v>
      </c>
      <c r="H3978" s="560"/>
      <c r="I3978" s="560"/>
      <c r="J3978" s="560"/>
    </row>
    <row r="3979" spans="1:10" x14ac:dyDescent="0.25">
      <c r="A3979" s="362"/>
      <c r="B3979" s="609">
        <v>44335</v>
      </c>
      <c r="C3979" s="362" t="s">
        <v>87</v>
      </c>
      <c r="D3979" s="560">
        <v>219657183</v>
      </c>
      <c r="E3979" s="560">
        <v>320824378</v>
      </c>
      <c r="F3979" s="560">
        <v>540481700</v>
      </c>
      <c r="G3979" s="560">
        <f t="shared" si="93"/>
        <v>-139</v>
      </c>
      <c r="H3979" s="560"/>
      <c r="I3979" s="560"/>
      <c r="J3979" s="560"/>
    </row>
    <row r="3980" spans="1:10" x14ac:dyDescent="0.25">
      <c r="A3980" s="362"/>
      <c r="B3980" s="609">
        <v>44335</v>
      </c>
      <c r="C3980" s="362" t="s">
        <v>88</v>
      </c>
      <c r="D3980" s="560">
        <v>341315820</v>
      </c>
      <c r="E3980" s="560">
        <v>6278540</v>
      </c>
      <c r="F3980" s="560">
        <v>347594600</v>
      </c>
      <c r="G3980" s="560">
        <f t="shared" ref="G3980:G4043" si="94">D3980+E3980-F3980</f>
        <v>-240</v>
      </c>
      <c r="H3980" s="560"/>
      <c r="I3980" s="560"/>
      <c r="J3980" s="560"/>
    </row>
    <row r="3981" spans="1:10" x14ac:dyDescent="0.25">
      <c r="A3981" s="362"/>
      <c r="B3981" s="609">
        <v>44335</v>
      </c>
      <c r="C3981" s="362" t="s">
        <v>82</v>
      </c>
      <c r="D3981" s="560">
        <v>104055323</v>
      </c>
      <c r="E3981" s="560">
        <v>876700</v>
      </c>
      <c r="F3981" s="560">
        <v>104932100</v>
      </c>
      <c r="G3981" s="560">
        <f t="shared" si="94"/>
        <v>-77</v>
      </c>
      <c r="H3981" s="560"/>
      <c r="I3981" s="560"/>
      <c r="J3981" s="560"/>
    </row>
    <row r="3982" spans="1:10" x14ac:dyDescent="0.25">
      <c r="A3982" s="362"/>
      <c r="B3982" s="609">
        <v>44335</v>
      </c>
      <c r="C3982" s="362" t="s">
        <v>80</v>
      </c>
      <c r="D3982" s="560">
        <v>276456177</v>
      </c>
      <c r="E3982" s="560">
        <v>2185153</v>
      </c>
      <c r="F3982" s="560">
        <v>278641000</v>
      </c>
      <c r="G3982" s="560">
        <f t="shared" si="94"/>
        <v>330</v>
      </c>
      <c r="H3982" s="560"/>
      <c r="I3982" s="560"/>
      <c r="J3982" s="560"/>
    </row>
    <row r="3983" spans="1:10" x14ac:dyDescent="0.25">
      <c r="A3983" s="362"/>
      <c r="B3983" s="609">
        <v>44335</v>
      </c>
      <c r="C3983" s="362" t="s">
        <v>83</v>
      </c>
      <c r="D3983" s="560">
        <v>308741474</v>
      </c>
      <c r="E3983" s="560">
        <v>70741152</v>
      </c>
      <c r="F3983" s="560">
        <v>379482700</v>
      </c>
      <c r="G3983" s="560">
        <f t="shared" si="94"/>
        <v>-74</v>
      </c>
      <c r="H3983" s="560"/>
      <c r="I3983" s="560"/>
      <c r="J3983" s="560"/>
    </row>
    <row r="3984" spans="1:10" x14ac:dyDescent="0.25">
      <c r="A3984" s="362"/>
      <c r="B3984" s="609">
        <v>44335</v>
      </c>
      <c r="C3984" s="362" t="s">
        <v>78</v>
      </c>
      <c r="D3984" s="560">
        <v>114542103</v>
      </c>
      <c r="E3984" s="560">
        <v>1454797</v>
      </c>
      <c r="F3984" s="560">
        <v>115996900</v>
      </c>
      <c r="G3984" s="560">
        <f t="shared" si="94"/>
        <v>0</v>
      </c>
      <c r="H3984" s="560"/>
      <c r="I3984" s="560"/>
      <c r="J3984" s="560"/>
    </row>
    <row r="3985" spans="1:10" x14ac:dyDescent="0.25">
      <c r="A3985" s="362"/>
      <c r="B3985" s="609">
        <v>44335</v>
      </c>
      <c r="C3985" s="362" t="s">
        <v>141</v>
      </c>
      <c r="D3985" s="560">
        <v>76013387</v>
      </c>
      <c r="E3985" s="560">
        <v>3108807</v>
      </c>
      <c r="F3985" s="560">
        <v>79122200</v>
      </c>
      <c r="G3985" s="560">
        <f t="shared" si="94"/>
        <v>-6</v>
      </c>
      <c r="H3985" s="560"/>
      <c r="I3985" s="560"/>
      <c r="J3985" s="560"/>
    </row>
    <row r="3986" spans="1:10" x14ac:dyDescent="0.25">
      <c r="A3986" s="362"/>
      <c r="B3986" s="609">
        <v>44335</v>
      </c>
      <c r="C3986" s="362" t="s">
        <v>89</v>
      </c>
      <c r="D3986" s="560">
        <v>121069637</v>
      </c>
      <c r="E3986" s="560">
        <v>11122663</v>
      </c>
      <c r="F3986" s="560">
        <v>132192300</v>
      </c>
      <c r="G3986" s="560">
        <f t="shared" si="94"/>
        <v>0</v>
      </c>
      <c r="H3986" s="560"/>
      <c r="I3986" s="560"/>
      <c r="J3986" s="560"/>
    </row>
    <row r="3987" spans="1:10" x14ac:dyDescent="0.25">
      <c r="A3987" s="362"/>
      <c r="B3987" s="609">
        <v>44335</v>
      </c>
      <c r="C3987" s="362" t="s">
        <v>81</v>
      </c>
      <c r="D3987" s="560">
        <v>132121966</v>
      </c>
      <c r="E3987" s="560">
        <v>11810107</v>
      </c>
      <c r="F3987" s="560">
        <v>143932100</v>
      </c>
      <c r="G3987" s="560">
        <f t="shared" si="94"/>
        <v>-27</v>
      </c>
      <c r="H3987" s="560"/>
      <c r="I3987" s="560"/>
      <c r="J3987" s="560"/>
    </row>
    <row r="3988" spans="1:10" x14ac:dyDescent="0.25">
      <c r="A3988" s="362"/>
      <c r="B3988" s="609">
        <v>44335</v>
      </c>
      <c r="C3988" s="362" t="s">
        <v>84</v>
      </c>
      <c r="D3988" s="560">
        <v>304349296</v>
      </c>
      <c r="E3988" s="560">
        <v>11650243</v>
      </c>
      <c r="F3988" s="560">
        <v>315999600</v>
      </c>
      <c r="G3988" s="560">
        <f t="shared" si="94"/>
        <v>-61</v>
      </c>
      <c r="H3988" s="560"/>
      <c r="I3988" s="560"/>
      <c r="J3988" s="560"/>
    </row>
    <row r="3989" spans="1:10" x14ac:dyDescent="0.25">
      <c r="A3989" s="362"/>
      <c r="B3989" s="609">
        <v>44335</v>
      </c>
      <c r="C3989" s="362" t="s">
        <v>4751</v>
      </c>
      <c r="D3989" s="560">
        <v>233395150</v>
      </c>
      <c r="E3989" s="560">
        <v>15200350</v>
      </c>
      <c r="F3989" s="560">
        <v>248595500</v>
      </c>
      <c r="G3989" s="560">
        <f t="shared" si="94"/>
        <v>0</v>
      </c>
      <c r="H3989" s="560"/>
      <c r="I3989" s="560"/>
      <c r="J3989" s="560"/>
    </row>
    <row r="3990" spans="1:10" x14ac:dyDescent="0.25">
      <c r="A3990" s="362"/>
      <c r="B3990" s="609">
        <v>44335</v>
      </c>
      <c r="C3990" s="362" t="s">
        <v>166</v>
      </c>
      <c r="D3990" s="560">
        <v>102879311</v>
      </c>
      <c r="E3990" s="560"/>
      <c r="F3990" s="560">
        <v>102879300</v>
      </c>
      <c r="G3990" s="560">
        <f t="shared" si="94"/>
        <v>11</v>
      </c>
      <c r="H3990" s="560"/>
      <c r="I3990" s="560"/>
      <c r="J3990" s="560"/>
    </row>
    <row r="3991" spans="1:10" x14ac:dyDescent="0.25">
      <c r="A3991" s="362"/>
      <c r="B3991" s="609">
        <v>44335</v>
      </c>
      <c r="C3991" s="362" t="s">
        <v>3435</v>
      </c>
      <c r="D3991" s="560">
        <v>112378285</v>
      </c>
      <c r="E3991" s="560"/>
      <c r="F3991" s="560">
        <v>112378300</v>
      </c>
      <c r="G3991" s="560">
        <f t="shared" si="94"/>
        <v>-15</v>
      </c>
      <c r="H3991" s="560"/>
      <c r="I3991" s="560"/>
      <c r="J3991" s="560"/>
    </row>
    <row r="3992" spans="1:10" x14ac:dyDescent="0.25">
      <c r="A3992" s="362"/>
      <c r="B3992" s="609">
        <v>44335</v>
      </c>
      <c r="C3992" s="370" t="s">
        <v>85</v>
      </c>
      <c r="D3992" s="560">
        <v>47531800</v>
      </c>
      <c r="E3992" s="560"/>
      <c r="F3992" s="560">
        <v>47531800</v>
      </c>
      <c r="G3992" s="560">
        <f t="shared" si="94"/>
        <v>0</v>
      </c>
      <c r="H3992" s="560"/>
      <c r="I3992" s="560"/>
      <c r="J3992" s="560"/>
    </row>
    <row r="3993" spans="1:10" x14ac:dyDescent="0.25">
      <c r="A3993" s="530"/>
      <c r="B3993" s="530"/>
      <c r="C3993" s="530"/>
      <c r="D3993" s="562">
        <f>SUM(D3978:D3992)</f>
        <v>2642797096</v>
      </c>
      <c r="E3993" s="562">
        <f t="shared" ref="E3993:J3993" si="95">SUM(E3978:E3992)</f>
        <v>463429407</v>
      </c>
      <c r="F3993" s="562">
        <f t="shared" si="95"/>
        <v>3106226800</v>
      </c>
      <c r="G3993" s="562">
        <f t="shared" si="95"/>
        <v>-297</v>
      </c>
      <c r="H3993" s="562">
        <f t="shared" si="95"/>
        <v>0</v>
      </c>
      <c r="I3993" s="562">
        <f t="shared" si="95"/>
        <v>0</v>
      </c>
      <c r="J3993" s="562">
        <f t="shared" si="95"/>
        <v>0</v>
      </c>
    </row>
    <row r="3994" spans="1:10" x14ac:dyDescent="0.25">
      <c r="A3994" s="362"/>
      <c r="B3994" s="609">
        <v>44336</v>
      </c>
      <c r="C3994" s="362" t="s">
        <v>86</v>
      </c>
      <c r="D3994" s="560">
        <v>178082460</v>
      </c>
      <c r="E3994" s="560">
        <v>33363826</v>
      </c>
      <c r="F3994" s="560">
        <v>211446300</v>
      </c>
      <c r="G3994" s="560">
        <f t="shared" si="94"/>
        <v>-14</v>
      </c>
      <c r="H3994" s="560"/>
      <c r="I3994" s="560"/>
      <c r="J3994" s="560"/>
    </row>
    <row r="3995" spans="1:10" x14ac:dyDescent="0.25">
      <c r="A3995" s="362"/>
      <c r="B3995" s="609">
        <v>44336</v>
      </c>
      <c r="C3995" s="362" t="s">
        <v>87</v>
      </c>
      <c r="D3995" s="560">
        <v>98193867</v>
      </c>
      <c r="E3995" s="560">
        <v>21464916</v>
      </c>
      <c r="F3995" s="560">
        <v>119658900</v>
      </c>
      <c r="G3995" s="560">
        <f t="shared" si="94"/>
        <v>-117</v>
      </c>
      <c r="H3995" s="560"/>
      <c r="I3995" s="560"/>
      <c r="J3995" s="560"/>
    </row>
    <row r="3996" spans="1:10" x14ac:dyDescent="0.25">
      <c r="A3996" s="362"/>
      <c r="B3996" s="609">
        <v>44336</v>
      </c>
      <c r="C3996" s="362" t="s">
        <v>88</v>
      </c>
      <c r="D3996" s="560">
        <v>384123207</v>
      </c>
      <c r="E3996" s="560">
        <v>16055683</v>
      </c>
      <c r="F3996" s="560">
        <v>400178900</v>
      </c>
      <c r="G3996" s="560">
        <f t="shared" si="94"/>
        <v>-10</v>
      </c>
      <c r="H3996" s="560"/>
      <c r="I3996" s="560"/>
      <c r="J3996" s="560"/>
    </row>
    <row r="3997" spans="1:10" x14ac:dyDescent="0.25">
      <c r="A3997" s="362"/>
      <c r="B3997" s="609">
        <v>44336</v>
      </c>
      <c r="C3997" s="362" t="s">
        <v>82</v>
      </c>
      <c r="D3997" s="560">
        <v>145445015</v>
      </c>
      <c r="E3997" s="560">
        <v>828300</v>
      </c>
      <c r="F3997" s="560">
        <v>146273400</v>
      </c>
      <c r="G3997" s="560">
        <f t="shared" si="94"/>
        <v>-85</v>
      </c>
      <c r="H3997" s="560"/>
      <c r="I3997" s="560"/>
      <c r="J3997" s="560"/>
    </row>
    <row r="3998" spans="1:10" x14ac:dyDescent="0.25">
      <c r="A3998" s="362"/>
      <c r="B3998" s="609">
        <v>44336</v>
      </c>
      <c r="C3998" s="362" t="s">
        <v>80</v>
      </c>
      <c r="D3998" s="560">
        <v>162336961</v>
      </c>
      <c r="E3998" s="560"/>
      <c r="F3998" s="560">
        <v>162337000</v>
      </c>
      <c r="G3998" s="560">
        <f t="shared" si="94"/>
        <v>-39</v>
      </c>
      <c r="H3998" s="560"/>
      <c r="I3998" s="560"/>
      <c r="J3998" s="560"/>
    </row>
    <row r="3999" spans="1:10" x14ac:dyDescent="0.25">
      <c r="A3999" s="362"/>
      <c r="B3999" s="609">
        <v>44336</v>
      </c>
      <c r="C3999" s="362" t="s">
        <v>83</v>
      </c>
      <c r="D3999" s="560">
        <v>283528850</v>
      </c>
      <c r="E3999" s="560">
        <v>17987450</v>
      </c>
      <c r="F3999" s="560">
        <v>301516300</v>
      </c>
      <c r="G3999" s="560">
        <f t="shared" si="94"/>
        <v>0</v>
      </c>
      <c r="H3999" s="560"/>
      <c r="I3999" s="560"/>
      <c r="J3999" s="560"/>
    </row>
    <row r="4000" spans="1:10" x14ac:dyDescent="0.25">
      <c r="A4000" s="362"/>
      <c r="B4000" s="609">
        <v>44336</v>
      </c>
      <c r="C4000" s="362" t="s">
        <v>78</v>
      </c>
      <c r="D4000" s="560">
        <v>177073867</v>
      </c>
      <c r="E4000" s="560">
        <v>2608033</v>
      </c>
      <c r="F4000" s="560">
        <v>179681900</v>
      </c>
      <c r="G4000" s="560">
        <f t="shared" si="94"/>
        <v>0</v>
      </c>
      <c r="H4000" s="560"/>
      <c r="I4000" s="560"/>
      <c r="J4000" s="560"/>
    </row>
    <row r="4001" spans="1:10" x14ac:dyDescent="0.25">
      <c r="A4001" s="362"/>
      <c r="B4001" s="609">
        <v>44336</v>
      </c>
      <c r="C4001" s="362" t="s">
        <v>141</v>
      </c>
      <c r="D4001" s="560">
        <v>125717170</v>
      </c>
      <c r="E4001" s="560">
        <v>799123</v>
      </c>
      <c r="F4001" s="560">
        <v>126516300</v>
      </c>
      <c r="G4001" s="560">
        <f t="shared" si="94"/>
        <v>-7</v>
      </c>
      <c r="H4001" s="560"/>
      <c r="I4001" s="560"/>
      <c r="J4001" s="560"/>
    </row>
    <row r="4002" spans="1:10" x14ac:dyDescent="0.25">
      <c r="A4002" s="362"/>
      <c r="B4002" s="609">
        <v>44336</v>
      </c>
      <c r="C4002" s="362" t="s">
        <v>89</v>
      </c>
      <c r="D4002" s="560">
        <v>215419585</v>
      </c>
      <c r="E4002" s="560">
        <v>30394015</v>
      </c>
      <c r="F4002" s="560">
        <v>245813600</v>
      </c>
      <c r="G4002" s="560">
        <f t="shared" si="94"/>
        <v>0</v>
      </c>
      <c r="H4002" s="560"/>
      <c r="I4002" s="560"/>
      <c r="J4002" s="560"/>
    </row>
    <row r="4003" spans="1:10" x14ac:dyDescent="0.25">
      <c r="A4003" s="362"/>
      <c r="B4003" s="609">
        <v>44336</v>
      </c>
      <c r="C4003" s="362" t="s">
        <v>81</v>
      </c>
      <c r="D4003" s="560">
        <v>213593061</v>
      </c>
      <c r="E4003" s="560">
        <v>20959988</v>
      </c>
      <c r="F4003" s="560">
        <v>234553100</v>
      </c>
      <c r="G4003" s="560">
        <f t="shared" si="94"/>
        <v>-51</v>
      </c>
      <c r="H4003" s="560"/>
      <c r="I4003" s="560"/>
      <c r="J4003" s="560"/>
    </row>
    <row r="4004" spans="1:10" x14ac:dyDescent="0.25">
      <c r="A4004" s="362"/>
      <c r="B4004" s="609">
        <v>44336</v>
      </c>
      <c r="C4004" s="362" t="s">
        <v>84</v>
      </c>
      <c r="D4004" s="560">
        <v>371202631</v>
      </c>
      <c r="E4004" s="560">
        <v>7599654</v>
      </c>
      <c r="F4004" s="560">
        <v>378802300</v>
      </c>
      <c r="G4004" s="560">
        <f t="shared" si="94"/>
        <v>-15</v>
      </c>
      <c r="H4004" s="560"/>
      <c r="I4004" s="560"/>
      <c r="J4004" s="560"/>
    </row>
    <row r="4005" spans="1:10" x14ac:dyDescent="0.25">
      <c r="A4005" s="362"/>
      <c r="B4005" s="609">
        <v>44336</v>
      </c>
      <c r="C4005" s="362" t="s">
        <v>4751</v>
      </c>
      <c r="D4005" s="560">
        <v>297980064</v>
      </c>
      <c r="E4005" s="560">
        <v>9204636</v>
      </c>
      <c r="F4005" s="560">
        <v>307184500</v>
      </c>
      <c r="G4005" s="560">
        <f t="shared" si="94"/>
        <v>200</v>
      </c>
      <c r="H4005" s="560"/>
      <c r="I4005" s="560"/>
      <c r="J4005" s="560"/>
    </row>
    <row r="4006" spans="1:10" x14ac:dyDescent="0.25">
      <c r="A4006" s="362"/>
      <c r="B4006" s="609">
        <v>44336</v>
      </c>
      <c r="C4006" s="362" t="s">
        <v>166</v>
      </c>
      <c r="D4006" s="560">
        <v>89117046</v>
      </c>
      <c r="E4006" s="560"/>
      <c r="F4006" s="560">
        <v>89117100</v>
      </c>
      <c r="G4006" s="560">
        <f t="shared" si="94"/>
        <v>-54</v>
      </c>
      <c r="H4006" s="560"/>
      <c r="I4006" s="560"/>
      <c r="J4006" s="560"/>
    </row>
    <row r="4007" spans="1:10" x14ac:dyDescent="0.25">
      <c r="A4007" s="362"/>
      <c r="B4007" s="609">
        <v>44336</v>
      </c>
      <c r="C4007" s="362" t="s">
        <v>3435</v>
      </c>
      <c r="D4007" s="560">
        <v>1248257</v>
      </c>
      <c r="E4007" s="560"/>
      <c r="F4007" s="560">
        <v>1248300</v>
      </c>
      <c r="G4007" s="560">
        <f t="shared" si="94"/>
        <v>-43</v>
      </c>
      <c r="H4007" s="560"/>
      <c r="I4007" s="560"/>
      <c r="J4007" s="560"/>
    </row>
    <row r="4008" spans="1:10" x14ac:dyDescent="0.25">
      <c r="A4008" s="362"/>
      <c r="B4008" s="609">
        <v>44336</v>
      </c>
      <c r="C4008" s="370" t="s">
        <v>85</v>
      </c>
      <c r="D4008" s="560">
        <v>30332000</v>
      </c>
      <c r="E4008" s="560"/>
      <c r="F4008" s="560">
        <v>30332000</v>
      </c>
      <c r="G4008" s="560">
        <f t="shared" si="94"/>
        <v>0</v>
      </c>
      <c r="H4008" s="560"/>
      <c r="I4008" s="560"/>
      <c r="J4008" s="560"/>
    </row>
    <row r="4009" spans="1:10" x14ac:dyDescent="0.25">
      <c r="A4009" s="530"/>
      <c r="B4009" s="530"/>
      <c r="C4009" s="530"/>
      <c r="D4009" s="562">
        <f>SUM(D3994:D4008)</f>
        <v>2773394041</v>
      </c>
      <c r="E4009" s="562">
        <f>SUM(E3994:E4008)</f>
        <v>161265624</v>
      </c>
      <c r="F4009" s="562">
        <f>SUM(F3994:F4008)</f>
        <v>2934659900</v>
      </c>
      <c r="G4009" s="562">
        <f>SUM(G3994:G4008)</f>
        <v>-235</v>
      </c>
      <c r="H4009" s="562"/>
      <c r="I4009" s="562"/>
      <c r="J4009" s="562"/>
    </row>
    <row r="4010" spans="1:10" x14ac:dyDescent="0.25">
      <c r="A4010" s="362"/>
      <c r="B4010" s="609">
        <v>44337</v>
      </c>
      <c r="C4010" s="362" t="s">
        <v>86</v>
      </c>
      <c r="D4010" s="560">
        <v>97831159</v>
      </c>
      <c r="E4010" s="560">
        <v>6469600</v>
      </c>
      <c r="F4010" s="560">
        <v>104300800</v>
      </c>
      <c r="G4010" s="560">
        <f t="shared" si="94"/>
        <v>-41</v>
      </c>
      <c r="H4010" s="560"/>
      <c r="I4010" s="560"/>
      <c r="J4010" s="560"/>
    </row>
    <row r="4011" spans="1:10" x14ac:dyDescent="0.25">
      <c r="A4011" s="362"/>
      <c r="B4011" s="609">
        <v>44337</v>
      </c>
      <c r="C4011" s="362" t="s">
        <v>87</v>
      </c>
      <c r="D4011" s="560">
        <v>294958135</v>
      </c>
      <c r="E4011" s="560">
        <v>10946644</v>
      </c>
      <c r="F4011" s="560">
        <v>305904800</v>
      </c>
      <c r="G4011" s="560">
        <f t="shared" si="94"/>
        <v>-21</v>
      </c>
      <c r="H4011" s="560"/>
      <c r="I4011" s="560"/>
      <c r="J4011" s="560"/>
    </row>
    <row r="4012" spans="1:10" x14ac:dyDescent="0.25">
      <c r="A4012" s="362"/>
      <c r="B4012" s="609">
        <v>44337</v>
      </c>
      <c r="C4012" s="362" t="s">
        <v>88</v>
      </c>
      <c r="D4012" s="560">
        <v>300550001</v>
      </c>
      <c r="E4012" s="560">
        <v>87059040</v>
      </c>
      <c r="F4012" s="560">
        <v>387609100</v>
      </c>
      <c r="G4012" s="560">
        <f t="shared" si="94"/>
        <v>-59</v>
      </c>
      <c r="H4012" s="560"/>
      <c r="I4012" s="560"/>
      <c r="J4012" s="560"/>
    </row>
    <row r="4013" spans="1:10" x14ac:dyDescent="0.25">
      <c r="A4013" s="362"/>
      <c r="B4013" s="609">
        <v>44337</v>
      </c>
      <c r="C4013" s="362" t="s">
        <v>82</v>
      </c>
      <c r="D4013" s="560">
        <v>61777228</v>
      </c>
      <c r="E4013" s="560">
        <v>5673763</v>
      </c>
      <c r="F4013" s="560">
        <v>67451100</v>
      </c>
      <c r="G4013" s="560">
        <f t="shared" si="94"/>
        <v>-109</v>
      </c>
      <c r="H4013" s="560"/>
      <c r="I4013" s="560"/>
      <c r="J4013" s="560"/>
    </row>
    <row r="4014" spans="1:10" x14ac:dyDescent="0.25">
      <c r="A4014" s="362"/>
      <c r="B4014" s="609">
        <v>44337</v>
      </c>
      <c r="C4014" s="362" t="s">
        <v>80</v>
      </c>
      <c r="D4014" s="560">
        <v>221285336</v>
      </c>
      <c r="E4014" s="560">
        <v>878741</v>
      </c>
      <c r="F4014" s="560">
        <v>222169900</v>
      </c>
      <c r="G4014" s="560">
        <f t="shared" si="94"/>
        <v>-5823</v>
      </c>
      <c r="H4014" s="560"/>
      <c r="I4014" s="560"/>
      <c r="J4014" s="560"/>
    </row>
    <row r="4015" spans="1:10" x14ac:dyDescent="0.25">
      <c r="A4015" s="362"/>
      <c r="B4015" s="609">
        <v>44337</v>
      </c>
      <c r="C4015" s="362" t="s">
        <v>83</v>
      </c>
      <c r="D4015" s="560">
        <v>330946548</v>
      </c>
      <c r="E4015" s="560">
        <v>3627334</v>
      </c>
      <c r="F4015" s="560">
        <v>334573900</v>
      </c>
      <c r="G4015" s="560">
        <f t="shared" si="94"/>
        <v>-18</v>
      </c>
      <c r="H4015" s="560"/>
      <c r="I4015" s="560"/>
      <c r="J4015" s="560"/>
    </row>
    <row r="4016" spans="1:10" x14ac:dyDescent="0.25">
      <c r="A4016" s="362"/>
      <c r="B4016" s="609">
        <v>44337</v>
      </c>
      <c r="C4016" s="362" t="s">
        <v>78</v>
      </c>
      <c r="D4016" s="560">
        <v>232584869</v>
      </c>
      <c r="E4016" s="560">
        <v>1115131</v>
      </c>
      <c r="F4016" s="560">
        <v>233700000</v>
      </c>
      <c r="G4016" s="560">
        <f t="shared" si="94"/>
        <v>0</v>
      </c>
      <c r="H4016" s="560"/>
      <c r="I4016" s="560"/>
      <c r="J4016" s="560"/>
    </row>
    <row r="4017" spans="1:10" x14ac:dyDescent="0.25">
      <c r="A4017" s="362"/>
      <c r="B4017" s="609">
        <v>44337</v>
      </c>
      <c r="C4017" s="362" t="s">
        <v>141</v>
      </c>
      <c r="D4017" s="560">
        <v>76160621</v>
      </c>
      <c r="E4017" s="560">
        <v>1417974</v>
      </c>
      <c r="F4017" s="560">
        <v>77578600</v>
      </c>
      <c r="G4017" s="560">
        <f t="shared" si="94"/>
        <v>-5</v>
      </c>
      <c r="H4017" s="560"/>
      <c r="I4017" s="560"/>
      <c r="J4017" s="560"/>
    </row>
    <row r="4018" spans="1:10" x14ac:dyDescent="0.25">
      <c r="A4018" s="362"/>
      <c r="B4018" s="609">
        <v>44337</v>
      </c>
      <c r="C4018" s="362" t="s">
        <v>89</v>
      </c>
      <c r="D4018" s="560">
        <v>195684373</v>
      </c>
      <c r="E4018" s="560">
        <v>33290227</v>
      </c>
      <c r="F4018" s="560">
        <v>228974600</v>
      </c>
      <c r="G4018" s="560">
        <f t="shared" si="94"/>
        <v>0</v>
      </c>
      <c r="H4018" s="560"/>
      <c r="I4018" s="560"/>
      <c r="J4018" s="560"/>
    </row>
    <row r="4019" spans="1:10" x14ac:dyDescent="0.25">
      <c r="A4019" s="362"/>
      <c r="B4019" s="609">
        <v>44337</v>
      </c>
      <c r="C4019" s="362" t="s">
        <v>81</v>
      </c>
      <c r="D4019" s="560">
        <v>138458561</v>
      </c>
      <c r="E4019" s="560">
        <v>12422745</v>
      </c>
      <c r="F4019" s="560">
        <v>150881300</v>
      </c>
      <c r="G4019" s="560">
        <f t="shared" si="94"/>
        <v>6</v>
      </c>
      <c r="H4019" s="560"/>
      <c r="I4019" s="560"/>
      <c r="J4019" s="560"/>
    </row>
    <row r="4020" spans="1:10" x14ac:dyDescent="0.25">
      <c r="A4020" s="362"/>
      <c r="B4020" s="609">
        <v>44337</v>
      </c>
      <c r="C4020" s="362" t="s">
        <v>84</v>
      </c>
      <c r="D4020" s="560">
        <v>329088899</v>
      </c>
      <c r="E4020" s="560">
        <v>6711981</v>
      </c>
      <c r="F4020" s="560">
        <v>335800500</v>
      </c>
      <c r="G4020" s="560">
        <f t="shared" si="94"/>
        <v>380</v>
      </c>
      <c r="H4020" s="560"/>
      <c r="I4020" s="560"/>
      <c r="J4020" s="560"/>
    </row>
    <row r="4021" spans="1:10" x14ac:dyDescent="0.25">
      <c r="A4021" s="362"/>
      <c r="B4021" s="609">
        <v>44337</v>
      </c>
      <c r="C4021" s="362" t="s">
        <v>4751</v>
      </c>
      <c r="D4021" s="560">
        <v>171463821</v>
      </c>
      <c r="E4021" s="560">
        <v>11892979</v>
      </c>
      <c r="F4021" s="560">
        <v>183356800</v>
      </c>
      <c r="G4021" s="560">
        <f t="shared" si="94"/>
        <v>0</v>
      </c>
      <c r="H4021" s="560"/>
      <c r="I4021" s="560"/>
      <c r="J4021" s="560"/>
    </row>
    <row r="4022" spans="1:10" x14ac:dyDescent="0.25">
      <c r="A4022" s="362"/>
      <c r="B4022" s="609">
        <v>44337</v>
      </c>
      <c r="C4022" s="362" t="s">
        <v>166</v>
      </c>
      <c r="D4022" s="560">
        <v>77742510</v>
      </c>
      <c r="E4022" s="560"/>
      <c r="F4022" s="560">
        <v>77742500</v>
      </c>
      <c r="G4022" s="560">
        <f t="shared" si="94"/>
        <v>10</v>
      </c>
      <c r="H4022" s="560"/>
      <c r="I4022" s="560"/>
      <c r="J4022" s="560"/>
    </row>
    <row r="4023" spans="1:10" x14ac:dyDescent="0.25">
      <c r="A4023" s="362"/>
      <c r="B4023" s="609">
        <v>44337</v>
      </c>
      <c r="C4023" s="362" t="s">
        <v>3435</v>
      </c>
      <c r="D4023" s="560">
        <v>191422066</v>
      </c>
      <c r="E4023" s="560"/>
      <c r="F4023" s="560">
        <v>191422100</v>
      </c>
      <c r="G4023" s="560">
        <f t="shared" si="94"/>
        <v>-34</v>
      </c>
      <c r="H4023" s="560"/>
      <c r="I4023" s="560"/>
      <c r="J4023" s="560"/>
    </row>
    <row r="4024" spans="1:10" x14ac:dyDescent="0.25">
      <c r="A4024" s="362"/>
      <c r="B4024" s="609">
        <v>44337</v>
      </c>
      <c r="C4024" s="370" t="s">
        <v>85</v>
      </c>
      <c r="D4024" s="560">
        <v>28569400</v>
      </c>
      <c r="E4024" s="560"/>
      <c r="F4024" s="560">
        <v>28569400</v>
      </c>
      <c r="G4024" s="560">
        <f t="shared" si="94"/>
        <v>0</v>
      </c>
      <c r="H4024" s="560"/>
      <c r="I4024" s="560"/>
      <c r="J4024" s="560"/>
    </row>
    <row r="4025" spans="1:10" x14ac:dyDescent="0.25">
      <c r="A4025" s="530"/>
      <c r="B4025" s="530"/>
      <c r="C4025" s="530"/>
      <c r="D4025" s="562">
        <f>SUM(D4010:D4024)</f>
        <v>2748523527</v>
      </c>
      <c r="E4025" s="562">
        <f>SUM(E4010:E4024)</f>
        <v>181506159</v>
      </c>
      <c r="F4025" s="562">
        <f>SUM(F4010:F4024)</f>
        <v>2930035400</v>
      </c>
      <c r="G4025" s="562">
        <f>SUM(G4010:G4024)</f>
        <v>-5714</v>
      </c>
      <c r="H4025" s="562"/>
      <c r="I4025" s="562"/>
      <c r="J4025" s="562"/>
    </row>
    <row r="4026" spans="1:10" x14ac:dyDescent="0.25">
      <c r="A4026" s="362"/>
      <c r="B4026" s="609">
        <v>44338</v>
      </c>
      <c r="C4026" s="362" t="s">
        <v>86</v>
      </c>
      <c r="D4026" s="560">
        <v>64523194</v>
      </c>
      <c r="E4026" s="560">
        <v>182771150</v>
      </c>
      <c r="F4026" s="560">
        <v>247294600</v>
      </c>
      <c r="G4026" s="560">
        <f t="shared" si="94"/>
        <v>-256</v>
      </c>
      <c r="H4026" s="560"/>
      <c r="I4026" s="560"/>
      <c r="J4026" s="560"/>
    </row>
    <row r="4027" spans="1:10" x14ac:dyDescent="0.25">
      <c r="A4027" s="362"/>
      <c r="B4027" s="609">
        <v>44338</v>
      </c>
      <c r="C4027" s="362" t="s">
        <v>87</v>
      </c>
      <c r="D4027" s="560">
        <v>323828268</v>
      </c>
      <c r="E4027" s="560">
        <v>8397154</v>
      </c>
      <c r="F4027" s="560">
        <v>332225300</v>
      </c>
      <c r="G4027" s="560">
        <f t="shared" si="94"/>
        <v>122</v>
      </c>
      <c r="H4027" s="560"/>
      <c r="I4027" s="560"/>
      <c r="J4027" s="560"/>
    </row>
    <row r="4028" spans="1:10" x14ac:dyDescent="0.25">
      <c r="A4028" s="362"/>
      <c r="B4028" s="609">
        <v>44338</v>
      </c>
      <c r="C4028" s="362" t="s">
        <v>88</v>
      </c>
      <c r="D4028" s="560">
        <v>189830712</v>
      </c>
      <c r="E4028" s="560">
        <v>47469721</v>
      </c>
      <c r="F4028" s="560">
        <v>237300500</v>
      </c>
      <c r="G4028" s="560">
        <f t="shared" si="94"/>
        <v>-67</v>
      </c>
      <c r="H4028" s="560"/>
      <c r="I4028" s="560"/>
      <c r="J4028" s="560"/>
    </row>
    <row r="4029" spans="1:10" x14ac:dyDescent="0.25">
      <c r="A4029" s="362"/>
      <c r="B4029" s="609">
        <v>44338</v>
      </c>
      <c r="C4029" s="362" t="s">
        <v>82</v>
      </c>
      <c r="D4029" s="560">
        <v>32843742</v>
      </c>
      <c r="E4029" s="560">
        <v>4562622</v>
      </c>
      <c r="F4029" s="560">
        <v>37406400</v>
      </c>
      <c r="G4029" s="560">
        <f t="shared" si="94"/>
        <v>-36</v>
      </c>
      <c r="H4029" s="560"/>
      <c r="I4029" s="560"/>
      <c r="J4029" s="560"/>
    </row>
    <row r="4030" spans="1:10" x14ac:dyDescent="0.25">
      <c r="A4030" s="362"/>
      <c r="B4030" s="609">
        <v>44338</v>
      </c>
      <c r="C4030" s="362" t="s">
        <v>80</v>
      </c>
      <c r="D4030" s="560">
        <v>263096593</v>
      </c>
      <c r="E4030" s="560">
        <v>1356107</v>
      </c>
      <c r="F4030" s="560">
        <v>264452700</v>
      </c>
      <c r="G4030" s="560">
        <f t="shared" si="94"/>
        <v>0</v>
      </c>
      <c r="H4030" s="560"/>
      <c r="I4030" s="560"/>
      <c r="J4030" s="560"/>
    </row>
    <row r="4031" spans="1:10" x14ac:dyDescent="0.25">
      <c r="A4031" s="362"/>
      <c r="B4031" s="609">
        <v>44338</v>
      </c>
      <c r="C4031" s="362" t="s">
        <v>83</v>
      </c>
      <c r="D4031" s="560">
        <v>221105839</v>
      </c>
      <c r="E4031" s="560">
        <v>16864173</v>
      </c>
      <c r="F4031" s="560">
        <v>237970000</v>
      </c>
      <c r="G4031" s="560">
        <f t="shared" si="94"/>
        <v>12</v>
      </c>
      <c r="H4031" s="560"/>
      <c r="I4031" s="560"/>
      <c r="J4031" s="560"/>
    </row>
    <row r="4032" spans="1:10" x14ac:dyDescent="0.25">
      <c r="A4032" s="362"/>
      <c r="B4032" s="609">
        <v>44338</v>
      </c>
      <c r="C4032" s="362" t="s">
        <v>78</v>
      </c>
      <c r="D4032" s="560">
        <v>149147573</v>
      </c>
      <c r="E4032" s="560">
        <v>4729427</v>
      </c>
      <c r="F4032" s="560">
        <v>153877000</v>
      </c>
      <c r="G4032" s="560">
        <f t="shared" si="94"/>
        <v>0</v>
      </c>
      <c r="H4032" s="560"/>
      <c r="I4032" s="560"/>
      <c r="J4032" s="560"/>
    </row>
    <row r="4033" spans="1:10" x14ac:dyDescent="0.25">
      <c r="A4033" s="362"/>
      <c r="B4033" s="609">
        <v>44338</v>
      </c>
      <c r="C4033" s="362" t="s">
        <v>141</v>
      </c>
      <c r="D4033" s="560">
        <v>39467884</v>
      </c>
      <c r="E4033" s="560">
        <v>114416</v>
      </c>
      <c r="F4033" s="560">
        <v>39582300</v>
      </c>
      <c r="G4033" s="560">
        <f t="shared" si="94"/>
        <v>0</v>
      </c>
      <c r="H4033" s="560"/>
      <c r="I4033" s="560"/>
      <c r="J4033" s="560"/>
    </row>
    <row r="4034" spans="1:10" x14ac:dyDescent="0.25">
      <c r="A4034" s="362"/>
      <c r="B4034" s="609">
        <v>44338</v>
      </c>
      <c r="C4034" s="362" t="s">
        <v>89</v>
      </c>
      <c r="D4034" s="560">
        <v>86859921</v>
      </c>
      <c r="E4034" s="560">
        <v>57886359</v>
      </c>
      <c r="F4034" s="560">
        <v>144746300</v>
      </c>
      <c r="G4034" s="560">
        <f t="shared" si="94"/>
        <v>-20</v>
      </c>
      <c r="H4034" s="560"/>
      <c r="I4034" s="560"/>
      <c r="J4034" s="560"/>
    </row>
    <row r="4035" spans="1:10" x14ac:dyDescent="0.25">
      <c r="A4035" s="362"/>
      <c r="B4035" s="609">
        <v>44338</v>
      </c>
      <c r="C4035" s="362" t="s">
        <v>81</v>
      </c>
      <c r="D4035" s="560">
        <v>134150010</v>
      </c>
      <c r="E4035" s="560">
        <v>7838166</v>
      </c>
      <c r="F4035" s="560">
        <f>103334800+38653400</f>
        <v>141988200</v>
      </c>
      <c r="G4035" s="560">
        <f t="shared" si="94"/>
        <v>-24</v>
      </c>
      <c r="H4035" s="560"/>
      <c r="I4035" s="560"/>
      <c r="J4035" s="560"/>
    </row>
    <row r="4036" spans="1:10" x14ac:dyDescent="0.25">
      <c r="A4036" s="362"/>
      <c r="B4036" s="609">
        <v>44338</v>
      </c>
      <c r="C4036" s="362" t="s">
        <v>84</v>
      </c>
      <c r="D4036" s="560">
        <v>205891978</v>
      </c>
      <c r="E4036" s="560">
        <v>7768214</v>
      </c>
      <c r="F4036" s="560">
        <v>213660200</v>
      </c>
      <c r="G4036" s="560">
        <f t="shared" si="94"/>
        <v>-8</v>
      </c>
      <c r="H4036" s="560"/>
      <c r="I4036" s="560"/>
      <c r="J4036" s="560"/>
    </row>
    <row r="4037" spans="1:10" x14ac:dyDescent="0.25">
      <c r="A4037" s="362"/>
      <c r="B4037" s="609">
        <v>44338</v>
      </c>
      <c r="C4037" s="362" t="s">
        <v>4751</v>
      </c>
      <c r="D4037" s="560">
        <v>473494811</v>
      </c>
      <c r="E4037" s="560">
        <v>16325289</v>
      </c>
      <c r="F4037" s="560">
        <v>489820100</v>
      </c>
      <c r="G4037" s="560">
        <f t="shared" si="94"/>
        <v>0</v>
      </c>
      <c r="H4037" s="560"/>
      <c r="I4037" s="560"/>
      <c r="J4037" s="560"/>
    </row>
    <row r="4038" spans="1:10" x14ac:dyDescent="0.25">
      <c r="A4038" s="362"/>
      <c r="B4038" s="609">
        <v>44338</v>
      </c>
      <c r="C4038" s="362" t="s">
        <v>166</v>
      </c>
      <c r="D4038" s="560"/>
      <c r="E4038" s="560"/>
      <c r="F4038" s="560"/>
      <c r="G4038" s="560">
        <f t="shared" si="94"/>
        <v>0</v>
      </c>
      <c r="H4038" s="560"/>
      <c r="I4038" s="560"/>
      <c r="J4038" s="560"/>
    </row>
    <row r="4039" spans="1:10" x14ac:dyDescent="0.25">
      <c r="A4039" s="362"/>
      <c r="B4039" s="609">
        <v>44338</v>
      </c>
      <c r="C4039" s="362" t="s">
        <v>3435</v>
      </c>
      <c r="D4039" s="560"/>
      <c r="E4039" s="560"/>
      <c r="F4039" s="560"/>
      <c r="G4039" s="560">
        <f t="shared" si="94"/>
        <v>0</v>
      </c>
      <c r="H4039" s="560"/>
      <c r="I4039" s="560"/>
      <c r="J4039" s="560"/>
    </row>
    <row r="4040" spans="1:10" x14ac:dyDescent="0.25">
      <c r="A4040" s="362"/>
      <c r="B4040" s="609">
        <v>44338</v>
      </c>
      <c r="C4040" s="370" t="s">
        <v>85</v>
      </c>
      <c r="D4040" s="560">
        <v>15948400</v>
      </c>
      <c r="E4040" s="560"/>
      <c r="F4040" s="560">
        <v>15948400</v>
      </c>
      <c r="G4040" s="560">
        <f t="shared" si="94"/>
        <v>0</v>
      </c>
      <c r="H4040" s="560"/>
      <c r="I4040" s="560"/>
      <c r="J4040" s="560"/>
    </row>
    <row r="4041" spans="1:10" x14ac:dyDescent="0.25">
      <c r="A4041" s="530"/>
      <c r="B4041" s="530"/>
      <c r="C4041" s="530"/>
      <c r="D4041" s="562">
        <f>SUM(D4026:D4040)</f>
        <v>2200188925</v>
      </c>
      <c r="E4041" s="562">
        <f>SUM(E4026:E4040)</f>
        <v>356082798</v>
      </c>
      <c r="F4041" s="562">
        <f>SUM(F4026:F4040)</f>
        <v>2556272000</v>
      </c>
      <c r="G4041" s="562">
        <f>SUM(G4026:G4040)</f>
        <v>-277</v>
      </c>
      <c r="H4041" s="562"/>
      <c r="I4041" s="562"/>
      <c r="J4041" s="562"/>
    </row>
    <row r="4042" spans="1:10" x14ac:dyDescent="0.25">
      <c r="A4042" s="362"/>
      <c r="B4042" s="609">
        <v>44340</v>
      </c>
      <c r="C4042" s="362" t="s">
        <v>86</v>
      </c>
      <c r="D4042" s="560">
        <v>74671947</v>
      </c>
      <c r="E4042" s="560">
        <v>30042670</v>
      </c>
      <c r="F4042" s="560">
        <v>104714600</v>
      </c>
      <c r="G4042" s="560">
        <f t="shared" si="94"/>
        <v>17</v>
      </c>
      <c r="H4042" s="560"/>
      <c r="I4042" s="560"/>
      <c r="J4042" s="560"/>
    </row>
    <row r="4043" spans="1:10" x14ac:dyDescent="0.25">
      <c r="A4043" s="362"/>
      <c r="B4043" s="609">
        <v>44340</v>
      </c>
      <c r="C4043" s="362" t="s">
        <v>87</v>
      </c>
      <c r="D4043" s="560">
        <v>161413408</v>
      </c>
      <c r="E4043" s="560">
        <v>55235039</v>
      </c>
      <c r="F4043" s="560">
        <v>216648500</v>
      </c>
      <c r="G4043" s="560">
        <f t="shared" si="94"/>
        <v>-53</v>
      </c>
      <c r="H4043" s="560"/>
      <c r="I4043" s="560"/>
      <c r="J4043" s="560"/>
    </row>
    <row r="4044" spans="1:10" x14ac:dyDescent="0.25">
      <c r="A4044" s="362"/>
      <c r="B4044" s="609">
        <v>44340</v>
      </c>
      <c r="C4044" s="362" t="s">
        <v>88</v>
      </c>
      <c r="D4044" s="560">
        <v>323965240</v>
      </c>
      <c r="E4044" s="560">
        <v>17666394</v>
      </c>
      <c r="F4044" s="560">
        <v>341631700</v>
      </c>
      <c r="G4044" s="560">
        <f t="shared" ref="G4044:G4107" si="96">D4044+E4044-F4044</f>
        <v>-66</v>
      </c>
      <c r="H4044" s="560"/>
      <c r="I4044" s="560"/>
      <c r="J4044" s="560"/>
    </row>
    <row r="4045" spans="1:10" x14ac:dyDescent="0.25">
      <c r="A4045" s="362"/>
      <c r="B4045" s="609">
        <v>44340</v>
      </c>
      <c r="C4045" s="362" t="s">
        <v>82</v>
      </c>
      <c r="D4045" s="560">
        <v>31835046</v>
      </c>
      <c r="E4045" s="560">
        <v>3700199</v>
      </c>
      <c r="F4045" s="560">
        <v>35535300</v>
      </c>
      <c r="G4045" s="560">
        <f t="shared" si="96"/>
        <v>-55</v>
      </c>
      <c r="H4045" s="560"/>
      <c r="I4045" s="560"/>
      <c r="J4045" s="560"/>
    </row>
    <row r="4046" spans="1:10" x14ac:dyDescent="0.25">
      <c r="A4046" s="362"/>
      <c r="B4046" s="609">
        <v>44340</v>
      </c>
      <c r="C4046" s="362" t="s">
        <v>80</v>
      </c>
      <c r="D4046" s="560">
        <v>217825263</v>
      </c>
      <c r="E4046" s="560"/>
      <c r="F4046" s="560">
        <v>217847700</v>
      </c>
      <c r="G4046" s="560">
        <f t="shared" si="96"/>
        <v>-22437</v>
      </c>
      <c r="H4046" s="560"/>
      <c r="I4046" s="560"/>
      <c r="J4046" s="560"/>
    </row>
    <row r="4047" spans="1:10" x14ac:dyDescent="0.25">
      <c r="A4047" s="362"/>
      <c r="B4047" s="609">
        <v>44340</v>
      </c>
      <c r="C4047" s="362" t="s">
        <v>83</v>
      </c>
      <c r="D4047" s="560">
        <v>297842483</v>
      </c>
      <c r="E4047" s="560">
        <v>2101617</v>
      </c>
      <c r="F4047" s="560">
        <v>299944100</v>
      </c>
      <c r="G4047" s="560">
        <f t="shared" si="96"/>
        <v>0</v>
      </c>
      <c r="H4047" s="560"/>
      <c r="I4047" s="560"/>
      <c r="J4047" s="560"/>
    </row>
    <row r="4048" spans="1:10" x14ac:dyDescent="0.25">
      <c r="A4048" s="362"/>
      <c r="B4048" s="609">
        <v>44340</v>
      </c>
      <c r="C4048" s="362" t="s">
        <v>78</v>
      </c>
      <c r="D4048" s="560">
        <v>118962753</v>
      </c>
      <c r="E4048" s="560">
        <v>1080147</v>
      </c>
      <c r="F4048" s="560">
        <v>120042900</v>
      </c>
      <c r="G4048" s="560">
        <f t="shared" si="96"/>
        <v>0</v>
      </c>
      <c r="H4048" s="560"/>
      <c r="I4048" s="560"/>
      <c r="J4048" s="560"/>
    </row>
    <row r="4049" spans="1:10" x14ac:dyDescent="0.25">
      <c r="A4049" s="362"/>
      <c r="B4049" s="609">
        <v>44340</v>
      </c>
      <c r="C4049" s="362" t="s">
        <v>141</v>
      </c>
      <c r="D4049" s="560">
        <v>78019593</v>
      </c>
      <c r="E4049" s="560">
        <v>9610291</v>
      </c>
      <c r="F4049" s="560">
        <v>87629900</v>
      </c>
      <c r="G4049" s="560">
        <f t="shared" si="96"/>
        <v>-16</v>
      </c>
      <c r="H4049" s="560"/>
      <c r="I4049" s="560"/>
      <c r="J4049" s="560"/>
    </row>
    <row r="4050" spans="1:10" x14ac:dyDescent="0.25">
      <c r="A4050" s="362"/>
      <c r="B4050" s="609">
        <v>44340</v>
      </c>
      <c r="C4050" s="362" t="s">
        <v>89</v>
      </c>
      <c r="D4050" s="560">
        <v>109099478</v>
      </c>
      <c r="E4050" s="560">
        <v>7644922</v>
      </c>
      <c r="F4050" s="560">
        <v>116744400</v>
      </c>
      <c r="G4050" s="560">
        <f t="shared" si="96"/>
        <v>0</v>
      </c>
      <c r="H4050" s="560"/>
      <c r="I4050" s="560"/>
      <c r="J4050" s="560"/>
    </row>
    <row r="4051" spans="1:10" x14ac:dyDescent="0.25">
      <c r="A4051" s="362"/>
      <c r="B4051" s="609">
        <v>44340</v>
      </c>
      <c r="C4051" s="362" t="s">
        <v>81</v>
      </c>
      <c r="D4051" s="560">
        <v>142946706</v>
      </c>
      <c r="E4051" s="560">
        <v>15085427</v>
      </c>
      <c r="F4051" s="560">
        <v>158032200</v>
      </c>
      <c r="G4051" s="560">
        <f t="shared" si="96"/>
        <v>-67</v>
      </c>
      <c r="H4051" s="560"/>
      <c r="I4051" s="560"/>
      <c r="J4051" s="560"/>
    </row>
    <row r="4052" spans="1:10" x14ac:dyDescent="0.25">
      <c r="A4052" s="362"/>
      <c r="B4052" s="609">
        <v>44340</v>
      </c>
      <c r="C4052" s="362" t="s">
        <v>84</v>
      </c>
      <c r="D4052" s="560">
        <v>138280262</v>
      </c>
      <c r="E4052" s="560">
        <v>24495714</v>
      </c>
      <c r="F4052" s="560">
        <v>162776100</v>
      </c>
      <c r="G4052" s="560">
        <f t="shared" si="96"/>
        <v>-124</v>
      </c>
      <c r="H4052" s="560"/>
      <c r="I4052" s="560"/>
      <c r="J4052" s="560"/>
    </row>
    <row r="4053" spans="1:10" x14ac:dyDescent="0.25">
      <c r="A4053" s="362"/>
      <c r="B4053" s="609">
        <v>44340</v>
      </c>
      <c r="C4053" s="362" t="s">
        <v>4751</v>
      </c>
      <c r="D4053" s="560">
        <v>184155617</v>
      </c>
      <c r="E4053" s="560">
        <v>8910083</v>
      </c>
      <c r="F4053" s="560">
        <v>193065900</v>
      </c>
      <c r="G4053" s="560">
        <f t="shared" si="96"/>
        <v>-200</v>
      </c>
      <c r="H4053" s="560"/>
      <c r="I4053" s="560"/>
      <c r="J4053" s="560"/>
    </row>
    <row r="4054" spans="1:10" x14ac:dyDescent="0.25">
      <c r="A4054" s="362"/>
      <c r="B4054" s="609">
        <v>44340</v>
      </c>
      <c r="C4054" s="362" t="s">
        <v>166</v>
      </c>
      <c r="D4054" s="560">
        <v>66326997</v>
      </c>
      <c r="E4054" s="560"/>
      <c r="F4054" s="560">
        <v>66327000</v>
      </c>
      <c r="G4054" s="560">
        <f t="shared" si="96"/>
        <v>-3</v>
      </c>
      <c r="H4054" s="560"/>
      <c r="I4054" s="560"/>
      <c r="J4054" s="560"/>
    </row>
    <row r="4055" spans="1:10" x14ac:dyDescent="0.25">
      <c r="A4055" s="362"/>
      <c r="B4055" s="609">
        <v>44340</v>
      </c>
      <c r="C4055" s="362" t="s">
        <v>3435</v>
      </c>
      <c r="D4055" s="560">
        <v>29700848</v>
      </c>
      <c r="E4055" s="560"/>
      <c r="F4055" s="560">
        <v>29700900</v>
      </c>
      <c r="G4055" s="560">
        <f t="shared" si="96"/>
        <v>-52</v>
      </c>
      <c r="H4055" s="560"/>
      <c r="I4055" s="560"/>
      <c r="J4055" s="560"/>
    </row>
    <row r="4056" spans="1:10" x14ac:dyDescent="0.25">
      <c r="A4056" s="362"/>
      <c r="B4056" s="609">
        <v>44340</v>
      </c>
      <c r="C4056" s="370" t="s">
        <v>85</v>
      </c>
      <c r="D4056" s="560">
        <v>69075400</v>
      </c>
      <c r="E4056" s="560"/>
      <c r="F4056" s="560">
        <v>69075400</v>
      </c>
      <c r="G4056" s="560">
        <f t="shared" si="96"/>
        <v>0</v>
      </c>
      <c r="H4056" s="560"/>
      <c r="I4056" s="560"/>
      <c r="J4056" s="560"/>
    </row>
    <row r="4057" spans="1:10" x14ac:dyDescent="0.25">
      <c r="A4057" s="530"/>
      <c r="B4057" s="530"/>
      <c r="C4057" s="530"/>
      <c r="D4057" s="562">
        <f>SUM(D4042:D4056)</f>
        <v>2044121041</v>
      </c>
      <c r="E4057" s="562">
        <f>SUM(E4042:E4056)</f>
        <v>175572503</v>
      </c>
      <c r="F4057" s="562">
        <f>SUM(F4042:F4056)</f>
        <v>2219716600</v>
      </c>
      <c r="G4057" s="562">
        <f>SUM(G4042:G4056)</f>
        <v>-23056</v>
      </c>
      <c r="H4057" s="562"/>
      <c r="I4057" s="562"/>
      <c r="J4057" s="562"/>
    </row>
    <row r="4058" spans="1:10" x14ac:dyDescent="0.25">
      <c r="A4058" s="362"/>
      <c r="B4058" s="609">
        <v>44341</v>
      </c>
      <c r="C4058" s="362" t="s">
        <v>86</v>
      </c>
      <c r="D4058" s="560">
        <v>37350630</v>
      </c>
      <c r="E4058" s="560">
        <v>101295324</v>
      </c>
      <c r="F4058" s="560">
        <v>138646000</v>
      </c>
      <c r="G4058" s="560">
        <f t="shared" si="96"/>
        <v>-46</v>
      </c>
      <c r="H4058" s="560"/>
      <c r="I4058" s="560"/>
      <c r="J4058" s="560"/>
    </row>
    <row r="4059" spans="1:10" x14ac:dyDescent="0.25">
      <c r="A4059" s="362"/>
      <c r="B4059" s="609">
        <v>44341</v>
      </c>
      <c r="C4059" s="362" t="s">
        <v>87</v>
      </c>
      <c r="D4059" s="560">
        <v>146306143</v>
      </c>
      <c r="E4059" s="560">
        <v>126146582</v>
      </c>
      <c r="F4059" s="560">
        <v>272452300</v>
      </c>
      <c r="G4059" s="560">
        <f t="shared" si="96"/>
        <v>425</v>
      </c>
      <c r="H4059" s="560"/>
      <c r="I4059" s="560"/>
      <c r="J4059" s="560"/>
    </row>
    <row r="4060" spans="1:10" x14ac:dyDescent="0.25">
      <c r="A4060" s="362"/>
      <c r="B4060" s="609">
        <v>44341</v>
      </c>
      <c r="C4060" s="362" t="s">
        <v>88</v>
      </c>
      <c r="D4060" s="560">
        <v>391752145</v>
      </c>
      <c r="E4060" s="560">
        <v>7507799</v>
      </c>
      <c r="F4060" s="560">
        <v>399260000</v>
      </c>
      <c r="G4060" s="560">
        <f t="shared" si="96"/>
        <v>-56</v>
      </c>
      <c r="H4060" s="560"/>
      <c r="I4060" s="560"/>
      <c r="J4060" s="560"/>
    </row>
    <row r="4061" spans="1:10" x14ac:dyDescent="0.25">
      <c r="A4061" s="362"/>
      <c r="B4061" s="609">
        <v>44341</v>
      </c>
      <c r="C4061" s="362" t="s">
        <v>82</v>
      </c>
      <c r="D4061" s="560">
        <v>39826124</v>
      </c>
      <c r="E4061" s="560">
        <v>1014200</v>
      </c>
      <c r="F4061" s="560">
        <v>40840400</v>
      </c>
      <c r="G4061" s="560">
        <f t="shared" si="96"/>
        <v>-76</v>
      </c>
      <c r="H4061" s="560"/>
      <c r="I4061" s="560"/>
      <c r="J4061" s="560"/>
    </row>
    <row r="4062" spans="1:10" x14ac:dyDescent="0.25">
      <c r="A4062" s="362"/>
      <c r="B4062" s="609">
        <v>44341</v>
      </c>
      <c r="C4062" s="362" t="s">
        <v>80</v>
      </c>
      <c r="D4062" s="560">
        <v>500544900</v>
      </c>
      <c r="E4062" s="560">
        <v>21256800</v>
      </c>
      <c r="F4062" s="560">
        <v>521801700</v>
      </c>
      <c r="G4062" s="560">
        <f t="shared" si="96"/>
        <v>0</v>
      </c>
      <c r="H4062" s="560"/>
      <c r="I4062" s="560"/>
      <c r="J4062" s="560"/>
    </row>
    <row r="4063" spans="1:10" x14ac:dyDescent="0.25">
      <c r="A4063" s="362"/>
      <c r="B4063" s="609">
        <v>44341</v>
      </c>
      <c r="C4063" s="362" t="s">
        <v>83</v>
      </c>
      <c r="D4063" s="560">
        <v>285712502</v>
      </c>
      <c r="E4063" s="560">
        <v>125969722</v>
      </c>
      <c r="F4063" s="560">
        <v>411682300</v>
      </c>
      <c r="G4063" s="560">
        <f t="shared" si="96"/>
        <v>-76</v>
      </c>
      <c r="H4063" s="560"/>
      <c r="I4063" s="560"/>
      <c r="J4063" s="560"/>
    </row>
    <row r="4064" spans="1:10" x14ac:dyDescent="0.25">
      <c r="A4064" s="362"/>
      <c r="B4064" s="609">
        <v>44341</v>
      </c>
      <c r="C4064" s="362" t="s">
        <v>78</v>
      </c>
      <c r="D4064" s="560">
        <v>102965420</v>
      </c>
      <c r="E4064" s="560">
        <v>3203880</v>
      </c>
      <c r="F4064" s="560">
        <v>106169300</v>
      </c>
      <c r="G4064" s="560">
        <f t="shared" si="96"/>
        <v>0</v>
      </c>
      <c r="H4064" s="560"/>
      <c r="I4064" s="560"/>
      <c r="J4064" s="560"/>
    </row>
    <row r="4065" spans="1:10" x14ac:dyDescent="0.25">
      <c r="A4065" s="362"/>
      <c r="B4065" s="609">
        <v>44341</v>
      </c>
      <c r="C4065" s="362" t="s">
        <v>141</v>
      </c>
      <c r="D4065" s="560">
        <v>47939053</v>
      </c>
      <c r="E4065" s="560">
        <v>1132800</v>
      </c>
      <c r="F4065" s="560">
        <v>49071900</v>
      </c>
      <c r="G4065" s="560">
        <f t="shared" si="96"/>
        <v>-47</v>
      </c>
      <c r="H4065" s="560"/>
      <c r="I4065" s="560"/>
      <c r="J4065" s="560"/>
    </row>
    <row r="4066" spans="1:10" x14ac:dyDescent="0.25">
      <c r="A4066" s="362"/>
      <c r="B4066" s="609">
        <v>44341</v>
      </c>
      <c r="C4066" s="362" t="s">
        <v>89</v>
      </c>
      <c r="D4066" s="560">
        <v>112127019</v>
      </c>
      <c r="E4066" s="560">
        <v>110707781</v>
      </c>
      <c r="F4066" s="560">
        <v>222834800</v>
      </c>
      <c r="G4066" s="560">
        <f t="shared" si="96"/>
        <v>0</v>
      </c>
      <c r="H4066" s="560"/>
      <c r="I4066" s="560"/>
      <c r="J4066" s="560"/>
    </row>
    <row r="4067" spans="1:10" x14ac:dyDescent="0.25">
      <c r="A4067" s="362"/>
      <c r="B4067" s="609">
        <v>44341</v>
      </c>
      <c r="C4067" s="362" t="s">
        <v>81</v>
      </c>
      <c r="D4067" s="560">
        <v>49113003</v>
      </c>
      <c r="E4067" s="560">
        <v>52958501</v>
      </c>
      <c r="F4067" s="560">
        <v>102071500</v>
      </c>
      <c r="G4067" s="560">
        <f t="shared" si="96"/>
        <v>4</v>
      </c>
      <c r="H4067" s="560"/>
      <c r="I4067" s="560"/>
      <c r="J4067" s="560"/>
    </row>
    <row r="4068" spans="1:10" x14ac:dyDescent="0.25">
      <c r="A4068" s="362"/>
      <c r="B4068" s="609">
        <v>44341</v>
      </c>
      <c r="C4068" s="362" t="s">
        <v>84</v>
      </c>
      <c r="D4068" s="560">
        <v>166715998</v>
      </c>
      <c r="E4068" s="560">
        <v>93029599</v>
      </c>
      <c r="F4068" s="560">
        <v>259745600</v>
      </c>
      <c r="G4068" s="560">
        <f t="shared" si="96"/>
        <v>-3</v>
      </c>
      <c r="H4068" s="560"/>
      <c r="I4068" s="560"/>
      <c r="J4068" s="560"/>
    </row>
    <row r="4069" spans="1:10" x14ac:dyDescent="0.25">
      <c r="A4069" s="362"/>
      <c r="B4069" s="609">
        <v>44341</v>
      </c>
      <c r="C4069" s="362" t="s">
        <v>4751</v>
      </c>
      <c r="D4069" s="560">
        <v>161016816</v>
      </c>
      <c r="E4069" s="560">
        <v>17301284</v>
      </c>
      <c r="F4069" s="560">
        <v>178318100</v>
      </c>
      <c r="G4069" s="560">
        <f t="shared" si="96"/>
        <v>0</v>
      </c>
      <c r="H4069" s="560"/>
      <c r="I4069" s="560"/>
      <c r="J4069" s="560"/>
    </row>
    <row r="4070" spans="1:10" x14ac:dyDescent="0.25">
      <c r="A4070" s="362"/>
      <c r="B4070" s="609">
        <v>44341</v>
      </c>
      <c r="C4070" s="362" t="s">
        <v>166</v>
      </c>
      <c r="D4070" s="560">
        <v>108432707</v>
      </c>
      <c r="E4070" s="560"/>
      <c r="F4070" s="560">
        <v>108432800</v>
      </c>
      <c r="G4070" s="560">
        <f t="shared" si="96"/>
        <v>-93</v>
      </c>
      <c r="H4070" s="560"/>
      <c r="I4070" s="560"/>
      <c r="J4070" s="560"/>
    </row>
    <row r="4071" spans="1:10" x14ac:dyDescent="0.25">
      <c r="A4071" s="362"/>
      <c r="B4071" s="609">
        <v>44341</v>
      </c>
      <c r="C4071" s="362" t="s">
        <v>3435</v>
      </c>
      <c r="D4071" s="560">
        <v>33065411</v>
      </c>
      <c r="E4071" s="560"/>
      <c r="F4071" s="560">
        <v>33065500</v>
      </c>
      <c r="G4071" s="560">
        <f t="shared" si="96"/>
        <v>-89</v>
      </c>
      <c r="H4071" s="560"/>
      <c r="I4071" s="560"/>
      <c r="J4071" s="560"/>
    </row>
    <row r="4072" spans="1:10" x14ac:dyDescent="0.25">
      <c r="A4072" s="362"/>
      <c r="B4072" s="609">
        <v>44341</v>
      </c>
      <c r="C4072" s="370" t="s">
        <v>85</v>
      </c>
      <c r="D4072" s="560">
        <v>21520700</v>
      </c>
      <c r="E4072" s="560"/>
      <c r="F4072" s="560">
        <v>21520700</v>
      </c>
      <c r="G4072" s="560">
        <f t="shared" si="96"/>
        <v>0</v>
      </c>
      <c r="H4072" s="560"/>
      <c r="I4072" s="560"/>
      <c r="J4072" s="560"/>
    </row>
    <row r="4073" spans="1:10" x14ac:dyDescent="0.25">
      <c r="A4073" s="530"/>
      <c r="B4073" s="530"/>
      <c r="C4073" s="530"/>
      <c r="D4073" s="562">
        <f>SUM(D4058:D4072)</f>
        <v>2204388571</v>
      </c>
      <c r="E4073" s="562">
        <f>SUM(E4058:E4072)</f>
        <v>661524272</v>
      </c>
      <c r="F4073" s="562">
        <f>SUM(F4058:F4072)</f>
        <v>2865912900</v>
      </c>
      <c r="G4073" s="562">
        <f>SUM(G4058:G4072)</f>
        <v>-57</v>
      </c>
      <c r="H4073" s="562"/>
      <c r="I4073" s="562"/>
      <c r="J4073" s="562"/>
    </row>
    <row r="4074" spans="1:10" x14ac:dyDescent="0.25">
      <c r="A4074" s="362"/>
      <c r="B4074" s="609">
        <v>44342</v>
      </c>
      <c r="C4074" s="362" t="s">
        <v>86</v>
      </c>
      <c r="D4074" s="560">
        <v>113992592</v>
      </c>
      <c r="E4074" s="560">
        <v>140153877</v>
      </c>
      <c r="F4074" s="560">
        <v>254146400</v>
      </c>
      <c r="G4074" s="560">
        <f t="shared" si="96"/>
        <v>69</v>
      </c>
      <c r="H4074" s="560"/>
      <c r="I4074" s="560"/>
      <c r="J4074" s="560"/>
    </row>
    <row r="4075" spans="1:10" x14ac:dyDescent="0.25">
      <c r="A4075" s="362"/>
      <c r="B4075" s="609">
        <v>44342</v>
      </c>
      <c r="C4075" s="362" t="s">
        <v>87</v>
      </c>
      <c r="D4075" s="560">
        <v>29240806</v>
      </c>
      <c r="E4075" s="560">
        <v>51988789</v>
      </c>
      <c r="F4075" s="560">
        <v>81229700</v>
      </c>
      <c r="G4075" s="560">
        <f t="shared" si="96"/>
        <v>-105</v>
      </c>
      <c r="H4075" s="560"/>
      <c r="I4075" s="560"/>
      <c r="J4075" s="560"/>
    </row>
    <row r="4076" spans="1:10" x14ac:dyDescent="0.25">
      <c r="A4076" s="362"/>
      <c r="B4076" s="609">
        <v>44342</v>
      </c>
      <c r="C4076" s="362" t="s">
        <v>88</v>
      </c>
      <c r="D4076" s="560">
        <v>254002827</v>
      </c>
      <c r="E4076" s="560">
        <v>34592593</v>
      </c>
      <c r="F4076" s="560">
        <v>288595400</v>
      </c>
      <c r="G4076" s="560">
        <f t="shared" si="96"/>
        <v>20</v>
      </c>
      <c r="H4076" s="560"/>
      <c r="I4076" s="560"/>
      <c r="J4076" s="560"/>
    </row>
    <row r="4077" spans="1:10" x14ac:dyDescent="0.25">
      <c r="A4077" s="362"/>
      <c r="B4077" s="609">
        <v>44342</v>
      </c>
      <c r="C4077" s="362" t="s">
        <v>82</v>
      </c>
      <c r="D4077" s="560">
        <v>145720805</v>
      </c>
      <c r="E4077" s="560">
        <v>3983067</v>
      </c>
      <c r="F4077" s="560">
        <v>149703900</v>
      </c>
      <c r="G4077" s="560">
        <f t="shared" si="96"/>
        <v>-28</v>
      </c>
      <c r="H4077" s="560"/>
      <c r="I4077" s="560"/>
      <c r="J4077" s="560"/>
    </row>
    <row r="4078" spans="1:10" x14ac:dyDescent="0.25">
      <c r="A4078" s="362"/>
      <c r="B4078" s="609">
        <v>44342</v>
      </c>
      <c r="C4078" s="362" t="s">
        <v>80</v>
      </c>
      <c r="D4078" s="560">
        <v>265044352</v>
      </c>
      <c r="E4078" s="560"/>
      <c r="F4078" s="560">
        <v>265045200</v>
      </c>
      <c r="G4078" s="560">
        <f t="shared" si="96"/>
        <v>-848</v>
      </c>
      <c r="H4078" s="560"/>
      <c r="I4078" s="560"/>
      <c r="J4078" s="560"/>
    </row>
    <row r="4079" spans="1:10" x14ac:dyDescent="0.25">
      <c r="A4079" s="362"/>
      <c r="B4079" s="609">
        <v>44342</v>
      </c>
      <c r="C4079" s="362" t="s">
        <v>83</v>
      </c>
      <c r="D4079" s="560">
        <v>296305298</v>
      </c>
      <c r="E4079" s="560">
        <v>292383344</v>
      </c>
      <c r="F4079" s="560">
        <v>588688700</v>
      </c>
      <c r="G4079" s="560">
        <f t="shared" si="96"/>
        <v>-58</v>
      </c>
      <c r="H4079" s="560"/>
      <c r="I4079" s="560"/>
      <c r="J4079" s="560"/>
    </row>
    <row r="4080" spans="1:10" x14ac:dyDescent="0.25">
      <c r="A4080" s="362"/>
      <c r="B4080" s="609">
        <v>44342</v>
      </c>
      <c r="C4080" s="362" t="s">
        <v>78</v>
      </c>
      <c r="D4080" s="560">
        <v>148105500</v>
      </c>
      <c r="E4080" s="560">
        <v>1379000</v>
      </c>
      <c r="F4080" s="560">
        <v>149484500</v>
      </c>
      <c r="G4080" s="560">
        <f t="shared" si="96"/>
        <v>0</v>
      </c>
      <c r="H4080" s="560"/>
      <c r="I4080" s="560"/>
      <c r="J4080" s="560"/>
    </row>
    <row r="4081" spans="1:10" x14ac:dyDescent="0.25">
      <c r="A4081" s="362"/>
      <c r="B4081" s="609">
        <v>44342</v>
      </c>
      <c r="C4081" s="362" t="s">
        <v>141</v>
      </c>
      <c r="D4081" s="560">
        <v>144937295</v>
      </c>
      <c r="E4081" s="560">
        <v>11279966</v>
      </c>
      <c r="F4081" s="560">
        <v>156217300</v>
      </c>
      <c r="G4081" s="560">
        <f t="shared" si="96"/>
        <v>-39</v>
      </c>
      <c r="H4081" s="560"/>
      <c r="I4081" s="560"/>
      <c r="J4081" s="560"/>
    </row>
    <row r="4082" spans="1:10" x14ac:dyDescent="0.25">
      <c r="A4082" s="362"/>
      <c r="B4082" s="609">
        <v>44342</v>
      </c>
      <c r="C4082" s="362" t="s">
        <v>89</v>
      </c>
      <c r="D4082" s="560">
        <v>191169189</v>
      </c>
      <c r="E4082" s="560">
        <v>58313911</v>
      </c>
      <c r="F4082" s="560">
        <v>249483100</v>
      </c>
      <c r="G4082" s="560">
        <f t="shared" si="96"/>
        <v>0</v>
      </c>
      <c r="H4082" s="560"/>
      <c r="I4082" s="560"/>
      <c r="J4082" s="560"/>
    </row>
    <row r="4083" spans="1:10" x14ac:dyDescent="0.25">
      <c r="A4083" s="362"/>
      <c r="B4083" s="609">
        <v>44342</v>
      </c>
      <c r="C4083" s="362" t="s">
        <v>81</v>
      </c>
      <c r="D4083" s="560">
        <v>51516943</v>
      </c>
      <c r="E4083" s="560">
        <v>11272282</v>
      </c>
      <c r="F4083" s="560">
        <v>62789300</v>
      </c>
      <c r="G4083" s="560">
        <f t="shared" si="96"/>
        <v>-75</v>
      </c>
      <c r="H4083" s="560"/>
      <c r="I4083" s="560"/>
      <c r="J4083" s="560"/>
    </row>
    <row r="4084" spans="1:10" x14ac:dyDescent="0.25">
      <c r="A4084" s="362"/>
      <c r="B4084" s="609">
        <v>44342</v>
      </c>
      <c r="C4084" s="362" t="s">
        <v>84</v>
      </c>
      <c r="D4084" s="560">
        <v>437281562</v>
      </c>
      <c r="E4084" s="560">
        <v>15780795</v>
      </c>
      <c r="F4084" s="560">
        <v>453062400</v>
      </c>
      <c r="G4084" s="560">
        <f t="shared" si="96"/>
        <v>-43</v>
      </c>
      <c r="H4084" s="560"/>
      <c r="I4084" s="560"/>
      <c r="J4084" s="560"/>
    </row>
    <row r="4085" spans="1:10" x14ac:dyDescent="0.25">
      <c r="A4085" s="362"/>
      <c r="B4085" s="609">
        <v>44342</v>
      </c>
      <c r="C4085" s="362" t="s">
        <v>4751</v>
      </c>
      <c r="D4085" s="560">
        <v>158096551</v>
      </c>
      <c r="E4085" s="560">
        <v>8752149</v>
      </c>
      <c r="F4085" s="560">
        <v>166848700</v>
      </c>
      <c r="G4085" s="560">
        <f t="shared" si="96"/>
        <v>0</v>
      </c>
      <c r="H4085" s="560"/>
      <c r="I4085" s="560"/>
      <c r="J4085" s="560"/>
    </row>
    <row r="4086" spans="1:10" x14ac:dyDescent="0.25">
      <c r="A4086" s="362"/>
      <c r="B4086" s="609">
        <v>44342</v>
      </c>
      <c r="C4086" s="362" t="s">
        <v>166</v>
      </c>
      <c r="D4086" s="560">
        <v>74617552</v>
      </c>
      <c r="E4086" s="560"/>
      <c r="F4086" s="560">
        <v>74617500</v>
      </c>
      <c r="G4086" s="560">
        <f t="shared" si="96"/>
        <v>52</v>
      </c>
      <c r="H4086" s="560"/>
      <c r="I4086" s="560"/>
      <c r="J4086" s="560"/>
    </row>
    <row r="4087" spans="1:10" x14ac:dyDescent="0.25">
      <c r="A4087" s="362"/>
      <c r="B4087" s="609">
        <v>44342</v>
      </c>
      <c r="C4087" s="362" t="s">
        <v>3435</v>
      </c>
      <c r="D4087" s="560">
        <v>29525359</v>
      </c>
      <c r="E4087" s="560"/>
      <c r="F4087" s="560">
        <v>29525400</v>
      </c>
      <c r="G4087" s="560">
        <f t="shared" si="96"/>
        <v>-41</v>
      </c>
      <c r="H4087" s="560"/>
      <c r="I4087" s="560"/>
      <c r="J4087" s="560"/>
    </row>
    <row r="4088" spans="1:10" x14ac:dyDescent="0.25">
      <c r="A4088" s="362"/>
      <c r="B4088" s="609">
        <v>44342</v>
      </c>
      <c r="C4088" s="370" t="s">
        <v>85</v>
      </c>
      <c r="D4088" s="560">
        <v>55446800</v>
      </c>
      <c r="E4088" s="560"/>
      <c r="F4088" s="560">
        <v>55446800</v>
      </c>
      <c r="G4088" s="560">
        <f t="shared" si="96"/>
        <v>0</v>
      </c>
      <c r="H4088" s="560"/>
      <c r="I4088" s="560"/>
      <c r="J4088" s="560"/>
    </row>
    <row r="4089" spans="1:10" x14ac:dyDescent="0.25">
      <c r="A4089" s="530"/>
      <c r="B4089" s="530"/>
      <c r="C4089" s="530"/>
      <c r="D4089" s="562">
        <f>SUM(D4074:D4088)</f>
        <v>2395003431</v>
      </c>
      <c r="E4089" s="562">
        <f>SUM(E4074:E4088)</f>
        <v>629879773</v>
      </c>
      <c r="F4089" s="562">
        <f>SUM(F4074:F4088)</f>
        <v>3024884300</v>
      </c>
      <c r="G4089" s="562">
        <f>SUM(G4074:G4088)</f>
        <v>-1096</v>
      </c>
      <c r="H4089" s="562"/>
      <c r="I4089" s="562"/>
      <c r="J4089" s="562"/>
    </row>
    <row r="4090" spans="1:10" x14ac:dyDescent="0.25">
      <c r="A4090" s="362"/>
      <c r="B4090" s="609">
        <v>44343</v>
      </c>
      <c r="C4090" s="362" t="s">
        <v>86</v>
      </c>
      <c r="D4090" s="560">
        <v>168519489</v>
      </c>
      <c r="E4090" s="560">
        <v>36699750</v>
      </c>
      <c r="F4090" s="560">
        <v>205219200</v>
      </c>
      <c r="G4090" s="560">
        <f t="shared" si="96"/>
        <v>39</v>
      </c>
      <c r="H4090" s="560"/>
      <c r="I4090" s="560"/>
      <c r="J4090" s="560"/>
    </row>
    <row r="4091" spans="1:10" x14ac:dyDescent="0.25">
      <c r="A4091" s="362"/>
      <c r="B4091" s="609">
        <v>44343</v>
      </c>
      <c r="C4091" s="362" t="s">
        <v>87</v>
      </c>
      <c r="D4091" s="560">
        <v>50295405</v>
      </c>
      <c r="E4091" s="560">
        <v>194722305</v>
      </c>
      <c r="F4091" s="560">
        <v>245017700</v>
      </c>
      <c r="G4091" s="560">
        <f t="shared" si="96"/>
        <v>10</v>
      </c>
      <c r="H4091" s="560"/>
      <c r="I4091" s="560"/>
      <c r="J4091" s="560"/>
    </row>
    <row r="4092" spans="1:10" x14ac:dyDescent="0.25">
      <c r="A4092" s="362"/>
      <c r="B4092" s="609">
        <v>44343</v>
      </c>
      <c r="C4092" s="362" t="s">
        <v>88</v>
      </c>
      <c r="D4092" s="560">
        <v>165177188</v>
      </c>
      <c r="E4092" s="560">
        <v>89166406</v>
      </c>
      <c r="F4092" s="560">
        <v>254343600</v>
      </c>
      <c r="G4092" s="560">
        <f t="shared" si="96"/>
        <v>-6</v>
      </c>
      <c r="H4092" s="560"/>
      <c r="I4092" s="560"/>
      <c r="J4092" s="560"/>
    </row>
    <row r="4093" spans="1:10" x14ac:dyDescent="0.25">
      <c r="A4093" s="362"/>
      <c r="B4093" s="609">
        <v>44343</v>
      </c>
      <c r="C4093" s="362" t="s">
        <v>82</v>
      </c>
      <c r="D4093" s="560">
        <v>92510706</v>
      </c>
      <c r="E4093" s="560">
        <v>8021094</v>
      </c>
      <c r="F4093" s="560">
        <v>100531800</v>
      </c>
      <c r="G4093" s="560">
        <f t="shared" si="96"/>
        <v>0</v>
      </c>
      <c r="H4093" s="560"/>
      <c r="I4093" s="560"/>
      <c r="J4093" s="560"/>
    </row>
    <row r="4094" spans="1:10" x14ac:dyDescent="0.25">
      <c r="A4094" s="362"/>
      <c r="B4094" s="609">
        <v>44343</v>
      </c>
      <c r="C4094" s="362" t="s">
        <v>80</v>
      </c>
      <c r="D4094" s="560">
        <v>470436400</v>
      </c>
      <c r="E4094" s="560">
        <v>87451000</v>
      </c>
      <c r="F4094" s="560">
        <v>557887400</v>
      </c>
      <c r="G4094" s="560">
        <f t="shared" si="96"/>
        <v>0</v>
      </c>
      <c r="H4094" s="560"/>
      <c r="I4094" s="560"/>
      <c r="J4094" s="560"/>
    </row>
    <row r="4095" spans="1:10" x14ac:dyDescent="0.25">
      <c r="A4095" s="362"/>
      <c r="B4095" s="609">
        <v>44343</v>
      </c>
      <c r="C4095" s="362" t="s">
        <v>83</v>
      </c>
      <c r="D4095" s="560">
        <v>205551431</v>
      </c>
      <c r="E4095" s="560">
        <v>14446894</v>
      </c>
      <c r="F4095" s="560">
        <v>219998400</v>
      </c>
      <c r="G4095" s="560">
        <f t="shared" si="96"/>
        <v>-75</v>
      </c>
      <c r="H4095" s="560"/>
      <c r="I4095" s="560"/>
      <c r="J4095" s="560"/>
    </row>
    <row r="4096" spans="1:10" x14ac:dyDescent="0.25">
      <c r="A4096" s="362"/>
      <c r="B4096" s="609">
        <v>44343</v>
      </c>
      <c r="C4096" s="362" t="s">
        <v>78</v>
      </c>
      <c r="D4096" s="560">
        <v>113146958</v>
      </c>
      <c r="E4096" s="560">
        <v>1339242</v>
      </c>
      <c r="F4096" s="560">
        <v>114486200</v>
      </c>
      <c r="G4096" s="560">
        <f t="shared" si="96"/>
        <v>0</v>
      </c>
      <c r="H4096" s="560"/>
      <c r="I4096" s="560"/>
      <c r="J4096" s="560"/>
    </row>
    <row r="4097" spans="1:10" x14ac:dyDescent="0.25">
      <c r="A4097" s="362"/>
      <c r="B4097" s="609">
        <v>44343</v>
      </c>
      <c r="C4097" s="362" t="s">
        <v>141</v>
      </c>
      <c r="D4097" s="560">
        <v>124078771</v>
      </c>
      <c r="E4097" s="560">
        <v>2345341</v>
      </c>
      <c r="F4097" s="560">
        <v>126424200</v>
      </c>
      <c r="G4097" s="560">
        <f t="shared" si="96"/>
        <v>-88</v>
      </c>
      <c r="H4097" s="560"/>
      <c r="I4097" s="560"/>
      <c r="J4097" s="560"/>
    </row>
    <row r="4098" spans="1:10" x14ac:dyDescent="0.25">
      <c r="A4098" s="362"/>
      <c r="B4098" s="609">
        <v>44343</v>
      </c>
      <c r="C4098" s="362" t="s">
        <v>89</v>
      </c>
      <c r="D4098" s="560">
        <v>177347621</v>
      </c>
      <c r="E4098" s="560">
        <v>44820279</v>
      </c>
      <c r="F4098" s="560">
        <v>222167900</v>
      </c>
      <c r="G4098" s="560">
        <f t="shared" si="96"/>
        <v>0</v>
      </c>
      <c r="H4098" s="560"/>
      <c r="I4098" s="560"/>
      <c r="J4098" s="560"/>
    </row>
    <row r="4099" spans="1:10" x14ac:dyDescent="0.25">
      <c r="A4099" s="362"/>
      <c r="B4099" s="609">
        <v>44343</v>
      </c>
      <c r="C4099" s="362" t="s">
        <v>81</v>
      </c>
      <c r="D4099" s="560">
        <v>109902132</v>
      </c>
      <c r="E4099" s="560">
        <v>17034802</v>
      </c>
      <c r="F4099" s="560">
        <v>126937000</v>
      </c>
      <c r="G4099" s="560">
        <f t="shared" si="96"/>
        <v>-66</v>
      </c>
      <c r="H4099" s="560"/>
      <c r="I4099" s="560"/>
      <c r="J4099" s="560"/>
    </row>
    <row r="4100" spans="1:10" x14ac:dyDescent="0.25">
      <c r="A4100" s="362"/>
      <c r="B4100" s="609">
        <v>44343</v>
      </c>
      <c r="C4100" s="362" t="s">
        <v>84</v>
      </c>
      <c r="D4100" s="560">
        <v>188745084</v>
      </c>
      <c r="E4100" s="560">
        <v>10629709</v>
      </c>
      <c r="F4100" s="560">
        <v>199374700</v>
      </c>
      <c r="G4100" s="560">
        <f t="shared" si="96"/>
        <v>93</v>
      </c>
      <c r="H4100" s="560"/>
      <c r="I4100" s="560"/>
      <c r="J4100" s="560"/>
    </row>
    <row r="4101" spans="1:10" x14ac:dyDescent="0.25">
      <c r="A4101" s="362"/>
      <c r="B4101" s="609">
        <v>44343</v>
      </c>
      <c r="C4101" s="362" t="s">
        <v>4751</v>
      </c>
      <c r="D4101" s="560">
        <v>251981965</v>
      </c>
      <c r="E4101" s="560">
        <v>25212035</v>
      </c>
      <c r="F4101" s="560">
        <v>277194000</v>
      </c>
      <c r="G4101" s="560">
        <f t="shared" si="96"/>
        <v>0</v>
      </c>
      <c r="H4101" s="560"/>
      <c r="I4101" s="560"/>
      <c r="J4101" s="560"/>
    </row>
    <row r="4102" spans="1:10" x14ac:dyDescent="0.25">
      <c r="A4102" s="362"/>
      <c r="B4102" s="609">
        <v>44343</v>
      </c>
      <c r="C4102" s="362" t="s">
        <v>166</v>
      </c>
      <c r="D4102" s="560">
        <v>157648002</v>
      </c>
      <c r="E4102" s="560"/>
      <c r="F4102" s="560">
        <v>157648000</v>
      </c>
      <c r="G4102" s="560">
        <f t="shared" si="96"/>
        <v>2</v>
      </c>
      <c r="H4102" s="560"/>
      <c r="I4102" s="560"/>
      <c r="J4102" s="560"/>
    </row>
    <row r="4103" spans="1:10" x14ac:dyDescent="0.25">
      <c r="A4103" s="362"/>
      <c r="B4103" s="609">
        <v>44343</v>
      </c>
      <c r="C4103" s="362" t="s">
        <v>3435</v>
      </c>
      <c r="D4103" s="560">
        <v>68654845</v>
      </c>
      <c r="E4103" s="560"/>
      <c r="F4103" s="560">
        <v>68654900</v>
      </c>
      <c r="G4103" s="560">
        <f t="shared" si="96"/>
        <v>-55</v>
      </c>
      <c r="H4103" s="560"/>
      <c r="I4103" s="560"/>
      <c r="J4103" s="560"/>
    </row>
    <row r="4104" spans="1:10" x14ac:dyDescent="0.25">
      <c r="A4104" s="362"/>
      <c r="B4104" s="609">
        <v>44343</v>
      </c>
      <c r="C4104" s="370" t="s">
        <v>85</v>
      </c>
      <c r="D4104" s="560">
        <v>33285800</v>
      </c>
      <c r="E4104" s="560"/>
      <c r="F4104" s="560">
        <v>33285800</v>
      </c>
      <c r="G4104" s="560">
        <f t="shared" si="96"/>
        <v>0</v>
      </c>
      <c r="H4104" s="560"/>
      <c r="I4104" s="560"/>
      <c r="J4104" s="560"/>
    </row>
    <row r="4105" spans="1:10" x14ac:dyDescent="0.25">
      <c r="A4105" s="530"/>
      <c r="B4105" s="530"/>
      <c r="C4105" s="530"/>
      <c r="D4105" s="562">
        <f>SUM(D4090:D4104)</f>
        <v>2377281797</v>
      </c>
      <c r="E4105" s="562">
        <f>SUM(E4090:E4104)</f>
        <v>531888857</v>
      </c>
      <c r="F4105" s="562">
        <f>SUM(F4090:F4104)</f>
        <v>2909170800</v>
      </c>
      <c r="G4105" s="562">
        <f>SUM(G4090:G4104)</f>
        <v>-146</v>
      </c>
      <c r="H4105" s="562"/>
      <c r="I4105" s="562"/>
      <c r="J4105" s="562"/>
    </row>
    <row r="4106" spans="1:10" x14ac:dyDescent="0.25">
      <c r="A4106" s="362"/>
      <c r="B4106" s="609">
        <v>44344</v>
      </c>
      <c r="C4106" s="362" t="s">
        <v>86</v>
      </c>
      <c r="D4106" s="560">
        <v>46479618</v>
      </c>
      <c r="E4106" s="560">
        <v>144320874</v>
      </c>
      <c r="F4106" s="560">
        <v>190800500</v>
      </c>
      <c r="G4106" s="560">
        <f t="shared" si="96"/>
        <v>-8</v>
      </c>
      <c r="H4106" s="560"/>
      <c r="I4106" s="560"/>
      <c r="J4106" s="560"/>
    </row>
    <row r="4107" spans="1:10" x14ac:dyDescent="0.25">
      <c r="A4107" s="362"/>
      <c r="B4107" s="609">
        <v>44344</v>
      </c>
      <c r="C4107" s="362" t="s">
        <v>87</v>
      </c>
      <c r="D4107" s="560">
        <v>117354322</v>
      </c>
      <c r="E4107" s="560">
        <v>25699453</v>
      </c>
      <c r="F4107" s="560">
        <v>143053800</v>
      </c>
      <c r="G4107" s="560">
        <f t="shared" si="96"/>
        <v>-25</v>
      </c>
      <c r="H4107" s="560"/>
      <c r="I4107" s="560"/>
      <c r="J4107" s="560"/>
    </row>
    <row r="4108" spans="1:10" x14ac:dyDescent="0.25">
      <c r="A4108" s="362"/>
      <c r="B4108" s="609">
        <v>44344</v>
      </c>
      <c r="C4108" s="362" t="s">
        <v>88</v>
      </c>
      <c r="D4108" s="560">
        <v>139228798</v>
      </c>
      <c r="E4108" s="560">
        <v>60575722</v>
      </c>
      <c r="F4108" s="560">
        <v>199804600</v>
      </c>
      <c r="G4108" s="560">
        <f t="shared" ref="G4108:G4171" si="97">D4108+E4108-F4108</f>
        <v>-80</v>
      </c>
      <c r="H4108" s="560"/>
      <c r="I4108" s="560"/>
      <c r="J4108" s="560"/>
    </row>
    <row r="4109" spans="1:10" x14ac:dyDescent="0.25">
      <c r="A4109" s="362"/>
      <c r="B4109" s="609">
        <v>44344</v>
      </c>
      <c r="C4109" s="362" t="s">
        <v>82</v>
      </c>
      <c r="D4109" s="560">
        <v>112203476</v>
      </c>
      <c r="E4109" s="560">
        <v>1143146</v>
      </c>
      <c r="F4109" s="560">
        <v>113346700</v>
      </c>
      <c r="G4109" s="560">
        <f t="shared" si="97"/>
        <v>-78</v>
      </c>
      <c r="H4109" s="560"/>
      <c r="I4109" s="560"/>
      <c r="J4109" s="560"/>
    </row>
    <row r="4110" spans="1:10" x14ac:dyDescent="0.25">
      <c r="A4110" s="362"/>
      <c r="B4110" s="609">
        <v>44344</v>
      </c>
      <c r="C4110" s="362" t="s">
        <v>80</v>
      </c>
      <c r="D4110" s="560">
        <v>176022845</v>
      </c>
      <c r="E4110" s="560">
        <v>490000</v>
      </c>
      <c r="F4110" s="560">
        <v>176512400</v>
      </c>
      <c r="G4110" s="560">
        <f t="shared" si="97"/>
        <v>445</v>
      </c>
      <c r="H4110" s="560"/>
      <c r="I4110" s="560"/>
      <c r="J4110" s="560"/>
    </row>
    <row r="4111" spans="1:10" x14ac:dyDescent="0.25">
      <c r="A4111" s="362"/>
      <c r="B4111" s="609">
        <v>44344</v>
      </c>
      <c r="C4111" s="362" t="s">
        <v>83</v>
      </c>
      <c r="D4111" s="560">
        <v>314340452</v>
      </c>
      <c r="E4111" s="560">
        <v>42792048</v>
      </c>
      <c r="F4111" s="560">
        <v>357132500</v>
      </c>
      <c r="G4111" s="560">
        <f t="shared" si="97"/>
        <v>0</v>
      </c>
      <c r="H4111" s="560"/>
      <c r="I4111" s="560"/>
      <c r="J4111" s="560"/>
    </row>
    <row r="4112" spans="1:10" x14ac:dyDescent="0.25">
      <c r="A4112" s="362"/>
      <c r="B4112" s="609">
        <v>44344</v>
      </c>
      <c r="C4112" s="362" t="s">
        <v>78</v>
      </c>
      <c r="D4112" s="560">
        <v>170885805</v>
      </c>
      <c r="E4112" s="560">
        <v>1278795</v>
      </c>
      <c r="F4112" s="560">
        <v>172164600</v>
      </c>
      <c r="G4112" s="560">
        <f t="shared" si="97"/>
        <v>0</v>
      </c>
      <c r="H4112" s="560"/>
      <c r="I4112" s="560"/>
      <c r="J4112" s="560"/>
    </row>
    <row r="4113" spans="1:10" x14ac:dyDescent="0.25">
      <c r="A4113" s="362"/>
      <c r="B4113" s="609">
        <v>44344</v>
      </c>
      <c r="C4113" s="362" t="s">
        <v>141</v>
      </c>
      <c r="D4113" s="560">
        <v>121643250</v>
      </c>
      <c r="E4113" s="560">
        <v>3239572</v>
      </c>
      <c r="F4113" s="560">
        <v>124882900</v>
      </c>
      <c r="G4113" s="560">
        <f t="shared" si="97"/>
        <v>-78</v>
      </c>
      <c r="H4113" s="560"/>
      <c r="I4113" s="560"/>
      <c r="J4113" s="560"/>
    </row>
    <row r="4114" spans="1:10" x14ac:dyDescent="0.25">
      <c r="A4114" s="362"/>
      <c r="B4114" s="609">
        <v>44344</v>
      </c>
      <c r="C4114" s="362" t="s">
        <v>89</v>
      </c>
      <c r="D4114" s="560">
        <v>237864755</v>
      </c>
      <c r="E4114" s="560">
        <v>59065845</v>
      </c>
      <c r="F4114" s="560">
        <v>296930500</v>
      </c>
      <c r="G4114" s="560">
        <f t="shared" si="97"/>
        <v>100</v>
      </c>
      <c r="H4114" s="560"/>
      <c r="I4114" s="560"/>
      <c r="J4114" s="560"/>
    </row>
    <row r="4115" spans="1:10" x14ac:dyDescent="0.25">
      <c r="A4115" s="362"/>
      <c r="B4115" s="609">
        <v>44344</v>
      </c>
      <c r="C4115" s="362" t="s">
        <v>81</v>
      </c>
      <c r="D4115" s="560">
        <v>159993163</v>
      </c>
      <c r="E4115" s="560">
        <v>14462978</v>
      </c>
      <c r="F4115" s="560">
        <v>174456200</v>
      </c>
      <c r="G4115" s="560">
        <f t="shared" si="97"/>
        <v>-59</v>
      </c>
      <c r="H4115" s="560"/>
      <c r="I4115" s="560"/>
      <c r="J4115" s="560"/>
    </row>
    <row r="4116" spans="1:10" x14ac:dyDescent="0.25">
      <c r="A4116" s="362"/>
      <c r="B4116" s="609">
        <v>44344</v>
      </c>
      <c r="C4116" s="362" t="s">
        <v>84</v>
      </c>
      <c r="D4116" s="560">
        <v>266485874</v>
      </c>
      <c r="E4116" s="560">
        <v>13492424</v>
      </c>
      <c r="F4116" s="560">
        <v>279976800</v>
      </c>
      <c r="G4116" s="560">
        <f t="shared" si="97"/>
        <v>1498</v>
      </c>
      <c r="H4116" s="560"/>
      <c r="I4116" s="560"/>
      <c r="J4116" s="560"/>
    </row>
    <row r="4117" spans="1:10" x14ac:dyDescent="0.25">
      <c r="A4117" s="362"/>
      <c r="B4117" s="609">
        <v>44344</v>
      </c>
      <c r="C4117" s="362" t="s">
        <v>4751</v>
      </c>
      <c r="D4117" s="560">
        <v>203189455</v>
      </c>
      <c r="E4117" s="560">
        <v>15446145</v>
      </c>
      <c r="F4117" s="560">
        <v>218635600</v>
      </c>
      <c r="G4117" s="560">
        <f t="shared" si="97"/>
        <v>0</v>
      </c>
      <c r="H4117" s="560"/>
      <c r="I4117" s="560"/>
      <c r="J4117" s="560"/>
    </row>
    <row r="4118" spans="1:10" x14ac:dyDescent="0.25">
      <c r="A4118" s="362"/>
      <c r="B4118" s="609">
        <v>44344</v>
      </c>
      <c r="C4118" s="362" t="s">
        <v>166</v>
      </c>
      <c r="D4118" s="560">
        <v>49030118</v>
      </c>
      <c r="E4118" s="560"/>
      <c r="F4118" s="560">
        <v>49030000</v>
      </c>
      <c r="G4118" s="560">
        <f t="shared" si="97"/>
        <v>118</v>
      </c>
      <c r="H4118" s="560"/>
      <c r="I4118" s="560"/>
      <c r="J4118" s="560"/>
    </row>
    <row r="4119" spans="1:10" x14ac:dyDescent="0.25">
      <c r="A4119" s="362"/>
      <c r="B4119" s="609">
        <v>44344</v>
      </c>
      <c r="C4119" s="362" t="s">
        <v>3435</v>
      </c>
      <c r="D4119" s="560">
        <v>10731395</v>
      </c>
      <c r="E4119" s="560"/>
      <c r="F4119" s="560">
        <v>10731400</v>
      </c>
      <c r="G4119" s="560">
        <f t="shared" si="97"/>
        <v>-5</v>
      </c>
      <c r="H4119" s="560"/>
      <c r="I4119" s="560"/>
      <c r="J4119" s="560"/>
    </row>
    <row r="4120" spans="1:10" x14ac:dyDescent="0.25">
      <c r="A4120" s="362"/>
      <c r="B4120" s="609">
        <v>44344</v>
      </c>
      <c r="C4120" s="370" t="s">
        <v>85</v>
      </c>
      <c r="D4120" s="560">
        <v>26097300</v>
      </c>
      <c r="E4120" s="560"/>
      <c r="F4120" s="560">
        <v>26097300</v>
      </c>
      <c r="G4120" s="560">
        <f t="shared" si="97"/>
        <v>0</v>
      </c>
      <c r="H4120" s="560"/>
      <c r="I4120" s="560"/>
      <c r="J4120" s="560"/>
    </row>
    <row r="4121" spans="1:10" x14ac:dyDescent="0.25">
      <c r="A4121" s="530"/>
      <c r="B4121" s="530"/>
      <c r="C4121" s="530"/>
      <c r="D4121" s="562">
        <f>SUM(D4106:D4120)</f>
        <v>2151550626</v>
      </c>
      <c r="E4121" s="562">
        <f>SUM(E4106:E4120)</f>
        <v>382007002</v>
      </c>
      <c r="F4121" s="562">
        <f>SUM(F4106:F4120)</f>
        <v>2533555800</v>
      </c>
      <c r="G4121" s="562">
        <f>SUM(G4106:G4120)</f>
        <v>1828</v>
      </c>
      <c r="H4121" s="562"/>
      <c r="I4121" s="562"/>
      <c r="J4121" s="562"/>
    </row>
    <row r="4122" spans="1:10" x14ac:dyDescent="0.25">
      <c r="A4122" s="362"/>
      <c r="B4122" s="609">
        <v>44345</v>
      </c>
      <c r="C4122" s="362" t="s">
        <v>86</v>
      </c>
      <c r="D4122" s="560">
        <v>111482348</v>
      </c>
      <c r="E4122" s="560">
        <v>76315139</v>
      </c>
      <c r="F4122" s="560">
        <v>187797500</v>
      </c>
      <c r="G4122" s="560">
        <f t="shared" si="97"/>
        <v>-13</v>
      </c>
      <c r="H4122" s="560"/>
      <c r="I4122" s="560"/>
      <c r="J4122" s="560"/>
    </row>
    <row r="4123" spans="1:10" x14ac:dyDescent="0.25">
      <c r="A4123" s="362"/>
      <c r="B4123" s="609">
        <v>44345</v>
      </c>
      <c r="C4123" s="362" t="s">
        <v>87</v>
      </c>
      <c r="D4123" s="560">
        <v>30881503</v>
      </c>
      <c r="E4123" s="560">
        <v>173919658</v>
      </c>
      <c r="F4123" s="560">
        <v>204801200</v>
      </c>
      <c r="G4123" s="560">
        <f t="shared" si="97"/>
        <v>-39</v>
      </c>
      <c r="H4123" s="560"/>
      <c r="I4123" s="560"/>
      <c r="J4123" s="560"/>
    </row>
    <row r="4124" spans="1:10" x14ac:dyDescent="0.25">
      <c r="A4124" s="362"/>
      <c r="B4124" s="609">
        <v>44345</v>
      </c>
      <c r="C4124" s="362" t="s">
        <v>88</v>
      </c>
      <c r="D4124" s="560">
        <v>141882628</v>
      </c>
      <c r="E4124" s="560">
        <v>82367411</v>
      </c>
      <c r="F4124" s="560">
        <v>224250100</v>
      </c>
      <c r="G4124" s="560">
        <f t="shared" si="97"/>
        <v>-61</v>
      </c>
      <c r="H4124" s="560"/>
      <c r="I4124" s="560"/>
      <c r="J4124" s="560"/>
    </row>
    <row r="4125" spans="1:10" x14ac:dyDescent="0.25">
      <c r="A4125" s="362"/>
      <c r="B4125" s="609">
        <v>44345</v>
      </c>
      <c r="C4125" s="362" t="s">
        <v>82</v>
      </c>
      <c r="D4125" s="560">
        <v>181012382</v>
      </c>
      <c r="E4125" s="560">
        <v>3185632</v>
      </c>
      <c r="F4125" s="560">
        <v>184198100</v>
      </c>
      <c r="G4125" s="560">
        <f t="shared" si="97"/>
        <v>-86</v>
      </c>
      <c r="H4125" s="560"/>
      <c r="I4125" s="560"/>
      <c r="J4125" s="560"/>
    </row>
    <row r="4126" spans="1:10" x14ac:dyDescent="0.25">
      <c r="A4126" s="362"/>
      <c r="B4126" s="609">
        <v>44345</v>
      </c>
      <c r="C4126" s="362" t="s">
        <v>80</v>
      </c>
      <c r="D4126" s="560">
        <v>304322683</v>
      </c>
      <c r="E4126" s="560">
        <v>409917</v>
      </c>
      <c r="F4126" s="560">
        <v>304732600</v>
      </c>
      <c r="G4126" s="560">
        <f t="shared" si="97"/>
        <v>0</v>
      </c>
      <c r="H4126" s="560"/>
      <c r="I4126" s="560"/>
      <c r="J4126" s="560"/>
    </row>
    <row r="4127" spans="1:10" x14ac:dyDescent="0.25">
      <c r="A4127" s="362"/>
      <c r="B4127" s="609">
        <v>44345</v>
      </c>
      <c r="C4127" s="362" t="s">
        <v>83</v>
      </c>
      <c r="D4127" s="560">
        <v>209415865</v>
      </c>
      <c r="E4127" s="560">
        <v>45585935</v>
      </c>
      <c r="F4127" s="560">
        <v>255001800</v>
      </c>
      <c r="G4127" s="560">
        <f t="shared" si="97"/>
        <v>0</v>
      </c>
      <c r="H4127" s="560"/>
      <c r="I4127" s="560"/>
      <c r="J4127" s="560"/>
    </row>
    <row r="4128" spans="1:10" x14ac:dyDescent="0.25">
      <c r="A4128" s="362"/>
      <c r="B4128" s="609">
        <v>44345</v>
      </c>
      <c r="C4128" s="362" t="s">
        <v>78</v>
      </c>
      <c r="D4128" s="560">
        <v>184295404</v>
      </c>
      <c r="E4128" s="560">
        <v>5788196</v>
      </c>
      <c r="F4128" s="560">
        <v>190083600</v>
      </c>
      <c r="G4128" s="560">
        <f t="shared" si="97"/>
        <v>0</v>
      </c>
      <c r="H4128" s="560"/>
      <c r="I4128" s="560"/>
      <c r="J4128" s="560"/>
    </row>
    <row r="4129" spans="1:10" x14ac:dyDescent="0.25">
      <c r="A4129" s="362"/>
      <c r="B4129" s="609">
        <v>44345</v>
      </c>
      <c r="C4129" s="362" t="s">
        <v>141</v>
      </c>
      <c r="D4129" s="560">
        <v>52714662</v>
      </c>
      <c r="E4129" s="560">
        <v>8956438</v>
      </c>
      <c r="F4129" s="560">
        <v>61671100</v>
      </c>
      <c r="G4129" s="560">
        <f t="shared" si="97"/>
        <v>0</v>
      </c>
      <c r="H4129" s="560"/>
      <c r="I4129" s="560"/>
      <c r="J4129" s="560"/>
    </row>
    <row r="4130" spans="1:10" x14ac:dyDescent="0.25">
      <c r="A4130" s="362"/>
      <c r="B4130" s="609">
        <v>44345</v>
      </c>
      <c r="C4130" s="362" t="s">
        <v>89</v>
      </c>
      <c r="D4130" s="560">
        <v>126230676</v>
      </c>
      <c r="E4130" s="560">
        <v>42516324</v>
      </c>
      <c r="F4130" s="560">
        <v>168747000</v>
      </c>
      <c r="G4130" s="560">
        <f t="shared" si="97"/>
        <v>0</v>
      </c>
      <c r="H4130" s="560"/>
      <c r="I4130" s="560"/>
      <c r="J4130" s="560"/>
    </row>
    <row r="4131" spans="1:10" x14ac:dyDescent="0.25">
      <c r="A4131" s="362"/>
      <c r="B4131" s="609">
        <v>44345</v>
      </c>
      <c r="C4131" s="362" t="s">
        <v>81</v>
      </c>
      <c r="D4131" s="560">
        <v>145892923</v>
      </c>
      <c r="E4131" s="560">
        <v>36232637</v>
      </c>
      <c r="F4131" s="560">
        <f>46052500+136073100</f>
        <v>182125600</v>
      </c>
      <c r="G4131" s="560">
        <f t="shared" si="97"/>
        <v>-40</v>
      </c>
      <c r="H4131" s="560"/>
      <c r="I4131" s="560"/>
      <c r="J4131" s="560"/>
    </row>
    <row r="4132" spans="1:10" x14ac:dyDescent="0.25">
      <c r="A4132" s="362"/>
      <c r="B4132" s="609">
        <v>44345</v>
      </c>
      <c r="C4132" s="362" t="s">
        <v>84</v>
      </c>
      <c r="D4132" s="560">
        <v>122086231</v>
      </c>
      <c r="E4132" s="560">
        <v>44517685</v>
      </c>
      <c r="F4132" s="560">
        <v>166603900</v>
      </c>
      <c r="G4132" s="560">
        <f t="shared" si="97"/>
        <v>16</v>
      </c>
      <c r="H4132" s="560"/>
      <c r="I4132" s="560"/>
      <c r="J4132" s="560"/>
    </row>
    <row r="4133" spans="1:10" x14ac:dyDescent="0.25">
      <c r="A4133" s="362"/>
      <c r="B4133" s="609">
        <v>44345</v>
      </c>
      <c r="C4133" s="362" t="s">
        <v>4751</v>
      </c>
      <c r="D4133" s="560">
        <v>192874570</v>
      </c>
      <c r="E4133" s="560">
        <v>11593530</v>
      </c>
      <c r="F4133" s="560">
        <v>204468100</v>
      </c>
      <c r="G4133" s="560">
        <f t="shared" si="97"/>
        <v>0</v>
      </c>
      <c r="H4133" s="560"/>
      <c r="I4133" s="560"/>
      <c r="J4133" s="560"/>
    </row>
    <row r="4134" spans="1:10" x14ac:dyDescent="0.25">
      <c r="A4134" s="362"/>
      <c r="B4134" s="609">
        <v>44345</v>
      </c>
      <c r="C4134" s="362" t="s">
        <v>166</v>
      </c>
      <c r="D4134" s="560"/>
      <c r="E4134" s="560"/>
      <c r="F4134" s="560"/>
      <c r="G4134" s="560">
        <f t="shared" si="97"/>
        <v>0</v>
      </c>
      <c r="H4134" s="560"/>
      <c r="I4134" s="560"/>
      <c r="J4134" s="560"/>
    </row>
    <row r="4135" spans="1:10" x14ac:dyDescent="0.25">
      <c r="A4135" s="362"/>
      <c r="B4135" s="609">
        <v>44345</v>
      </c>
      <c r="C4135" s="362" t="s">
        <v>3435</v>
      </c>
      <c r="D4135" s="560"/>
      <c r="E4135" s="560"/>
      <c r="F4135" s="560"/>
      <c r="G4135" s="560">
        <f t="shared" si="97"/>
        <v>0</v>
      </c>
      <c r="H4135" s="560"/>
      <c r="I4135" s="560"/>
      <c r="J4135" s="560"/>
    </row>
    <row r="4136" spans="1:10" x14ac:dyDescent="0.25">
      <c r="A4136" s="362"/>
      <c r="B4136" s="609">
        <v>44345</v>
      </c>
      <c r="C4136" s="370" t="s">
        <v>85</v>
      </c>
      <c r="D4136" s="560">
        <v>35356500</v>
      </c>
      <c r="E4136" s="560"/>
      <c r="F4136" s="560">
        <v>35356500</v>
      </c>
      <c r="G4136" s="560">
        <f t="shared" si="97"/>
        <v>0</v>
      </c>
      <c r="H4136" s="560"/>
      <c r="I4136" s="560"/>
      <c r="J4136" s="560"/>
    </row>
    <row r="4137" spans="1:10" x14ac:dyDescent="0.25">
      <c r="A4137" s="530"/>
      <c r="B4137" s="530"/>
      <c r="C4137" s="530"/>
      <c r="D4137" s="562"/>
      <c r="E4137" s="562"/>
      <c r="F4137" s="562"/>
      <c r="G4137" s="562"/>
      <c r="H4137" s="562"/>
      <c r="I4137" s="562"/>
      <c r="J4137" s="562"/>
    </row>
    <row r="4138" spans="1:10" x14ac:dyDescent="0.25">
      <c r="A4138" s="362"/>
      <c r="B4138" s="609">
        <v>44347</v>
      </c>
      <c r="C4138" s="362" t="s">
        <v>86</v>
      </c>
      <c r="D4138" s="560">
        <v>61512681</v>
      </c>
      <c r="E4138" s="560">
        <v>9233700</v>
      </c>
      <c r="F4138" s="560">
        <v>70770500</v>
      </c>
      <c r="G4138" s="560">
        <f t="shared" si="97"/>
        <v>-24119</v>
      </c>
      <c r="H4138" s="560"/>
      <c r="I4138" s="560"/>
      <c r="J4138" s="560"/>
    </row>
    <row r="4139" spans="1:10" x14ac:dyDescent="0.25">
      <c r="A4139" s="362"/>
      <c r="B4139" s="609">
        <v>44347</v>
      </c>
      <c r="C4139" s="362" t="s">
        <v>87</v>
      </c>
      <c r="D4139" s="560">
        <v>68035067</v>
      </c>
      <c r="E4139" s="560">
        <v>132469153</v>
      </c>
      <c r="F4139" s="560">
        <v>200504300</v>
      </c>
      <c r="G4139" s="560">
        <f t="shared" si="97"/>
        <v>-80</v>
      </c>
      <c r="H4139" s="560"/>
      <c r="I4139" s="560"/>
      <c r="J4139" s="560"/>
    </row>
    <row r="4140" spans="1:10" x14ac:dyDescent="0.25">
      <c r="A4140" s="362"/>
      <c r="B4140" s="609">
        <v>44347</v>
      </c>
      <c r="C4140" s="362" t="s">
        <v>88</v>
      </c>
      <c r="D4140" s="560">
        <v>105782504</v>
      </c>
      <c r="E4140" s="560">
        <v>86403336</v>
      </c>
      <c r="F4140" s="560">
        <v>192185900</v>
      </c>
      <c r="G4140" s="560">
        <f t="shared" si="97"/>
        <v>-60</v>
      </c>
      <c r="H4140" s="560"/>
      <c r="I4140" s="560"/>
      <c r="J4140" s="560"/>
    </row>
    <row r="4141" spans="1:10" x14ac:dyDescent="0.25">
      <c r="A4141" s="362"/>
      <c r="B4141" s="609">
        <v>44347</v>
      </c>
      <c r="C4141" s="362" t="s">
        <v>82</v>
      </c>
      <c r="D4141" s="560">
        <v>46004779</v>
      </c>
      <c r="E4141" s="560">
        <v>1646603</v>
      </c>
      <c r="F4141" s="560">
        <v>47651400</v>
      </c>
      <c r="G4141" s="560">
        <f t="shared" si="97"/>
        <v>-18</v>
      </c>
      <c r="H4141" s="560"/>
      <c r="I4141" s="560"/>
      <c r="J4141" s="560"/>
    </row>
    <row r="4142" spans="1:10" x14ac:dyDescent="0.25">
      <c r="A4142" s="362"/>
      <c r="B4142" s="609">
        <v>44347</v>
      </c>
      <c r="C4142" s="362" t="s">
        <v>80</v>
      </c>
      <c r="D4142" s="560">
        <v>170586800</v>
      </c>
      <c r="E4142" s="560"/>
      <c r="F4142" s="560">
        <v>170586800</v>
      </c>
      <c r="G4142" s="560">
        <f t="shared" si="97"/>
        <v>0</v>
      </c>
      <c r="H4142" s="560"/>
      <c r="I4142" s="560"/>
      <c r="J4142" s="560"/>
    </row>
    <row r="4143" spans="1:10" x14ac:dyDescent="0.25">
      <c r="A4143" s="362"/>
      <c r="B4143" s="609">
        <v>44347</v>
      </c>
      <c r="C4143" s="362" t="s">
        <v>83</v>
      </c>
      <c r="D4143" s="560">
        <v>304208371</v>
      </c>
      <c r="E4143" s="560">
        <v>40272229</v>
      </c>
      <c r="F4143" s="560">
        <v>344480600</v>
      </c>
      <c r="G4143" s="560">
        <f t="shared" si="97"/>
        <v>0</v>
      </c>
      <c r="H4143" s="560"/>
      <c r="I4143" s="560"/>
      <c r="J4143" s="560"/>
    </row>
    <row r="4144" spans="1:10" x14ac:dyDescent="0.25">
      <c r="A4144" s="362"/>
      <c r="B4144" s="609">
        <v>44347</v>
      </c>
      <c r="C4144" s="362" t="s">
        <v>78</v>
      </c>
      <c r="D4144" s="560">
        <v>54802749</v>
      </c>
      <c r="E4144" s="560">
        <v>5825451</v>
      </c>
      <c r="F4144" s="560">
        <v>60628200</v>
      </c>
      <c r="G4144" s="560">
        <f t="shared" si="97"/>
        <v>0</v>
      </c>
      <c r="H4144" s="560"/>
      <c r="I4144" s="560"/>
      <c r="J4144" s="560"/>
    </row>
    <row r="4145" spans="1:10" x14ac:dyDescent="0.25">
      <c r="A4145" s="362"/>
      <c r="B4145" s="609">
        <v>44347</v>
      </c>
      <c r="C4145" s="362" t="s">
        <v>141</v>
      </c>
      <c r="D4145" s="560">
        <v>39650880</v>
      </c>
      <c r="E4145" s="560">
        <v>7842899</v>
      </c>
      <c r="F4145" s="560">
        <v>47493800</v>
      </c>
      <c r="G4145" s="560">
        <f t="shared" si="97"/>
        <v>-21</v>
      </c>
      <c r="H4145" s="560"/>
      <c r="I4145" s="560"/>
      <c r="J4145" s="560"/>
    </row>
    <row r="4146" spans="1:10" x14ac:dyDescent="0.25">
      <c r="A4146" s="362"/>
      <c r="B4146" s="609">
        <v>44347</v>
      </c>
      <c r="C4146" s="362" t="s">
        <v>89</v>
      </c>
      <c r="D4146" s="560">
        <v>100274204</v>
      </c>
      <c r="E4146" s="560">
        <v>16534596</v>
      </c>
      <c r="F4146" s="560">
        <v>116808800</v>
      </c>
      <c r="G4146" s="560">
        <f t="shared" si="97"/>
        <v>0</v>
      </c>
      <c r="H4146" s="560"/>
      <c r="I4146" s="560"/>
      <c r="J4146" s="560"/>
    </row>
    <row r="4147" spans="1:10" x14ac:dyDescent="0.25">
      <c r="A4147" s="362"/>
      <c r="B4147" s="609">
        <v>44347</v>
      </c>
      <c r="C4147" s="362" t="s">
        <v>81</v>
      </c>
      <c r="D4147" s="560">
        <v>81786309</v>
      </c>
      <c r="E4147" s="560">
        <v>8815856</v>
      </c>
      <c r="F4147" s="560">
        <v>90602200</v>
      </c>
      <c r="G4147" s="560">
        <f t="shared" si="97"/>
        <v>-35</v>
      </c>
      <c r="H4147" s="560"/>
      <c r="I4147" s="560"/>
      <c r="J4147" s="560"/>
    </row>
    <row r="4148" spans="1:10" x14ac:dyDescent="0.25">
      <c r="A4148" s="362"/>
      <c r="B4148" s="609">
        <v>44347</v>
      </c>
      <c r="C4148" s="362" t="s">
        <v>84</v>
      </c>
      <c r="D4148" s="560">
        <v>132172708</v>
      </c>
      <c r="E4148" s="560">
        <v>5342114</v>
      </c>
      <c r="F4148" s="560">
        <v>137019800</v>
      </c>
      <c r="G4148" s="560">
        <f t="shared" si="97"/>
        <v>495022</v>
      </c>
      <c r="H4148" s="560"/>
      <c r="I4148" s="560"/>
      <c r="J4148" s="560"/>
    </row>
    <row r="4149" spans="1:10" x14ac:dyDescent="0.25">
      <c r="A4149" s="362"/>
      <c r="B4149" s="609">
        <v>44347</v>
      </c>
      <c r="C4149" s="362" t="s">
        <v>4751</v>
      </c>
      <c r="D4149" s="560">
        <v>168119831</v>
      </c>
      <c r="E4149" s="560">
        <v>16767369</v>
      </c>
      <c r="F4149" s="560">
        <v>184887200</v>
      </c>
      <c r="G4149" s="560">
        <f t="shared" si="97"/>
        <v>0</v>
      </c>
      <c r="H4149" s="560"/>
      <c r="I4149" s="560"/>
      <c r="J4149" s="560"/>
    </row>
    <row r="4150" spans="1:10" x14ac:dyDescent="0.25">
      <c r="A4150" s="362"/>
      <c r="B4150" s="609">
        <v>44347</v>
      </c>
      <c r="C4150" s="362" t="s">
        <v>166</v>
      </c>
      <c r="D4150" s="560">
        <v>47643072</v>
      </c>
      <c r="E4150" s="560"/>
      <c r="F4150" s="560">
        <v>47643100</v>
      </c>
      <c r="G4150" s="560">
        <f t="shared" si="97"/>
        <v>-28</v>
      </c>
      <c r="H4150" s="560"/>
      <c r="I4150" s="560"/>
      <c r="J4150" s="560"/>
    </row>
    <row r="4151" spans="1:10" x14ac:dyDescent="0.25">
      <c r="A4151" s="362"/>
      <c r="B4151" s="609">
        <v>44347</v>
      </c>
      <c r="C4151" s="362" t="s">
        <v>3435</v>
      </c>
      <c r="D4151" s="560">
        <v>27980771</v>
      </c>
      <c r="E4151" s="560"/>
      <c r="F4151" s="560">
        <v>27980800</v>
      </c>
      <c r="G4151" s="560">
        <f t="shared" si="97"/>
        <v>-29</v>
      </c>
      <c r="H4151" s="560"/>
      <c r="I4151" s="560"/>
      <c r="J4151" s="560"/>
    </row>
    <row r="4152" spans="1:10" x14ac:dyDescent="0.25">
      <c r="A4152" s="362"/>
      <c r="B4152" s="609">
        <v>44347</v>
      </c>
      <c r="C4152" s="370" t="s">
        <v>85</v>
      </c>
      <c r="D4152" s="560">
        <v>39357100</v>
      </c>
      <c r="E4152" s="560"/>
      <c r="F4152" s="560">
        <v>39357100</v>
      </c>
      <c r="G4152" s="560">
        <f t="shared" si="97"/>
        <v>0</v>
      </c>
      <c r="H4152" s="560"/>
      <c r="I4152" s="560"/>
      <c r="J4152" s="560"/>
    </row>
    <row r="4153" spans="1:10" x14ac:dyDescent="0.25">
      <c r="A4153" s="530"/>
      <c r="B4153" s="530"/>
      <c r="C4153" s="530"/>
      <c r="D4153" s="562">
        <f>SUM(D4138:D4152)</f>
        <v>1447917826</v>
      </c>
      <c r="E4153" s="562">
        <f>SUM(E4138:E4152)</f>
        <v>331153306</v>
      </c>
      <c r="F4153" s="562">
        <f>SUM(F4138:F4152)</f>
        <v>1778600500</v>
      </c>
      <c r="G4153" s="562">
        <f>SUM(G4138:G4152)</f>
        <v>470632</v>
      </c>
      <c r="H4153" s="562"/>
      <c r="I4153" s="562"/>
      <c r="J4153" s="562"/>
    </row>
    <row r="4154" spans="1:10" x14ac:dyDescent="0.25">
      <c r="A4154" s="362"/>
      <c r="B4154" s="609">
        <v>44348</v>
      </c>
      <c r="C4154" s="362" t="s">
        <v>86</v>
      </c>
      <c r="D4154" s="560">
        <v>79418635</v>
      </c>
      <c r="E4154" s="560">
        <v>12608280</v>
      </c>
      <c r="F4154" s="560"/>
      <c r="G4154" s="560">
        <f t="shared" si="97"/>
        <v>92026915</v>
      </c>
      <c r="H4154" s="560"/>
      <c r="I4154" s="560"/>
      <c r="J4154" s="560"/>
    </row>
    <row r="4155" spans="1:10" x14ac:dyDescent="0.25">
      <c r="A4155" s="362"/>
      <c r="B4155" s="609">
        <v>44348</v>
      </c>
      <c r="C4155" s="362" t="s">
        <v>87</v>
      </c>
      <c r="D4155" s="560">
        <v>59908045</v>
      </c>
      <c r="E4155" s="560">
        <v>12913420</v>
      </c>
      <c r="F4155" s="560"/>
      <c r="G4155" s="560">
        <f t="shared" si="97"/>
        <v>72821465</v>
      </c>
      <c r="H4155" s="560"/>
      <c r="I4155" s="560"/>
      <c r="J4155" s="560"/>
    </row>
    <row r="4156" spans="1:10" x14ac:dyDescent="0.25">
      <c r="A4156" s="362"/>
      <c r="B4156" s="609">
        <v>44348</v>
      </c>
      <c r="C4156" s="362" t="s">
        <v>88</v>
      </c>
      <c r="D4156" s="560">
        <v>133208906</v>
      </c>
      <c r="E4156" s="560">
        <v>8115628</v>
      </c>
      <c r="F4156" s="560"/>
      <c r="G4156" s="560">
        <f t="shared" si="97"/>
        <v>141324534</v>
      </c>
      <c r="H4156" s="560"/>
      <c r="I4156" s="560"/>
      <c r="J4156" s="560"/>
    </row>
    <row r="4157" spans="1:10" x14ac:dyDescent="0.25">
      <c r="A4157" s="362"/>
      <c r="B4157" s="609">
        <v>44348</v>
      </c>
      <c r="C4157" s="362" t="s">
        <v>82</v>
      </c>
      <c r="D4157" s="560">
        <v>33486377</v>
      </c>
      <c r="E4157" s="560">
        <v>3912300</v>
      </c>
      <c r="F4157" s="560"/>
      <c r="G4157" s="560">
        <f t="shared" si="97"/>
        <v>37398677</v>
      </c>
      <c r="H4157" s="560"/>
      <c r="I4157" s="560"/>
      <c r="J4157" s="560"/>
    </row>
    <row r="4158" spans="1:10" x14ac:dyDescent="0.25">
      <c r="A4158" s="362"/>
      <c r="B4158" s="609">
        <v>44348</v>
      </c>
      <c r="C4158" s="362" t="s">
        <v>80</v>
      </c>
      <c r="D4158" s="560">
        <v>175555221</v>
      </c>
      <c r="E4158" s="560"/>
      <c r="F4158" s="560"/>
      <c r="G4158" s="560">
        <f t="shared" si="97"/>
        <v>175555221</v>
      </c>
      <c r="H4158" s="560"/>
      <c r="I4158" s="560"/>
      <c r="J4158" s="560"/>
    </row>
    <row r="4159" spans="1:10" x14ac:dyDescent="0.25">
      <c r="A4159" s="362"/>
      <c r="B4159" s="609">
        <v>44348</v>
      </c>
      <c r="C4159" s="362" t="s">
        <v>83</v>
      </c>
      <c r="D4159" s="560">
        <v>198746084</v>
      </c>
      <c r="E4159" s="560">
        <v>106827238</v>
      </c>
      <c r="F4159" s="560"/>
      <c r="G4159" s="560">
        <f t="shared" si="97"/>
        <v>305573322</v>
      </c>
      <c r="H4159" s="560"/>
      <c r="I4159" s="560"/>
      <c r="J4159" s="560"/>
    </row>
    <row r="4160" spans="1:10" x14ac:dyDescent="0.25">
      <c r="A4160" s="362"/>
      <c r="B4160" s="609">
        <v>44348</v>
      </c>
      <c r="C4160" s="362" t="s">
        <v>78</v>
      </c>
      <c r="D4160" s="560">
        <v>53826279</v>
      </c>
      <c r="E4160" s="560">
        <v>832321</v>
      </c>
      <c r="F4160" s="560"/>
      <c r="G4160" s="560">
        <f t="shared" si="97"/>
        <v>54658600</v>
      </c>
      <c r="H4160" s="560"/>
      <c r="I4160" s="560"/>
      <c r="J4160" s="560"/>
    </row>
    <row r="4161" spans="1:10" x14ac:dyDescent="0.25">
      <c r="A4161" s="362"/>
      <c r="B4161" s="609">
        <v>44348</v>
      </c>
      <c r="C4161" s="362" t="s">
        <v>141</v>
      </c>
      <c r="D4161" s="560">
        <v>96164164</v>
      </c>
      <c r="E4161" s="560"/>
      <c r="F4161" s="560"/>
      <c r="G4161" s="560">
        <f t="shared" si="97"/>
        <v>96164164</v>
      </c>
      <c r="H4161" s="560"/>
      <c r="I4161" s="560"/>
      <c r="J4161" s="560"/>
    </row>
    <row r="4162" spans="1:10" x14ac:dyDescent="0.25">
      <c r="A4162" s="362"/>
      <c r="B4162" s="609">
        <v>44348</v>
      </c>
      <c r="C4162" s="362" t="s">
        <v>89</v>
      </c>
      <c r="D4162" s="560">
        <v>154856290</v>
      </c>
      <c r="E4162" s="560">
        <v>15168110</v>
      </c>
      <c r="F4162" s="560"/>
      <c r="G4162" s="560">
        <f t="shared" si="97"/>
        <v>170024400</v>
      </c>
      <c r="H4162" s="560"/>
      <c r="I4162" s="560"/>
      <c r="J4162" s="560"/>
    </row>
    <row r="4163" spans="1:10" x14ac:dyDescent="0.25">
      <c r="A4163" s="362"/>
      <c r="B4163" s="609">
        <v>44348</v>
      </c>
      <c r="C4163" s="362" t="s">
        <v>81</v>
      </c>
      <c r="D4163" s="560">
        <v>77557902</v>
      </c>
      <c r="E4163" s="560">
        <v>11592892</v>
      </c>
      <c r="F4163" s="560"/>
      <c r="G4163" s="560">
        <f t="shared" si="97"/>
        <v>89150794</v>
      </c>
      <c r="H4163" s="560"/>
      <c r="I4163" s="560"/>
      <c r="J4163" s="560"/>
    </row>
    <row r="4164" spans="1:10" x14ac:dyDescent="0.25">
      <c r="A4164" s="362"/>
      <c r="B4164" s="609">
        <v>44348</v>
      </c>
      <c r="C4164" s="362" t="s">
        <v>84</v>
      </c>
      <c r="D4164" s="560">
        <v>190545261</v>
      </c>
      <c r="E4164" s="560">
        <v>73192871</v>
      </c>
      <c r="F4164" s="560"/>
      <c r="G4164" s="560">
        <f t="shared" si="97"/>
        <v>263738132</v>
      </c>
      <c r="H4164" s="560"/>
      <c r="I4164" s="560"/>
      <c r="J4164" s="560"/>
    </row>
    <row r="4165" spans="1:10" x14ac:dyDescent="0.25">
      <c r="A4165" s="362"/>
      <c r="B4165" s="609">
        <v>44348</v>
      </c>
      <c r="C4165" s="362" t="s">
        <v>4751</v>
      </c>
      <c r="D4165" s="560">
        <v>143643912</v>
      </c>
      <c r="E4165" s="560">
        <v>9969288</v>
      </c>
      <c r="F4165" s="560"/>
      <c r="G4165" s="560">
        <f t="shared" si="97"/>
        <v>153613200</v>
      </c>
      <c r="H4165" s="560"/>
      <c r="I4165" s="560"/>
      <c r="J4165" s="560"/>
    </row>
    <row r="4166" spans="1:10" x14ac:dyDescent="0.25">
      <c r="A4166" s="362"/>
      <c r="B4166" s="609">
        <v>44348</v>
      </c>
      <c r="C4166" s="362" t="s">
        <v>166</v>
      </c>
      <c r="D4166" s="560">
        <v>69239057</v>
      </c>
      <c r="E4166" s="560">
        <v>37024400</v>
      </c>
      <c r="F4166" s="560"/>
      <c r="G4166" s="560">
        <f t="shared" si="97"/>
        <v>106263457</v>
      </c>
      <c r="H4166" s="560"/>
      <c r="I4166" s="560"/>
      <c r="J4166" s="560"/>
    </row>
    <row r="4167" spans="1:10" x14ac:dyDescent="0.25">
      <c r="A4167" s="362"/>
      <c r="B4167" s="609">
        <v>44348</v>
      </c>
      <c r="C4167" s="362" t="s">
        <v>3435</v>
      </c>
      <c r="D4167" s="560">
        <v>31747470</v>
      </c>
      <c r="E4167" s="560"/>
      <c r="F4167" s="560"/>
      <c r="G4167" s="560">
        <f t="shared" si="97"/>
        <v>31747470</v>
      </c>
      <c r="H4167" s="560"/>
      <c r="I4167" s="560"/>
      <c r="J4167" s="560"/>
    </row>
    <row r="4168" spans="1:10" x14ac:dyDescent="0.25">
      <c r="A4168" s="362"/>
      <c r="B4168" s="609">
        <v>44348</v>
      </c>
      <c r="C4168" s="370" t="s">
        <v>85</v>
      </c>
      <c r="D4168" s="560">
        <v>27313200</v>
      </c>
      <c r="E4168" s="560"/>
      <c r="F4168" s="560"/>
      <c r="G4168" s="560">
        <f t="shared" si="97"/>
        <v>27313200</v>
      </c>
      <c r="H4168" s="560"/>
      <c r="I4168" s="560"/>
      <c r="J4168" s="560"/>
    </row>
    <row r="4169" spans="1:10" x14ac:dyDescent="0.25">
      <c r="A4169" s="530"/>
      <c r="B4169" s="530"/>
      <c r="C4169" s="530"/>
      <c r="D4169" s="562">
        <f>SUM(D4154:D4168)</f>
        <v>1525216803</v>
      </c>
      <c r="E4169" s="562">
        <f>SUM(E4154:E4168)</f>
        <v>292156748</v>
      </c>
      <c r="F4169" s="562">
        <f>SUM(F4154:F4168)</f>
        <v>0</v>
      </c>
      <c r="G4169" s="562">
        <f>SUM(G4154:G4168)</f>
        <v>1817373551</v>
      </c>
      <c r="H4169" s="562"/>
      <c r="I4169" s="562"/>
      <c r="J4169" s="562"/>
    </row>
    <row r="4170" spans="1:10" x14ac:dyDescent="0.25">
      <c r="A4170" s="362"/>
      <c r="B4170" s="609">
        <v>44349</v>
      </c>
      <c r="C4170" s="362" t="s">
        <v>86</v>
      </c>
      <c r="D4170" s="560">
        <v>42197007</v>
      </c>
      <c r="E4170" s="560">
        <v>86817211</v>
      </c>
      <c r="F4170" s="560">
        <v>129014200</v>
      </c>
      <c r="G4170" s="560">
        <f t="shared" si="97"/>
        <v>18</v>
      </c>
      <c r="H4170" s="560"/>
      <c r="I4170" s="560"/>
      <c r="J4170" s="560"/>
    </row>
    <row r="4171" spans="1:10" x14ac:dyDescent="0.25">
      <c r="A4171" s="362"/>
      <c r="B4171" s="609">
        <v>44349</v>
      </c>
      <c r="C4171" s="362" t="s">
        <v>87</v>
      </c>
      <c r="D4171" s="560">
        <v>43361128</v>
      </c>
      <c r="E4171" s="560">
        <v>60571034</v>
      </c>
      <c r="F4171" s="560">
        <v>103935200</v>
      </c>
      <c r="G4171" s="560">
        <f t="shared" si="97"/>
        <v>-3038</v>
      </c>
      <c r="H4171" s="560"/>
      <c r="I4171" s="560"/>
      <c r="J4171" s="560"/>
    </row>
    <row r="4172" spans="1:10" x14ac:dyDescent="0.25">
      <c r="A4172" s="362"/>
      <c r="B4172" s="609">
        <v>44349</v>
      </c>
      <c r="C4172" s="362" t="s">
        <v>88</v>
      </c>
      <c r="D4172" s="560">
        <v>182832508</v>
      </c>
      <c r="E4172" s="560">
        <v>10354507</v>
      </c>
      <c r="F4172" s="560">
        <v>193187100</v>
      </c>
      <c r="G4172" s="560">
        <f t="shared" ref="G4172:G4235" si="98">D4172+E4172-F4172</f>
        <v>-85</v>
      </c>
      <c r="H4172" s="560"/>
      <c r="I4172" s="560"/>
      <c r="J4172" s="560"/>
    </row>
    <row r="4173" spans="1:10" x14ac:dyDescent="0.25">
      <c r="A4173" s="362"/>
      <c r="B4173" s="609">
        <v>44349</v>
      </c>
      <c r="C4173" s="362" t="s">
        <v>82</v>
      </c>
      <c r="D4173" s="560">
        <v>79584976</v>
      </c>
      <c r="E4173" s="560">
        <v>122076857</v>
      </c>
      <c r="F4173" s="560">
        <v>201661900</v>
      </c>
      <c r="G4173" s="560">
        <f t="shared" si="98"/>
        <v>-67</v>
      </c>
      <c r="H4173" s="560"/>
      <c r="I4173" s="560"/>
      <c r="J4173" s="560"/>
    </row>
    <row r="4174" spans="1:10" x14ac:dyDescent="0.25">
      <c r="A4174" s="362"/>
      <c r="B4174" s="609">
        <v>44349</v>
      </c>
      <c r="C4174" s="362" t="s">
        <v>80</v>
      </c>
      <c r="D4174" s="560">
        <v>353794158</v>
      </c>
      <c r="E4174" s="560"/>
      <c r="F4174" s="560">
        <v>353789300</v>
      </c>
      <c r="G4174" s="560">
        <f t="shared" si="98"/>
        <v>4858</v>
      </c>
      <c r="H4174" s="560"/>
      <c r="I4174" s="560"/>
      <c r="J4174" s="560"/>
    </row>
    <row r="4175" spans="1:10" x14ac:dyDescent="0.25">
      <c r="A4175" s="362"/>
      <c r="B4175" s="609">
        <v>44349</v>
      </c>
      <c r="C4175" s="362" t="s">
        <v>83</v>
      </c>
      <c r="D4175" s="560">
        <v>150610113</v>
      </c>
      <c r="E4175" s="560">
        <v>159623949</v>
      </c>
      <c r="F4175" s="560">
        <v>310234100</v>
      </c>
      <c r="G4175" s="560">
        <f t="shared" si="98"/>
        <v>-38</v>
      </c>
      <c r="H4175" s="560"/>
      <c r="I4175" s="560"/>
      <c r="J4175" s="560"/>
    </row>
    <row r="4176" spans="1:10" x14ac:dyDescent="0.25">
      <c r="A4176" s="362"/>
      <c r="B4176" s="609">
        <v>44349</v>
      </c>
      <c r="C4176" s="362" t="s">
        <v>78</v>
      </c>
      <c r="D4176" s="560">
        <v>109820351</v>
      </c>
      <c r="E4176" s="560">
        <v>3201049</v>
      </c>
      <c r="F4176" s="560">
        <v>113021400</v>
      </c>
      <c r="G4176" s="560">
        <f t="shared" si="98"/>
        <v>0</v>
      </c>
      <c r="H4176" s="560"/>
      <c r="I4176" s="560"/>
      <c r="J4176" s="560"/>
    </row>
    <row r="4177" spans="1:10" x14ac:dyDescent="0.25">
      <c r="A4177" s="362"/>
      <c r="B4177" s="609">
        <v>44349</v>
      </c>
      <c r="C4177" s="362" t="s">
        <v>141</v>
      </c>
      <c r="D4177" s="560">
        <v>68191132</v>
      </c>
      <c r="E4177" s="560">
        <v>2521412</v>
      </c>
      <c r="F4177" s="560">
        <v>70712500</v>
      </c>
      <c r="G4177" s="560">
        <f t="shared" si="98"/>
        <v>44</v>
      </c>
      <c r="H4177" s="560"/>
      <c r="I4177" s="560"/>
      <c r="J4177" s="560"/>
    </row>
    <row r="4178" spans="1:10" x14ac:dyDescent="0.25">
      <c r="A4178" s="362"/>
      <c r="B4178" s="609">
        <v>44349</v>
      </c>
      <c r="C4178" s="362" t="s">
        <v>89</v>
      </c>
      <c r="D4178" s="560">
        <v>146801443</v>
      </c>
      <c r="E4178" s="560">
        <v>11004857</v>
      </c>
      <c r="F4178" s="560">
        <v>157806300</v>
      </c>
      <c r="G4178" s="560">
        <f t="shared" si="98"/>
        <v>0</v>
      </c>
      <c r="H4178" s="560"/>
      <c r="I4178" s="560"/>
      <c r="J4178" s="560"/>
    </row>
    <row r="4179" spans="1:10" x14ac:dyDescent="0.25">
      <c r="A4179" s="362"/>
      <c r="B4179" s="609">
        <v>44349</v>
      </c>
      <c r="C4179" s="362" t="s">
        <v>81</v>
      </c>
      <c r="D4179" s="560">
        <v>164025872</v>
      </c>
      <c r="E4179" s="560">
        <v>8256338</v>
      </c>
      <c r="F4179" s="560">
        <v>172282200</v>
      </c>
      <c r="G4179" s="560">
        <f t="shared" si="98"/>
        <v>10</v>
      </c>
      <c r="H4179" s="560"/>
      <c r="I4179" s="560"/>
      <c r="J4179" s="560"/>
    </row>
    <row r="4180" spans="1:10" x14ac:dyDescent="0.25">
      <c r="A4180" s="362"/>
      <c r="B4180" s="609">
        <v>44349</v>
      </c>
      <c r="C4180" s="362" t="s">
        <v>84</v>
      </c>
      <c r="D4180" s="560">
        <v>248090514</v>
      </c>
      <c r="E4180" s="560">
        <v>10775042</v>
      </c>
      <c r="F4180" s="560">
        <v>258865600</v>
      </c>
      <c r="G4180" s="560">
        <f t="shared" si="98"/>
        <v>-44</v>
      </c>
      <c r="H4180" s="560"/>
      <c r="I4180" s="560"/>
      <c r="J4180" s="560"/>
    </row>
    <row r="4181" spans="1:10" x14ac:dyDescent="0.25">
      <c r="A4181" s="362"/>
      <c r="B4181" s="609">
        <v>44349</v>
      </c>
      <c r="C4181" s="362" t="s">
        <v>4751</v>
      </c>
      <c r="D4181" s="560">
        <v>172774095</v>
      </c>
      <c r="E4181" s="560">
        <v>7543405</v>
      </c>
      <c r="F4181" s="560">
        <v>180317500</v>
      </c>
      <c r="G4181" s="560">
        <f t="shared" si="98"/>
        <v>0</v>
      </c>
      <c r="H4181" s="560"/>
      <c r="I4181" s="560"/>
      <c r="J4181" s="560"/>
    </row>
    <row r="4182" spans="1:10" x14ac:dyDescent="0.25">
      <c r="A4182" s="362"/>
      <c r="B4182" s="609">
        <v>44349</v>
      </c>
      <c r="C4182" s="362" t="s">
        <v>166</v>
      </c>
      <c r="D4182" s="560">
        <v>52017676</v>
      </c>
      <c r="E4182" s="560"/>
      <c r="F4182" s="560">
        <v>52017700</v>
      </c>
      <c r="G4182" s="560">
        <f t="shared" si="98"/>
        <v>-24</v>
      </c>
      <c r="H4182" s="560"/>
      <c r="I4182" s="560"/>
      <c r="J4182" s="560"/>
    </row>
    <row r="4183" spans="1:10" x14ac:dyDescent="0.25">
      <c r="A4183" s="362"/>
      <c r="B4183" s="609">
        <v>44349</v>
      </c>
      <c r="C4183" s="362" t="s">
        <v>3435</v>
      </c>
      <c r="D4183" s="560">
        <v>75094758</v>
      </c>
      <c r="E4183" s="560"/>
      <c r="F4183" s="560">
        <v>75094800</v>
      </c>
      <c r="G4183" s="560">
        <f t="shared" si="98"/>
        <v>-42</v>
      </c>
      <c r="H4183" s="560"/>
      <c r="I4183" s="560"/>
      <c r="J4183" s="560"/>
    </row>
    <row r="4184" spans="1:10" x14ac:dyDescent="0.25">
      <c r="A4184" s="362"/>
      <c r="B4184" s="609">
        <v>44349</v>
      </c>
      <c r="C4184" s="370" t="s">
        <v>85</v>
      </c>
      <c r="D4184" s="563">
        <v>36767800</v>
      </c>
      <c r="E4184" s="362"/>
      <c r="F4184" s="362">
        <v>36767800</v>
      </c>
      <c r="G4184" s="560">
        <f t="shared" si="98"/>
        <v>0</v>
      </c>
      <c r="H4184" s="362"/>
      <c r="I4184" s="362"/>
      <c r="J4184" s="362"/>
    </row>
    <row r="4185" spans="1:10" x14ac:dyDescent="0.25">
      <c r="A4185" s="530"/>
      <c r="B4185" s="530"/>
      <c r="C4185" s="530"/>
      <c r="D4185" s="630">
        <f>SUM(D4170:D4184)</f>
        <v>1925963531</v>
      </c>
      <c r="E4185" s="630">
        <f>SUM(E4170:E4184)</f>
        <v>482745661</v>
      </c>
      <c r="F4185" s="630">
        <f>SUM(F4170:F4184)</f>
        <v>2408707600</v>
      </c>
      <c r="G4185" s="630">
        <f>SUM(G4170:G4184)</f>
        <v>1592</v>
      </c>
      <c r="H4185" s="530"/>
      <c r="I4185" s="530"/>
      <c r="J4185" s="530"/>
    </row>
    <row r="4186" spans="1:10" x14ac:dyDescent="0.25">
      <c r="A4186" s="362"/>
      <c r="B4186" s="609">
        <v>44350</v>
      </c>
      <c r="C4186" s="362" t="s">
        <v>86</v>
      </c>
      <c r="D4186" s="560">
        <v>116938300</v>
      </c>
      <c r="E4186" s="560">
        <v>58469548</v>
      </c>
      <c r="F4186" s="560">
        <v>175407700</v>
      </c>
      <c r="G4186" s="560">
        <f t="shared" si="98"/>
        <v>148</v>
      </c>
      <c r="H4186" s="560"/>
      <c r="I4186" s="560"/>
      <c r="J4186" s="560"/>
    </row>
    <row r="4187" spans="1:10" x14ac:dyDescent="0.25">
      <c r="A4187" s="362"/>
      <c r="B4187" s="609">
        <v>44350</v>
      </c>
      <c r="C4187" s="362" t="s">
        <v>87</v>
      </c>
      <c r="D4187" s="560">
        <v>66495085</v>
      </c>
      <c r="E4187" s="560">
        <v>139991048</v>
      </c>
      <c r="F4187" s="560">
        <v>206485800</v>
      </c>
      <c r="G4187" s="560">
        <f t="shared" si="98"/>
        <v>333</v>
      </c>
      <c r="H4187" s="560"/>
      <c r="I4187" s="560"/>
      <c r="J4187" s="560"/>
    </row>
    <row r="4188" spans="1:10" x14ac:dyDescent="0.25">
      <c r="A4188" s="362"/>
      <c r="B4188" s="609">
        <v>44350</v>
      </c>
      <c r="C4188" s="362" t="s">
        <v>88</v>
      </c>
      <c r="D4188" s="560">
        <v>202285727</v>
      </c>
      <c r="E4188" s="560">
        <v>18421669</v>
      </c>
      <c r="F4188" s="560">
        <v>220707400</v>
      </c>
      <c r="G4188" s="560">
        <f t="shared" si="98"/>
        <v>-4</v>
      </c>
      <c r="H4188" s="560"/>
      <c r="I4188" s="560"/>
      <c r="J4188" s="560"/>
    </row>
    <row r="4189" spans="1:10" x14ac:dyDescent="0.25">
      <c r="A4189" s="362"/>
      <c r="B4189" s="609">
        <v>44350</v>
      </c>
      <c r="C4189" s="362" t="s">
        <v>82</v>
      </c>
      <c r="D4189" s="560">
        <v>107200762</v>
      </c>
      <c r="E4189" s="560">
        <v>1193500</v>
      </c>
      <c r="F4189" s="560">
        <v>108394300</v>
      </c>
      <c r="G4189" s="560">
        <f t="shared" si="98"/>
        <v>-38</v>
      </c>
      <c r="H4189" s="560"/>
      <c r="I4189" s="560"/>
      <c r="J4189" s="560"/>
    </row>
    <row r="4190" spans="1:10" x14ac:dyDescent="0.25">
      <c r="A4190" s="362"/>
      <c r="B4190" s="609">
        <v>44350</v>
      </c>
      <c r="C4190" s="362" t="s">
        <v>80</v>
      </c>
      <c r="D4190" s="560">
        <v>191215789</v>
      </c>
      <c r="E4190" s="560"/>
      <c r="F4190" s="560">
        <v>191215700</v>
      </c>
      <c r="G4190" s="560">
        <f t="shared" si="98"/>
        <v>89</v>
      </c>
      <c r="H4190" s="560"/>
      <c r="I4190" s="560"/>
      <c r="J4190" s="560"/>
    </row>
    <row r="4191" spans="1:10" x14ac:dyDescent="0.25">
      <c r="A4191" s="362"/>
      <c r="B4191" s="609">
        <v>44350</v>
      </c>
      <c r="C4191" s="362" t="s">
        <v>83</v>
      </c>
      <c r="D4191" s="560">
        <v>209844123</v>
      </c>
      <c r="E4191" s="560">
        <v>5460773</v>
      </c>
      <c r="F4191" s="560">
        <v>215304900</v>
      </c>
      <c r="G4191" s="560">
        <f t="shared" si="98"/>
        <v>-4</v>
      </c>
      <c r="H4191" s="560"/>
      <c r="I4191" s="560"/>
      <c r="J4191" s="560"/>
    </row>
    <row r="4192" spans="1:10" x14ac:dyDescent="0.25">
      <c r="A4192" s="362"/>
      <c r="B4192" s="609">
        <v>44350</v>
      </c>
      <c r="C4192" s="362" t="s">
        <v>78</v>
      </c>
      <c r="D4192" s="560">
        <v>73426095</v>
      </c>
      <c r="E4192" s="560">
        <v>2011805</v>
      </c>
      <c r="F4192" s="560">
        <v>75437900</v>
      </c>
      <c r="G4192" s="560">
        <f t="shared" si="98"/>
        <v>0</v>
      </c>
      <c r="H4192" s="560"/>
      <c r="I4192" s="560"/>
      <c r="J4192" s="560"/>
    </row>
    <row r="4193" spans="1:10" x14ac:dyDescent="0.25">
      <c r="A4193" s="362"/>
      <c r="B4193" s="609">
        <v>44350</v>
      </c>
      <c r="C4193" s="362" t="s">
        <v>141</v>
      </c>
      <c r="D4193" s="560">
        <v>80639161</v>
      </c>
      <c r="E4193" s="560">
        <v>597000</v>
      </c>
      <c r="F4193" s="560">
        <v>81236200</v>
      </c>
      <c r="G4193" s="560">
        <f t="shared" si="98"/>
        <v>-39</v>
      </c>
      <c r="H4193" s="560"/>
      <c r="I4193" s="560"/>
      <c r="J4193" s="560"/>
    </row>
    <row r="4194" spans="1:10" x14ac:dyDescent="0.25">
      <c r="A4194" s="362"/>
      <c r="B4194" s="609">
        <v>44350</v>
      </c>
      <c r="C4194" s="362" t="s">
        <v>89</v>
      </c>
      <c r="D4194" s="560">
        <v>140694202</v>
      </c>
      <c r="E4194" s="560">
        <v>21260498</v>
      </c>
      <c r="F4194" s="560">
        <v>161954700</v>
      </c>
      <c r="G4194" s="560">
        <f t="shared" si="98"/>
        <v>0</v>
      </c>
      <c r="H4194" s="560"/>
      <c r="I4194" s="560"/>
      <c r="J4194" s="560"/>
    </row>
    <row r="4195" spans="1:10" x14ac:dyDescent="0.25">
      <c r="A4195" s="362"/>
      <c r="B4195" s="609">
        <v>44350</v>
      </c>
      <c r="C4195" s="362" t="s">
        <v>81</v>
      </c>
      <c r="D4195" s="560">
        <v>74368329</v>
      </c>
      <c r="E4195" s="560">
        <v>22565790</v>
      </c>
      <c r="F4195" s="560">
        <v>96934200</v>
      </c>
      <c r="G4195" s="560">
        <f t="shared" si="98"/>
        <v>-81</v>
      </c>
      <c r="H4195" s="560"/>
      <c r="I4195" s="560"/>
      <c r="J4195" s="560"/>
    </row>
    <row r="4196" spans="1:10" x14ac:dyDescent="0.25">
      <c r="A4196" s="362"/>
      <c r="B4196" s="609">
        <v>44350</v>
      </c>
      <c r="C4196" s="362" t="s">
        <v>84</v>
      </c>
      <c r="D4196" s="560">
        <v>203077099</v>
      </c>
      <c r="E4196" s="560">
        <v>10878689</v>
      </c>
      <c r="F4196" s="560">
        <v>213955800</v>
      </c>
      <c r="G4196" s="560">
        <f t="shared" si="98"/>
        <v>-12</v>
      </c>
      <c r="H4196" s="560"/>
      <c r="I4196" s="560"/>
      <c r="J4196" s="560"/>
    </row>
    <row r="4197" spans="1:10" x14ac:dyDescent="0.25">
      <c r="A4197" s="362"/>
      <c r="B4197" s="609">
        <v>44350</v>
      </c>
      <c r="C4197" s="362" t="s">
        <v>4751</v>
      </c>
      <c r="D4197" s="560">
        <v>300689403</v>
      </c>
      <c r="E4197" s="560">
        <v>17062097</v>
      </c>
      <c r="F4197" s="560">
        <v>317751600</v>
      </c>
      <c r="G4197" s="560">
        <f t="shared" si="98"/>
        <v>-100</v>
      </c>
      <c r="H4197" s="560"/>
      <c r="I4197" s="560"/>
      <c r="J4197" s="560"/>
    </row>
    <row r="4198" spans="1:10" x14ac:dyDescent="0.25">
      <c r="A4198" s="362"/>
      <c r="B4198" s="609">
        <v>44350</v>
      </c>
      <c r="C4198" s="362" t="s">
        <v>166</v>
      </c>
      <c r="D4198" s="560">
        <v>65609418</v>
      </c>
      <c r="E4198" s="560"/>
      <c r="F4198" s="560">
        <v>65609500</v>
      </c>
      <c r="G4198" s="560">
        <f t="shared" si="98"/>
        <v>-82</v>
      </c>
      <c r="H4198" s="560"/>
      <c r="I4198" s="560"/>
      <c r="J4198" s="560"/>
    </row>
    <row r="4199" spans="1:10" x14ac:dyDescent="0.25">
      <c r="A4199" s="362"/>
      <c r="B4199" s="609">
        <v>44350</v>
      </c>
      <c r="C4199" s="362" t="s">
        <v>3435</v>
      </c>
      <c r="D4199" s="560">
        <v>66195825</v>
      </c>
      <c r="E4199" s="560"/>
      <c r="F4199" s="560">
        <v>66195900</v>
      </c>
      <c r="G4199" s="560">
        <f t="shared" si="98"/>
        <v>-75</v>
      </c>
      <c r="H4199" s="560"/>
      <c r="I4199" s="560"/>
      <c r="J4199" s="560"/>
    </row>
    <row r="4200" spans="1:10" x14ac:dyDescent="0.25">
      <c r="A4200" s="362"/>
      <c r="B4200" s="609">
        <v>44350</v>
      </c>
      <c r="C4200" s="370" t="s">
        <v>85</v>
      </c>
      <c r="D4200" s="560">
        <v>38433700</v>
      </c>
      <c r="E4200" s="560"/>
      <c r="F4200" s="560">
        <v>38433700</v>
      </c>
      <c r="G4200" s="560">
        <f t="shared" si="98"/>
        <v>0</v>
      </c>
      <c r="H4200" s="560"/>
      <c r="I4200" s="560"/>
      <c r="J4200" s="560"/>
    </row>
    <row r="4201" spans="1:10" x14ac:dyDescent="0.25">
      <c r="A4201" s="530"/>
      <c r="B4201" s="530"/>
      <c r="C4201" s="530"/>
      <c r="D4201" s="562">
        <f>SUM(D4186:D4200)</f>
        <v>1937113018</v>
      </c>
      <c r="E4201" s="562">
        <f>SUM(E4186:E4200)</f>
        <v>297912417</v>
      </c>
      <c r="F4201" s="562">
        <f>SUM(F4186:F4200)</f>
        <v>2235025300</v>
      </c>
      <c r="G4201" s="562">
        <f>SUM(G4186:G4200)</f>
        <v>135</v>
      </c>
      <c r="H4201" s="562"/>
      <c r="I4201" s="562"/>
      <c r="J4201" s="562"/>
    </row>
    <row r="4202" spans="1:10" x14ac:dyDescent="0.25">
      <c r="A4202" s="362"/>
      <c r="B4202" s="609">
        <v>44351</v>
      </c>
      <c r="C4202" s="362" t="s">
        <v>86</v>
      </c>
      <c r="D4202" s="560">
        <v>100033051</v>
      </c>
      <c r="E4202" s="560">
        <v>121081260</v>
      </c>
      <c r="F4202" s="560">
        <v>221114300</v>
      </c>
      <c r="G4202" s="560">
        <f t="shared" si="98"/>
        <v>11</v>
      </c>
      <c r="H4202" s="560"/>
      <c r="I4202" s="560"/>
      <c r="J4202" s="560"/>
    </row>
    <row r="4203" spans="1:10" x14ac:dyDescent="0.25">
      <c r="A4203" s="362"/>
      <c r="B4203" s="609">
        <v>44351</v>
      </c>
      <c r="C4203" s="362" t="s">
        <v>87</v>
      </c>
      <c r="D4203" s="560">
        <v>191513459</v>
      </c>
      <c r="E4203" s="560">
        <v>81355237</v>
      </c>
      <c r="F4203" s="560">
        <v>272869200</v>
      </c>
      <c r="G4203" s="560">
        <f t="shared" si="98"/>
        <v>-504</v>
      </c>
      <c r="H4203" s="560"/>
      <c r="I4203" s="560"/>
      <c r="J4203" s="560"/>
    </row>
    <row r="4204" spans="1:10" x14ac:dyDescent="0.25">
      <c r="A4204" s="362"/>
      <c r="B4204" s="609">
        <v>44351</v>
      </c>
      <c r="C4204" s="362" t="s">
        <v>88</v>
      </c>
      <c r="D4204" s="560">
        <v>187639766</v>
      </c>
      <c r="E4204" s="560">
        <v>17022610</v>
      </c>
      <c r="F4204" s="560">
        <v>204662400</v>
      </c>
      <c r="G4204" s="560">
        <f t="shared" si="98"/>
        <v>-24</v>
      </c>
      <c r="H4204" s="560"/>
      <c r="I4204" s="560"/>
      <c r="J4204" s="560"/>
    </row>
    <row r="4205" spans="1:10" x14ac:dyDescent="0.25">
      <c r="A4205" s="362"/>
      <c r="B4205" s="609">
        <v>44351</v>
      </c>
      <c r="C4205" s="362" t="s">
        <v>82</v>
      </c>
      <c r="D4205" s="560">
        <v>83036490</v>
      </c>
      <c r="E4205" s="560">
        <v>63620692</v>
      </c>
      <c r="F4205" s="560">
        <v>146657200</v>
      </c>
      <c r="G4205" s="560">
        <f t="shared" si="98"/>
        <v>-18</v>
      </c>
      <c r="H4205" s="560"/>
      <c r="I4205" s="560"/>
      <c r="J4205" s="560"/>
    </row>
    <row r="4206" spans="1:10" x14ac:dyDescent="0.25">
      <c r="A4206" s="362"/>
      <c r="B4206" s="609">
        <v>44351</v>
      </c>
      <c r="C4206" s="362" t="s">
        <v>80</v>
      </c>
      <c r="D4206" s="560">
        <v>212534271</v>
      </c>
      <c r="E4206" s="560"/>
      <c r="F4206" s="560">
        <v>212534700</v>
      </c>
      <c r="G4206" s="560">
        <f t="shared" si="98"/>
        <v>-429</v>
      </c>
      <c r="H4206" s="560"/>
      <c r="I4206" s="560"/>
      <c r="J4206" s="560"/>
    </row>
    <row r="4207" spans="1:10" x14ac:dyDescent="0.25">
      <c r="A4207" s="362"/>
      <c r="B4207" s="609">
        <v>44351</v>
      </c>
      <c r="C4207" s="362" t="s">
        <v>83</v>
      </c>
      <c r="D4207" s="560">
        <v>283933127</v>
      </c>
      <c r="E4207" s="560">
        <v>15708505</v>
      </c>
      <c r="F4207" s="560">
        <v>299641600</v>
      </c>
      <c r="G4207" s="560">
        <f t="shared" si="98"/>
        <v>32</v>
      </c>
      <c r="H4207" s="560"/>
      <c r="I4207" s="560"/>
      <c r="J4207" s="560"/>
    </row>
    <row r="4208" spans="1:10" x14ac:dyDescent="0.25">
      <c r="A4208" s="362"/>
      <c r="B4208" s="609">
        <v>44351</v>
      </c>
      <c r="C4208" s="362" t="s">
        <v>78</v>
      </c>
      <c r="D4208" s="560">
        <v>160828396</v>
      </c>
      <c r="E4208" s="560">
        <v>1798404</v>
      </c>
      <c r="F4208" s="560">
        <v>162626800</v>
      </c>
      <c r="G4208" s="560">
        <f t="shared" si="98"/>
        <v>0</v>
      </c>
      <c r="H4208" s="560"/>
      <c r="I4208" s="560"/>
      <c r="J4208" s="560"/>
    </row>
    <row r="4209" spans="1:10" x14ac:dyDescent="0.25">
      <c r="A4209" s="362"/>
      <c r="B4209" s="609">
        <v>44351</v>
      </c>
      <c r="C4209" s="362" t="s">
        <v>141</v>
      </c>
      <c r="D4209" s="560">
        <v>71467835</v>
      </c>
      <c r="E4209" s="560">
        <v>591261</v>
      </c>
      <c r="F4209" s="560">
        <v>72059200</v>
      </c>
      <c r="G4209" s="560">
        <f t="shared" si="98"/>
        <v>-104</v>
      </c>
      <c r="H4209" s="560"/>
      <c r="I4209" s="560"/>
      <c r="J4209" s="560"/>
    </row>
    <row r="4210" spans="1:10" x14ac:dyDescent="0.25">
      <c r="A4210" s="362"/>
      <c r="B4210" s="609">
        <v>44351</v>
      </c>
      <c r="C4210" s="362" t="s">
        <v>89</v>
      </c>
      <c r="D4210" s="560">
        <v>185720918</v>
      </c>
      <c r="E4210" s="560">
        <v>18161882</v>
      </c>
      <c r="F4210" s="560">
        <v>203882800</v>
      </c>
      <c r="G4210" s="560">
        <f t="shared" si="98"/>
        <v>0</v>
      </c>
      <c r="H4210" s="560"/>
      <c r="I4210" s="560"/>
      <c r="J4210" s="560"/>
    </row>
    <row r="4211" spans="1:10" x14ac:dyDescent="0.25">
      <c r="A4211" s="362"/>
      <c r="B4211" s="609">
        <v>44351</v>
      </c>
      <c r="C4211" s="362" t="s">
        <v>81</v>
      </c>
      <c r="D4211" s="560">
        <v>188906846</v>
      </c>
      <c r="E4211" s="560">
        <v>23295657</v>
      </c>
      <c r="F4211" s="560">
        <f>147822800+64379700</f>
        <v>212202500</v>
      </c>
      <c r="G4211" s="560">
        <f t="shared" si="98"/>
        <v>3</v>
      </c>
      <c r="H4211" s="560"/>
      <c r="I4211" s="560"/>
      <c r="J4211" s="560"/>
    </row>
    <row r="4212" spans="1:10" x14ac:dyDescent="0.25">
      <c r="A4212" s="362"/>
      <c r="B4212" s="609">
        <v>44351</v>
      </c>
      <c r="C4212" s="362" t="s">
        <v>84</v>
      </c>
      <c r="D4212" s="560">
        <v>190613056</v>
      </c>
      <c r="E4212" s="560">
        <v>17292736</v>
      </c>
      <c r="F4212" s="560">
        <v>207905800</v>
      </c>
      <c r="G4212" s="560">
        <f t="shared" si="98"/>
        <v>-8</v>
      </c>
      <c r="H4212" s="560"/>
      <c r="I4212" s="560"/>
      <c r="J4212" s="560"/>
    </row>
    <row r="4213" spans="1:10" x14ac:dyDescent="0.25">
      <c r="A4213" s="362"/>
      <c r="B4213" s="609">
        <v>44351</v>
      </c>
      <c r="C4213" s="362" t="s">
        <v>4751</v>
      </c>
      <c r="D4213" s="560">
        <v>153364156</v>
      </c>
      <c r="E4213" s="560">
        <v>62567544</v>
      </c>
      <c r="F4213" s="560">
        <v>215931300</v>
      </c>
      <c r="G4213" s="560">
        <f t="shared" si="98"/>
        <v>400</v>
      </c>
      <c r="H4213" s="560"/>
      <c r="I4213" s="560"/>
      <c r="J4213" s="560"/>
    </row>
    <row r="4214" spans="1:10" x14ac:dyDescent="0.25">
      <c r="A4214" s="362"/>
      <c r="B4214" s="609">
        <v>44351</v>
      </c>
      <c r="C4214" s="362" t="s">
        <v>166</v>
      </c>
      <c r="D4214" s="560"/>
      <c r="E4214" s="560"/>
      <c r="F4214" s="560"/>
      <c r="G4214" s="560">
        <f t="shared" si="98"/>
        <v>0</v>
      </c>
      <c r="H4214" s="560"/>
      <c r="I4214" s="560"/>
      <c r="J4214" s="560"/>
    </row>
    <row r="4215" spans="1:10" x14ac:dyDescent="0.25">
      <c r="A4215" s="362"/>
      <c r="B4215" s="609">
        <v>44351</v>
      </c>
      <c r="C4215" s="362" t="s">
        <v>3435</v>
      </c>
      <c r="D4215" s="560"/>
      <c r="E4215" s="560"/>
      <c r="F4215" s="560"/>
      <c r="G4215" s="560">
        <f t="shared" si="98"/>
        <v>0</v>
      </c>
      <c r="H4215" s="560"/>
      <c r="I4215" s="560"/>
      <c r="J4215" s="560"/>
    </row>
    <row r="4216" spans="1:10" x14ac:dyDescent="0.25">
      <c r="A4216" s="362"/>
      <c r="B4216" s="609">
        <v>44351</v>
      </c>
      <c r="C4216" s="370" t="s">
        <v>85</v>
      </c>
      <c r="D4216" s="560">
        <v>27207700</v>
      </c>
      <c r="E4216" s="560"/>
      <c r="F4216" s="560">
        <v>27207700</v>
      </c>
      <c r="G4216" s="560">
        <f t="shared" si="98"/>
        <v>0</v>
      </c>
      <c r="H4216" s="560"/>
      <c r="I4216" s="560"/>
      <c r="J4216" s="560"/>
    </row>
    <row r="4217" spans="1:10" x14ac:dyDescent="0.25">
      <c r="A4217" s="530"/>
      <c r="B4217" s="530"/>
      <c r="C4217" s="530"/>
      <c r="D4217" s="562">
        <f>SUM(D4202:D4216)</f>
        <v>2036799071</v>
      </c>
      <c r="E4217" s="562">
        <f>SUM(E4202:E4216)</f>
        <v>422495788</v>
      </c>
      <c r="F4217" s="562">
        <f>SUM(F4202:F4216)</f>
        <v>2459295500</v>
      </c>
      <c r="G4217" s="562">
        <f>SUM(G4202:G4216)</f>
        <v>-641</v>
      </c>
      <c r="H4217" s="562"/>
      <c r="I4217" s="562"/>
      <c r="J4217" s="562"/>
    </row>
    <row r="4218" spans="1:10" x14ac:dyDescent="0.25">
      <c r="A4218" s="362"/>
      <c r="B4218" s="609">
        <v>44354</v>
      </c>
      <c r="C4218" s="362" t="s">
        <v>86</v>
      </c>
      <c r="D4218" s="560">
        <v>49308553</v>
      </c>
      <c r="E4218" s="560">
        <v>42141691</v>
      </c>
      <c r="F4218" s="560">
        <v>91450300</v>
      </c>
      <c r="G4218" s="560">
        <f t="shared" si="98"/>
        <v>-56</v>
      </c>
      <c r="H4218" s="560"/>
      <c r="I4218" s="560"/>
      <c r="J4218" s="560"/>
    </row>
    <row r="4219" spans="1:10" x14ac:dyDescent="0.25">
      <c r="A4219" s="362"/>
      <c r="B4219" s="609">
        <v>44354</v>
      </c>
      <c r="C4219" s="362" t="s">
        <v>87</v>
      </c>
      <c r="D4219" s="560">
        <v>136781354</v>
      </c>
      <c r="E4219" s="560">
        <v>83792260</v>
      </c>
      <c r="F4219" s="560">
        <v>220573800</v>
      </c>
      <c r="G4219" s="560">
        <f t="shared" si="98"/>
        <v>-186</v>
      </c>
      <c r="H4219" s="560"/>
      <c r="I4219" s="560"/>
      <c r="J4219" s="560"/>
    </row>
    <row r="4220" spans="1:10" x14ac:dyDescent="0.25">
      <c r="A4220" s="362"/>
      <c r="B4220" s="609">
        <v>44354</v>
      </c>
      <c r="C4220" s="362" t="s">
        <v>88</v>
      </c>
      <c r="D4220" s="560">
        <v>337311338</v>
      </c>
      <c r="E4220" s="560">
        <v>12451599</v>
      </c>
      <c r="F4220" s="560">
        <v>349763000</v>
      </c>
      <c r="G4220" s="560">
        <f t="shared" si="98"/>
        <v>-63</v>
      </c>
      <c r="H4220" s="560"/>
      <c r="I4220" s="560"/>
      <c r="J4220" s="560"/>
    </row>
    <row r="4221" spans="1:10" x14ac:dyDescent="0.25">
      <c r="A4221" s="362"/>
      <c r="B4221" s="609">
        <v>44354</v>
      </c>
      <c r="C4221" s="362" t="s">
        <v>82</v>
      </c>
      <c r="D4221" s="560">
        <v>74106622</v>
      </c>
      <c r="E4221" s="560">
        <v>2766275</v>
      </c>
      <c r="F4221" s="560">
        <v>76873000</v>
      </c>
      <c r="G4221" s="560">
        <f t="shared" si="98"/>
        <v>-103</v>
      </c>
      <c r="H4221" s="560"/>
      <c r="I4221" s="560"/>
      <c r="J4221" s="560"/>
    </row>
    <row r="4222" spans="1:10" x14ac:dyDescent="0.25">
      <c r="A4222" s="362"/>
      <c r="B4222" s="609">
        <v>44354</v>
      </c>
      <c r="C4222" s="362" t="s">
        <v>80</v>
      </c>
      <c r="D4222" s="560">
        <v>284712539</v>
      </c>
      <c r="E4222" s="560"/>
      <c r="F4222" s="560">
        <v>284814600</v>
      </c>
      <c r="G4222" s="560">
        <f t="shared" si="98"/>
        <v>-102061</v>
      </c>
      <c r="H4222" s="560"/>
      <c r="I4222" s="560"/>
      <c r="J4222" s="560"/>
    </row>
    <row r="4223" spans="1:10" x14ac:dyDescent="0.25">
      <c r="A4223" s="362"/>
      <c r="B4223" s="609">
        <v>44354</v>
      </c>
      <c r="C4223" s="362" t="s">
        <v>83</v>
      </c>
      <c r="D4223" s="560">
        <v>291685633</v>
      </c>
      <c r="E4223" s="560">
        <v>16924474</v>
      </c>
      <c r="F4223" s="560">
        <v>308610100</v>
      </c>
      <c r="G4223" s="560">
        <f t="shared" si="98"/>
        <v>7</v>
      </c>
      <c r="H4223" s="560"/>
      <c r="I4223" s="560"/>
      <c r="J4223" s="560"/>
    </row>
    <row r="4224" spans="1:10" x14ac:dyDescent="0.25">
      <c r="A4224" s="362"/>
      <c r="B4224" s="609">
        <v>44354</v>
      </c>
      <c r="C4224" s="362" t="s">
        <v>78</v>
      </c>
      <c r="D4224" s="560">
        <v>93558535</v>
      </c>
      <c r="E4224" s="560">
        <v>22645365</v>
      </c>
      <c r="F4224" s="560">
        <v>116203900</v>
      </c>
      <c r="G4224" s="560">
        <f t="shared" si="98"/>
        <v>0</v>
      </c>
      <c r="H4224" s="560"/>
      <c r="I4224" s="560"/>
      <c r="J4224" s="560"/>
    </row>
    <row r="4225" spans="1:10" x14ac:dyDescent="0.25">
      <c r="A4225" s="362"/>
      <c r="B4225" s="609">
        <v>44354</v>
      </c>
      <c r="C4225" s="362" t="s">
        <v>141</v>
      </c>
      <c r="D4225" s="560">
        <v>151509791</v>
      </c>
      <c r="E4225" s="560">
        <v>2519469</v>
      </c>
      <c r="F4225" s="560">
        <v>154029300</v>
      </c>
      <c r="G4225" s="560">
        <f t="shared" si="98"/>
        <v>-40</v>
      </c>
      <c r="H4225" s="560"/>
      <c r="I4225" s="560"/>
      <c r="J4225" s="560"/>
    </row>
    <row r="4226" spans="1:10" x14ac:dyDescent="0.25">
      <c r="A4226" s="362"/>
      <c r="B4226" s="609">
        <v>44354</v>
      </c>
      <c r="C4226" s="362" t="s">
        <v>89</v>
      </c>
      <c r="D4226" s="560">
        <v>262036701</v>
      </c>
      <c r="E4226" s="560">
        <v>43468099</v>
      </c>
      <c r="F4226" s="560">
        <v>305504800</v>
      </c>
      <c r="G4226" s="560">
        <f t="shared" si="98"/>
        <v>0</v>
      </c>
      <c r="H4226" s="560"/>
      <c r="I4226" s="560"/>
      <c r="J4226" s="560"/>
    </row>
    <row r="4227" spans="1:10" x14ac:dyDescent="0.25">
      <c r="A4227" s="362"/>
      <c r="B4227" s="609">
        <v>44354</v>
      </c>
      <c r="C4227" s="362" t="s">
        <v>81</v>
      </c>
      <c r="D4227" s="560">
        <v>85040442</v>
      </c>
      <c r="E4227" s="560">
        <v>10626141</v>
      </c>
      <c r="F4227" s="560">
        <v>95666600</v>
      </c>
      <c r="G4227" s="560">
        <f t="shared" si="98"/>
        <v>-17</v>
      </c>
      <c r="H4227" s="560"/>
      <c r="I4227" s="560"/>
      <c r="J4227" s="560"/>
    </row>
    <row r="4228" spans="1:10" x14ac:dyDescent="0.25">
      <c r="A4228" s="362"/>
      <c r="B4228" s="609">
        <v>44354</v>
      </c>
      <c r="C4228" s="362" t="s">
        <v>84</v>
      </c>
      <c r="D4228" s="560">
        <v>420890055</v>
      </c>
      <c r="E4228" s="560">
        <v>11907212</v>
      </c>
      <c r="F4228" s="560">
        <v>432797000</v>
      </c>
      <c r="G4228" s="560">
        <f t="shared" si="98"/>
        <v>267</v>
      </c>
      <c r="H4228" s="560"/>
      <c r="I4228" s="560"/>
      <c r="J4228" s="560"/>
    </row>
    <row r="4229" spans="1:10" x14ac:dyDescent="0.25">
      <c r="A4229" s="362"/>
      <c r="B4229" s="609">
        <v>44354</v>
      </c>
      <c r="C4229" s="362" t="s">
        <v>4751</v>
      </c>
      <c r="D4229" s="560">
        <v>248398371</v>
      </c>
      <c r="E4229" s="560">
        <v>162625229</v>
      </c>
      <c r="F4229" s="560">
        <v>411023600</v>
      </c>
      <c r="G4229" s="560">
        <f t="shared" si="98"/>
        <v>0</v>
      </c>
      <c r="H4229" s="560"/>
      <c r="I4229" s="560"/>
      <c r="J4229" s="560"/>
    </row>
    <row r="4230" spans="1:10" x14ac:dyDescent="0.25">
      <c r="A4230" s="362"/>
      <c r="B4230" s="609">
        <v>44354</v>
      </c>
      <c r="C4230" s="362" t="s">
        <v>166</v>
      </c>
      <c r="D4230" s="560">
        <v>102387835</v>
      </c>
      <c r="E4230" s="560"/>
      <c r="F4230" s="560">
        <v>102387800</v>
      </c>
      <c r="G4230" s="560">
        <f t="shared" si="98"/>
        <v>35</v>
      </c>
      <c r="H4230" s="560"/>
      <c r="I4230" s="560"/>
      <c r="J4230" s="560"/>
    </row>
    <row r="4231" spans="1:10" x14ac:dyDescent="0.25">
      <c r="A4231" s="362"/>
      <c r="B4231" s="609">
        <v>44354</v>
      </c>
      <c r="C4231" s="362" t="s">
        <v>3435</v>
      </c>
      <c r="D4231" s="560">
        <v>92133475</v>
      </c>
      <c r="E4231" s="560"/>
      <c r="F4231" s="560">
        <v>92133500</v>
      </c>
      <c r="G4231" s="560">
        <f t="shared" si="98"/>
        <v>-25</v>
      </c>
      <c r="H4231" s="560"/>
      <c r="I4231" s="560"/>
      <c r="J4231" s="560"/>
    </row>
    <row r="4232" spans="1:10" x14ac:dyDescent="0.25">
      <c r="A4232" s="362"/>
      <c r="B4232" s="609">
        <v>44354</v>
      </c>
      <c r="C4232" s="370" t="s">
        <v>85</v>
      </c>
      <c r="D4232" s="560">
        <v>41860700</v>
      </c>
      <c r="E4232" s="560"/>
      <c r="F4232" s="560">
        <v>41860700</v>
      </c>
      <c r="G4232" s="560">
        <f t="shared" si="98"/>
        <v>0</v>
      </c>
      <c r="H4232" s="560"/>
      <c r="I4232" s="560"/>
      <c r="J4232" s="560"/>
    </row>
    <row r="4233" spans="1:10" x14ac:dyDescent="0.25">
      <c r="A4233" s="530"/>
      <c r="B4233" s="530"/>
      <c r="C4233" s="530"/>
      <c r="D4233" s="562">
        <f>SUM(D4218:D4232)</f>
        <v>2671721944</v>
      </c>
      <c r="E4233" s="562">
        <f>SUM(E4218:E4232)</f>
        <v>411867814</v>
      </c>
      <c r="F4233" s="562">
        <f>SUM(F4218:F4232)</f>
        <v>3083692000</v>
      </c>
      <c r="G4233" s="562">
        <f>SUM(G4218:G4232)</f>
        <v>-102242</v>
      </c>
      <c r="H4233" s="562"/>
      <c r="I4233" s="562"/>
      <c r="J4233" s="562"/>
    </row>
    <row r="4234" spans="1:10" x14ac:dyDescent="0.25">
      <c r="A4234" s="362"/>
      <c r="B4234" s="609">
        <v>44355</v>
      </c>
      <c r="C4234" s="362" t="s">
        <v>86</v>
      </c>
      <c r="D4234" s="560">
        <v>68128027</v>
      </c>
      <c r="E4234" s="560">
        <v>8263960</v>
      </c>
      <c r="F4234" s="560">
        <v>76392000</v>
      </c>
      <c r="G4234" s="560">
        <f t="shared" si="98"/>
        <v>-13</v>
      </c>
      <c r="H4234" s="560"/>
      <c r="I4234" s="560"/>
      <c r="J4234" s="560"/>
    </row>
    <row r="4235" spans="1:10" x14ac:dyDescent="0.25">
      <c r="A4235" s="362"/>
      <c r="B4235" s="609">
        <v>44355</v>
      </c>
      <c r="C4235" s="362" t="s">
        <v>87</v>
      </c>
      <c r="D4235" s="560">
        <v>73623117</v>
      </c>
      <c r="E4235" s="560">
        <v>57637551</v>
      </c>
      <c r="F4235" s="560">
        <v>131260700</v>
      </c>
      <c r="G4235" s="560">
        <f t="shared" si="98"/>
        <v>-32</v>
      </c>
      <c r="H4235" s="560"/>
      <c r="I4235" s="560"/>
      <c r="J4235" s="560"/>
    </row>
    <row r="4236" spans="1:10" x14ac:dyDescent="0.25">
      <c r="A4236" s="362"/>
      <c r="B4236" s="609">
        <v>44355</v>
      </c>
      <c r="C4236" s="362" t="s">
        <v>88</v>
      </c>
      <c r="D4236" s="560">
        <v>202028472</v>
      </c>
      <c r="E4236" s="560">
        <v>19281788</v>
      </c>
      <c r="F4236" s="560">
        <v>221310300</v>
      </c>
      <c r="G4236" s="560">
        <f t="shared" ref="G4236:G4299" si="99">D4236+E4236-F4236</f>
        <v>-40</v>
      </c>
      <c r="H4236" s="560"/>
      <c r="I4236" s="560"/>
      <c r="J4236" s="560"/>
    </row>
    <row r="4237" spans="1:10" x14ac:dyDescent="0.25">
      <c r="A4237" s="362"/>
      <c r="B4237" s="609">
        <v>44355</v>
      </c>
      <c r="C4237" s="362" t="s">
        <v>82</v>
      </c>
      <c r="D4237" s="560">
        <v>71946898</v>
      </c>
      <c r="E4237" s="560">
        <v>1534129</v>
      </c>
      <c r="F4237" s="560">
        <v>73481100</v>
      </c>
      <c r="G4237" s="560">
        <f t="shared" si="99"/>
        <v>-73</v>
      </c>
      <c r="H4237" s="560"/>
      <c r="I4237" s="560"/>
      <c r="J4237" s="560"/>
    </row>
    <row r="4238" spans="1:10" x14ac:dyDescent="0.25">
      <c r="A4238" s="362"/>
      <c r="B4238" s="609">
        <v>44355</v>
      </c>
      <c r="C4238" s="362" t="s">
        <v>80</v>
      </c>
      <c r="D4238" s="560">
        <v>254884096</v>
      </c>
      <c r="E4238" s="560">
        <v>529724</v>
      </c>
      <c r="F4238" s="560">
        <v>255404000</v>
      </c>
      <c r="G4238" s="560">
        <f t="shared" si="99"/>
        <v>9820</v>
      </c>
      <c r="H4238" s="560"/>
      <c r="I4238" s="560"/>
      <c r="J4238" s="560"/>
    </row>
    <row r="4239" spans="1:10" x14ac:dyDescent="0.25">
      <c r="A4239" s="362"/>
      <c r="B4239" s="609">
        <v>44355</v>
      </c>
      <c r="C4239" s="362" t="s">
        <v>83</v>
      </c>
      <c r="D4239" s="560">
        <v>298899746</v>
      </c>
      <c r="E4239" s="560">
        <v>104309124</v>
      </c>
      <c r="F4239" s="560">
        <v>403208900</v>
      </c>
      <c r="G4239" s="560">
        <f t="shared" si="99"/>
        <v>-30</v>
      </c>
      <c r="H4239" s="560"/>
      <c r="I4239" s="560"/>
      <c r="J4239" s="560"/>
    </row>
    <row r="4240" spans="1:10" x14ac:dyDescent="0.25">
      <c r="A4240" s="362"/>
      <c r="B4240" s="609">
        <v>44355</v>
      </c>
      <c r="C4240" s="362" t="s">
        <v>78</v>
      </c>
      <c r="D4240" s="560">
        <v>101240080</v>
      </c>
      <c r="E4240" s="560">
        <v>3748720</v>
      </c>
      <c r="F4240" s="560">
        <v>104988800</v>
      </c>
      <c r="G4240" s="560">
        <f t="shared" si="99"/>
        <v>0</v>
      </c>
      <c r="H4240" s="560"/>
      <c r="I4240" s="560"/>
      <c r="J4240" s="560"/>
    </row>
    <row r="4241" spans="1:10" x14ac:dyDescent="0.25">
      <c r="A4241" s="362"/>
      <c r="B4241" s="609">
        <v>44355</v>
      </c>
      <c r="C4241" s="362" t="s">
        <v>141</v>
      </c>
      <c r="D4241" s="560">
        <v>60661252</v>
      </c>
      <c r="E4241" s="560">
        <v>14359417</v>
      </c>
      <c r="F4241" s="560">
        <v>75020700</v>
      </c>
      <c r="G4241" s="560">
        <f t="shared" si="99"/>
        <v>-31</v>
      </c>
      <c r="H4241" s="560"/>
      <c r="I4241" s="560"/>
      <c r="J4241" s="560"/>
    </row>
    <row r="4242" spans="1:10" x14ac:dyDescent="0.25">
      <c r="A4242" s="362"/>
      <c r="B4242" s="609">
        <v>44355</v>
      </c>
      <c r="C4242" s="362" t="s">
        <v>89</v>
      </c>
      <c r="D4242" s="560">
        <v>114304485</v>
      </c>
      <c r="E4242" s="560">
        <v>6380915</v>
      </c>
      <c r="F4242" s="560">
        <v>120685400</v>
      </c>
      <c r="G4242" s="560">
        <f t="shared" si="99"/>
        <v>0</v>
      </c>
      <c r="H4242" s="560"/>
      <c r="I4242" s="560"/>
      <c r="J4242" s="560"/>
    </row>
    <row r="4243" spans="1:10" x14ac:dyDescent="0.25">
      <c r="A4243" s="362"/>
      <c r="B4243" s="609">
        <v>44355</v>
      </c>
      <c r="C4243" s="362" t="s">
        <v>81</v>
      </c>
      <c r="D4243" s="560">
        <v>71939861</v>
      </c>
      <c r="E4243" s="560">
        <v>9797934</v>
      </c>
      <c r="F4243" s="560">
        <v>81737800</v>
      </c>
      <c r="G4243" s="560">
        <f t="shared" si="99"/>
        <v>-5</v>
      </c>
      <c r="H4243" s="560"/>
      <c r="I4243" s="560"/>
      <c r="J4243" s="560"/>
    </row>
    <row r="4244" spans="1:10" x14ac:dyDescent="0.25">
      <c r="A4244" s="362"/>
      <c r="B4244" s="609">
        <v>44355</v>
      </c>
      <c r="C4244" s="362" t="s">
        <v>84</v>
      </c>
      <c r="D4244" s="560">
        <v>164754365</v>
      </c>
      <c r="E4244" s="560">
        <v>8829855</v>
      </c>
      <c r="F4244" s="560">
        <v>173575300</v>
      </c>
      <c r="G4244" s="560">
        <f t="shared" si="99"/>
        <v>8920</v>
      </c>
      <c r="H4244" s="560"/>
      <c r="I4244" s="560"/>
      <c r="J4244" s="560"/>
    </row>
    <row r="4245" spans="1:10" x14ac:dyDescent="0.25">
      <c r="A4245" s="362"/>
      <c r="B4245" s="609">
        <v>44355</v>
      </c>
      <c r="C4245" s="362" t="s">
        <v>4751</v>
      </c>
      <c r="D4245" s="560">
        <v>205533248</v>
      </c>
      <c r="E4245" s="560">
        <v>19577252</v>
      </c>
      <c r="F4245" s="560">
        <v>225110400</v>
      </c>
      <c r="G4245" s="560">
        <f t="shared" si="99"/>
        <v>100</v>
      </c>
      <c r="H4245" s="560"/>
      <c r="I4245" s="560"/>
      <c r="J4245" s="560"/>
    </row>
    <row r="4246" spans="1:10" x14ac:dyDescent="0.25">
      <c r="A4246" s="362"/>
      <c r="B4246" s="609">
        <v>44355</v>
      </c>
      <c r="C4246" s="362" t="s">
        <v>166</v>
      </c>
      <c r="D4246" s="560">
        <v>112586843</v>
      </c>
      <c r="E4246" s="560"/>
      <c r="F4246" s="560">
        <v>112586900</v>
      </c>
      <c r="G4246" s="560">
        <f t="shared" si="99"/>
        <v>-57</v>
      </c>
      <c r="H4246" s="560"/>
      <c r="I4246" s="560"/>
      <c r="J4246" s="560"/>
    </row>
    <row r="4247" spans="1:10" x14ac:dyDescent="0.25">
      <c r="A4247" s="362"/>
      <c r="B4247" s="609">
        <v>44355</v>
      </c>
      <c r="C4247" s="362" t="s">
        <v>3435</v>
      </c>
      <c r="D4247" s="560">
        <v>35382640</v>
      </c>
      <c r="E4247" s="560"/>
      <c r="F4247" s="560">
        <v>35382700</v>
      </c>
      <c r="G4247" s="560">
        <f t="shared" si="99"/>
        <v>-60</v>
      </c>
      <c r="H4247" s="560"/>
      <c r="I4247" s="560"/>
      <c r="J4247" s="560"/>
    </row>
    <row r="4248" spans="1:10" x14ac:dyDescent="0.25">
      <c r="A4248" s="362"/>
      <c r="B4248" s="609">
        <v>44355</v>
      </c>
      <c r="C4248" s="370" t="s">
        <v>85</v>
      </c>
      <c r="D4248" s="560">
        <v>34259200</v>
      </c>
      <c r="E4248" s="560"/>
      <c r="F4248" s="560">
        <v>34259200</v>
      </c>
      <c r="G4248" s="560">
        <f t="shared" si="99"/>
        <v>0</v>
      </c>
      <c r="H4248" s="560"/>
      <c r="I4248" s="560"/>
      <c r="J4248" s="560"/>
    </row>
    <row r="4249" spans="1:10" x14ac:dyDescent="0.25">
      <c r="A4249" s="530"/>
      <c r="B4249" s="530"/>
      <c r="C4249" s="530"/>
      <c r="D4249" s="562">
        <f>SUM(D4234:D4248)</f>
        <v>1870172330</v>
      </c>
      <c r="E4249" s="562">
        <f>SUM(E4234:E4248)</f>
        <v>254250369</v>
      </c>
      <c r="F4249" s="562">
        <f>SUM(F4234:F4248)</f>
        <v>2124404200</v>
      </c>
      <c r="G4249" s="562">
        <f>SUM(G4234:G4248)</f>
        <v>18499</v>
      </c>
      <c r="H4249" s="562"/>
      <c r="I4249" s="562"/>
      <c r="J4249" s="562"/>
    </row>
    <row r="4250" spans="1:10" x14ac:dyDescent="0.25">
      <c r="A4250" s="362"/>
      <c r="B4250" s="609">
        <v>44356</v>
      </c>
      <c r="C4250" s="362" t="s">
        <v>86</v>
      </c>
      <c r="D4250" s="560">
        <v>85682061</v>
      </c>
      <c r="E4250" s="560">
        <v>1362960</v>
      </c>
      <c r="F4250" s="560">
        <v>87045000</v>
      </c>
      <c r="G4250" s="560">
        <f t="shared" si="99"/>
        <v>21</v>
      </c>
      <c r="H4250" s="560"/>
      <c r="I4250" s="560"/>
      <c r="J4250" s="560"/>
    </row>
    <row r="4251" spans="1:10" x14ac:dyDescent="0.25">
      <c r="A4251" s="362"/>
      <c r="B4251" s="609">
        <v>44356</v>
      </c>
      <c r="C4251" s="362" t="s">
        <v>87</v>
      </c>
      <c r="D4251" s="560">
        <v>68797488</v>
      </c>
      <c r="E4251" s="560">
        <v>39422189</v>
      </c>
      <c r="F4251" s="560">
        <v>108219700</v>
      </c>
      <c r="G4251" s="560">
        <f t="shared" si="99"/>
        <v>-23</v>
      </c>
      <c r="H4251" s="560"/>
      <c r="I4251" s="560"/>
      <c r="J4251" s="560"/>
    </row>
    <row r="4252" spans="1:10" x14ac:dyDescent="0.25">
      <c r="A4252" s="362"/>
      <c r="B4252" s="609">
        <v>44356</v>
      </c>
      <c r="C4252" s="362" t="s">
        <v>88</v>
      </c>
      <c r="D4252" s="560">
        <v>198693583</v>
      </c>
      <c r="E4252" s="560">
        <v>103856762</v>
      </c>
      <c r="F4252" s="560">
        <v>302550400</v>
      </c>
      <c r="G4252" s="560">
        <f t="shared" si="99"/>
        <v>-55</v>
      </c>
      <c r="H4252" s="560"/>
      <c r="I4252" s="560"/>
      <c r="J4252" s="560"/>
    </row>
    <row r="4253" spans="1:10" x14ac:dyDescent="0.25">
      <c r="A4253" s="362"/>
      <c r="B4253" s="609">
        <v>44356</v>
      </c>
      <c r="C4253" s="362" t="s">
        <v>82</v>
      </c>
      <c r="D4253" s="560">
        <v>70261250</v>
      </c>
      <c r="E4253" s="560">
        <v>1683000</v>
      </c>
      <c r="F4253" s="560">
        <v>71944300</v>
      </c>
      <c r="G4253" s="560">
        <f t="shared" si="99"/>
        <v>-50</v>
      </c>
      <c r="H4253" s="560"/>
      <c r="I4253" s="560"/>
      <c r="J4253" s="560"/>
    </row>
    <row r="4254" spans="1:10" x14ac:dyDescent="0.25">
      <c r="A4254" s="362"/>
      <c r="B4254" s="609">
        <v>44356</v>
      </c>
      <c r="C4254" s="362" t="s">
        <v>80</v>
      </c>
      <c r="D4254" s="560">
        <v>246899500</v>
      </c>
      <c r="E4254" s="560">
        <v>87006000</v>
      </c>
      <c r="F4254" s="560">
        <v>333905500</v>
      </c>
      <c r="G4254" s="560">
        <f t="shared" si="99"/>
        <v>0</v>
      </c>
      <c r="H4254" s="560"/>
      <c r="I4254" s="560"/>
      <c r="J4254" s="560"/>
    </row>
    <row r="4255" spans="1:10" x14ac:dyDescent="0.25">
      <c r="A4255" s="362"/>
      <c r="B4255" s="609">
        <v>44356</v>
      </c>
      <c r="C4255" s="362" t="s">
        <v>83</v>
      </c>
      <c r="D4255" s="560">
        <v>276139020</v>
      </c>
      <c r="E4255" s="560">
        <v>212791064</v>
      </c>
      <c r="F4255" s="560">
        <v>488930100</v>
      </c>
      <c r="G4255" s="560">
        <f t="shared" si="99"/>
        <v>-16</v>
      </c>
      <c r="H4255" s="560"/>
      <c r="I4255" s="560"/>
      <c r="J4255" s="560"/>
    </row>
    <row r="4256" spans="1:10" x14ac:dyDescent="0.25">
      <c r="A4256" s="362"/>
      <c r="B4256" s="609">
        <v>44356</v>
      </c>
      <c r="C4256" s="362" t="s">
        <v>78</v>
      </c>
      <c r="D4256" s="560">
        <v>151370129</v>
      </c>
      <c r="E4256" s="560">
        <v>546271</v>
      </c>
      <c r="F4256" s="560">
        <v>151916400</v>
      </c>
      <c r="G4256" s="560">
        <f t="shared" si="99"/>
        <v>0</v>
      </c>
      <c r="H4256" s="560"/>
      <c r="I4256" s="560"/>
      <c r="J4256" s="560"/>
    </row>
    <row r="4257" spans="1:10" x14ac:dyDescent="0.25">
      <c r="A4257" s="362"/>
      <c r="B4257" s="609">
        <v>44356</v>
      </c>
      <c r="C4257" s="362" t="s">
        <v>141</v>
      </c>
      <c r="D4257" s="560">
        <v>104093900</v>
      </c>
      <c r="E4257" s="560">
        <v>8000000</v>
      </c>
      <c r="F4257" s="560">
        <v>112093900</v>
      </c>
      <c r="G4257" s="560">
        <f t="shared" si="99"/>
        <v>0</v>
      </c>
      <c r="H4257" s="560"/>
      <c r="I4257" s="560"/>
      <c r="J4257" s="560"/>
    </row>
    <row r="4258" spans="1:10" x14ac:dyDescent="0.25">
      <c r="A4258" s="362"/>
      <c r="B4258" s="609">
        <v>44356</v>
      </c>
      <c r="C4258" s="362" t="s">
        <v>89</v>
      </c>
      <c r="D4258" s="560">
        <v>171008729</v>
      </c>
      <c r="E4258" s="560">
        <v>30887171</v>
      </c>
      <c r="F4258" s="560">
        <v>201895900</v>
      </c>
      <c r="G4258" s="560">
        <f t="shared" si="99"/>
        <v>0</v>
      </c>
      <c r="H4258" s="560"/>
      <c r="I4258" s="560"/>
      <c r="J4258" s="560"/>
    </row>
    <row r="4259" spans="1:10" x14ac:dyDescent="0.25">
      <c r="A4259" s="362"/>
      <c r="B4259" s="609">
        <v>44356</v>
      </c>
      <c r="C4259" s="362" t="s">
        <v>81</v>
      </c>
      <c r="D4259" s="560">
        <v>62793189</v>
      </c>
      <c r="E4259" s="560">
        <v>11264478</v>
      </c>
      <c r="F4259" s="560">
        <v>74057700</v>
      </c>
      <c r="G4259" s="560">
        <f t="shared" si="99"/>
        <v>-33</v>
      </c>
      <c r="H4259" s="560"/>
      <c r="I4259" s="560"/>
      <c r="J4259" s="560"/>
    </row>
    <row r="4260" spans="1:10" x14ac:dyDescent="0.25">
      <c r="A4260" s="362"/>
      <c r="B4260" s="609">
        <v>44356</v>
      </c>
      <c r="C4260" s="362" t="s">
        <v>84</v>
      </c>
      <c r="D4260" s="560">
        <v>365334506</v>
      </c>
      <c r="E4260" s="560">
        <v>7611303</v>
      </c>
      <c r="F4260" s="560">
        <v>372945800</v>
      </c>
      <c r="G4260" s="560">
        <f t="shared" si="99"/>
        <v>9</v>
      </c>
      <c r="H4260" s="560"/>
      <c r="I4260" s="560"/>
      <c r="J4260" s="560"/>
    </row>
    <row r="4261" spans="1:10" x14ac:dyDescent="0.25">
      <c r="A4261" s="362"/>
      <c r="B4261" s="609">
        <v>44356</v>
      </c>
      <c r="C4261" s="362" t="s">
        <v>4751</v>
      </c>
      <c r="D4261" s="560">
        <v>226155419</v>
      </c>
      <c r="E4261" s="560">
        <v>8373981</v>
      </c>
      <c r="F4261" s="560">
        <v>234529400</v>
      </c>
      <c r="G4261" s="560">
        <f t="shared" si="99"/>
        <v>0</v>
      </c>
      <c r="H4261" s="560"/>
      <c r="I4261" s="560"/>
      <c r="J4261" s="560"/>
    </row>
    <row r="4262" spans="1:10" x14ac:dyDescent="0.25">
      <c r="A4262" s="362"/>
      <c r="B4262" s="609">
        <v>44356</v>
      </c>
      <c r="C4262" s="362" t="s">
        <v>166</v>
      </c>
      <c r="D4262" s="560">
        <v>57318628</v>
      </c>
      <c r="E4262" s="560"/>
      <c r="F4262" s="560">
        <v>57318700</v>
      </c>
      <c r="G4262" s="560">
        <f t="shared" si="99"/>
        <v>-72</v>
      </c>
      <c r="H4262" s="560"/>
      <c r="I4262" s="560"/>
      <c r="J4262" s="560"/>
    </row>
    <row r="4263" spans="1:10" x14ac:dyDescent="0.25">
      <c r="A4263" s="362"/>
      <c r="B4263" s="609">
        <v>44356</v>
      </c>
      <c r="C4263" s="362" t="s">
        <v>3435</v>
      </c>
      <c r="D4263" s="560">
        <v>30526285</v>
      </c>
      <c r="E4263" s="560"/>
      <c r="F4263" s="560">
        <v>30526300</v>
      </c>
      <c r="G4263" s="560">
        <f t="shared" si="99"/>
        <v>-15</v>
      </c>
      <c r="H4263" s="560"/>
      <c r="I4263" s="560"/>
      <c r="J4263" s="560"/>
    </row>
    <row r="4264" spans="1:10" x14ac:dyDescent="0.25">
      <c r="A4264" s="362"/>
      <c r="B4264" s="609">
        <v>44356</v>
      </c>
      <c r="C4264" s="370" t="s">
        <v>85</v>
      </c>
      <c r="D4264" s="560">
        <v>40825400</v>
      </c>
      <c r="E4264" s="560"/>
      <c r="F4264" s="560">
        <v>40825400</v>
      </c>
      <c r="G4264" s="560">
        <f t="shared" si="99"/>
        <v>0</v>
      </c>
      <c r="H4264" s="560"/>
      <c r="I4264" s="560"/>
      <c r="J4264" s="560"/>
    </row>
    <row r="4265" spans="1:10" x14ac:dyDescent="0.25">
      <c r="A4265" s="530"/>
      <c r="B4265" s="530"/>
      <c r="C4265" s="530"/>
      <c r="D4265" s="562">
        <f>SUM(D4250:D4264)</f>
        <v>2155899087</v>
      </c>
      <c r="E4265" s="562">
        <f>SUM(E4250:E4264)</f>
        <v>512805179</v>
      </c>
      <c r="F4265" s="562">
        <f>SUM(F4250:F4264)</f>
        <v>2668704500</v>
      </c>
      <c r="G4265" s="562">
        <f>SUM(G4250:G4264)</f>
        <v>-234</v>
      </c>
      <c r="H4265" s="562"/>
      <c r="I4265" s="562"/>
      <c r="J4265" s="562"/>
    </row>
    <row r="4266" spans="1:10" x14ac:dyDescent="0.25">
      <c r="A4266" s="362"/>
      <c r="B4266" s="609">
        <v>44357</v>
      </c>
      <c r="C4266" s="362" t="s">
        <v>86</v>
      </c>
      <c r="D4266" s="560">
        <v>142045540</v>
      </c>
      <c r="E4266" s="560">
        <v>59548166</v>
      </c>
      <c r="F4266" s="560">
        <v>201593800</v>
      </c>
      <c r="G4266" s="560">
        <f t="shared" si="99"/>
        <v>-94</v>
      </c>
      <c r="H4266" s="560"/>
      <c r="I4266" s="560"/>
      <c r="J4266" s="560"/>
    </row>
    <row r="4267" spans="1:10" x14ac:dyDescent="0.25">
      <c r="A4267" s="362"/>
      <c r="B4267" s="609">
        <v>44357</v>
      </c>
      <c r="C4267" s="362" t="s">
        <v>87</v>
      </c>
      <c r="D4267" s="560">
        <v>66647666</v>
      </c>
      <c r="E4267" s="560">
        <v>219992133</v>
      </c>
      <c r="F4267" s="560">
        <v>286639900</v>
      </c>
      <c r="G4267" s="560">
        <f t="shared" si="99"/>
        <v>-101</v>
      </c>
      <c r="H4267" s="560"/>
      <c r="I4267" s="560"/>
      <c r="J4267" s="560"/>
    </row>
    <row r="4268" spans="1:10" x14ac:dyDescent="0.25">
      <c r="A4268" s="362"/>
      <c r="B4268" s="609">
        <v>44357</v>
      </c>
      <c r="C4268" s="362" t="s">
        <v>88</v>
      </c>
      <c r="D4268" s="560">
        <v>345719225</v>
      </c>
      <c r="E4268" s="560">
        <v>71266495</v>
      </c>
      <c r="F4268" s="560">
        <v>416985800</v>
      </c>
      <c r="G4268" s="560">
        <f t="shared" si="99"/>
        <v>-80</v>
      </c>
      <c r="H4268" s="560"/>
      <c r="I4268" s="560"/>
      <c r="J4268" s="560"/>
    </row>
    <row r="4269" spans="1:10" x14ac:dyDescent="0.25">
      <c r="A4269" s="362"/>
      <c r="B4269" s="609">
        <v>44357</v>
      </c>
      <c r="C4269" s="362" t="s">
        <v>82</v>
      </c>
      <c r="D4269" s="560">
        <v>85807249</v>
      </c>
      <c r="E4269" s="560">
        <v>2026774</v>
      </c>
      <c r="F4269" s="560">
        <v>87834100</v>
      </c>
      <c r="G4269" s="560">
        <f t="shared" si="99"/>
        <v>-77</v>
      </c>
      <c r="H4269" s="560"/>
      <c r="I4269" s="560"/>
      <c r="J4269" s="560"/>
    </row>
    <row r="4270" spans="1:10" x14ac:dyDescent="0.25">
      <c r="A4270" s="362"/>
      <c r="B4270" s="609">
        <v>44357</v>
      </c>
      <c r="C4270" s="362" t="s">
        <v>80</v>
      </c>
      <c r="D4270" s="560">
        <v>360697652</v>
      </c>
      <c r="E4270" s="560"/>
      <c r="F4270" s="560">
        <v>360732200</v>
      </c>
      <c r="G4270" s="560">
        <f t="shared" si="99"/>
        <v>-34548</v>
      </c>
      <c r="H4270" s="560"/>
      <c r="I4270" s="560"/>
      <c r="J4270" s="560"/>
    </row>
    <row r="4271" spans="1:10" x14ac:dyDescent="0.25">
      <c r="A4271" s="362"/>
      <c r="B4271" s="609">
        <v>44357</v>
      </c>
      <c r="C4271" s="362" t="s">
        <v>83</v>
      </c>
      <c r="D4271" s="560">
        <v>206950893</v>
      </c>
      <c r="E4271" s="560">
        <v>77067217</v>
      </c>
      <c r="F4271" s="560">
        <v>283968200</v>
      </c>
      <c r="G4271" s="560">
        <f t="shared" si="99"/>
        <v>49910</v>
      </c>
      <c r="H4271" s="560"/>
      <c r="I4271" s="560"/>
      <c r="J4271" s="560"/>
    </row>
    <row r="4272" spans="1:10" x14ac:dyDescent="0.25">
      <c r="A4272" s="362"/>
      <c r="B4272" s="609">
        <v>44357</v>
      </c>
      <c r="C4272" s="362" t="s">
        <v>78</v>
      </c>
      <c r="D4272" s="560">
        <v>93172055</v>
      </c>
      <c r="E4272" s="560">
        <v>1809945</v>
      </c>
      <c r="F4272" s="560">
        <v>94982000</v>
      </c>
      <c r="G4272" s="560">
        <f t="shared" si="99"/>
        <v>0</v>
      </c>
      <c r="H4272" s="560"/>
      <c r="I4272" s="560"/>
      <c r="J4272" s="560"/>
    </row>
    <row r="4273" spans="1:10" x14ac:dyDescent="0.25">
      <c r="A4273" s="362"/>
      <c r="B4273" s="609">
        <v>44357</v>
      </c>
      <c r="C4273" s="362" t="s">
        <v>141</v>
      </c>
      <c r="D4273" s="560">
        <v>81108756</v>
      </c>
      <c r="E4273" s="560">
        <v>36508447</v>
      </c>
      <c r="F4273" s="560">
        <v>117617300</v>
      </c>
      <c r="G4273" s="560">
        <f t="shared" si="99"/>
        <v>-97</v>
      </c>
      <c r="H4273" s="560"/>
      <c r="I4273" s="560"/>
      <c r="J4273" s="560"/>
    </row>
    <row r="4274" spans="1:10" x14ac:dyDescent="0.25">
      <c r="A4274" s="362"/>
      <c r="B4274" s="609">
        <v>44357</v>
      </c>
      <c r="C4274" s="362" t="s">
        <v>89</v>
      </c>
      <c r="D4274" s="560">
        <v>162908255</v>
      </c>
      <c r="E4274" s="560">
        <v>11223045</v>
      </c>
      <c r="F4274" s="560">
        <v>174131300</v>
      </c>
      <c r="G4274" s="560">
        <f t="shared" si="99"/>
        <v>0</v>
      </c>
      <c r="H4274" s="560"/>
      <c r="I4274" s="560"/>
      <c r="J4274" s="560"/>
    </row>
    <row r="4275" spans="1:10" x14ac:dyDescent="0.25">
      <c r="A4275" s="362"/>
      <c r="B4275" s="609">
        <v>44357</v>
      </c>
      <c r="C4275" s="362" t="s">
        <v>81</v>
      </c>
      <c r="D4275" s="560">
        <v>178346850</v>
      </c>
      <c r="E4275" s="560">
        <v>19189856</v>
      </c>
      <c r="F4275" s="560">
        <v>197536700</v>
      </c>
      <c r="G4275" s="560">
        <f t="shared" si="99"/>
        <v>6</v>
      </c>
      <c r="H4275" s="560"/>
      <c r="I4275" s="560"/>
      <c r="J4275" s="560"/>
    </row>
    <row r="4276" spans="1:10" x14ac:dyDescent="0.25">
      <c r="A4276" s="362"/>
      <c r="B4276" s="609">
        <v>44357</v>
      </c>
      <c r="C4276" s="362" t="s">
        <v>84</v>
      </c>
      <c r="D4276" s="560">
        <v>196789684</v>
      </c>
      <c r="E4276" s="560">
        <v>14699540</v>
      </c>
      <c r="F4276" s="560">
        <v>211489300</v>
      </c>
      <c r="G4276" s="560">
        <f t="shared" si="99"/>
        <v>-76</v>
      </c>
      <c r="H4276" s="560"/>
      <c r="I4276" s="560"/>
      <c r="J4276" s="560"/>
    </row>
    <row r="4277" spans="1:10" x14ac:dyDescent="0.25">
      <c r="A4277" s="362"/>
      <c r="B4277" s="609">
        <v>44357</v>
      </c>
      <c r="C4277" s="362" t="s">
        <v>4751</v>
      </c>
      <c r="D4277" s="560">
        <v>190201178</v>
      </c>
      <c r="E4277" s="560">
        <v>6639322</v>
      </c>
      <c r="F4277" s="560">
        <v>196840500</v>
      </c>
      <c r="G4277" s="560">
        <f t="shared" si="99"/>
        <v>0</v>
      </c>
      <c r="H4277" s="560"/>
      <c r="I4277" s="560"/>
      <c r="J4277" s="560"/>
    </row>
    <row r="4278" spans="1:10" x14ac:dyDescent="0.25">
      <c r="A4278" s="362"/>
      <c r="B4278" s="609">
        <v>44357</v>
      </c>
      <c r="C4278" s="362" t="s">
        <v>166</v>
      </c>
      <c r="D4278" s="560">
        <v>103666315</v>
      </c>
      <c r="E4278" s="560"/>
      <c r="F4278" s="560">
        <v>103666400</v>
      </c>
      <c r="G4278" s="560">
        <f t="shared" si="99"/>
        <v>-85</v>
      </c>
      <c r="H4278" s="560"/>
      <c r="I4278" s="560"/>
      <c r="J4278" s="560"/>
    </row>
    <row r="4279" spans="1:10" x14ac:dyDescent="0.25">
      <c r="A4279" s="362"/>
      <c r="B4279" s="609">
        <v>44357</v>
      </c>
      <c r="C4279" s="362" t="s">
        <v>3435</v>
      </c>
      <c r="D4279" s="560">
        <v>65486395</v>
      </c>
      <c r="E4279" s="560"/>
      <c r="F4279" s="560">
        <v>65486400</v>
      </c>
      <c r="G4279" s="560">
        <f t="shared" si="99"/>
        <v>-5</v>
      </c>
      <c r="H4279" s="560"/>
      <c r="I4279" s="560"/>
      <c r="J4279" s="560"/>
    </row>
    <row r="4280" spans="1:10" x14ac:dyDescent="0.25">
      <c r="A4280" s="362"/>
      <c r="B4280" s="609">
        <v>44357</v>
      </c>
      <c r="C4280" s="370" t="s">
        <v>85</v>
      </c>
      <c r="D4280" s="560">
        <v>22788000</v>
      </c>
      <c r="E4280" s="560"/>
      <c r="F4280" s="560">
        <v>22788000</v>
      </c>
      <c r="G4280" s="560">
        <f t="shared" si="99"/>
        <v>0</v>
      </c>
      <c r="H4280" s="560"/>
      <c r="I4280" s="560"/>
      <c r="J4280" s="560"/>
    </row>
    <row r="4281" spans="1:10" x14ac:dyDescent="0.25">
      <c r="A4281" s="530"/>
      <c r="B4281" s="530"/>
      <c r="C4281" s="530"/>
      <c r="D4281" s="562">
        <f>SUM(D4266:D4280)</f>
        <v>2302335713</v>
      </c>
      <c r="E4281" s="562">
        <f>SUM(E4266:E4280)</f>
        <v>519970940</v>
      </c>
      <c r="F4281" s="562">
        <f>SUM(F4266:F4280)</f>
        <v>2822291900</v>
      </c>
      <c r="G4281" s="562">
        <f>SUM(G4266:G4280)</f>
        <v>14753</v>
      </c>
      <c r="H4281" s="562"/>
      <c r="I4281" s="562"/>
      <c r="J4281" s="562"/>
    </row>
    <row r="4282" spans="1:10" x14ac:dyDescent="0.25">
      <c r="A4282" s="362"/>
      <c r="B4282" s="609">
        <v>44358</v>
      </c>
      <c r="C4282" s="362" t="s">
        <v>86</v>
      </c>
      <c r="D4282" s="560">
        <v>71053762</v>
      </c>
      <c r="E4282" s="560">
        <v>630000</v>
      </c>
      <c r="F4282" s="560">
        <v>71683800</v>
      </c>
      <c r="G4282" s="560">
        <f t="shared" si="99"/>
        <v>-38</v>
      </c>
      <c r="H4282" s="560"/>
      <c r="I4282" s="560"/>
      <c r="J4282" s="560"/>
    </row>
    <row r="4283" spans="1:10" x14ac:dyDescent="0.25">
      <c r="A4283" s="362"/>
      <c r="B4283" s="609">
        <v>44358</v>
      </c>
      <c r="C4283" s="362" t="s">
        <v>87</v>
      </c>
      <c r="D4283" s="560">
        <v>98457748</v>
      </c>
      <c r="E4283" s="560">
        <v>18026768</v>
      </c>
      <c r="F4283" s="560">
        <v>116484500</v>
      </c>
      <c r="G4283" s="560">
        <f t="shared" si="99"/>
        <v>16</v>
      </c>
      <c r="H4283" s="560"/>
      <c r="I4283" s="560"/>
      <c r="J4283" s="560"/>
    </row>
    <row r="4284" spans="1:10" x14ac:dyDescent="0.25">
      <c r="A4284" s="362"/>
      <c r="B4284" s="609">
        <v>44358</v>
      </c>
      <c r="C4284" s="362" t="s">
        <v>88</v>
      </c>
      <c r="D4284" s="560">
        <v>137569141</v>
      </c>
      <c r="E4284" s="560">
        <v>33014463</v>
      </c>
      <c r="F4284" s="560">
        <v>170583700</v>
      </c>
      <c r="G4284" s="560">
        <f t="shared" si="99"/>
        <v>-96</v>
      </c>
      <c r="H4284" s="560"/>
      <c r="I4284" s="560"/>
      <c r="J4284" s="560"/>
    </row>
    <row r="4285" spans="1:10" x14ac:dyDescent="0.25">
      <c r="A4285" s="362"/>
      <c r="B4285" s="609">
        <v>44358</v>
      </c>
      <c r="C4285" s="362" t="s">
        <v>82</v>
      </c>
      <c r="D4285" s="560">
        <v>64339290</v>
      </c>
      <c r="E4285" s="560">
        <v>1127817</v>
      </c>
      <c r="F4285" s="560">
        <v>65467200</v>
      </c>
      <c r="G4285" s="560">
        <f t="shared" si="99"/>
        <v>-93</v>
      </c>
      <c r="H4285" s="560"/>
      <c r="I4285" s="560"/>
      <c r="J4285" s="560"/>
    </row>
    <row r="4286" spans="1:10" x14ac:dyDescent="0.25">
      <c r="A4286" s="362"/>
      <c r="B4286" s="609">
        <v>44358</v>
      </c>
      <c r="C4286" s="362" t="s">
        <v>80</v>
      </c>
      <c r="D4286" s="560">
        <v>252131374</v>
      </c>
      <c r="E4286" s="560">
        <v>79800</v>
      </c>
      <c r="F4286" s="560">
        <v>252208200</v>
      </c>
      <c r="G4286" s="560">
        <f t="shared" si="99"/>
        <v>2974</v>
      </c>
      <c r="H4286" s="560"/>
      <c r="I4286" s="560"/>
      <c r="J4286" s="560"/>
    </row>
    <row r="4287" spans="1:10" x14ac:dyDescent="0.25">
      <c r="A4287" s="362"/>
      <c r="B4287" s="609">
        <v>44358</v>
      </c>
      <c r="C4287" s="362" t="s">
        <v>83</v>
      </c>
      <c r="D4287" s="560">
        <v>191875298</v>
      </c>
      <c r="E4287" s="560">
        <v>97761155</v>
      </c>
      <c r="F4287" s="560">
        <v>289636500</v>
      </c>
      <c r="G4287" s="560">
        <f t="shared" si="99"/>
        <v>-47</v>
      </c>
      <c r="H4287" s="560"/>
      <c r="I4287" s="560"/>
      <c r="J4287" s="560"/>
    </row>
    <row r="4288" spans="1:10" x14ac:dyDescent="0.25">
      <c r="A4288" s="362"/>
      <c r="B4288" s="609">
        <v>44358</v>
      </c>
      <c r="C4288" s="362" t="s">
        <v>78</v>
      </c>
      <c r="D4288" s="560">
        <v>97400181</v>
      </c>
      <c r="E4288" s="560">
        <v>123019</v>
      </c>
      <c r="F4288" s="560">
        <v>97523200</v>
      </c>
      <c r="G4288" s="560">
        <f t="shared" si="99"/>
        <v>0</v>
      </c>
      <c r="H4288" s="560"/>
      <c r="I4288" s="560"/>
      <c r="J4288" s="560"/>
    </row>
    <row r="4289" spans="1:10" x14ac:dyDescent="0.25">
      <c r="A4289" s="362"/>
      <c r="B4289" s="609">
        <v>44358</v>
      </c>
      <c r="C4289" s="362" t="s">
        <v>141</v>
      </c>
      <c r="D4289" s="560">
        <v>79924575</v>
      </c>
      <c r="E4289" s="560">
        <v>5168533</v>
      </c>
      <c r="F4289" s="560">
        <v>85093200</v>
      </c>
      <c r="G4289" s="560">
        <f t="shared" si="99"/>
        <v>-92</v>
      </c>
      <c r="H4289" s="560"/>
      <c r="I4289" s="560"/>
      <c r="J4289" s="560"/>
    </row>
    <row r="4290" spans="1:10" x14ac:dyDescent="0.25">
      <c r="A4290" s="362"/>
      <c r="B4290" s="609">
        <v>44358</v>
      </c>
      <c r="C4290" s="362" t="s">
        <v>89</v>
      </c>
      <c r="D4290" s="560">
        <v>185403212</v>
      </c>
      <c r="E4290" s="560">
        <v>63849188</v>
      </c>
      <c r="F4290" s="560">
        <v>249252400</v>
      </c>
      <c r="G4290" s="560">
        <f t="shared" si="99"/>
        <v>0</v>
      </c>
      <c r="H4290" s="560"/>
      <c r="I4290" s="560"/>
      <c r="J4290" s="560"/>
    </row>
    <row r="4291" spans="1:10" x14ac:dyDescent="0.25">
      <c r="A4291" s="362"/>
      <c r="B4291" s="609">
        <v>44358</v>
      </c>
      <c r="C4291" s="362" t="s">
        <v>81</v>
      </c>
      <c r="D4291" s="560">
        <v>92450583</v>
      </c>
      <c r="E4291" s="560">
        <v>6562216</v>
      </c>
      <c r="F4291" s="560">
        <v>99012800</v>
      </c>
      <c r="G4291" s="560">
        <f t="shared" si="99"/>
        <v>-1</v>
      </c>
      <c r="H4291" s="560"/>
      <c r="I4291" s="560"/>
      <c r="J4291" s="560"/>
    </row>
    <row r="4292" spans="1:10" x14ac:dyDescent="0.25">
      <c r="A4292" s="362"/>
      <c r="B4292" s="609">
        <v>44358</v>
      </c>
      <c r="C4292" s="362" t="s">
        <v>84</v>
      </c>
      <c r="D4292" s="560">
        <v>223040592</v>
      </c>
      <c r="E4292" s="560">
        <v>18063638</v>
      </c>
      <c r="F4292" s="560">
        <v>241104300</v>
      </c>
      <c r="G4292" s="560">
        <f t="shared" si="99"/>
        <v>-70</v>
      </c>
      <c r="H4292" s="560"/>
      <c r="I4292" s="560"/>
      <c r="J4292" s="560"/>
    </row>
    <row r="4293" spans="1:10" x14ac:dyDescent="0.25">
      <c r="A4293" s="362"/>
      <c r="B4293" s="609">
        <v>44358</v>
      </c>
      <c r="C4293" s="362" t="s">
        <v>4751</v>
      </c>
      <c r="D4293" s="560">
        <v>190028320</v>
      </c>
      <c r="E4293" s="560">
        <v>8730680</v>
      </c>
      <c r="F4293" s="560">
        <v>198759000</v>
      </c>
      <c r="G4293" s="560">
        <f t="shared" si="99"/>
        <v>0</v>
      </c>
      <c r="H4293" s="560"/>
      <c r="I4293" s="560"/>
      <c r="J4293" s="560"/>
    </row>
    <row r="4294" spans="1:10" x14ac:dyDescent="0.25">
      <c r="A4294" s="362"/>
      <c r="B4294" s="609">
        <v>44358</v>
      </c>
      <c r="C4294" s="362" t="s">
        <v>166</v>
      </c>
      <c r="D4294" s="560">
        <v>48870024</v>
      </c>
      <c r="E4294" s="560"/>
      <c r="F4294" s="560">
        <v>48870000</v>
      </c>
      <c r="G4294" s="560">
        <f t="shared" si="99"/>
        <v>24</v>
      </c>
      <c r="H4294" s="560"/>
      <c r="I4294" s="560"/>
      <c r="J4294" s="560"/>
    </row>
    <row r="4295" spans="1:10" x14ac:dyDescent="0.25">
      <c r="A4295" s="362"/>
      <c r="B4295" s="609">
        <v>44358</v>
      </c>
      <c r="C4295" s="362" t="s">
        <v>3435</v>
      </c>
      <c r="D4295" s="560">
        <v>186075082</v>
      </c>
      <c r="E4295" s="560"/>
      <c r="F4295" s="560">
        <v>186075100</v>
      </c>
      <c r="G4295" s="560">
        <f t="shared" si="99"/>
        <v>-18</v>
      </c>
      <c r="H4295" s="560"/>
      <c r="I4295" s="560"/>
      <c r="J4295" s="560"/>
    </row>
    <row r="4296" spans="1:10" x14ac:dyDescent="0.25">
      <c r="A4296" s="362"/>
      <c r="B4296" s="609">
        <v>44358</v>
      </c>
      <c r="C4296" s="370" t="s">
        <v>85</v>
      </c>
      <c r="D4296" s="560">
        <v>21446900</v>
      </c>
      <c r="E4296" s="560"/>
      <c r="F4296" s="560">
        <v>21446900</v>
      </c>
      <c r="G4296" s="560">
        <f t="shared" si="99"/>
        <v>0</v>
      </c>
      <c r="H4296" s="560"/>
      <c r="I4296" s="560"/>
      <c r="J4296" s="560"/>
    </row>
    <row r="4297" spans="1:10" x14ac:dyDescent="0.25">
      <c r="A4297" s="530"/>
      <c r="B4297" s="530"/>
      <c r="C4297" s="530"/>
      <c r="D4297" s="562">
        <f>SUM(D4282:D4296)</f>
        <v>1940066082</v>
      </c>
      <c r="E4297" s="562">
        <f>SUM(E4282:E4296)</f>
        <v>253137277</v>
      </c>
      <c r="F4297" s="562">
        <f>SUM(F4282:F4296)</f>
        <v>2193200800</v>
      </c>
      <c r="G4297" s="562">
        <f>SUM(G4282:G4296)</f>
        <v>2559</v>
      </c>
      <c r="H4297" s="562"/>
      <c r="I4297" s="562"/>
      <c r="J4297" s="562"/>
    </row>
    <row r="4298" spans="1:10" x14ac:dyDescent="0.25">
      <c r="A4298" s="362"/>
      <c r="B4298" s="609">
        <v>44359</v>
      </c>
      <c r="C4298" s="362" t="s">
        <v>86</v>
      </c>
      <c r="D4298" s="560">
        <v>73623905</v>
      </c>
      <c r="E4298" s="560">
        <v>9890940</v>
      </c>
      <c r="F4298" s="560">
        <v>83514900</v>
      </c>
      <c r="G4298" s="560">
        <f t="shared" si="99"/>
        <v>-55</v>
      </c>
      <c r="H4298" s="560"/>
      <c r="I4298" s="560"/>
      <c r="J4298" s="560"/>
    </row>
    <row r="4299" spans="1:10" x14ac:dyDescent="0.25">
      <c r="A4299" s="362"/>
      <c r="B4299" s="609">
        <v>44359</v>
      </c>
      <c r="C4299" s="362" t="s">
        <v>87</v>
      </c>
      <c r="D4299" s="560">
        <v>77980717</v>
      </c>
      <c r="E4299" s="560">
        <v>26260007</v>
      </c>
      <c r="F4299" s="560">
        <v>104241300</v>
      </c>
      <c r="G4299" s="560">
        <f t="shared" si="99"/>
        <v>-576</v>
      </c>
      <c r="H4299" s="560"/>
      <c r="I4299" s="560"/>
      <c r="J4299" s="560"/>
    </row>
    <row r="4300" spans="1:10" x14ac:dyDescent="0.25">
      <c r="A4300" s="362"/>
      <c r="B4300" s="609">
        <v>44359</v>
      </c>
      <c r="C4300" s="362" t="s">
        <v>88</v>
      </c>
      <c r="D4300" s="560">
        <v>235378824</v>
      </c>
      <c r="E4300" s="560">
        <v>98065827</v>
      </c>
      <c r="F4300" s="560">
        <v>333444700</v>
      </c>
      <c r="G4300" s="560">
        <f t="shared" ref="G4300:G4363" si="100">D4300+E4300-F4300</f>
        <v>-49</v>
      </c>
      <c r="H4300" s="560"/>
      <c r="I4300" s="560"/>
      <c r="J4300" s="560"/>
    </row>
    <row r="4301" spans="1:10" x14ac:dyDescent="0.25">
      <c r="A4301" s="362"/>
      <c r="B4301" s="609">
        <v>44359</v>
      </c>
      <c r="C4301" s="362" t="s">
        <v>82</v>
      </c>
      <c r="D4301" s="560">
        <v>44191592</v>
      </c>
      <c r="E4301" s="560">
        <v>8393912</v>
      </c>
      <c r="F4301" s="560">
        <v>52585600</v>
      </c>
      <c r="G4301" s="560">
        <f t="shared" si="100"/>
        <v>-96</v>
      </c>
      <c r="H4301" s="560"/>
      <c r="I4301" s="560"/>
      <c r="J4301" s="560"/>
    </row>
    <row r="4302" spans="1:10" x14ac:dyDescent="0.25">
      <c r="A4302" s="362"/>
      <c r="B4302" s="609">
        <v>44359</v>
      </c>
      <c r="C4302" s="362" t="s">
        <v>80</v>
      </c>
      <c r="D4302" s="560">
        <v>213696830</v>
      </c>
      <c r="E4302" s="560">
        <v>267870</v>
      </c>
      <c r="F4302" s="560">
        <v>213964700</v>
      </c>
      <c r="G4302" s="560">
        <f t="shared" si="100"/>
        <v>0</v>
      </c>
      <c r="H4302" s="560"/>
      <c r="I4302" s="560"/>
      <c r="J4302" s="560"/>
    </row>
    <row r="4303" spans="1:10" x14ac:dyDescent="0.25">
      <c r="A4303" s="362"/>
      <c r="B4303" s="609">
        <v>44359</v>
      </c>
      <c r="C4303" s="362" t="s">
        <v>83</v>
      </c>
      <c r="D4303" s="560">
        <v>200444904</v>
      </c>
      <c r="E4303" s="560">
        <v>108285252</v>
      </c>
      <c r="F4303" s="560">
        <v>308730200</v>
      </c>
      <c r="G4303" s="560">
        <f t="shared" si="100"/>
        <v>-44</v>
      </c>
      <c r="H4303" s="560"/>
      <c r="I4303" s="560"/>
      <c r="J4303" s="560"/>
    </row>
    <row r="4304" spans="1:10" x14ac:dyDescent="0.25">
      <c r="A4304" s="362"/>
      <c r="B4304" s="609">
        <v>44359</v>
      </c>
      <c r="C4304" s="362" t="s">
        <v>78</v>
      </c>
      <c r="D4304" s="560">
        <v>101024092</v>
      </c>
      <c r="E4304" s="560">
        <v>3108908</v>
      </c>
      <c r="F4304" s="560">
        <v>104133000</v>
      </c>
      <c r="G4304" s="560">
        <f t="shared" si="100"/>
        <v>0</v>
      </c>
      <c r="H4304" s="560"/>
      <c r="I4304" s="560"/>
      <c r="J4304" s="560"/>
    </row>
    <row r="4305" spans="1:10" x14ac:dyDescent="0.25">
      <c r="A4305" s="362"/>
      <c r="B4305" s="609">
        <v>44359</v>
      </c>
      <c r="C4305" s="362" t="s">
        <v>141</v>
      </c>
      <c r="D4305" s="560">
        <v>52100116</v>
      </c>
      <c r="E4305" s="560">
        <v>4144450</v>
      </c>
      <c r="F4305" s="560">
        <v>56244600</v>
      </c>
      <c r="G4305" s="560">
        <f t="shared" si="100"/>
        <v>-34</v>
      </c>
      <c r="H4305" s="560"/>
      <c r="I4305" s="560"/>
      <c r="J4305" s="560"/>
    </row>
    <row r="4306" spans="1:10" x14ac:dyDescent="0.25">
      <c r="A4306" s="362"/>
      <c r="B4306" s="609">
        <v>44359</v>
      </c>
      <c r="C4306" s="362" t="s">
        <v>89</v>
      </c>
      <c r="D4306" s="560">
        <v>82286188</v>
      </c>
      <c r="E4306" s="560">
        <v>59442012</v>
      </c>
      <c r="F4306" s="560">
        <v>141728200</v>
      </c>
      <c r="G4306" s="560">
        <f t="shared" si="100"/>
        <v>0</v>
      </c>
      <c r="H4306" s="560"/>
      <c r="I4306" s="560"/>
      <c r="J4306" s="560"/>
    </row>
    <row r="4307" spans="1:10" x14ac:dyDescent="0.25">
      <c r="A4307" s="362"/>
      <c r="B4307" s="609">
        <v>44359</v>
      </c>
      <c r="C4307" s="362" t="s">
        <v>81</v>
      </c>
      <c r="D4307" s="560">
        <v>93056005</v>
      </c>
      <c r="E4307" s="560">
        <v>6231507</v>
      </c>
      <c r="F4307" s="560">
        <f>58011000+41276600</f>
        <v>99287600</v>
      </c>
      <c r="G4307" s="560">
        <f t="shared" si="100"/>
        <v>-88</v>
      </c>
      <c r="H4307" s="560"/>
      <c r="I4307" s="560"/>
      <c r="J4307" s="560"/>
    </row>
    <row r="4308" spans="1:10" x14ac:dyDescent="0.25">
      <c r="A4308" s="362"/>
      <c r="B4308" s="609">
        <v>44359</v>
      </c>
      <c r="C4308" s="362" t="s">
        <v>84</v>
      </c>
      <c r="D4308" s="560">
        <v>164882225</v>
      </c>
      <c r="E4308" s="560">
        <v>11583601</v>
      </c>
      <c r="F4308" s="560">
        <v>176465700</v>
      </c>
      <c r="G4308" s="560">
        <f t="shared" si="100"/>
        <v>126</v>
      </c>
      <c r="H4308" s="560"/>
      <c r="I4308" s="560"/>
      <c r="J4308" s="560"/>
    </row>
    <row r="4309" spans="1:10" x14ac:dyDescent="0.25">
      <c r="A4309" s="362"/>
      <c r="B4309" s="609">
        <v>44359</v>
      </c>
      <c r="C4309" s="362" t="s">
        <v>4751</v>
      </c>
      <c r="D4309" s="560">
        <v>223267801</v>
      </c>
      <c r="E4309" s="560">
        <v>8313099</v>
      </c>
      <c r="F4309" s="560">
        <v>231580900</v>
      </c>
      <c r="G4309" s="560">
        <f t="shared" si="100"/>
        <v>0</v>
      </c>
      <c r="H4309" s="560"/>
      <c r="I4309" s="560"/>
      <c r="J4309" s="560"/>
    </row>
    <row r="4310" spans="1:10" x14ac:dyDescent="0.25">
      <c r="A4310" s="362"/>
      <c r="B4310" s="609">
        <v>44359</v>
      </c>
      <c r="C4310" s="362" t="s">
        <v>166</v>
      </c>
      <c r="D4310" s="560"/>
      <c r="E4310" s="560"/>
      <c r="F4310" s="560"/>
      <c r="G4310" s="560">
        <f t="shared" si="100"/>
        <v>0</v>
      </c>
      <c r="H4310" s="560"/>
      <c r="I4310" s="560"/>
      <c r="J4310" s="560"/>
    </row>
    <row r="4311" spans="1:10" x14ac:dyDescent="0.25">
      <c r="A4311" s="362"/>
      <c r="B4311" s="609">
        <v>44359</v>
      </c>
      <c r="C4311" s="362" t="s">
        <v>3435</v>
      </c>
      <c r="D4311" s="560"/>
      <c r="E4311" s="560"/>
      <c r="F4311" s="560"/>
      <c r="G4311" s="560">
        <f t="shared" si="100"/>
        <v>0</v>
      </c>
      <c r="H4311" s="560"/>
      <c r="I4311" s="560"/>
      <c r="J4311" s="560"/>
    </row>
    <row r="4312" spans="1:10" x14ac:dyDescent="0.25">
      <c r="A4312" s="362"/>
      <c r="B4312" s="609">
        <v>44359</v>
      </c>
      <c r="C4312" s="370" t="s">
        <v>85</v>
      </c>
      <c r="D4312" s="560">
        <v>35404800</v>
      </c>
      <c r="E4312" s="560"/>
      <c r="F4312" s="560">
        <v>35404800</v>
      </c>
      <c r="G4312" s="560">
        <f t="shared" si="100"/>
        <v>0</v>
      </c>
      <c r="H4312" s="560"/>
      <c r="I4312" s="560"/>
      <c r="J4312" s="560"/>
    </row>
    <row r="4313" spans="1:10" x14ac:dyDescent="0.25">
      <c r="A4313" s="530"/>
      <c r="B4313" s="530"/>
      <c r="C4313" s="530"/>
      <c r="D4313" s="562">
        <f>SUM(D4298:D4312)</f>
        <v>1597337999</v>
      </c>
      <c r="E4313" s="562">
        <f>SUM(E4298:E4312)</f>
        <v>343987385</v>
      </c>
      <c r="F4313" s="562">
        <f>SUM(F4298:F4312)</f>
        <v>1941326200</v>
      </c>
      <c r="G4313" s="562">
        <f>SUM(G4298:G4312)</f>
        <v>-816</v>
      </c>
      <c r="H4313" s="562"/>
      <c r="I4313" s="562"/>
      <c r="J4313" s="562"/>
    </row>
    <row r="4314" spans="1:10" x14ac:dyDescent="0.25">
      <c r="A4314" s="362"/>
      <c r="B4314" s="609">
        <v>44361</v>
      </c>
      <c r="C4314" s="362" t="s">
        <v>86</v>
      </c>
      <c r="D4314" s="560">
        <v>104779300</v>
      </c>
      <c r="E4314" s="560">
        <v>4319351</v>
      </c>
      <c r="F4314" s="560">
        <v>109098900</v>
      </c>
      <c r="G4314" s="560">
        <f t="shared" si="100"/>
        <v>-249</v>
      </c>
      <c r="H4314" s="560"/>
      <c r="I4314" s="560"/>
      <c r="J4314" s="560"/>
    </row>
    <row r="4315" spans="1:10" x14ac:dyDescent="0.25">
      <c r="A4315" s="362"/>
      <c r="B4315" s="609">
        <v>44361</v>
      </c>
      <c r="C4315" s="362" t="s">
        <v>87</v>
      </c>
      <c r="D4315" s="560">
        <v>86042710</v>
      </c>
      <c r="E4315" s="560">
        <v>62331076</v>
      </c>
      <c r="F4315" s="560">
        <v>148373800</v>
      </c>
      <c r="G4315" s="560">
        <f t="shared" si="100"/>
        <v>-14</v>
      </c>
      <c r="H4315" s="560"/>
      <c r="I4315" s="560"/>
      <c r="J4315" s="560"/>
    </row>
    <row r="4316" spans="1:10" x14ac:dyDescent="0.25">
      <c r="A4316" s="362"/>
      <c r="B4316" s="609">
        <v>44361</v>
      </c>
      <c r="C4316" s="362" t="s">
        <v>88</v>
      </c>
      <c r="D4316" s="560">
        <v>175240460</v>
      </c>
      <c r="E4316" s="560">
        <v>140371594</v>
      </c>
      <c r="F4316" s="560">
        <v>315612100</v>
      </c>
      <c r="G4316" s="560">
        <f t="shared" si="100"/>
        <v>-46</v>
      </c>
      <c r="H4316" s="560"/>
      <c r="I4316" s="560"/>
      <c r="J4316" s="560"/>
    </row>
    <row r="4317" spans="1:10" x14ac:dyDescent="0.25">
      <c r="A4317" s="362"/>
      <c r="B4317" s="609">
        <v>44361</v>
      </c>
      <c r="C4317" s="362" t="s">
        <v>82</v>
      </c>
      <c r="D4317" s="560">
        <v>37740061</v>
      </c>
      <c r="E4317" s="560">
        <v>9530589</v>
      </c>
      <c r="F4317" s="560">
        <v>47270700</v>
      </c>
      <c r="G4317" s="560">
        <f t="shared" si="100"/>
        <v>-50</v>
      </c>
      <c r="H4317" s="560"/>
      <c r="I4317" s="560"/>
      <c r="J4317" s="560"/>
    </row>
    <row r="4318" spans="1:10" x14ac:dyDescent="0.25">
      <c r="A4318" s="362"/>
      <c r="B4318" s="609">
        <v>44361</v>
      </c>
      <c r="C4318" s="362" t="s">
        <v>80</v>
      </c>
      <c r="D4318" s="560">
        <v>343157200</v>
      </c>
      <c r="E4318" s="560">
        <v>44996000</v>
      </c>
      <c r="F4318" s="560">
        <v>388153300</v>
      </c>
      <c r="G4318" s="560">
        <f t="shared" si="100"/>
        <v>-100</v>
      </c>
      <c r="H4318" s="560"/>
      <c r="I4318" s="560"/>
      <c r="J4318" s="560"/>
    </row>
    <row r="4319" spans="1:10" x14ac:dyDescent="0.25">
      <c r="A4319" s="362"/>
      <c r="B4319" s="609">
        <v>44361</v>
      </c>
      <c r="C4319" s="362" t="s">
        <v>83</v>
      </c>
      <c r="D4319" s="560">
        <v>203625996</v>
      </c>
      <c r="E4319" s="560">
        <v>13095340</v>
      </c>
      <c r="F4319" s="560">
        <v>216721400</v>
      </c>
      <c r="G4319" s="560">
        <f t="shared" si="100"/>
        <v>-64</v>
      </c>
      <c r="H4319" s="560"/>
      <c r="I4319" s="560"/>
      <c r="J4319" s="560"/>
    </row>
    <row r="4320" spans="1:10" x14ac:dyDescent="0.25">
      <c r="A4320" s="362"/>
      <c r="B4320" s="609">
        <v>44361</v>
      </c>
      <c r="C4320" s="362" t="s">
        <v>78</v>
      </c>
      <c r="D4320" s="560">
        <v>150535887</v>
      </c>
      <c r="E4320" s="560">
        <v>1643413</v>
      </c>
      <c r="F4320" s="560">
        <v>152179300</v>
      </c>
      <c r="G4320" s="560">
        <f t="shared" si="100"/>
        <v>0</v>
      </c>
      <c r="H4320" s="560"/>
      <c r="I4320" s="560"/>
      <c r="J4320" s="560"/>
    </row>
    <row r="4321" spans="1:10" x14ac:dyDescent="0.25">
      <c r="A4321" s="362"/>
      <c r="B4321" s="609">
        <v>44361</v>
      </c>
      <c r="C4321" s="362" t="s">
        <v>141</v>
      </c>
      <c r="D4321" s="560">
        <v>35920601</v>
      </c>
      <c r="E4321" s="560">
        <v>1870908</v>
      </c>
      <c r="F4321" s="560">
        <v>37791600</v>
      </c>
      <c r="G4321" s="560">
        <f t="shared" si="100"/>
        <v>-91</v>
      </c>
      <c r="H4321" s="560"/>
      <c r="I4321" s="560"/>
      <c r="J4321" s="560"/>
    </row>
    <row r="4322" spans="1:10" x14ac:dyDescent="0.25">
      <c r="A4322" s="362"/>
      <c r="B4322" s="609">
        <v>44361</v>
      </c>
      <c r="C4322" s="362" t="s">
        <v>89</v>
      </c>
      <c r="D4322" s="560">
        <v>114220253</v>
      </c>
      <c r="E4322" s="560">
        <v>9235247</v>
      </c>
      <c r="F4322" s="560">
        <v>123455400</v>
      </c>
      <c r="G4322" s="560">
        <f t="shared" si="100"/>
        <v>100</v>
      </c>
      <c r="H4322" s="560"/>
      <c r="I4322" s="560"/>
      <c r="J4322" s="560"/>
    </row>
    <row r="4323" spans="1:10" x14ac:dyDescent="0.25">
      <c r="A4323" s="362"/>
      <c r="B4323" s="609">
        <v>44361</v>
      </c>
      <c r="C4323" s="362" t="s">
        <v>81</v>
      </c>
      <c r="D4323" s="560">
        <v>110584379</v>
      </c>
      <c r="E4323" s="560">
        <v>26887400</v>
      </c>
      <c r="F4323" s="560">
        <v>137471800</v>
      </c>
      <c r="G4323" s="560">
        <f t="shared" si="100"/>
        <v>-21</v>
      </c>
      <c r="H4323" s="560"/>
      <c r="I4323" s="560"/>
      <c r="J4323" s="560"/>
    </row>
    <row r="4324" spans="1:10" x14ac:dyDescent="0.25">
      <c r="A4324" s="362"/>
      <c r="B4324" s="609">
        <v>44361</v>
      </c>
      <c r="C4324" s="362" t="s">
        <v>84</v>
      </c>
      <c r="D4324" s="560">
        <v>222766761</v>
      </c>
      <c r="E4324" s="560">
        <v>11038998</v>
      </c>
      <c r="F4324" s="560">
        <v>233802600</v>
      </c>
      <c r="G4324" s="560">
        <f t="shared" si="100"/>
        <v>3159</v>
      </c>
      <c r="H4324" s="560"/>
      <c r="I4324" s="560"/>
      <c r="J4324" s="560"/>
    </row>
    <row r="4325" spans="1:10" x14ac:dyDescent="0.25">
      <c r="A4325" s="362"/>
      <c r="B4325" s="609">
        <v>44361</v>
      </c>
      <c r="C4325" s="362" t="s">
        <v>4751</v>
      </c>
      <c r="D4325" s="560">
        <v>196474700</v>
      </c>
      <c r="E4325" s="560">
        <v>12703100</v>
      </c>
      <c r="F4325" s="560">
        <v>209177600</v>
      </c>
      <c r="G4325" s="560">
        <f t="shared" si="100"/>
        <v>200</v>
      </c>
      <c r="H4325" s="560"/>
      <c r="I4325" s="560"/>
      <c r="J4325" s="560"/>
    </row>
    <row r="4326" spans="1:10" x14ac:dyDescent="0.25">
      <c r="A4326" s="362"/>
      <c r="B4326" s="609">
        <v>44361</v>
      </c>
      <c r="C4326" s="362" t="s">
        <v>166</v>
      </c>
      <c r="D4326" s="560">
        <v>50696489</v>
      </c>
      <c r="E4326" s="560"/>
      <c r="F4326" s="560">
        <v>50696500</v>
      </c>
      <c r="G4326" s="560">
        <f t="shared" si="100"/>
        <v>-11</v>
      </c>
      <c r="H4326" s="560"/>
      <c r="I4326" s="560"/>
      <c r="J4326" s="560"/>
    </row>
    <row r="4327" spans="1:10" x14ac:dyDescent="0.25">
      <c r="A4327" s="362"/>
      <c r="B4327" s="609">
        <v>44361</v>
      </c>
      <c r="C4327" s="362" t="s">
        <v>3435</v>
      </c>
      <c r="D4327" s="560">
        <v>45010028</v>
      </c>
      <c r="E4327" s="560"/>
      <c r="F4327" s="560">
        <v>45010100</v>
      </c>
      <c r="G4327" s="560">
        <f t="shared" si="100"/>
        <v>-72</v>
      </c>
      <c r="H4327" s="560"/>
      <c r="I4327" s="560"/>
      <c r="J4327" s="560"/>
    </row>
    <row r="4328" spans="1:10" x14ac:dyDescent="0.25">
      <c r="A4328" s="362"/>
      <c r="B4328" s="609">
        <v>44361</v>
      </c>
      <c r="C4328" s="370" t="s">
        <v>85</v>
      </c>
      <c r="D4328" s="560">
        <v>53813100</v>
      </c>
      <c r="E4328" s="560"/>
      <c r="F4328" s="560">
        <v>53813100</v>
      </c>
      <c r="G4328" s="560">
        <f t="shared" si="100"/>
        <v>0</v>
      </c>
      <c r="H4328" s="560"/>
      <c r="I4328" s="560"/>
      <c r="J4328" s="560"/>
    </row>
    <row r="4329" spans="1:10" x14ac:dyDescent="0.25">
      <c r="A4329" s="530"/>
      <c r="B4329" s="530"/>
      <c r="C4329" s="530"/>
      <c r="D4329" s="562">
        <f>SUM(D4314:D4328)</f>
        <v>1930607925</v>
      </c>
      <c r="E4329" s="562">
        <f>SUM(E4314:E4328)</f>
        <v>338023016</v>
      </c>
      <c r="F4329" s="562">
        <f>SUM(F4314:F4328)</f>
        <v>2268628200</v>
      </c>
      <c r="G4329" s="562">
        <f>SUM(G4314:G4328)</f>
        <v>2741</v>
      </c>
      <c r="H4329" s="562"/>
      <c r="I4329" s="562"/>
      <c r="J4329" s="562"/>
    </row>
    <row r="4330" spans="1:10" x14ac:dyDescent="0.25">
      <c r="A4330" s="362"/>
      <c r="B4330" s="609">
        <v>44362</v>
      </c>
      <c r="C4330" s="362" t="s">
        <v>86</v>
      </c>
      <c r="D4330" s="560">
        <v>95475951</v>
      </c>
      <c r="E4330" s="560">
        <v>46514738</v>
      </c>
      <c r="F4330" s="560">
        <v>141990600</v>
      </c>
      <c r="G4330" s="560">
        <f t="shared" si="100"/>
        <v>89</v>
      </c>
      <c r="H4330" s="560"/>
      <c r="I4330" s="560"/>
      <c r="J4330" s="560"/>
    </row>
    <row r="4331" spans="1:10" x14ac:dyDescent="0.25">
      <c r="A4331" s="362"/>
      <c r="B4331" s="609">
        <v>44362</v>
      </c>
      <c r="C4331" s="362" t="s">
        <v>87</v>
      </c>
      <c r="D4331" s="560">
        <v>110115083</v>
      </c>
      <c r="E4331" s="560">
        <v>175780825</v>
      </c>
      <c r="F4331" s="560">
        <v>285896000</v>
      </c>
      <c r="G4331" s="560">
        <f t="shared" si="100"/>
        <v>-92</v>
      </c>
      <c r="H4331" s="560"/>
      <c r="I4331" s="560"/>
      <c r="J4331" s="560"/>
    </row>
    <row r="4332" spans="1:10" x14ac:dyDescent="0.25">
      <c r="A4332" s="362"/>
      <c r="B4332" s="609">
        <v>44362</v>
      </c>
      <c r="C4332" s="362" t="s">
        <v>88</v>
      </c>
      <c r="D4332" s="560">
        <v>163344914</v>
      </c>
      <c r="E4332" s="560">
        <v>83778493</v>
      </c>
      <c r="F4332" s="560">
        <v>247123500</v>
      </c>
      <c r="G4332" s="560">
        <f t="shared" si="100"/>
        <v>-93</v>
      </c>
      <c r="H4332" s="560"/>
      <c r="I4332" s="560"/>
      <c r="J4332" s="560"/>
    </row>
    <row r="4333" spans="1:10" x14ac:dyDescent="0.25">
      <c r="A4333" s="362"/>
      <c r="B4333" s="609">
        <v>44362</v>
      </c>
      <c r="C4333" s="362" t="s">
        <v>82</v>
      </c>
      <c r="D4333" s="560">
        <v>56241155</v>
      </c>
      <c r="E4333" s="560">
        <v>2335821</v>
      </c>
      <c r="F4333" s="560">
        <v>58577000</v>
      </c>
      <c r="G4333" s="560">
        <f t="shared" si="100"/>
        <v>-24</v>
      </c>
      <c r="H4333" s="560"/>
      <c r="I4333" s="560"/>
      <c r="J4333" s="560"/>
    </row>
    <row r="4334" spans="1:10" x14ac:dyDescent="0.25">
      <c r="A4334" s="362"/>
      <c r="B4334" s="609">
        <v>44362</v>
      </c>
      <c r="C4334" s="362" t="s">
        <v>80</v>
      </c>
      <c r="D4334" s="560">
        <v>219847927</v>
      </c>
      <c r="E4334" s="560"/>
      <c r="F4334" s="560">
        <v>219890400</v>
      </c>
      <c r="G4334" s="560">
        <f t="shared" si="100"/>
        <v>-42473</v>
      </c>
      <c r="H4334" s="560"/>
      <c r="I4334" s="560"/>
      <c r="J4334" s="560"/>
    </row>
    <row r="4335" spans="1:10" x14ac:dyDescent="0.25">
      <c r="A4335" s="362"/>
      <c r="B4335" s="609">
        <v>44362</v>
      </c>
      <c r="C4335" s="362" t="s">
        <v>83</v>
      </c>
      <c r="D4335" s="560">
        <v>239468118</v>
      </c>
      <c r="E4335" s="560">
        <v>144514782</v>
      </c>
      <c r="F4335" s="560">
        <v>383982900</v>
      </c>
      <c r="G4335" s="560">
        <f t="shared" si="100"/>
        <v>0</v>
      </c>
      <c r="H4335" s="560"/>
      <c r="I4335" s="560"/>
      <c r="J4335" s="560"/>
    </row>
    <row r="4336" spans="1:10" x14ac:dyDescent="0.25">
      <c r="A4336" s="362"/>
      <c r="B4336" s="609">
        <v>44362</v>
      </c>
      <c r="C4336" s="362" t="s">
        <v>78</v>
      </c>
      <c r="D4336" s="560">
        <v>74302808</v>
      </c>
      <c r="E4336" s="560">
        <v>956792</v>
      </c>
      <c r="F4336" s="560">
        <v>75259600</v>
      </c>
      <c r="G4336" s="560">
        <f t="shared" si="100"/>
        <v>0</v>
      </c>
      <c r="H4336" s="560"/>
      <c r="I4336" s="560"/>
      <c r="J4336" s="560"/>
    </row>
    <row r="4337" spans="1:10" x14ac:dyDescent="0.25">
      <c r="A4337" s="362"/>
      <c r="B4337" s="609">
        <v>44362</v>
      </c>
      <c r="C4337" s="362" t="s">
        <v>141</v>
      </c>
      <c r="D4337" s="560">
        <v>55082000</v>
      </c>
      <c r="E4337" s="560"/>
      <c r="F4337" s="560">
        <v>55082000</v>
      </c>
      <c r="G4337" s="560">
        <f t="shared" si="100"/>
        <v>0</v>
      </c>
      <c r="H4337" s="560"/>
      <c r="I4337" s="560"/>
      <c r="J4337" s="560"/>
    </row>
    <row r="4338" spans="1:10" x14ac:dyDescent="0.25">
      <c r="A4338" s="362"/>
      <c r="B4338" s="609">
        <v>44362</v>
      </c>
      <c r="C4338" s="362" t="s">
        <v>89</v>
      </c>
      <c r="D4338" s="560">
        <v>158085158</v>
      </c>
      <c r="E4338" s="560">
        <v>20842942</v>
      </c>
      <c r="F4338" s="560">
        <v>178928100</v>
      </c>
      <c r="G4338" s="560">
        <f t="shared" si="100"/>
        <v>0</v>
      </c>
      <c r="H4338" s="560"/>
      <c r="I4338" s="560"/>
      <c r="J4338" s="560"/>
    </row>
    <row r="4339" spans="1:10" x14ac:dyDescent="0.25">
      <c r="A4339" s="362"/>
      <c r="B4339" s="609">
        <v>44362</v>
      </c>
      <c r="C4339" s="362" t="s">
        <v>81</v>
      </c>
      <c r="D4339" s="560">
        <v>127038979</v>
      </c>
      <c r="E4339" s="560">
        <v>61013574</v>
      </c>
      <c r="F4339" s="560">
        <v>188034600</v>
      </c>
      <c r="G4339" s="560">
        <f t="shared" si="100"/>
        <v>17953</v>
      </c>
      <c r="H4339" s="560"/>
      <c r="I4339" s="560"/>
      <c r="J4339" s="560"/>
    </row>
    <row r="4340" spans="1:10" x14ac:dyDescent="0.25">
      <c r="A4340" s="362"/>
      <c r="B4340" s="609">
        <v>44362</v>
      </c>
      <c r="C4340" s="362" t="s">
        <v>84</v>
      </c>
      <c r="D4340" s="560">
        <v>170284754</v>
      </c>
      <c r="E4340" s="560">
        <v>11869349</v>
      </c>
      <c r="F4340" s="560">
        <v>182154100</v>
      </c>
      <c r="G4340" s="560">
        <f t="shared" si="100"/>
        <v>3</v>
      </c>
      <c r="H4340" s="560"/>
      <c r="I4340" s="560"/>
      <c r="J4340" s="560"/>
    </row>
    <row r="4341" spans="1:10" x14ac:dyDescent="0.25">
      <c r="A4341" s="362"/>
      <c r="B4341" s="609">
        <v>44362</v>
      </c>
      <c r="C4341" s="362" t="s">
        <v>4751</v>
      </c>
      <c r="D4341" s="560">
        <v>180639145</v>
      </c>
      <c r="E4341" s="560">
        <v>20064855</v>
      </c>
      <c r="F4341" s="560">
        <v>200704000</v>
      </c>
      <c r="G4341" s="560">
        <f t="shared" si="100"/>
        <v>0</v>
      </c>
      <c r="H4341" s="560"/>
      <c r="I4341" s="560"/>
      <c r="J4341" s="560"/>
    </row>
    <row r="4342" spans="1:10" x14ac:dyDescent="0.25">
      <c r="A4342" s="362"/>
      <c r="B4342" s="609">
        <v>44362</v>
      </c>
      <c r="C4342" s="362" t="s">
        <v>166</v>
      </c>
      <c r="D4342" s="560">
        <v>73746647</v>
      </c>
      <c r="E4342" s="560"/>
      <c r="F4342" s="560">
        <v>73746500</v>
      </c>
      <c r="G4342" s="560">
        <f t="shared" si="100"/>
        <v>147</v>
      </c>
      <c r="H4342" s="560"/>
      <c r="I4342" s="560"/>
      <c r="J4342" s="560"/>
    </row>
    <row r="4343" spans="1:10" x14ac:dyDescent="0.25">
      <c r="A4343" s="362"/>
      <c r="B4343" s="609">
        <v>44362</v>
      </c>
      <c r="C4343" s="362" t="s">
        <v>3435</v>
      </c>
      <c r="D4343" s="560">
        <v>28399866</v>
      </c>
      <c r="E4343" s="560"/>
      <c r="F4343" s="560">
        <v>28399900</v>
      </c>
      <c r="G4343" s="560">
        <f t="shared" si="100"/>
        <v>-34</v>
      </c>
      <c r="H4343" s="560"/>
      <c r="I4343" s="560"/>
      <c r="J4343" s="560"/>
    </row>
    <row r="4344" spans="1:10" x14ac:dyDescent="0.25">
      <c r="A4344" s="362"/>
      <c r="B4344" s="609">
        <v>44362</v>
      </c>
      <c r="C4344" s="370" t="s">
        <v>85</v>
      </c>
      <c r="D4344" s="560">
        <v>31223400</v>
      </c>
      <c r="E4344" s="560"/>
      <c r="F4344" s="560">
        <v>31223400</v>
      </c>
      <c r="G4344" s="560">
        <f t="shared" si="100"/>
        <v>0</v>
      </c>
      <c r="H4344" s="560"/>
      <c r="I4344" s="560"/>
      <c r="J4344" s="560"/>
    </row>
    <row r="4345" spans="1:10" x14ac:dyDescent="0.25">
      <c r="A4345" s="530"/>
      <c r="B4345" s="530"/>
      <c r="C4345" s="530"/>
      <c r="D4345" s="562">
        <f>SUM(D4330:D4344)</f>
        <v>1783295905</v>
      </c>
      <c r="E4345" s="562">
        <f>SUM(E4330:E4344)</f>
        <v>567672171</v>
      </c>
      <c r="F4345" s="562">
        <f>SUM(F4330:F4344)</f>
        <v>2350992600</v>
      </c>
      <c r="G4345" s="562">
        <f>SUM(G4330:G4344)</f>
        <v>-24524</v>
      </c>
      <c r="H4345" s="562"/>
      <c r="I4345" s="562"/>
      <c r="J4345" s="562"/>
    </row>
    <row r="4346" spans="1:10" x14ac:dyDescent="0.25">
      <c r="A4346" s="362"/>
      <c r="B4346" s="609">
        <v>44363</v>
      </c>
      <c r="C4346" s="362" t="s">
        <v>86</v>
      </c>
      <c r="D4346" s="560">
        <v>69697865</v>
      </c>
      <c r="E4346" s="560">
        <v>67406002</v>
      </c>
      <c r="F4346" s="560">
        <v>137103800</v>
      </c>
      <c r="G4346" s="560">
        <f t="shared" si="100"/>
        <v>67</v>
      </c>
      <c r="H4346" s="560"/>
      <c r="I4346" s="560"/>
      <c r="J4346" s="560"/>
    </row>
    <row r="4347" spans="1:10" x14ac:dyDescent="0.25">
      <c r="A4347" s="362"/>
      <c r="B4347" s="609">
        <v>44363</v>
      </c>
      <c r="C4347" s="362" t="s">
        <v>87</v>
      </c>
      <c r="D4347" s="560">
        <v>60965791</v>
      </c>
      <c r="E4347" s="560">
        <v>9767667</v>
      </c>
      <c r="F4347" s="560">
        <v>70733500</v>
      </c>
      <c r="G4347" s="560">
        <f t="shared" si="100"/>
        <v>-42</v>
      </c>
      <c r="H4347" s="560"/>
      <c r="I4347" s="560"/>
      <c r="J4347" s="560"/>
    </row>
    <row r="4348" spans="1:10" x14ac:dyDescent="0.25">
      <c r="A4348" s="362"/>
      <c r="B4348" s="609">
        <v>44363</v>
      </c>
      <c r="C4348" s="362" t="s">
        <v>88</v>
      </c>
      <c r="D4348" s="560">
        <v>137940294</v>
      </c>
      <c r="E4348" s="560">
        <v>6628557</v>
      </c>
      <c r="F4348" s="560">
        <v>144568800</v>
      </c>
      <c r="G4348" s="560">
        <f t="shared" si="100"/>
        <v>51</v>
      </c>
      <c r="H4348" s="560"/>
      <c r="I4348" s="560"/>
      <c r="J4348" s="560"/>
    </row>
    <row r="4349" spans="1:10" x14ac:dyDescent="0.25">
      <c r="A4349" s="362"/>
      <c r="B4349" s="609">
        <v>44363</v>
      </c>
      <c r="C4349" s="362" t="s">
        <v>82</v>
      </c>
      <c r="D4349" s="560">
        <v>60939642</v>
      </c>
      <c r="E4349" s="560">
        <v>802100</v>
      </c>
      <c r="F4349" s="560">
        <v>61741800</v>
      </c>
      <c r="G4349" s="560">
        <f t="shared" si="100"/>
        <v>-58</v>
      </c>
      <c r="H4349" s="560"/>
      <c r="I4349" s="560"/>
      <c r="J4349" s="560"/>
    </row>
    <row r="4350" spans="1:10" x14ac:dyDescent="0.25">
      <c r="A4350" s="362"/>
      <c r="B4350" s="609">
        <v>44363</v>
      </c>
      <c r="C4350" s="362" t="s">
        <v>80</v>
      </c>
      <c r="D4350" s="560">
        <v>394198951</v>
      </c>
      <c r="E4350" s="560"/>
      <c r="F4350" s="560">
        <v>394198800</v>
      </c>
      <c r="G4350" s="560">
        <f t="shared" si="100"/>
        <v>151</v>
      </c>
      <c r="H4350" s="560"/>
      <c r="I4350" s="560"/>
      <c r="J4350" s="560"/>
    </row>
    <row r="4351" spans="1:10" x14ac:dyDescent="0.25">
      <c r="A4351" s="362"/>
      <c r="B4351" s="609">
        <v>44363</v>
      </c>
      <c r="C4351" s="362" t="s">
        <v>83</v>
      </c>
      <c r="D4351" s="560">
        <v>168586725</v>
      </c>
      <c r="E4351" s="560">
        <v>128444315</v>
      </c>
      <c r="F4351" s="560">
        <v>297031100</v>
      </c>
      <c r="G4351" s="560">
        <f t="shared" si="100"/>
        <v>-60</v>
      </c>
      <c r="H4351" s="560"/>
      <c r="I4351" s="560"/>
      <c r="J4351" s="560"/>
    </row>
    <row r="4352" spans="1:10" x14ac:dyDescent="0.25">
      <c r="A4352" s="362"/>
      <c r="B4352" s="609">
        <v>44363</v>
      </c>
      <c r="C4352" s="362" t="s">
        <v>78</v>
      </c>
      <c r="D4352" s="560">
        <v>93042017</v>
      </c>
      <c r="E4352" s="560">
        <v>2022583</v>
      </c>
      <c r="F4352" s="560">
        <v>95064600</v>
      </c>
      <c r="G4352" s="560">
        <f t="shared" si="100"/>
        <v>0</v>
      </c>
      <c r="H4352" s="560"/>
      <c r="I4352" s="560"/>
      <c r="J4352" s="560"/>
    </row>
    <row r="4353" spans="1:10" x14ac:dyDescent="0.25">
      <c r="A4353" s="362"/>
      <c r="B4353" s="609">
        <v>44363</v>
      </c>
      <c r="C4353" s="362" t="s">
        <v>141</v>
      </c>
      <c r="D4353" s="560">
        <v>77328606</v>
      </c>
      <c r="E4353" s="560">
        <v>713167</v>
      </c>
      <c r="F4353" s="560">
        <v>78041800</v>
      </c>
      <c r="G4353" s="560">
        <f t="shared" si="100"/>
        <v>-27</v>
      </c>
      <c r="H4353" s="560"/>
      <c r="I4353" s="560"/>
      <c r="J4353" s="560"/>
    </row>
    <row r="4354" spans="1:10" x14ac:dyDescent="0.25">
      <c r="A4354" s="362"/>
      <c r="B4354" s="609">
        <v>44363</v>
      </c>
      <c r="C4354" s="362" t="s">
        <v>89</v>
      </c>
      <c r="D4354" s="560">
        <v>110463154</v>
      </c>
      <c r="E4354" s="560">
        <v>6640646</v>
      </c>
      <c r="F4354" s="560">
        <v>117103800</v>
      </c>
      <c r="G4354" s="560">
        <f t="shared" si="100"/>
        <v>0</v>
      </c>
      <c r="H4354" s="560"/>
      <c r="I4354" s="560"/>
      <c r="J4354" s="560"/>
    </row>
    <row r="4355" spans="1:10" x14ac:dyDescent="0.25">
      <c r="A4355" s="362"/>
      <c r="B4355" s="609">
        <v>44363</v>
      </c>
      <c r="C4355" s="362" t="s">
        <v>81</v>
      </c>
      <c r="D4355" s="560">
        <v>108542090</v>
      </c>
      <c r="E4355" s="560">
        <v>12181857</v>
      </c>
      <c r="F4355" s="560">
        <v>120724000</v>
      </c>
      <c r="G4355" s="560">
        <f t="shared" si="100"/>
        <v>-53</v>
      </c>
      <c r="H4355" s="560"/>
      <c r="I4355" s="560"/>
      <c r="J4355" s="560"/>
    </row>
    <row r="4356" spans="1:10" x14ac:dyDescent="0.25">
      <c r="A4356" s="362"/>
      <c r="B4356" s="609">
        <v>44363</v>
      </c>
      <c r="C4356" s="362" t="s">
        <v>84</v>
      </c>
      <c r="D4356" s="560">
        <v>239568178</v>
      </c>
      <c r="E4356" s="560">
        <v>9546013</v>
      </c>
      <c r="F4356" s="560">
        <v>249114200</v>
      </c>
      <c r="G4356" s="560">
        <f t="shared" si="100"/>
        <v>-9</v>
      </c>
      <c r="H4356" s="560"/>
      <c r="I4356" s="560"/>
      <c r="J4356" s="560"/>
    </row>
    <row r="4357" spans="1:10" x14ac:dyDescent="0.25">
      <c r="A4357" s="362"/>
      <c r="B4357" s="609">
        <v>44363</v>
      </c>
      <c r="C4357" s="362" t="s">
        <v>4751</v>
      </c>
      <c r="D4357" s="560">
        <v>180855797</v>
      </c>
      <c r="E4357" s="560">
        <v>27923303</v>
      </c>
      <c r="F4357" s="560">
        <v>208779200</v>
      </c>
      <c r="G4357" s="560">
        <f t="shared" si="100"/>
        <v>-100</v>
      </c>
      <c r="H4357" s="560"/>
      <c r="I4357" s="560"/>
      <c r="J4357" s="560"/>
    </row>
    <row r="4358" spans="1:10" x14ac:dyDescent="0.25">
      <c r="A4358" s="362"/>
      <c r="B4358" s="609">
        <v>44363</v>
      </c>
      <c r="C4358" s="362" t="s">
        <v>166</v>
      </c>
      <c r="D4358" s="560">
        <v>42682171</v>
      </c>
      <c r="E4358" s="560"/>
      <c r="F4358" s="560">
        <v>42682300</v>
      </c>
      <c r="G4358" s="560">
        <f t="shared" si="100"/>
        <v>-129</v>
      </c>
      <c r="H4358" s="560"/>
      <c r="I4358" s="560"/>
      <c r="J4358" s="560"/>
    </row>
    <row r="4359" spans="1:10" x14ac:dyDescent="0.25">
      <c r="A4359" s="362"/>
      <c r="B4359" s="609">
        <v>44363</v>
      </c>
      <c r="C4359" s="362" t="s">
        <v>3435</v>
      </c>
      <c r="D4359" s="560">
        <v>51988385</v>
      </c>
      <c r="E4359" s="560"/>
      <c r="F4359" s="560">
        <v>51988400</v>
      </c>
      <c r="G4359" s="560">
        <f t="shared" si="100"/>
        <v>-15</v>
      </c>
      <c r="H4359" s="560"/>
      <c r="I4359" s="560"/>
      <c r="J4359" s="560"/>
    </row>
    <row r="4360" spans="1:10" x14ac:dyDescent="0.25">
      <c r="A4360" s="362"/>
      <c r="B4360" s="609">
        <v>44363</v>
      </c>
      <c r="C4360" s="370" t="s">
        <v>85</v>
      </c>
      <c r="D4360" s="560">
        <v>37192500</v>
      </c>
      <c r="E4360" s="560"/>
      <c r="F4360" s="560">
        <v>37192500</v>
      </c>
      <c r="G4360" s="560">
        <f t="shared" si="100"/>
        <v>0</v>
      </c>
      <c r="H4360" s="560"/>
      <c r="I4360" s="560"/>
      <c r="J4360" s="560"/>
    </row>
    <row r="4361" spans="1:10" x14ac:dyDescent="0.25">
      <c r="A4361" s="530"/>
      <c r="B4361" s="530"/>
      <c r="C4361" s="530"/>
      <c r="D4361" s="562">
        <f>SUM(D4346:D4360)</f>
        <v>1833992166</v>
      </c>
      <c r="E4361" s="562">
        <f>SUM(E4346:E4360)</f>
        <v>272076210</v>
      </c>
      <c r="F4361" s="562">
        <f>SUM(F4346:F4360)</f>
        <v>2106068600</v>
      </c>
      <c r="G4361" s="562">
        <f>SUM(G4346:G4360)</f>
        <v>-224</v>
      </c>
      <c r="H4361" s="562"/>
      <c r="I4361" s="562"/>
      <c r="J4361" s="562"/>
    </row>
    <row r="4362" spans="1:10" x14ac:dyDescent="0.25">
      <c r="A4362" s="362"/>
      <c r="B4362" s="609">
        <v>44364</v>
      </c>
      <c r="C4362" s="362" t="s">
        <v>86</v>
      </c>
      <c r="D4362" s="560">
        <v>93592963</v>
      </c>
      <c r="E4362" s="560">
        <v>142390788</v>
      </c>
      <c r="F4362" s="560">
        <v>235983700</v>
      </c>
      <c r="G4362" s="560">
        <f t="shared" si="100"/>
        <v>51</v>
      </c>
      <c r="H4362" s="560"/>
      <c r="I4362" s="560"/>
      <c r="J4362" s="560"/>
    </row>
    <row r="4363" spans="1:10" x14ac:dyDescent="0.25">
      <c r="A4363" s="362"/>
      <c r="B4363" s="609">
        <v>44364</v>
      </c>
      <c r="C4363" s="362" t="s">
        <v>87</v>
      </c>
      <c r="D4363" s="560">
        <v>55769740</v>
      </c>
      <c r="E4363" s="560">
        <v>35227218</v>
      </c>
      <c r="F4363" s="560">
        <v>90997100</v>
      </c>
      <c r="G4363" s="560">
        <f t="shared" si="100"/>
        <v>-142</v>
      </c>
      <c r="H4363" s="560"/>
      <c r="I4363" s="560"/>
      <c r="J4363" s="560"/>
    </row>
    <row r="4364" spans="1:10" x14ac:dyDescent="0.25">
      <c r="A4364" s="362"/>
      <c r="B4364" s="609">
        <v>44364</v>
      </c>
      <c r="C4364" s="362" t="s">
        <v>88</v>
      </c>
      <c r="D4364" s="560">
        <v>174616906</v>
      </c>
      <c r="E4364" s="560">
        <v>109367319</v>
      </c>
      <c r="F4364" s="560">
        <v>283984300</v>
      </c>
      <c r="G4364" s="560">
        <f t="shared" ref="G4364:G4427" si="101">D4364+E4364-F4364</f>
        <v>-75</v>
      </c>
      <c r="H4364" s="560"/>
      <c r="I4364" s="560"/>
      <c r="J4364" s="560"/>
    </row>
    <row r="4365" spans="1:10" x14ac:dyDescent="0.25">
      <c r="A4365" s="362"/>
      <c r="B4365" s="609">
        <v>44364</v>
      </c>
      <c r="C4365" s="362" t="s">
        <v>82</v>
      </c>
      <c r="D4365" s="560">
        <v>94204796</v>
      </c>
      <c r="E4365" s="560">
        <v>2230300</v>
      </c>
      <c r="F4365" s="560">
        <v>96435100</v>
      </c>
      <c r="G4365" s="560">
        <f t="shared" si="101"/>
        <v>-4</v>
      </c>
      <c r="H4365" s="560"/>
      <c r="I4365" s="560"/>
      <c r="J4365" s="560"/>
    </row>
    <row r="4366" spans="1:10" x14ac:dyDescent="0.25">
      <c r="A4366" s="362"/>
      <c r="B4366" s="609">
        <v>44364</v>
      </c>
      <c r="C4366" s="362" t="s">
        <v>80</v>
      </c>
      <c r="D4366" s="560">
        <v>209750377</v>
      </c>
      <c r="E4366" s="560">
        <v>758330</v>
      </c>
      <c r="F4366" s="560">
        <v>210503300</v>
      </c>
      <c r="G4366" s="560">
        <f t="shared" si="101"/>
        <v>5407</v>
      </c>
      <c r="H4366" s="560"/>
      <c r="I4366" s="560"/>
      <c r="J4366" s="560"/>
    </row>
    <row r="4367" spans="1:10" x14ac:dyDescent="0.25">
      <c r="A4367" s="362"/>
      <c r="B4367" s="609">
        <v>44364</v>
      </c>
      <c r="C4367" s="362" t="s">
        <v>83</v>
      </c>
      <c r="D4367" s="560">
        <v>196627042</v>
      </c>
      <c r="E4367" s="560">
        <v>38022886</v>
      </c>
      <c r="F4367" s="560">
        <v>234650000</v>
      </c>
      <c r="G4367" s="560">
        <f t="shared" si="101"/>
        <v>-72</v>
      </c>
      <c r="H4367" s="560"/>
      <c r="I4367" s="560"/>
      <c r="J4367" s="560"/>
    </row>
    <row r="4368" spans="1:10" x14ac:dyDescent="0.25">
      <c r="A4368" s="362"/>
      <c r="B4368" s="609">
        <v>44364</v>
      </c>
      <c r="C4368" s="362" t="s">
        <v>78</v>
      </c>
      <c r="D4368" s="560">
        <v>198822482</v>
      </c>
      <c r="E4368" s="560">
        <v>3371918</v>
      </c>
      <c r="F4368" s="560">
        <v>202194400</v>
      </c>
      <c r="G4368" s="560">
        <f t="shared" si="101"/>
        <v>0</v>
      </c>
      <c r="H4368" s="560"/>
      <c r="I4368" s="560"/>
      <c r="J4368" s="560"/>
    </row>
    <row r="4369" spans="1:10" x14ac:dyDescent="0.25">
      <c r="A4369" s="362"/>
      <c r="B4369" s="609">
        <v>44364</v>
      </c>
      <c r="C4369" s="362" t="s">
        <v>141</v>
      </c>
      <c r="D4369" s="560">
        <v>86632226</v>
      </c>
      <c r="E4369" s="560">
        <v>884260</v>
      </c>
      <c r="F4369" s="560">
        <v>87516500</v>
      </c>
      <c r="G4369" s="560">
        <f t="shared" si="101"/>
        <v>-14</v>
      </c>
      <c r="H4369" s="560"/>
      <c r="I4369" s="560"/>
      <c r="J4369" s="560"/>
    </row>
    <row r="4370" spans="1:10" x14ac:dyDescent="0.25">
      <c r="A4370" s="362"/>
      <c r="B4370" s="609">
        <v>44364</v>
      </c>
      <c r="C4370" s="362" t="s">
        <v>89</v>
      </c>
      <c r="D4370" s="560">
        <v>134628080</v>
      </c>
      <c r="E4370" s="560">
        <v>70371420</v>
      </c>
      <c r="F4370" s="560">
        <v>204999500</v>
      </c>
      <c r="G4370" s="560">
        <f t="shared" si="101"/>
        <v>0</v>
      </c>
      <c r="H4370" s="560"/>
      <c r="I4370" s="560"/>
      <c r="J4370" s="560"/>
    </row>
    <row r="4371" spans="1:10" x14ac:dyDescent="0.25">
      <c r="A4371" s="362"/>
      <c r="B4371" s="609">
        <v>44364</v>
      </c>
      <c r="C4371" s="362" t="s">
        <v>81</v>
      </c>
      <c r="D4371" s="560">
        <v>47435952</v>
      </c>
      <c r="E4371" s="560">
        <v>8594844</v>
      </c>
      <c r="F4371" s="560">
        <v>56030800</v>
      </c>
      <c r="G4371" s="560">
        <f t="shared" si="101"/>
        <v>-4</v>
      </c>
      <c r="H4371" s="560"/>
      <c r="I4371" s="560"/>
      <c r="J4371" s="560"/>
    </row>
    <row r="4372" spans="1:10" x14ac:dyDescent="0.25">
      <c r="A4372" s="362"/>
      <c r="B4372" s="609">
        <v>44364</v>
      </c>
      <c r="C4372" s="362" t="s">
        <v>84</v>
      </c>
      <c r="D4372" s="560">
        <v>250716769</v>
      </c>
      <c r="E4372" s="560">
        <v>12053531</v>
      </c>
      <c r="F4372" s="560">
        <v>262770300</v>
      </c>
      <c r="G4372" s="560">
        <f t="shared" si="101"/>
        <v>0</v>
      </c>
      <c r="H4372" s="560"/>
      <c r="I4372" s="560"/>
      <c r="J4372" s="560"/>
    </row>
    <row r="4373" spans="1:10" x14ac:dyDescent="0.25">
      <c r="A4373" s="362"/>
      <c r="B4373" s="609">
        <v>44364</v>
      </c>
      <c r="C4373" s="362" t="s">
        <v>4751</v>
      </c>
      <c r="D4373" s="560">
        <v>282745548</v>
      </c>
      <c r="E4373" s="560">
        <v>17763052</v>
      </c>
      <c r="F4373" s="560">
        <v>300508600</v>
      </c>
      <c r="G4373" s="560">
        <f t="shared" si="101"/>
        <v>0</v>
      </c>
      <c r="H4373" s="560"/>
      <c r="I4373" s="560"/>
      <c r="J4373" s="560"/>
    </row>
    <row r="4374" spans="1:10" x14ac:dyDescent="0.25">
      <c r="A4374" s="362"/>
      <c r="B4374" s="609">
        <v>44364</v>
      </c>
      <c r="C4374" s="362" t="s">
        <v>166</v>
      </c>
      <c r="D4374" s="560">
        <v>101360204</v>
      </c>
      <c r="E4374" s="560"/>
      <c r="F4374" s="560">
        <v>101360300</v>
      </c>
      <c r="G4374" s="560">
        <f t="shared" si="101"/>
        <v>-96</v>
      </c>
      <c r="H4374" s="560"/>
      <c r="I4374" s="560"/>
      <c r="J4374" s="560"/>
    </row>
    <row r="4375" spans="1:10" x14ac:dyDescent="0.25">
      <c r="A4375" s="362"/>
      <c r="B4375" s="609">
        <v>44364</v>
      </c>
      <c r="C4375" s="362" t="s">
        <v>3435</v>
      </c>
      <c r="D4375" s="560">
        <v>33996755</v>
      </c>
      <c r="E4375" s="560"/>
      <c r="F4375" s="560">
        <v>33996800</v>
      </c>
      <c r="G4375" s="560">
        <f t="shared" si="101"/>
        <v>-45</v>
      </c>
      <c r="H4375" s="560"/>
      <c r="I4375" s="560"/>
      <c r="J4375" s="560"/>
    </row>
    <row r="4376" spans="1:10" x14ac:dyDescent="0.25">
      <c r="A4376" s="362"/>
      <c r="B4376" s="609">
        <v>44364</v>
      </c>
      <c r="C4376" s="370" t="s">
        <v>85</v>
      </c>
      <c r="D4376" s="560">
        <v>20541100</v>
      </c>
      <c r="E4376" s="560"/>
      <c r="F4376" s="560">
        <v>20541100</v>
      </c>
      <c r="G4376" s="560">
        <f t="shared" si="101"/>
        <v>0</v>
      </c>
      <c r="H4376" s="560"/>
      <c r="I4376" s="560"/>
      <c r="J4376" s="560"/>
    </row>
    <row r="4377" spans="1:10" x14ac:dyDescent="0.25">
      <c r="A4377" s="530"/>
      <c r="B4377" s="530"/>
      <c r="C4377" s="530"/>
      <c r="D4377" s="562">
        <f>SUM(D4362:D4376)</f>
        <v>1981440940</v>
      </c>
      <c r="E4377" s="562">
        <f>SUM(E4362:E4376)</f>
        <v>441035866</v>
      </c>
      <c r="F4377" s="562">
        <f>SUM(F4362:F4376)</f>
        <v>2422471800</v>
      </c>
      <c r="G4377" s="562">
        <f>SUM(G4362:G4376)</f>
        <v>5006</v>
      </c>
      <c r="H4377" s="562"/>
      <c r="I4377" s="562"/>
      <c r="J4377" s="562"/>
    </row>
    <row r="4378" spans="1:10" x14ac:dyDescent="0.25">
      <c r="A4378" s="362"/>
      <c r="B4378" s="609">
        <v>44365</v>
      </c>
      <c r="C4378" s="362" t="s">
        <v>86</v>
      </c>
      <c r="D4378" s="560">
        <v>52895619</v>
      </c>
      <c r="E4378" s="560">
        <v>135864423</v>
      </c>
      <c r="F4378" s="560">
        <v>188761000</v>
      </c>
      <c r="G4378" s="560">
        <f t="shared" si="101"/>
        <v>-958</v>
      </c>
      <c r="H4378" s="560"/>
      <c r="I4378" s="560"/>
      <c r="J4378" s="560"/>
    </row>
    <row r="4379" spans="1:10" x14ac:dyDescent="0.25">
      <c r="A4379" s="362"/>
      <c r="B4379" s="609">
        <v>44365</v>
      </c>
      <c r="C4379" s="362" t="s">
        <v>87</v>
      </c>
      <c r="D4379" s="560">
        <v>104195438</v>
      </c>
      <c r="E4379" s="560">
        <v>164681238</v>
      </c>
      <c r="F4379" s="560">
        <v>268876700</v>
      </c>
      <c r="G4379" s="560">
        <f t="shared" si="101"/>
        <v>-24</v>
      </c>
      <c r="H4379" s="560"/>
      <c r="I4379" s="560"/>
      <c r="J4379" s="560"/>
    </row>
    <row r="4380" spans="1:10" x14ac:dyDescent="0.25">
      <c r="A4380" s="362"/>
      <c r="B4380" s="609">
        <v>44365</v>
      </c>
      <c r="C4380" s="362" t="s">
        <v>88</v>
      </c>
      <c r="D4380" s="560">
        <v>91925505</v>
      </c>
      <c r="E4380" s="560">
        <v>54455085</v>
      </c>
      <c r="F4380" s="560">
        <v>146380700</v>
      </c>
      <c r="G4380" s="560">
        <f t="shared" si="101"/>
        <v>-110</v>
      </c>
      <c r="H4380" s="560"/>
      <c r="I4380" s="560"/>
      <c r="J4380" s="560"/>
    </row>
    <row r="4381" spans="1:10" x14ac:dyDescent="0.25">
      <c r="A4381" s="362"/>
      <c r="B4381" s="609">
        <v>44365</v>
      </c>
      <c r="C4381" s="362" t="s">
        <v>82</v>
      </c>
      <c r="D4381" s="560">
        <v>46303424</v>
      </c>
      <c r="E4381" s="560">
        <v>4097781</v>
      </c>
      <c r="F4381" s="560">
        <v>50401300</v>
      </c>
      <c r="G4381" s="560">
        <f t="shared" si="101"/>
        <v>-95</v>
      </c>
      <c r="H4381" s="560"/>
      <c r="I4381" s="560"/>
      <c r="J4381" s="560"/>
    </row>
    <row r="4382" spans="1:10" x14ac:dyDescent="0.25">
      <c r="A4382" s="362"/>
      <c r="B4382" s="609">
        <v>44365</v>
      </c>
      <c r="C4382" s="362" t="s">
        <v>80</v>
      </c>
      <c r="D4382" s="560">
        <v>171154844</v>
      </c>
      <c r="E4382" s="560">
        <v>21793956</v>
      </c>
      <c r="F4382" s="560">
        <v>192948800</v>
      </c>
      <c r="G4382" s="560">
        <f t="shared" si="101"/>
        <v>0</v>
      </c>
      <c r="H4382" s="560"/>
      <c r="I4382" s="560"/>
      <c r="J4382" s="560"/>
    </row>
    <row r="4383" spans="1:10" x14ac:dyDescent="0.25">
      <c r="A4383" s="362"/>
      <c r="B4383" s="609">
        <v>44365</v>
      </c>
      <c r="C4383" s="362" t="s">
        <v>83</v>
      </c>
      <c r="D4383" s="560">
        <v>151211683</v>
      </c>
      <c r="E4383" s="560">
        <v>49852195</v>
      </c>
      <c r="F4383" s="560">
        <v>201063900</v>
      </c>
      <c r="G4383" s="560">
        <f t="shared" si="101"/>
        <v>-22</v>
      </c>
      <c r="H4383" s="560"/>
      <c r="I4383" s="560"/>
      <c r="J4383" s="560"/>
    </row>
    <row r="4384" spans="1:10" x14ac:dyDescent="0.25">
      <c r="A4384" s="362"/>
      <c r="B4384" s="609">
        <v>44365</v>
      </c>
      <c r="C4384" s="362" t="s">
        <v>78</v>
      </c>
      <c r="D4384" s="560">
        <v>63062959</v>
      </c>
      <c r="E4384" s="560">
        <v>725841</v>
      </c>
      <c r="F4384" s="560">
        <v>63788800</v>
      </c>
      <c r="G4384" s="560">
        <f t="shared" si="101"/>
        <v>0</v>
      </c>
      <c r="H4384" s="560"/>
      <c r="I4384" s="560"/>
      <c r="J4384" s="560"/>
    </row>
    <row r="4385" spans="1:10" x14ac:dyDescent="0.25">
      <c r="A4385" s="362"/>
      <c r="B4385" s="609">
        <v>44365</v>
      </c>
      <c r="C4385" s="362" t="s">
        <v>141</v>
      </c>
      <c r="D4385" s="560">
        <v>61845992</v>
      </c>
      <c r="E4385" s="560">
        <v>868200</v>
      </c>
      <c r="F4385" s="560">
        <v>62714200</v>
      </c>
      <c r="G4385" s="560">
        <f t="shared" si="101"/>
        <v>-8</v>
      </c>
      <c r="H4385" s="560"/>
      <c r="I4385" s="560"/>
      <c r="J4385" s="560"/>
    </row>
    <row r="4386" spans="1:10" x14ac:dyDescent="0.25">
      <c r="A4386" s="362"/>
      <c r="B4386" s="609">
        <v>44365</v>
      </c>
      <c r="C4386" s="362" t="s">
        <v>89</v>
      </c>
      <c r="D4386" s="560">
        <v>127826735</v>
      </c>
      <c r="E4386" s="560">
        <v>20242265</v>
      </c>
      <c r="F4386" s="560">
        <v>148068900</v>
      </c>
      <c r="G4386" s="560">
        <f t="shared" si="101"/>
        <v>100</v>
      </c>
      <c r="H4386" s="560"/>
      <c r="I4386" s="560"/>
      <c r="J4386" s="560"/>
    </row>
    <row r="4387" spans="1:10" x14ac:dyDescent="0.25">
      <c r="A4387" s="362"/>
      <c r="B4387" s="609">
        <v>44365</v>
      </c>
      <c r="C4387" s="362" t="s">
        <v>81</v>
      </c>
      <c r="D4387" s="560">
        <v>31493897</v>
      </c>
      <c r="E4387" s="560">
        <v>16667570</v>
      </c>
      <c r="F4387" s="560">
        <v>48161500</v>
      </c>
      <c r="G4387" s="560">
        <f t="shared" si="101"/>
        <v>-33</v>
      </c>
      <c r="H4387" s="560"/>
      <c r="I4387" s="560"/>
      <c r="J4387" s="560"/>
    </row>
    <row r="4388" spans="1:10" x14ac:dyDescent="0.25">
      <c r="A4388" s="362"/>
      <c r="B4388" s="609">
        <v>44365</v>
      </c>
      <c r="C4388" s="362" t="s">
        <v>84</v>
      </c>
      <c r="D4388" s="560">
        <v>182874458</v>
      </c>
      <c r="E4388" s="560">
        <v>7675909</v>
      </c>
      <c r="F4388" s="560">
        <v>190550900</v>
      </c>
      <c r="G4388" s="560">
        <f t="shared" si="101"/>
        <v>-533</v>
      </c>
      <c r="H4388" s="560"/>
      <c r="I4388" s="560"/>
      <c r="J4388" s="560"/>
    </row>
    <row r="4389" spans="1:10" x14ac:dyDescent="0.25">
      <c r="A4389" s="362"/>
      <c r="B4389" s="609">
        <v>44365</v>
      </c>
      <c r="C4389" s="362" t="s">
        <v>4751</v>
      </c>
      <c r="D4389" s="560">
        <v>167140183</v>
      </c>
      <c r="E4389" s="560">
        <v>8794617</v>
      </c>
      <c r="F4389" s="560">
        <v>175937800</v>
      </c>
      <c r="G4389" s="560">
        <f t="shared" si="101"/>
        <v>-3000</v>
      </c>
      <c r="H4389" s="560"/>
      <c r="I4389" s="560"/>
      <c r="J4389" s="560"/>
    </row>
    <row r="4390" spans="1:10" x14ac:dyDescent="0.25">
      <c r="A4390" s="362"/>
      <c r="B4390" s="609">
        <v>44365</v>
      </c>
      <c r="C4390" s="362" t="s">
        <v>166</v>
      </c>
      <c r="D4390" s="560">
        <v>51362159</v>
      </c>
      <c r="E4390" s="560"/>
      <c r="F4390" s="940">
        <v>51362200</v>
      </c>
      <c r="G4390" s="560">
        <f t="shared" si="101"/>
        <v>-41</v>
      </c>
      <c r="H4390" s="560"/>
      <c r="I4390" s="560"/>
      <c r="J4390" s="560"/>
    </row>
    <row r="4391" spans="1:10" x14ac:dyDescent="0.25">
      <c r="A4391" s="362"/>
      <c r="B4391" s="609">
        <v>44365</v>
      </c>
      <c r="C4391" s="362" t="s">
        <v>3435</v>
      </c>
      <c r="D4391" s="560">
        <v>21678768</v>
      </c>
      <c r="E4391" s="560"/>
      <c r="F4391" s="560">
        <v>21678800</v>
      </c>
      <c r="G4391" s="560">
        <f t="shared" si="101"/>
        <v>-32</v>
      </c>
      <c r="H4391" s="560"/>
      <c r="I4391" s="560"/>
      <c r="J4391" s="560"/>
    </row>
    <row r="4392" spans="1:10" x14ac:dyDescent="0.25">
      <c r="A4392" s="362"/>
      <c r="B4392" s="609">
        <v>44365</v>
      </c>
      <c r="C4392" s="370" t="s">
        <v>85</v>
      </c>
      <c r="D4392" s="560">
        <v>23958400</v>
      </c>
      <c r="E4392" s="560"/>
      <c r="F4392" s="560">
        <v>23958400</v>
      </c>
      <c r="G4392" s="560">
        <f t="shared" si="101"/>
        <v>0</v>
      </c>
      <c r="H4392" s="560"/>
      <c r="I4392" s="560"/>
      <c r="J4392" s="560"/>
    </row>
    <row r="4393" spans="1:10" x14ac:dyDescent="0.25">
      <c r="A4393" s="530"/>
      <c r="B4393" s="530"/>
      <c r="C4393" s="530"/>
      <c r="D4393" s="562">
        <f>SUM(D4378:D4392)</f>
        <v>1348930064</v>
      </c>
      <c r="E4393" s="562">
        <f>SUM(E4378:E4392)</f>
        <v>485719080</v>
      </c>
      <c r="F4393" s="562">
        <f>SUM(F4378:F4392)</f>
        <v>1834653900</v>
      </c>
      <c r="G4393" s="562">
        <f>SUM(G4378:G4392)</f>
        <v>-4756</v>
      </c>
      <c r="H4393" s="562"/>
      <c r="I4393" s="562"/>
      <c r="J4393" s="562"/>
    </row>
    <row r="4394" spans="1:10" x14ac:dyDescent="0.25">
      <c r="A4394" s="362"/>
      <c r="B4394" s="609">
        <v>44366</v>
      </c>
      <c r="C4394" s="362" t="s">
        <v>86</v>
      </c>
      <c r="D4394" s="560">
        <v>39544676</v>
      </c>
      <c r="E4394" s="560">
        <v>115016612</v>
      </c>
      <c r="F4394" s="560">
        <v>154561200</v>
      </c>
      <c r="G4394" s="560">
        <f t="shared" si="101"/>
        <v>88</v>
      </c>
      <c r="H4394" s="560"/>
      <c r="I4394" s="560"/>
      <c r="J4394" s="560"/>
    </row>
    <row r="4395" spans="1:10" x14ac:dyDescent="0.25">
      <c r="A4395" s="362"/>
      <c r="B4395" s="609">
        <v>44366</v>
      </c>
      <c r="C4395" s="362" t="s">
        <v>87</v>
      </c>
      <c r="D4395" s="560">
        <v>29214280</v>
      </c>
      <c r="E4395" s="560">
        <v>10665584</v>
      </c>
      <c r="F4395" s="560">
        <v>39879900</v>
      </c>
      <c r="G4395" s="560">
        <f t="shared" si="101"/>
        <v>-36</v>
      </c>
      <c r="H4395" s="560"/>
      <c r="I4395" s="560"/>
      <c r="J4395" s="560"/>
    </row>
    <row r="4396" spans="1:10" x14ac:dyDescent="0.25">
      <c r="A4396" s="362"/>
      <c r="B4396" s="609">
        <v>44366</v>
      </c>
      <c r="C4396" s="362" t="s">
        <v>88</v>
      </c>
      <c r="D4396" s="560">
        <v>106118975</v>
      </c>
      <c r="E4396" s="560">
        <v>213957588</v>
      </c>
      <c r="F4396" s="560">
        <v>320076600</v>
      </c>
      <c r="G4396" s="560">
        <f t="shared" si="101"/>
        <v>-37</v>
      </c>
      <c r="H4396" s="560"/>
      <c r="I4396" s="560"/>
      <c r="J4396" s="560"/>
    </row>
    <row r="4397" spans="1:10" x14ac:dyDescent="0.25">
      <c r="A4397" s="362"/>
      <c r="B4397" s="609">
        <v>44366</v>
      </c>
      <c r="C4397" s="362" t="s">
        <v>82</v>
      </c>
      <c r="D4397" s="560">
        <v>35337632</v>
      </c>
      <c r="E4397" s="560">
        <v>49641900</v>
      </c>
      <c r="F4397" s="560">
        <v>84980000</v>
      </c>
      <c r="G4397" s="560">
        <f t="shared" si="101"/>
        <v>-468</v>
      </c>
      <c r="H4397" s="560"/>
      <c r="I4397" s="560"/>
      <c r="J4397" s="560"/>
    </row>
    <row r="4398" spans="1:10" x14ac:dyDescent="0.25">
      <c r="A4398" s="362"/>
      <c r="B4398" s="609">
        <v>44366</v>
      </c>
      <c r="C4398" s="362" t="s">
        <v>80</v>
      </c>
      <c r="D4398" s="560">
        <v>130997939</v>
      </c>
      <c r="E4398" s="560">
        <v>11950562</v>
      </c>
      <c r="F4398" s="560">
        <v>142935300</v>
      </c>
      <c r="G4398" s="560">
        <f t="shared" si="101"/>
        <v>13201</v>
      </c>
      <c r="H4398" s="560"/>
      <c r="I4398" s="560"/>
      <c r="J4398" s="560"/>
    </row>
    <row r="4399" spans="1:10" x14ac:dyDescent="0.25">
      <c r="A4399" s="362"/>
      <c r="B4399" s="609">
        <v>44366</v>
      </c>
      <c r="C4399" s="362" t="s">
        <v>83</v>
      </c>
      <c r="D4399" s="560">
        <v>115982081</v>
      </c>
      <c r="E4399" s="560">
        <v>302634237</v>
      </c>
      <c r="F4399" s="560">
        <v>418961700</v>
      </c>
      <c r="G4399" s="560">
        <f t="shared" si="101"/>
        <v>-345382</v>
      </c>
      <c r="H4399" s="560"/>
      <c r="I4399" s="560"/>
      <c r="J4399" s="560"/>
    </row>
    <row r="4400" spans="1:10" x14ac:dyDescent="0.25">
      <c r="A4400" s="362"/>
      <c r="B4400" s="609">
        <v>44366</v>
      </c>
      <c r="C4400" s="362" t="s">
        <v>78</v>
      </c>
      <c r="D4400" s="560">
        <v>98752843</v>
      </c>
      <c r="E4400" s="560">
        <v>4578757</v>
      </c>
      <c r="F4400" s="560">
        <v>103331600</v>
      </c>
      <c r="G4400" s="560">
        <f t="shared" si="101"/>
        <v>0</v>
      </c>
      <c r="H4400" s="560"/>
      <c r="I4400" s="560"/>
      <c r="J4400" s="560"/>
    </row>
    <row r="4401" spans="1:10" x14ac:dyDescent="0.25">
      <c r="A4401" s="362"/>
      <c r="B4401" s="609">
        <v>44366</v>
      </c>
      <c r="C4401" s="362" t="s">
        <v>141</v>
      </c>
      <c r="D4401" s="560">
        <v>29207143</v>
      </c>
      <c r="E4401" s="560">
        <v>3186415</v>
      </c>
      <c r="F4401" s="560">
        <v>32393600</v>
      </c>
      <c r="G4401" s="560">
        <f t="shared" si="101"/>
        <v>-42</v>
      </c>
      <c r="H4401" s="560"/>
      <c r="I4401" s="560"/>
      <c r="J4401" s="560"/>
    </row>
    <row r="4402" spans="1:10" x14ac:dyDescent="0.25">
      <c r="A4402" s="362"/>
      <c r="B4402" s="609">
        <v>44366</v>
      </c>
      <c r="C4402" s="362" t="s">
        <v>89</v>
      </c>
      <c r="D4402" s="560">
        <v>45247424</v>
      </c>
      <c r="E4402" s="560">
        <v>84928464</v>
      </c>
      <c r="F4402" s="560">
        <v>130176000</v>
      </c>
      <c r="G4402" s="560">
        <f t="shared" si="101"/>
        <v>-112</v>
      </c>
      <c r="H4402" s="560"/>
      <c r="I4402" s="560"/>
      <c r="J4402" s="560"/>
    </row>
    <row r="4403" spans="1:10" x14ac:dyDescent="0.25">
      <c r="A4403" s="362"/>
      <c r="B4403" s="609">
        <v>44366</v>
      </c>
      <c r="C4403" s="362" t="s">
        <v>81</v>
      </c>
      <c r="D4403" s="560">
        <v>68187702</v>
      </c>
      <c r="E4403" s="560">
        <v>3870267</v>
      </c>
      <c r="F4403" s="560">
        <f>14934000+57124000</f>
        <v>72058000</v>
      </c>
      <c r="G4403" s="560">
        <f t="shared" si="101"/>
        <v>-31</v>
      </c>
      <c r="H4403" s="560"/>
      <c r="I4403" s="560"/>
      <c r="J4403" s="560"/>
    </row>
    <row r="4404" spans="1:10" x14ac:dyDescent="0.25">
      <c r="A4404" s="362"/>
      <c r="B4404" s="609">
        <v>44366</v>
      </c>
      <c r="C4404" s="362" t="s">
        <v>84</v>
      </c>
      <c r="D4404" s="560">
        <v>172181352</v>
      </c>
      <c r="E4404" s="560">
        <v>60485417</v>
      </c>
      <c r="F4404" s="560">
        <v>232667000</v>
      </c>
      <c r="G4404" s="560">
        <f t="shared" si="101"/>
        <v>-231</v>
      </c>
      <c r="H4404" s="560"/>
      <c r="I4404" s="560"/>
      <c r="J4404" s="560"/>
    </row>
    <row r="4405" spans="1:10" x14ac:dyDescent="0.25">
      <c r="A4405" s="362"/>
      <c r="B4405" s="609">
        <v>44366</v>
      </c>
      <c r="C4405" s="362" t="s">
        <v>4751</v>
      </c>
      <c r="D4405" s="560">
        <v>149050616</v>
      </c>
      <c r="E4405" s="560">
        <v>10634984</v>
      </c>
      <c r="F4405" s="560">
        <v>159685600</v>
      </c>
      <c r="G4405" s="560">
        <f t="shared" si="101"/>
        <v>0</v>
      </c>
      <c r="H4405" s="560"/>
      <c r="I4405" s="560"/>
      <c r="J4405" s="560"/>
    </row>
    <row r="4406" spans="1:10" x14ac:dyDescent="0.25">
      <c r="A4406" s="362"/>
      <c r="B4406" s="609">
        <v>44366</v>
      </c>
      <c r="C4406" s="362" t="s">
        <v>166</v>
      </c>
      <c r="D4406" s="560"/>
      <c r="E4406" s="560"/>
      <c r="F4406" s="560"/>
      <c r="G4406" s="560">
        <f t="shared" si="101"/>
        <v>0</v>
      </c>
      <c r="H4406" s="560"/>
      <c r="I4406" s="560"/>
      <c r="J4406" s="560"/>
    </row>
    <row r="4407" spans="1:10" x14ac:dyDescent="0.25">
      <c r="A4407" s="362"/>
      <c r="B4407" s="609">
        <v>44366</v>
      </c>
      <c r="C4407" s="362" t="s">
        <v>3435</v>
      </c>
      <c r="D4407" s="560"/>
      <c r="E4407" s="560"/>
      <c r="F4407" s="560"/>
      <c r="G4407" s="560">
        <f t="shared" si="101"/>
        <v>0</v>
      </c>
      <c r="H4407" s="560"/>
      <c r="I4407" s="560"/>
      <c r="J4407" s="560"/>
    </row>
    <row r="4408" spans="1:10" x14ac:dyDescent="0.25">
      <c r="A4408" s="362"/>
      <c r="B4408" s="609">
        <v>44366</v>
      </c>
      <c r="C4408" s="370" t="s">
        <v>85</v>
      </c>
      <c r="D4408" s="560">
        <v>7823800</v>
      </c>
      <c r="E4408" s="560"/>
      <c r="F4408" s="560">
        <v>7823800</v>
      </c>
      <c r="G4408" s="560">
        <f t="shared" si="101"/>
        <v>0</v>
      </c>
      <c r="H4408" s="560"/>
      <c r="I4408" s="560"/>
      <c r="J4408" s="560"/>
    </row>
    <row r="4409" spans="1:10" x14ac:dyDescent="0.25">
      <c r="A4409" s="530"/>
      <c r="B4409" s="530"/>
      <c r="C4409" s="530"/>
      <c r="D4409" s="562">
        <f>SUM(D4394:D4408)</f>
        <v>1027646463</v>
      </c>
      <c r="E4409" s="562">
        <f>SUM(E4394:E4408)</f>
        <v>871550787</v>
      </c>
      <c r="F4409" s="562">
        <f>SUM(F4394:F4408)</f>
        <v>1899530300</v>
      </c>
      <c r="G4409" s="562">
        <f>SUM(G4394:G4408)</f>
        <v>-333050</v>
      </c>
      <c r="H4409" s="562"/>
      <c r="I4409" s="562"/>
      <c r="J4409" s="562"/>
    </row>
    <row r="4410" spans="1:10" x14ac:dyDescent="0.25">
      <c r="A4410" s="362"/>
      <c r="B4410" s="609">
        <v>44368</v>
      </c>
      <c r="C4410" s="362" t="s">
        <v>86</v>
      </c>
      <c r="D4410" s="560">
        <v>52588734</v>
      </c>
      <c r="E4410" s="560">
        <v>34351801</v>
      </c>
      <c r="F4410" s="560">
        <v>86940600</v>
      </c>
      <c r="G4410" s="560">
        <f t="shared" si="101"/>
        <v>-65</v>
      </c>
      <c r="H4410" s="560"/>
      <c r="I4410" s="560"/>
      <c r="J4410" s="560"/>
    </row>
    <row r="4411" spans="1:10" x14ac:dyDescent="0.25">
      <c r="A4411" s="362"/>
      <c r="B4411" s="609">
        <v>44368</v>
      </c>
      <c r="C4411" s="362" t="s">
        <v>87</v>
      </c>
      <c r="D4411" s="560">
        <v>138997420</v>
      </c>
      <c r="E4411" s="560">
        <v>116498226</v>
      </c>
      <c r="F4411" s="560">
        <v>255495700</v>
      </c>
      <c r="G4411" s="560">
        <f t="shared" si="101"/>
        <v>-54</v>
      </c>
      <c r="H4411" s="560"/>
      <c r="I4411" s="560"/>
      <c r="J4411" s="560"/>
    </row>
    <row r="4412" spans="1:10" x14ac:dyDescent="0.25">
      <c r="A4412" s="362"/>
      <c r="B4412" s="609">
        <v>44368</v>
      </c>
      <c r="C4412" s="362" t="s">
        <v>88</v>
      </c>
      <c r="D4412" s="560">
        <v>212423797</v>
      </c>
      <c r="E4412" s="560">
        <v>12990331</v>
      </c>
      <c r="F4412" s="560">
        <v>225414200</v>
      </c>
      <c r="G4412" s="560">
        <f t="shared" si="101"/>
        <v>-72</v>
      </c>
      <c r="H4412" s="560"/>
      <c r="I4412" s="560"/>
      <c r="J4412" s="560"/>
    </row>
    <row r="4413" spans="1:10" x14ac:dyDescent="0.25">
      <c r="A4413" s="362"/>
      <c r="B4413" s="609">
        <v>44368</v>
      </c>
      <c r="C4413" s="362" t="s">
        <v>82</v>
      </c>
      <c r="D4413" s="560">
        <v>38116043</v>
      </c>
      <c r="E4413" s="560">
        <v>3927157</v>
      </c>
      <c r="F4413" s="560">
        <v>42043200</v>
      </c>
      <c r="G4413" s="560">
        <f t="shared" si="101"/>
        <v>0</v>
      </c>
      <c r="H4413" s="560"/>
      <c r="I4413" s="560"/>
      <c r="J4413" s="560"/>
    </row>
    <row r="4414" spans="1:10" x14ac:dyDescent="0.25">
      <c r="A4414" s="362"/>
      <c r="B4414" s="609">
        <v>44368</v>
      </c>
      <c r="C4414" s="362" t="s">
        <v>80</v>
      </c>
      <c r="D4414" s="560">
        <v>252701696</v>
      </c>
      <c r="E4414" s="560">
        <v>18731731</v>
      </c>
      <c r="F4414" s="560">
        <v>271439100</v>
      </c>
      <c r="G4414" s="560">
        <f t="shared" si="101"/>
        <v>-5673</v>
      </c>
      <c r="H4414" s="560"/>
      <c r="I4414" s="560"/>
      <c r="J4414" s="560"/>
    </row>
    <row r="4415" spans="1:10" x14ac:dyDescent="0.25">
      <c r="A4415" s="362"/>
      <c r="B4415" s="609">
        <v>44368</v>
      </c>
      <c r="C4415" s="362" t="s">
        <v>83</v>
      </c>
      <c r="D4415" s="560">
        <v>278117437</v>
      </c>
      <c r="E4415" s="560">
        <v>231479032</v>
      </c>
      <c r="F4415" s="560">
        <v>512962200</v>
      </c>
      <c r="G4415" s="560">
        <f t="shared" si="101"/>
        <v>-3365731</v>
      </c>
      <c r="H4415" s="560"/>
      <c r="I4415" s="560"/>
      <c r="J4415" s="560"/>
    </row>
    <row r="4416" spans="1:10" x14ac:dyDescent="0.25">
      <c r="A4416" s="362"/>
      <c r="B4416" s="609">
        <v>44368</v>
      </c>
      <c r="C4416" s="362" t="s">
        <v>78</v>
      </c>
      <c r="D4416" s="560">
        <v>150685783</v>
      </c>
      <c r="E4416" s="560">
        <v>1236317</v>
      </c>
      <c r="F4416" s="560">
        <v>151922100</v>
      </c>
      <c r="G4416" s="560">
        <f t="shared" si="101"/>
        <v>0</v>
      </c>
      <c r="H4416" s="560"/>
      <c r="I4416" s="560"/>
      <c r="J4416" s="560"/>
    </row>
    <row r="4417" spans="1:10" x14ac:dyDescent="0.25">
      <c r="A4417" s="362"/>
      <c r="B4417" s="609">
        <v>44368</v>
      </c>
      <c r="C4417" s="362" t="s">
        <v>141</v>
      </c>
      <c r="D4417" s="560">
        <v>118002628</v>
      </c>
      <c r="E4417" s="560">
        <v>2369827</v>
      </c>
      <c r="F4417" s="560">
        <v>120372500</v>
      </c>
      <c r="G4417" s="560">
        <f t="shared" si="101"/>
        <v>-45</v>
      </c>
      <c r="H4417" s="560"/>
      <c r="I4417" s="560"/>
      <c r="J4417" s="560"/>
    </row>
    <row r="4418" spans="1:10" x14ac:dyDescent="0.25">
      <c r="A4418" s="362"/>
      <c r="B4418" s="609">
        <v>44368</v>
      </c>
      <c r="C4418" s="362" t="s">
        <v>89</v>
      </c>
      <c r="D4418" s="560">
        <v>128710837</v>
      </c>
      <c r="E4418" s="560">
        <v>13371063</v>
      </c>
      <c r="F4418" s="560">
        <v>142081800</v>
      </c>
      <c r="G4418" s="560">
        <f t="shared" si="101"/>
        <v>100</v>
      </c>
      <c r="H4418" s="560"/>
      <c r="I4418" s="560"/>
      <c r="J4418" s="560"/>
    </row>
    <row r="4419" spans="1:10" x14ac:dyDescent="0.25">
      <c r="A4419" s="362"/>
      <c r="B4419" s="609">
        <v>44368</v>
      </c>
      <c r="C4419" s="362" t="s">
        <v>81</v>
      </c>
      <c r="D4419" s="560">
        <v>51730556</v>
      </c>
      <c r="E4419" s="560">
        <v>12215785</v>
      </c>
      <c r="F4419" s="560">
        <v>63948900</v>
      </c>
      <c r="G4419" s="560">
        <f t="shared" si="101"/>
        <v>-2559</v>
      </c>
      <c r="H4419" s="560"/>
      <c r="I4419" s="560"/>
      <c r="J4419" s="560"/>
    </row>
    <row r="4420" spans="1:10" x14ac:dyDescent="0.25">
      <c r="A4420" s="362"/>
      <c r="B4420" s="609">
        <v>44368</v>
      </c>
      <c r="C4420" s="362" t="s">
        <v>84</v>
      </c>
      <c r="D4420" s="560">
        <v>165516585</v>
      </c>
      <c r="E4420" s="560">
        <v>6041120</v>
      </c>
      <c r="F4420" s="560">
        <v>171557800</v>
      </c>
      <c r="G4420" s="560">
        <f t="shared" si="101"/>
        <v>-95</v>
      </c>
      <c r="H4420" s="560"/>
      <c r="I4420" s="560"/>
      <c r="J4420" s="560"/>
    </row>
    <row r="4421" spans="1:10" x14ac:dyDescent="0.25">
      <c r="A4421" s="362"/>
      <c r="B4421" s="609">
        <v>44368</v>
      </c>
      <c r="C4421" s="362" t="s">
        <v>4751</v>
      </c>
      <c r="D4421" s="560">
        <v>186705981</v>
      </c>
      <c r="E4421" s="560">
        <v>13141719</v>
      </c>
      <c r="F4421" s="560">
        <v>199847700</v>
      </c>
      <c r="G4421" s="560">
        <f t="shared" si="101"/>
        <v>0</v>
      </c>
      <c r="H4421" s="560"/>
      <c r="I4421" s="560"/>
      <c r="J4421" s="560"/>
    </row>
    <row r="4422" spans="1:10" x14ac:dyDescent="0.25">
      <c r="A4422" s="362"/>
      <c r="B4422" s="609">
        <v>44368</v>
      </c>
      <c r="C4422" s="362" t="s">
        <v>166</v>
      </c>
      <c r="D4422" s="560">
        <v>62689663</v>
      </c>
      <c r="E4422" s="560"/>
      <c r="F4422" s="560">
        <v>62689700</v>
      </c>
      <c r="G4422" s="560">
        <f t="shared" si="101"/>
        <v>-37</v>
      </c>
      <c r="H4422" s="560"/>
      <c r="I4422" s="560"/>
      <c r="J4422" s="560"/>
    </row>
    <row r="4423" spans="1:10" x14ac:dyDescent="0.25">
      <c r="A4423" s="362"/>
      <c r="B4423" s="609">
        <v>44368</v>
      </c>
      <c r="C4423" s="362" t="s">
        <v>3435</v>
      </c>
      <c r="D4423" s="560"/>
      <c r="E4423" s="560"/>
      <c r="F4423" s="560"/>
      <c r="G4423" s="560">
        <f t="shared" si="101"/>
        <v>0</v>
      </c>
      <c r="H4423" s="560"/>
      <c r="I4423" s="560"/>
      <c r="J4423" s="560"/>
    </row>
    <row r="4424" spans="1:10" x14ac:dyDescent="0.25">
      <c r="A4424" s="362"/>
      <c r="B4424" s="609">
        <v>44368</v>
      </c>
      <c r="C4424" s="370" t="s">
        <v>85</v>
      </c>
      <c r="D4424" s="560">
        <v>29539400</v>
      </c>
      <c r="E4424" s="560"/>
      <c r="F4424" s="560">
        <v>29539400</v>
      </c>
      <c r="G4424" s="560">
        <f t="shared" si="101"/>
        <v>0</v>
      </c>
      <c r="H4424" s="560"/>
      <c r="I4424" s="560"/>
      <c r="J4424" s="560"/>
    </row>
    <row r="4425" spans="1:10" x14ac:dyDescent="0.25">
      <c r="A4425" s="530"/>
      <c r="B4425" s="530"/>
      <c r="C4425" s="530"/>
      <c r="D4425" s="562">
        <f>SUM(D4410:D4424)</f>
        <v>1866526560</v>
      </c>
      <c r="E4425" s="562">
        <f>SUM(E4410:E4424)</f>
        <v>466354109</v>
      </c>
      <c r="F4425" s="562">
        <f>SUM(F4410:F4424)</f>
        <v>2336254900</v>
      </c>
      <c r="G4425" s="562">
        <f>SUM(G4410:G4424)</f>
        <v>-3374231</v>
      </c>
      <c r="H4425" s="562"/>
      <c r="I4425" s="562"/>
      <c r="J4425" s="562"/>
    </row>
    <row r="4426" spans="1:10" x14ac:dyDescent="0.25">
      <c r="A4426" s="362"/>
      <c r="B4426" s="609">
        <v>44369</v>
      </c>
      <c r="C4426" s="362" t="s">
        <v>86</v>
      </c>
      <c r="D4426" s="560">
        <v>37647568</v>
      </c>
      <c r="E4426" s="560">
        <v>100549652</v>
      </c>
      <c r="F4426" s="560">
        <v>138197000</v>
      </c>
      <c r="G4426" s="560">
        <f t="shared" si="101"/>
        <v>220</v>
      </c>
      <c r="H4426" s="560"/>
      <c r="I4426" s="560"/>
      <c r="J4426" s="560"/>
    </row>
    <row r="4427" spans="1:10" x14ac:dyDescent="0.25">
      <c r="A4427" s="362"/>
      <c r="B4427" s="609">
        <v>44369</v>
      </c>
      <c r="C4427" s="362" t="s">
        <v>87</v>
      </c>
      <c r="D4427" s="560">
        <v>279140118</v>
      </c>
      <c r="E4427" s="560">
        <v>45094514</v>
      </c>
      <c r="F4427" s="560">
        <v>324234700</v>
      </c>
      <c r="G4427" s="560">
        <f t="shared" si="101"/>
        <v>-68</v>
      </c>
      <c r="H4427" s="560"/>
      <c r="I4427" s="560"/>
      <c r="J4427" s="560"/>
    </row>
    <row r="4428" spans="1:10" x14ac:dyDescent="0.25">
      <c r="A4428" s="362"/>
      <c r="B4428" s="609">
        <v>44369</v>
      </c>
      <c r="C4428" s="362" t="s">
        <v>88</v>
      </c>
      <c r="D4428" s="560">
        <v>209095956</v>
      </c>
      <c r="E4428" s="560">
        <v>38869318</v>
      </c>
      <c r="F4428" s="560">
        <v>247965300</v>
      </c>
      <c r="G4428" s="560">
        <f t="shared" ref="G4428:G4491" si="102">D4428+E4428-F4428</f>
        <v>-26</v>
      </c>
      <c r="H4428" s="560"/>
      <c r="I4428" s="560"/>
      <c r="J4428" s="560"/>
    </row>
    <row r="4429" spans="1:10" x14ac:dyDescent="0.25">
      <c r="A4429" s="362"/>
      <c r="B4429" s="609">
        <v>44369</v>
      </c>
      <c r="C4429" s="362" t="s">
        <v>82</v>
      </c>
      <c r="D4429" s="560">
        <v>41363955</v>
      </c>
      <c r="E4429" s="560">
        <v>3154397</v>
      </c>
      <c r="F4429" s="560">
        <v>44518400</v>
      </c>
      <c r="G4429" s="560">
        <f t="shared" si="102"/>
        <v>-48</v>
      </c>
      <c r="H4429" s="560"/>
      <c r="I4429" s="560"/>
      <c r="J4429" s="560"/>
    </row>
    <row r="4430" spans="1:10" x14ac:dyDescent="0.25">
      <c r="A4430" s="362"/>
      <c r="B4430" s="609">
        <v>44369</v>
      </c>
      <c r="C4430" s="362" t="s">
        <v>80</v>
      </c>
      <c r="D4430" s="560">
        <v>231238235</v>
      </c>
      <c r="E4430" s="560"/>
      <c r="F4430" s="560">
        <v>231268200</v>
      </c>
      <c r="G4430" s="560">
        <f t="shared" si="102"/>
        <v>-29965</v>
      </c>
      <c r="H4430" s="560"/>
      <c r="I4430" s="560"/>
      <c r="J4430" s="560"/>
    </row>
    <row r="4431" spans="1:10" x14ac:dyDescent="0.25">
      <c r="A4431" s="362"/>
      <c r="B4431" s="609">
        <v>44369</v>
      </c>
      <c r="C4431" s="362" t="s">
        <v>83</v>
      </c>
      <c r="D4431" s="560">
        <v>238260762</v>
      </c>
      <c r="E4431" s="560">
        <v>109094648</v>
      </c>
      <c r="F4431" s="560">
        <v>347355500</v>
      </c>
      <c r="G4431" s="560">
        <f t="shared" si="102"/>
        <v>-90</v>
      </c>
      <c r="H4431" s="560"/>
      <c r="I4431" s="560"/>
      <c r="J4431" s="560"/>
    </row>
    <row r="4432" spans="1:10" x14ac:dyDescent="0.25">
      <c r="A4432" s="362"/>
      <c r="B4432" s="609">
        <v>44369</v>
      </c>
      <c r="C4432" s="362" t="s">
        <v>78</v>
      </c>
      <c r="D4432" s="560">
        <v>93691321</v>
      </c>
      <c r="E4432" s="560">
        <v>3264179</v>
      </c>
      <c r="F4432" s="560">
        <v>96955500</v>
      </c>
      <c r="G4432" s="560">
        <f t="shared" si="102"/>
        <v>0</v>
      </c>
      <c r="H4432" s="560"/>
      <c r="I4432" s="560"/>
      <c r="J4432" s="560"/>
    </row>
    <row r="4433" spans="1:10" x14ac:dyDescent="0.25">
      <c r="A4433" s="362"/>
      <c r="B4433" s="609">
        <v>44369</v>
      </c>
      <c r="C4433" s="362" t="s">
        <v>141</v>
      </c>
      <c r="D4433" s="560">
        <v>66855120</v>
      </c>
      <c r="E4433" s="560">
        <v>1270326</v>
      </c>
      <c r="F4433" s="560">
        <v>68125500</v>
      </c>
      <c r="G4433" s="560">
        <f t="shared" si="102"/>
        <v>-54</v>
      </c>
      <c r="H4433" s="560"/>
      <c r="I4433" s="560"/>
      <c r="J4433" s="560"/>
    </row>
    <row r="4434" spans="1:10" x14ac:dyDescent="0.25">
      <c r="A4434" s="362"/>
      <c r="B4434" s="609">
        <v>44369</v>
      </c>
      <c r="C4434" s="362" t="s">
        <v>89</v>
      </c>
      <c r="D4434" s="560">
        <v>103188544</v>
      </c>
      <c r="E4434" s="560">
        <v>20645156</v>
      </c>
      <c r="F4434" s="560">
        <v>123833700</v>
      </c>
      <c r="G4434" s="560">
        <f t="shared" si="102"/>
        <v>0</v>
      </c>
      <c r="H4434" s="560"/>
      <c r="I4434" s="560"/>
      <c r="J4434" s="560"/>
    </row>
    <row r="4435" spans="1:10" x14ac:dyDescent="0.25">
      <c r="A4435" s="362"/>
      <c r="B4435" s="609">
        <v>44369</v>
      </c>
      <c r="C4435" s="362" t="s">
        <v>81</v>
      </c>
      <c r="D4435" s="560">
        <v>91175106</v>
      </c>
      <c r="E4435" s="560">
        <v>5400603</v>
      </c>
      <c r="F4435" s="560">
        <v>96575700</v>
      </c>
      <c r="G4435" s="560">
        <f t="shared" si="102"/>
        <v>9</v>
      </c>
      <c r="H4435" s="560"/>
      <c r="I4435" s="560"/>
      <c r="J4435" s="560"/>
    </row>
    <row r="4436" spans="1:10" x14ac:dyDescent="0.25">
      <c r="A4436" s="362"/>
      <c r="B4436" s="609">
        <v>44369</v>
      </c>
      <c r="C4436" s="362" t="s">
        <v>84</v>
      </c>
      <c r="D4436" s="560">
        <v>174946697</v>
      </c>
      <c r="E4436" s="560">
        <v>15236369</v>
      </c>
      <c r="F4436" s="560">
        <v>190183100</v>
      </c>
      <c r="G4436" s="560">
        <f t="shared" si="102"/>
        <v>-34</v>
      </c>
      <c r="H4436" s="560"/>
      <c r="I4436" s="560"/>
      <c r="J4436" s="560"/>
    </row>
    <row r="4437" spans="1:10" x14ac:dyDescent="0.25">
      <c r="A4437" s="362"/>
      <c r="B4437" s="609">
        <v>44369</v>
      </c>
      <c r="C4437" s="362" t="s">
        <v>4751</v>
      </c>
      <c r="D4437" s="560">
        <v>201491987</v>
      </c>
      <c r="E4437" s="560">
        <v>12366013</v>
      </c>
      <c r="F4437" s="560">
        <v>213858000</v>
      </c>
      <c r="G4437" s="560">
        <f t="shared" si="102"/>
        <v>0</v>
      </c>
      <c r="H4437" s="560"/>
      <c r="I4437" s="560"/>
      <c r="J4437" s="560"/>
    </row>
    <row r="4438" spans="1:10" x14ac:dyDescent="0.25">
      <c r="A4438" s="362"/>
      <c r="B4438" s="609">
        <v>44369</v>
      </c>
      <c r="C4438" s="362" t="s">
        <v>166</v>
      </c>
      <c r="D4438" s="560">
        <v>197775790</v>
      </c>
      <c r="E4438" s="560"/>
      <c r="F4438" s="560">
        <v>197775800</v>
      </c>
      <c r="G4438" s="560">
        <f t="shared" si="102"/>
        <v>-10</v>
      </c>
      <c r="H4438" s="560"/>
      <c r="I4438" s="560"/>
      <c r="J4438" s="560"/>
    </row>
    <row r="4439" spans="1:10" x14ac:dyDescent="0.25">
      <c r="A4439" s="362"/>
      <c r="B4439" s="609">
        <v>44369</v>
      </c>
      <c r="C4439" s="362" t="s">
        <v>3435</v>
      </c>
      <c r="D4439" s="560"/>
      <c r="E4439" s="560"/>
      <c r="F4439" s="560"/>
      <c r="G4439" s="560">
        <f t="shared" si="102"/>
        <v>0</v>
      </c>
      <c r="H4439" s="560"/>
      <c r="I4439" s="560"/>
      <c r="J4439" s="560"/>
    </row>
    <row r="4440" spans="1:10" x14ac:dyDescent="0.25">
      <c r="A4440" s="362"/>
      <c r="B4440" s="609">
        <v>44369</v>
      </c>
      <c r="C4440" s="370" t="s">
        <v>85</v>
      </c>
      <c r="D4440" s="560">
        <v>37130300</v>
      </c>
      <c r="E4440" s="560"/>
      <c r="F4440" s="560">
        <v>37130300</v>
      </c>
      <c r="G4440" s="560">
        <f t="shared" si="102"/>
        <v>0</v>
      </c>
      <c r="H4440" s="560"/>
      <c r="I4440" s="560"/>
      <c r="J4440" s="560"/>
    </row>
    <row r="4441" spans="1:10" x14ac:dyDescent="0.25">
      <c r="A4441" s="530"/>
      <c r="B4441" s="530"/>
      <c r="C4441" s="530"/>
      <c r="D4441" s="562">
        <f>SUM(D4426:D4440)</f>
        <v>2003001459</v>
      </c>
      <c r="E4441" s="562">
        <f>SUM(E4426:E4440)</f>
        <v>354945175</v>
      </c>
      <c r="F4441" s="562">
        <f>SUM(F4426:F4440)</f>
        <v>2357976700</v>
      </c>
      <c r="G4441" s="562">
        <f>SUM(G4426:G4440)</f>
        <v>-30066</v>
      </c>
      <c r="H4441" s="562">
        <f>SUM(H4426:H4440)</f>
        <v>0</v>
      </c>
      <c r="I4441" s="562"/>
      <c r="J4441" s="562"/>
    </row>
    <row r="4442" spans="1:10" x14ac:dyDescent="0.25">
      <c r="A4442" s="362"/>
      <c r="B4442" s="609">
        <v>44370</v>
      </c>
      <c r="C4442" s="362" t="s">
        <v>86</v>
      </c>
      <c r="D4442" s="560">
        <v>60675545</v>
      </c>
      <c r="E4442" s="560">
        <v>26179022</v>
      </c>
      <c r="F4442" s="560">
        <v>88854600</v>
      </c>
      <c r="G4442" s="560">
        <f t="shared" si="102"/>
        <v>-2000033</v>
      </c>
      <c r="H4442" s="560"/>
      <c r="I4442" s="560"/>
      <c r="J4442" s="560"/>
    </row>
    <row r="4443" spans="1:10" x14ac:dyDescent="0.25">
      <c r="A4443" s="362"/>
      <c r="B4443" s="609">
        <v>44370</v>
      </c>
      <c r="C4443" s="362" t="s">
        <v>87</v>
      </c>
      <c r="D4443" s="560">
        <v>127402549</v>
      </c>
      <c r="E4443" s="560">
        <v>6531436</v>
      </c>
      <c r="F4443" s="560">
        <v>133934000</v>
      </c>
      <c r="G4443" s="560">
        <f t="shared" si="102"/>
        <v>-15</v>
      </c>
      <c r="H4443" s="560"/>
      <c r="I4443" s="560"/>
      <c r="J4443" s="560"/>
    </row>
    <row r="4444" spans="1:10" x14ac:dyDescent="0.25">
      <c r="A4444" s="362"/>
      <c r="B4444" s="609">
        <v>44370</v>
      </c>
      <c r="C4444" s="362" t="s">
        <v>88</v>
      </c>
      <c r="D4444" s="560">
        <v>272295550</v>
      </c>
      <c r="E4444" s="560">
        <v>16591742</v>
      </c>
      <c r="F4444" s="560">
        <v>288887300</v>
      </c>
      <c r="G4444" s="560">
        <f t="shared" si="102"/>
        <v>-8</v>
      </c>
      <c r="H4444" s="560"/>
      <c r="I4444" s="560"/>
      <c r="J4444" s="560"/>
    </row>
    <row r="4445" spans="1:10" x14ac:dyDescent="0.25">
      <c r="A4445" s="362"/>
      <c r="B4445" s="609">
        <v>44370</v>
      </c>
      <c r="C4445" s="362" t="s">
        <v>82</v>
      </c>
      <c r="D4445" s="560">
        <v>90136530</v>
      </c>
      <c r="E4445" s="560">
        <v>678000</v>
      </c>
      <c r="F4445" s="560">
        <v>90814600</v>
      </c>
      <c r="G4445" s="560">
        <f t="shared" si="102"/>
        <v>-70</v>
      </c>
      <c r="H4445" s="560"/>
      <c r="I4445" s="560"/>
      <c r="J4445" s="560"/>
    </row>
    <row r="4446" spans="1:10" x14ac:dyDescent="0.25">
      <c r="A4446" s="362"/>
      <c r="B4446" s="609">
        <v>44370</v>
      </c>
      <c r="C4446" s="362" t="s">
        <v>80</v>
      </c>
      <c r="D4446" s="560">
        <v>272638943</v>
      </c>
      <c r="E4446" s="560">
        <v>14732696</v>
      </c>
      <c r="F4446" s="560">
        <v>287371600</v>
      </c>
      <c r="G4446" s="560">
        <f t="shared" si="102"/>
        <v>39</v>
      </c>
      <c r="H4446" s="362"/>
      <c r="I4446" s="362"/>
      <c r="J4446" s="362"/>
    </row>
    <row r="4447" spans="1:10" x14ac:dyDescent="0.25">
      <c r="A4447" s="362"/>
      <c r="B4447" s="609">
        <v>44370</v>
      </c>
      <c r="C4447" s="362" t="s">
        <v>83</v>
      </c>
      <c r="D4447" s="560">
        <v>292159108</v>
      </c>
      <c r="E4447" s="560">
        <v>164355792</v>
      </c>
      <c r="F4447" s="560">
        <v>456514900</v>
      </c>
      <c r="G4447" s="560">
        <f t="shared" si="102"/>
        <v>0</v>
      </c>
      <c r="H4447" s="362"/>
      <c r="I4447" s="362"/>
      <c r="J4447" s="362"/>
    </row>
    <row r="4448" spans="1:10" x14ac:dyDescent="0.25">
      <c r="A4448" s="362"/>
      <c r="B4448" s="609">
        <v>44370</v>
      </c>
      <c r="C4448" s="362" t="s">
        <v>78</v>
      </c>
      <c r="D4448" s="560">
        <v>90619949</v>
      </c>
      <c r="E4448" s="560">
        <v>180551</v>
      </c>
      <c r="F4448" s="560">
        <v>90800500</v>
      </c>
      <c r="G4448" s="560">
        <f t="shared" si="102"/>
        <v>0</v>
      </c>
      <c r="H4448" s="362"/>
      <c r="I4448" s="362"/>
      <c r="J4448" s="362"/>
    </row>
    <row r="4449" spans="1:10" x14ac:dyDescent="0.25">
      <c r="A4449" s="362"/>
      <c r="B4449" s="609">
        <v>44370</v>
      </c>
      <c r="C4449" s="362" t="s">
        <v>141</v>
      </c>
      <c r="D4449" s="560">
        <v>158032237</v>
      </c>
      <c r="E4449" s="560">
        <v>1976621</v>
      </c>
      <c r="F4449" s="560">
        <v>160008700</v>
      </c>
      <c r="G4449" s="560">
        <f t="shared" si="102"/>
        <v>158</v>
      </c>
      <c r="H4449" s="362"/>
      <c r="I4449" s="362"/>
      <c r="J4449" s="362"/>
    </row>
    <row r="4450" spans="1:10" x14ac:dyDescent="0.25">
      <c r="A4450" s="362"/>
      <c r="B4450" s="609">
        <v>44370</v>
      </c>
      <c r="C4450" s="362" t="s">
        <v>89</v>
      </c>
      <c r="D4450" s="560">
        <v>135779273</v>
      </c>
      <c r="E4450" s="560">
        <v>30092127</v>
      </c>
      <c r="F4450" s="560">
        <v>165871400</v>
      </c>
      <c r="G4450" s="560">
        <f t="shared" si="102"/>
        <v>0</v>
      </c>
      <c r="H4450" s="362"/>
      <c r="I4450" s="362"/>
      <c r="J4450" s="362"/>
    </row>
    <row r="4451" spans="1:10" x14ac:dyDescent="0.25">
      <c r="A4451" s="362"/>
      <c r="B4451" s="609">
        <v>44370</v>
      </c>
      <c r="C4451" s="362" t="s">
        <v>81</v>
      </c>
      <c r="D4451" s="560">
        <v>96434459</v>
      </c>
      <c r="E4451" s="560">
        <v>41043060</v>
      </c>
      <c r="F4451" s="560">
        <v>137477600</v>
      </c>
      <c r="G4451" s="560">
        <f t="shared" si="102"/>
        <v>-81</v>
      </c>
      <c r="H4451" s="362"/>
      <c r="I4451" s="362"/>
      <c r="J4451" s="362"/>
    </row>
    <row r="4452" spans="1:10" x14ac:dyDescent="0.25">
      <c r="A4452" s="362"/>
      <c r="B4452" s="609">
        <v>44370</v>
      </c>
      <c r="C4452" s="362" t="s">
        <v>84</v>
      </c>
      <c r="D4452" s="560">
        <v>306810275</v>
      </c>
      <c r="E4452" s="560">
        <v>19662940</v>
      </c>
      <c r="F4452" s="560">
        <v>326473300</v>
      </c>
      <c r="G4452" s="560">
        <f t="shared" si="102"/>
        <v>-85</v>
      </c>
      <c r="H4452" s="362"/>
      <c r="I4452" s="362"/>
      <c r="J4452" s="362"/>
    </row>
    <row r="4453" spans="1:10" x14ac:dyDescent="0.25">
      <c r="A4453" s="362"/>
      <c r="B4453" s="609">
        <v>44370</v>
      </c>
      <c r="C4453" s="362" t="s">
        <v>4751</v>
      </c>
      <c r="D4453" s="560">
        <v>146477382</v>
      </c>
      <c r="E4453" s="560">
        <v>14931718</v>
      </c>
      <c r="F4453" s="560">
        <v>161409100</v>
      </c>
      <c r="G4453" s="560">
        <f t="shared" si="102"/>
        <v>0</v>
      </c>
      <c r="H4453" s="362"/>
      <c r="I4453" s="362"/>
      <c r="J4453" s="362"/>
    </row>
    <row r="4454" spans="1:10" x14ac:dyDescent="0.25">
      <c r="A4454" s="362"/>
      <c r="B4454" s="609">
        <v>44370</v>
      </c>
      <c r="C4454" s="362" t="s">
        <v>166</v>
      </c>
      <c r="D4454" s="560">
        <v>58884864</v>
      </c>
      <c r="E4454" s="560"/>
      <c r="F4454" s="560">
        <v>58884900</v>
      </c>
      <c r="G4454" s="560">
        <f t="shared" si="102"/>
        <v>-36</v>
      </c>
      <c r="H4454" s="362"/>
      <c r="I4454" s="362"/>
      <c r="J4454" s="362"/>
    </row>
    <row r="4455" spans="1:10" x14ac:dyDescent="0.25">
      <c r="A4455" s="362"/>
      <c r="B4455" s="609">
        <v>44370</v>
      </c>
      <c r="C4455" s="362" t="s">
        <v>3435</v>
      </c>
      <c r="D4455" s="560">
        <v>52775029</v>
      </c>
      <c r="E4455" s="560"/>
      <c r="F4455" s="560">
        <v>52775100</v>
      </c>
      <c r="G4455" s="560">
        <f t="shared" si="102"/>
        <v>-71</v>
      </c>
      <c r="H4455" s="362"/>
      <c r="I4455" s="362"/>
      <c r="J4455" s="362"/>
    </row>
    <row r="4456" spans="1:10" x14ac:dyDescent="0.25">
      <c r="A4456" s="362"/>
      <c r="B4456" s="609">
        <v>44370</v>
      </c>
      <c r="C4456" s="370" t="s">
        <v>85</v>
      </c>
      <c r="D4456" s="560">
        <v>43761900</v>
      </c>
      <c r="E4456" s="560"/>
      <c r="F4456" s="560">
        <v>43761900</v>
      </c>
      <c r="G4456" s="560">
        <f t="shared" si="102"/>
        <v>0</v>
      </c>
      <c r="H4456" s="362"/>
      <c r="I4456" s="362"/>
      <c r="J4456" s="362"/>
    </row>
    <row r="4457" spans="1:10" x14ac:dyDescent="0.25">
      <c r="A4457" s="530"/>
      <c r="B4457" s="530"/>
      <c r="C4457" s="530"/>
      <c r="D4457" s="562">
        <f>SUM(D4442:D4456)</f>
        <v>2204883593</v>
      </c>
      <c r="E4457" s="562">
        <f>SUM(E4442:E4456)</f>
        <v>336955705</v>
      </c>
      <c r="F4457" s="562">
        <f>SUM(F4442:F4456)</f>
        <v>2543839500</v>
      </c>
      <c r="G4457" s="562">
        <f>SUM(G4442:G4456)</f>
        <v>-2000202</v>
      </c>
      <c r="H4457" s="530"/>
      <c r="I4457" s="530"/>
      <c r="J4457" s="530"/>
    </row>
    <row r="4458" spans="1:10" x14ac:dyDescent="0.25">
      <c r="A4458" s="362"/>
      <c r="B4458" s="609">
        <v>44371</v>
      </c>
      <c r="C4458" s="362" t="s">
        <v>86</v>
      </c>
      <c r="D4458" s="560">
        <v>90701575</v>
      </c>
      <c r="E4458" s="560">
        <v>63739111</v>
      </c>
      <c r="F4458" s="560"/>
      <c r="G4458" s="560">
        <f t="shared" si="102"/>
        <v>154440686</v>
      </c>
      <c r="H4458" s="362"/>
      <c r="I4458" s="362"/>
      <c r="J4458" s="362"/>
    </row>
    <row r="4459" spans="1:10" x14ac:dyDescent="0.25">
      <c r="A4459" s="362"/>
      <c r="B4459" s="609">
        <v>44371</v>
      </c>
      <c r="C4459" s="362" t="s">
        <v>87</v>
      </c>
      <c r="D4459" s="560">
        <v>70988240</v>
      </c>
      <c r="E4459" s="560">
        <v>82402970</v>
      </c>
      <c r="F4459" s="560"/>
      <c r="G4459" s="560">
        <f t="shared" si="102"/>
        <v>153391210</v>
      </c>
      <c r="H4459" s="362"/>
      <c r="I4459" s="362"/>
      <c r="J4459" s="362"/>
    </row>
    <row r="4460" spans="1:10" x14ac:dyDescent="0.25">
      <c r="A4460" s="362"/>
      <c r="B4460" s="609">
        <v>44371</v>
      </c>
      <c r="C4460" s="362" t="s">
        <v>88</v>
      </c>
      <c r="D4460" s="560">
        <v>240748669</v>
      </c>
      <c r="E4460" s="560">
        <v>12224956</v>
      </c>
      <c r="F4460" s="560"/>
      <c r="G4460" s="560">
        <f t="shared" si="102"/>
        <v>252973625</v>
      </c>
      <c r="H4460" s="362"/>
      <c r="I4460" s="362"/>
      <c r="J4460" s="362"/>
    </row>
    <row r="4461" spans="1:10" x14ac:dyDescent="0.25">
      <c r="A4461" s="362"/>
      <c r="B4461" s="609">
        <v>44371</v>
      </c>
      <c r="C4461" s="362" t="s">
        <v>82</v>
      </c>
      <c r="D4461" s="560">
        <v>144756248</v>
      </c>
      <c r="E4461" s="560">
        <v>1151041</v>
      </c>
      <c r="F4461" s="560"/>
      <c r="G4461" s="560">
        <f t="shared" si="102"/>
        <v>145907289</v>
      </c>
      <c r="H4461" s="362"/>
      <c r="I4461" s="362"/>
      <c r="J4461" s="362"/>
    </row>
    <row r="4462" spans="1:10" x14ac:dyDescent="0.25">
      <c r="A4462" s="362"/>
      <c r="B4462" s="609">
        <v>44371</v>
      </c>
      <c r="C4462" s="362" t="s">
        <v>80</v>
      </c>
      <c r="D4462" s="560">
        <v>299719000</v>
      </c>
      <c r="E4462" s="560"/>
      <c r="F4462" s="560"/>
      <c r="G4462" s="560">
        <f t="shared" si="102"/>
        <v>299719000</v>
      </c>
      <c r="H4462" s="362"/>
      <c r="I4462" s="362"/>
      <c r="J4462" s="362"/>
    </row>
    <row r="4463" spans="1:10" x14ac:dyDescent="0.25">
      <c r="A4463" s="362"/>
      <c r="B4463" s="609">
        <v>44371</v>
      </c>
      <c r="C4463" s="362" t="s">
        <v>83</v>
      </c>
      <c r="D4463" s="560">
        <v>213029489</v>
      </c>
      <c r="E4463" s="560">
        <v>13358245</v>
      </c>
      <c r="F4463" s="560"/>
      <c r="G4463" s="560">
        <f t="shared" si="102"/>
        <v>226387734</v>
      </c>
      <c r="H4463" s="362"/>
      <c r="I4463" s="362"/>
      <c r="J4463" s="362"/>
    </row>
    <row r="4464" spans="1:10" x14ac:dyDescent="0.25">
      <c r="A4464" s="362"/>
      <c r="B4464" s="609">
        <v>44371</v>
      </c>
      <c r="C4464" s="362" t="s">
        <v>78</v>
      </c>
      <c r="D4464" s="560">
        <v>149662566</v>
      </c>
      <c r="E4464" s="560">
        <v>335834</v>
      </c>
      <c r="F4464" s="560"/>
      <c r="G4464" s="560">
        <f t="shared" si="102"/>
        <v>149998400</v>
      </c>
      <c r="H4464" s="362"/>
      <c r="I4464" s="362"/>
      <c r="J4464" s="362"/>
    </row>
    <row r="4465" spans="1:10" x14ac:dyDescent="0.25">
      <c r="A4465" s="362"/>
      <c r="B4465" s="609">
        <v>44371</v>
      </c>
      <c r="C4465" s="362" t="s">
        <v>141</v>
      </c>
      <c r="D4465" s="560">
        <v>96543360</v>
      </c>
      <c r="E4465" s="560">
        <v>2076176</v>
      </c>
      <c r="F4465" s="560"/>
      <c r="G4465" s="560">
        <f t="shared" si="102"/>
        <v>98619536</v>
      </c>
      <c r="H4465" s="362"/>
      <c r="I4465" s="362"/>
      <c r="J4465" s="362"/>
    </row>
    <row r="4466" spans="1:10" x14ac:dyDescent="0.25">
      <c r="A4466" s="362"/>
      <c r="B4466" s="609">
        <v>44371</v>
      </c>
      <c r="C4466" s="362" t="s">
        <v>89</v>
      </c>
      <c r="D4466" s="560">
        <v>168193705</v>
      </c>
      <c r="E4466" s="560">
        <v>12632195</v>
      </c>
      <c r="F4466" s="560"/>
      <c r="G4466" s="560">
        <f t="shared" si="102"/>
        <v>180825900</v>
      </c>
      <c r="H4466" s="362"/>
      <c r="I4466" s="362"/>
      <c r="J4466" s="362"/>
    </row>
    <row r="4467" spans="1:10" x14ac:dyDescent="0.25">
      <c r="A4467" s="362"/>
      <c r="B4467" s="609">
        <v>44371</v>
      </c>
      <c r="C4467" s="362" t="s">
        <v>81</v>
      </c>
      <c r="D4467" s="560">
        <v>88499465</v>
      </c>
      <c r="E4467" s="560">
        <v>19455740</v>
      </c>
      <c r="F4467" s="560"/>
      <c r="G4467" s="560">
        <f t="shared" si="102"/>
        <v>107955205</v>
      </c>
      <c r="H4467" s="362"/>
      <c r="I4467" s="362"/>
      <c r="J4467" s="362"/>
    </row>
    <row r="4468" spans="1:10" x14ac:dyDescent="0.25">
      <c r="A4468" s="362"/>
      <c r="B4468" s="609">
        <v>44371</v>
      </c>
      <c r="C4468" s="362" t="s">
        <v>84</v>
      </c>
      <c r="D4468" s="560">
        <v>169693872</v>
      </c>
      <c r="E4468" s="560">
        <v>15998396</v>
      </c>
      <c r="F4468" s="560"/>
      <c r="G4468" s="560">
        <f t="shared" si="102"/>
        <v>185692268</v>
      </c>
      <c r="H4468" s="362"/>
      <c r="I4468" s="362"/>
      <c r="J4468" s="362"/>
    </row>
    <row r="4469" spans="1:10" x14ac:dyDescent="0.25">
      <c r="A4469" s="362"/>
      <c r="B4469" s="609">
        <v>44371</v>
      </c>
      <c r="C4469" s="362" t="s">
        <v>4751</v>
      </c>
      <c r="D4469" s="560">
        <v>194540568</v>
      </c>
      <c r="E4469" s="560">
        <v>12263432</v>
      </c>
      <c r="F4469" s="560"/>
      <c r="G4469" s="560">
        <f t="shared" si="102"/>
        <v>206804000</v>
      </c>
      <c r="H4469" s="362"/>
      <c r="I4469" s="362"/>
      <c r="J4469" s="362"/>
    </row>
    <row r="4470" spans="1:10" x14ac:dyDescent="0.25">
      <c r="A4470" s="362"/>
      <c r="B4470" s="609">
        <v>44371</v>
      </c>
      <c r="C4470" s="362" t="s">
        <v>166</v>
      </c>
      <c r="D4470" s="560">
        <v>78477589</v>
      </c>
      <c r="E4470" s="560"/>
      <c r="F4470" s="560"/>
      <c r="G4470" s="560">
        <f t="shared" si="102"/>
        <v>78477589</v>
      </c>
      <c r="H4470" s="362"/>
      <c r="I4470" s="362"/>
      <c r="J4470" s="362"/>
    </row>
    <row r="4471" spans="1:10" x14ac:dyDescent="0.25">
      <c r="A4471" s="362"/>
      <c r="B4471" s="609">
        <v>44371</v>
      </c>
      <c r="C4471" s="362" t="s">
        <v>3435</v>
      </c>
      <c r="D4471" s="560">
        <v>47070818</v>
      </c>
      <c r="E4471" s="560"/>
      <c r="F4471" s="560"/>
      <c r="G4471" s="560">
        <f t="shared" si="102"/>
        <v>47070818</v>
      </c>
      <c r="H4471" s="362"/>
      <c r="I4471" s="362"/>
      <c r="J4471" s="362"/>
    </row>
    <row r="4472" spans="1:10" x14ac:dyDescent="0.25">
      <c r="A4472" s="362"/>
      <c r="B4472" s="609">
        <v>44371</v>
      </c>
      <c r="C4472" s="370" t="s">
        <v>85</v>
      </c>
      <c r="D4472" s="560">
        <v>19714600</v>
      </c>
      <c r="E4472" s="560"/>
      <c r="F4472" s="560"/>
      <c r="G4472" s="560">
        <f t="shared" si="102"/>
        <v>19714600</v>
      </c>
      <c r="H4472" s="362"/>
      <c r="I4472" s="362"/>
      <c r="J4472" s="362"/>
    </row>
    <row r="4473" spans="1:10" x14ac:dyDescent="0.25">
      <c r="A4473" s="530"/>
      <c r="B4473" s="530"/>
      <c r="C4473" s="530"/>
      <c r="D4473" s="562">
        <f>SUM(D4458:D4472)</f>
        <v>2072339764</v>
      </c>
      <c r="E4473" s="562">
        <f>SUM(E4458:E4472)</f>
        <v>235638096</v>
      </c>
      <c r="F4473" s="562">
        <f>SUM(F4458:F4472)</f>
        <v>0</v>
      </c>
      <c r="G4473" s="562">
        <f>SUM(G4458:G4472)</f>
        <v>2307977860</v>
      </c>
      <c r="H4473" s="530"/>
      <c r="I4473" s="530"/>
      <c r="J4473" s="530"/>
    </row>
    <row r="4474" spans="1:10" x14ac:dyDescent="0.25">
      <c r="A4474" s="362"/>
      <c r="B4474" s="609">
        <v>44372</v>
      </c>
      <c r="C4474" s="362" t="s">
        <v>86</v>
      </c>
      <c r="D4474" s="560">
        <v>10297357</v>
      </c>
      <c r="E4474" s="560">
        <v>49679730</v>
      </c>
      <c r="F4474" s="560"/>
      <c r="G4474" s="560">
        <f t="shared" si="102"/>
        <v>59977087</v>
      </c>
      <c r="H4474" s="362"/>
      <c r="I4474" s="362"/>
      <c r="J4474" s="362"/>
    </row>
    <row r="4475" spans="1:10" x14ac:dyDescent="0.25">
      <c r="A4475" s="362"/>
      <c r="B4475" s="609">
        <v>44372</v>
      </c>
      <c r="C4475" s="362" t="s">
        <v>87</v>
      </c>
      <c r="D4475" s="560">
        <v>76591656</v>
      </c>
      <c r="E4475" s="560">
        <v>35518338</v>
      </c>
      <c r="F4475" s="560"/>
      <c r="G4475" s="560">
        <f t="shared" si="102"/>
        <v>112109994</v>
      </c>
      <c r="H4475" s="362"/>
      <c r="I4475" s="362"/>
      <c r="J4475" s="362"/>
    </row>
    <row r="4476" spans="1:10" x14ac:dyDescent="0.25">
      <c r="A4476" s="362"/>
      <c r="B4476" s="609">
        <v>44372</v>
      </c>
      <c r="C4476" s="362" t="s">
        <v>88</v>
      </c>
      <c r="D4476" s="560">
        <v>131790548</v>
      </c>
      <c r="E4476" s="560">
        <v>115392000</v>
      </c>
      <c r="F4476" s="560"/>
      <c r="G4476" s="560">
        <f t="shared" si="102"/>
        <v>247182548</v>
      </c>
      <c r="H4476" s="362"/>
      <c r="I4476" s="362"/>
      <c r="J4476" s="362"/>
    </row>
    <row r="4477" spans="1:10" x14ac:dyDescent="0.25">
      <c r="A4477" s="362"/>
      <c r="B4477" s="609">
        <v>44372</v>
      </c>
      <c r="C4477" s="362" t="s">
        <v>82</v>
      </c>
      <c r="D4477" s="560">
        <v>98976360</v>
      </c>
      <c r="E4477" s="560">
        <v>3335861</v>
      </c>
      <c r="F4477" s="560"/>
      <c r="G4477" s="560">
        <f t="shared" si="102"/>
        <v>102312221</v>
      </c>
      <c r="H4477" s="362"/>
      <c r="I4477" s="362"/>
      <c r="J4477" s="362"/>
    </row>
    <row r="4478" spans="1:10" x14ac:dyDescent="0.25">
      <c r="A4478" s="362"/>
      <c r="B4478" s="609">
        <v>44372</v>
      </c>
      <c r="C4478" s="362" t="s">
        <v>80</v>
      </c>
      <c r="D4478" s="560">
        <v>237598284</v>
      </c>
      <c r="E4478" s="560"/>
      <c r="F4478" s="560"/>
      <c r="G4478" s="560">
        <f t="shared" si="102"/>
        <v>237598284</v>
      </c>
      <c r="H4478" s="362"/>
      <c r="I4478" s="362"/>
      <c r="J4478" s="362"/>
    </row>
    <row r="4479" spans="1:10" x14ac:dyDescent="0.25">
      <c r="A4479" s="362"/>
      <c r="B4479" s="609">
        <v>44372</v>
      </c>
      <c r="C4479" s="362" t="s">
        <v>83</v>
      </c>
      <c r="D4479" s="560">
        <v>293481830</v>
      </c>
      <c r="E4479" s="560">
        <v>100183125</v>
      </c>
      <c r="F4479" s="560"/>
      <c r="G4479" s="560">
        <f t="shared" si="102"/>
        <v>393664955</v>
      </c>
      <c r="H4479" s="362"/>
      <c r="I4479" s="362"/>
      <c r="J4479" s="362"/>
    </row>
    <row r="4480" spans="1:10" x14ac:dyDescent="0.25">
      <c r="A4480" s="362"/>
      <c r="B4480" s="609">
        <v>44372</v>
      </c>
      <c r="C4480" s="362" t="s">
        <v>78</v>
      </c>
      <c r="D4480" s="560">
        <v>155580300</v>
      </c>
      <c r="E4480" s="560"/>
      <c r="F4480" s="560"/>
      <c r="G4480" s="560">
        <f t="shared" si="102"/>
        <v>155580300</v>
      </c>
      <c r="H4480" s="362"/>
      <c r="I4480" s="362"/>
      <c r="J4480" s="362"/>
    </row>
    <row r="4481" spans="1:10" x14ac:dyDescent="0.25">
      <c r="A4481" s="362"/>
      <c r="B4481" s="609">
        <v>44372</v>
      </c>
      <c r="C4481" s="362" t="s">
        <v>141</v>
      </c>
      <c r="D4481" s="560">
        <v>59450710</v>
      </c>
      <c r="E4481" s="560">
        <v>1565509</v>
      </c>
      <c r="F4481" s="560"/>
      <c r="G4481" s="560">
        <f t="shared" si="102"/>
        <v>61016219</v>
      </c>
      <c r="H4481" s="362"/>
      <c r="I4481" s="362"/>
      <c r="J4481" s="362"/>
    </row>
    <row r="4482" spans="1:10" x14ac:dyDescent="0.25">
      <c r="A4482" s="362"/>
      <c r="B4482" s="609">
        <v>44372</v>
      </c>
      <c r="C4482" s="362" t="s">
        <v>89</v>
      </c>
      <c r="D4482" s="560">
        <v>127796880</v>
      </c>
      <c r="E4482" s="560">
        <v>5900000</v>
      </c>
      <c r="F4482" s="560"/>
      <c r="G4482" s="560">
        <f t="shared" si="102"/>
        <v>133696880</v>
      </c>
      <c r="H4482" s="362"/>
      <c r="I4482" s="362"/>
      <c r="J4482" s="362"/>
    </row>
    <row r="4483" spans="1:10" x14ac:dyDescent="0.25">
      <c r="A4483" s="362"/>
      <c r="B4483" s="609">
        <v>44372</v>
      </c>
      <c r="C4483" s="362" t="s">
        <v>81</v>
      </c>
      <c r="D4483" s="560">
        <v>89015198</v>
      </c>
      <c r="E4483" s="560">
        <v>9872335</v>
      </c>
      <c r="F4483" s="560"/>
      <c r="G4483" s="560">
        <f t="shared" si="102"/>
        <v>98887533</v>
      </c>
      <c r="H4483" s="362"/>
      <c r="I4483" s="362"/>
      <c r="J4483" s="362"/>
    </row>
    <row r="4484" spans="1:10" x14ac:dyDescent="0.25">
      <c r="A4484" s="362"/>
      <c r="B4484" s="609">
        <v>44372</v>
      </c>
      <c r="C4484" s="362" t="s">
        <v>84</v>
      </c>
      <c r="D4484" s="560">
        <v>231886654</v>
      </c>
      <c r="E4484" s="560">
        <v>6943003</v>
      </c>
      <c r="F4484" s="560"/>
      <c r="G4484" s="560">
        <f t="shared" si="102"/>
        <v>238829657</v>
      </c>
      <c r="H4484" s="362"/>
      <c r="I4484" s="362"/>
      <c r="J4484" s="362"/>
    </row>
    <row r="4485" spans="1:10" x14ac:dyDescent="0.25">
      <c r="A4485" s="362"/>
      <c r="B4485" s="609">
        <v>44372</v>
      </c>
      <c r="C4485" s="362" t="s">
        <v>4751</v>
      </c>
      <c r="D4485" s="560">
        <v>188699751</v>
      </c>
      <c r="E4485" s="560">
        <v>11087749</v>
      </c>
      <c r="F4485" s="560"/>
      <c r="G4485" s="560">
        <f t="shared" si="102"/>
        <v>199787500</v>
      </c>
      <c r="H4485" s="362"/>
      <c r="I4485" s="362"/>
      <c r="J4485" s="362"/>
    </row>
    <row r="4486" spans="1:10" x14ac:dyDescent="0.25">
      <c r="A4486" s="362"/>
      <c r="B4486" s="609">
        <v>44372</v>
      </c>
      <c r="C4486" s="362" t="s">
        <v>166</v>
      </c>
      <c r="D4486" s="560">
        <v>47928466</v>
      </c>
      <c r="E4486" s="560"/>
      <c r="F4486" s="560"/>
      <c r="G4486" s="560">
        <f t="shared" si="102"/>
        <v>47928466</v>
      </c>
      <c r="H4486" s="362"/>
      <c r="I4486" s="362"/>
      <c r="J4486" s="362"/>
    </row>
    <row r="4487" spans="1:10" x14ac:dyDescent="0.25">
      <c r="A4487" s="362"/>
      <c r="B4487" s="609">
        <v>44372</v>
      </c>
      <c r="C4487" s="362" t="s">
        <v>3435</v>
      </c>
      <c r="D4487" s="560">
        <v>32999035</v>
      </c>
      <c r="E4487" s="560"/>
      <c r="F4487" s="560"/>
      <c r="G4487" s="560">
        <f t="shared" si="102"/>
        <v>32999035</v>
      </c>
      <c r="H4487" s="362"/>
      <c r="I4487" s="362"/>
      <c r="J4487" s="362"/>
    </row>
    <row r="4488" spans="1:10" x14ac:dyDescent="0.25">
      <c r="A4488" s="362"/>
      <c r="B4488" s="609">
        <v>44372</v>
      </c>
      <c r="C4488" s="370" t="s">
        <v>85</v>
      </c>
      <c r="D4488" s="560">
        <v>18128300</v>
      </c>
      <c r="E4488" s="560"/>
      <c r="F4488" s="560"/>
      <c r="G4488" s="560">
        <f t="shared" si="102"/>
        <v>18128300</v>
      </c>
      <c r="H4488" s="362"/>
      <c r="I4488" s="362"/>
      <c r="J4488" s="362"/>
    </row>
    <row r="4489" spans="1:10" x14ac:dyDescent="0.25">
      <c r="A4489" s="530"/>
      <c r="B4489" s="530"/>
      <c r="C4489" s="530"/>
      <c r="D4489" s="562">
        <f>SUM(D4474:D4488)</f>
        <v>1800221329</v>
      </c>
      <c r="E4489" s="562">
        <f>SUM(E4474:E4488)</f>
        <v>339477650</v>
      </c>
      <c r="F4489" s="562">
        <f>SUM(F4474:F4488)</f>
        <v>0</v>
      </c>
      <c r="G4489" s="562">
        <f>SUM(G4474:G4488)</f>
        <v>2139698979</v>
      </c>
      <c r="H4489" s="530"/>
      <c r="I4489" s="530"/>
      <c r="J4489" s="530"/>
    </row>
    <row r="4490" spans="1:10" x14ac:dyDescent="0.25">
      <c r="A4490" s="362"/>
      <c r="B4490" s="609">
        <v>44373</v>
      </c>
      <c r="C4490" s="362" t="s">
        <v>86</v>
      </c>
      <c r="D4490" s="560">
        <v>41754646</v>
      </c>
      <c r="E4490" s="560">
        <v>30785568</v>
      </c>
      <c r="F4490" s="560"/>
      <c r="G4490" s="560">
        <f t="shared" si="102"/>
        <v>72540214</v>
      </c>
      <c r="H4490" s="362"/>
      <c r="I4490" s="362"/>
      <c r="J4490" s="362"/>
    </row>
    <row r="4491" spans="1:10" x14ac:dyDescent="0.25">
      <c r="A4491" s="362"/>
      <c r="B4491" s="609">
        <v>44373</v>
      </c>
      <c r="C4491" s="362" t="s">
        <v>87</v>
      </c>
      <c r="D4491" s="560">
        <v>68178712</v>
      </c>
      <c r="E4491" s="560">
        <v>144395480</v>
      </c>
      <c r="F4491" s="560"/>
      <c r="G4491" s="560">
        <f t="shared" si="102"/>
        <v>212574192</v>
      </c>
      <c r="H4491" s="362"/>
      <c r="I4491" s="362"/>
      <c r="J4491" s="362"/>
    </row>
    <row r="4492" spans="1:10" x14ac:dyDescent="0.25">
      <c r="A4492" s="362"/>
      <c r="B4492" s="609">
        <v>44373</v>
      </c>
      <c r="C4492" s="362" t="s">
        <v>88</v>
      </c>
      <c r="D4492" s="560">
        <v>214197172</v>
      </c>
      <c r="E4492" s="560">
        <v>8220171</v>
      </c>
      <c r="F4492" s="560"/>
      <c r="G4492" s="560">
        <f t="shared" ref="G4492:G4555" si="103">D4492+E4492-F4492</f>
        <v>222417343</v>
      </c>
      <c r="H4492" s="362"/>
      <c r="I4492" s="362"/>
      <c r="J4492" s="362"/>
    </row>
    <row r="4493" spans="1:10" x14ac:dyDescent="0.25">
      <c r="A4493" s="362"/>
      <c r="B4493" s="609">
        <v>44373</v>
      </c>
      <c r="C4493" s="362" t="s">
        <v>82</v>
      </c>
      <c r="D4493" s="560">
        <v>48282618</v>
      </c>
      <c r="E4493" s="560">
        <v>1826926</v>
      </c>
      <c r="F4493" s="560"/>
      <c r="G4493" s="560">
        <f t="shared" si="103"/>
        <v>50109544</v>
      </c>
      <c r="H4493" s="362"/>
      <c r="I4493" s="362"/>
      <c r="J4493" s="362"/>
    </row>
    <row r="4494" spans="1:10" x14ac:dyDescent="0.25">
      <c r="A4494" s="362"/>
      <c r="B4494" s="609">
        <v>44373</v>
      </c>
      <c r="C4494" s="362" t="s">
        <v>80</v>
      </c>
      <c r="D4494" s="560">
        <v>283560001</v>
      </c>
      <c r="E4494" s="560">
        <v>30143178</v>
      </c>
      <c r="F4494" s="560"/>
      <c r="G4494" s="560">
        <f t="shared" si="103"/>
        <v>313703179</v>
      </c>
      <c r="H4494" s="362"/>
      <c r="I4494" s="362"/>
      <c r="J4494" s="362"/>
    </row>
    <row r="4495" spans="1:10" x14ac:dyDescent="0.25">
      <c r="A4495" s="362"/>
      <c r="B4495" s="609">
        <v>44373</v>
      </c>
      <c r="C4495" s="362" t="s">
        <v>83</v>
      </c>
      <c r="D4495" s="560">
        <v>206882228</v>
      </c>
      <c r="E4495" s="560">
        <v>30186985</v>
      </c>
      <c r="F4495" s="560"/>
      <c r="G4495" s="560">
        <f t="shared" si="103"/>
        <v>237069213</v>
      </c>
      <c r="H4495" s="362"/>
      <c r="I4495" s="362"/>
      <c r="J4495" s="362"/>
    </row>
    <row r="4496" spans="1:10" x14ac:dyDescent="0.25">
      <c r="A4496" s="362"/>
      <c r="B4496" s="609">
        <v>44373</v>
      </c>
      <c r="C4496" s="362" t="s">
        <v>78</v>
      </c>
      <c r="D4496" s="560">
        <v>146954425</v>
      </c>
      <c r="E4496" s="560">
        <v>1412275</v>
      </c>
      <c r="F4496" s="560"/>
      <c r="G4496" s="560">
        <f t="shared" si="103"/>
        <v>148366700</v>
      </c>
      <c r="H4496" s="362"/>
      <c r="I4496" s="362"/>
      <c r="J4496" s="362"/>
    </row>
    <row r="4497" spans="1:10" x14ac:dyDescent="0.25">
      <c r="A4497" s="362"/>
      <c r="B4497" s="609">
        <v>44373</v>
      </c>
      <c r="C4497" s="362" t="s">
        <v>141</v>
      </c>
      <c r="D4497" s="560">
        <v>38135880</v>
      </c>
      <c r="E4497" s="560">
        <v>2282822</v>
      </c>
      <c r="F4497" s="560"/>
      <c r="G4497" s="560">
        <f t="shared" si="103"/>
        <v>40418702</v>
      </c>
      <c r="H4497" s="362"/>
      <c r="I4497" s="362"/>
      <c r="J4497" s="362"/>
    </row>
    <row r="4498" spans="1:10" x14ac:dyDescent="0.25">
      <c r="A4498" s="362"/>
      <c r="B4498" s="609">
        <v>44373</v>
      </c>
      <c r="C4498" s="362" t="s">
        <v>89</v>
      </c>
      <c r="D4498" s="560">
        <v>102778301</v>
      </c>
      <c r="E4498" s="560">
        <v>3541000</v>
      </c>
      <c r="F4498" s="560"/>
      <c r="G4498" s="560">
        <f t="shared" si="103"/>
        <v>106319301</v>
      </c>
      <c r="H4498" s="362"/>
      <c r="I4498" s="362"/>
      <c r="J4498" s="362"/>
    </row>
    <row r="4499" spans="1:10" x14ac:dyDescent="0.25">
      <c r="A4499" s="362"/>
      <c r="B4499" s="609">
        <v>44373</v>
      </c>
      <c r="C4499" s="362" t="s">
        <v>81</v>
      </c>
      <c r="D4499" s="560">
        <v>110375461</v>
      </c>
      <c r="E4499" s="560">
        <v>5768671</v>
      </c>
      <c r="F4499" s="560"/>
      <c r="G4499" s="560">
        <f t="shared" si="103"/>
        <v>116144132</v>
      </c>
      <c r="H4499" s="362"/>
      <c r="I4499" s="362"/>
      <c r="J4499" s="362"/>
    </row>
    <row r="4500" spans="1:10" x14ac:dyDescent="0.25">
      <c r="A4500" s="362"/>
      <c r="B4500" s="609">
        <v>44373</v>
      </c>
      <c r="C4500" s="362" t="s">
        <v>84</v>
      </c>
      <c r="D4500" s="560">
        <v>150544140</v>
      </c>
      <c r="E4500" s="560">
        <v>47215173</v>
      </c>
      <c r="F4500" s="560"/>
      <c r="G4500" s="560">
        <f t="shared" si="103"/>
        <v>197759313</v>
      </c>
      <c r="H4500" s="362"/>
      <c r="I4500" s="362"/>
      <c r="J4500" s="362"/>
    </row>
    <row r="4501" spans="1:10" x14ac:dyDescent="0.25">
      <c r="A4501" s="362"/>
      <c r="B4501" s="609">
        <v>44373</v>
      </c>
      <c r="C4501" s="362" t="s">
        <v>4751</v>
      </c>
      <c r="D4501" s="560">
        <v>223524303</v>
      </c>
      <c r="E4501" s="560">
        <v>12815097</v>
      </c>
      <c r="F4501" s="560"/>
      <c r="G4501" s="560">
        <f t="shared" si="103"/>
        <v>236339400</v>
      </c>
      <c r="H4501" s="362"/>
      <c r="I4501" s="362"/>
      <c r="J4501" s="362"/>
    </row>
    <row r="4502" spans="1:10" x14ac:dyDescent="0.25">
      <c r="A4502" s="362"/>
      <c r="B4502" s="609">
        <v>44373</v>
      </c>
      <c r="C4502" s="362" t="s">
        <v>166</v>
      </c>
      <c r="D4502" s="560"/>
      <c r="E4502" s="560"/>
      <c r="F4502" s="560"/>
      <c r="G4502" s="560">
        <f t="shared" si="103"/>
        <v>0</v>
      </c>
      <c r="H4502" s="362"/>
      <c r="I4502" s="362"/>
      <c r="J4502" s="362"/>
    </row>
    <row r="4503" spans="1:10" x14ac:dyDescent="0.25">
      <c r="A4503" s="362"/>
      <c r="B4503" s="609">
        <v>44373</v>
      </c>
      <c r="C4503" s="362" t="s">
        <v>3435</v>
      </c>
      <c r="D4503" s="560"/>
      <c r="E4503" s="560"/>
      <c r="F4503" s="560"/>
      <c r="G4503" s="560">
        <f t="shared" si="103"/>
        <v>0</v>
      </c>
      <c r="H4503" s="362"/>
      <c r="I4503" s="362"/>
      <c r="J4503" s="362"/>
    </row>
    <row r="4504" spans="1:10" x14ac:dyDescent="0.25">
      <c r="A4504" s="362"/>
      <c r="B4504" s="609">
        <v>44373</v>
      </c>
      <c r="C4504" s="370" t="s">
        <v>85</v>
      </c>
      <c r="D4504" s="560">
        <v>28167500</v>
      </c>
      <c r="E4504" s="560"/>
      <c r="F4504" s="560"/>
      <c r="G4504" s="560">
        <f t="shared" si="103"/>
        <v>28167500</v>
      </c>
      <c r="H4504" s="362"/>
      <c r="I4504" s="362"/>
      <c r="J4504" s="362"/>
    </row>
    <row r="4505" spans="1:10" x14ac:dyDescent="0.25">
      <c r="A4505" s="530"/>
      <c r="B4505" s="530"/>
      <c r="C4505" s="530"/>
      <c r="D4505" s="562">
        <f>SUM(D4490:D4504)</f>
        <v>1663335387</v>
      </c>
      <c r="E4505" s="562">
        <f>SUM(E4490:E4504)</f>
        <v>318593346</v>
      </c>
      <c r="F4505" s="562">
        <f>SUM(F4490:F4504)</f>
        <v>0</v>
      </c>
      <c r="G4505" s="562">
        <f>SUM(G4490:G4504)</f>
        <v>1981928733</v>
      </c>
      <c r="H4505" s="530"/>
      <c r="I4505" s="530"/>
      <c r="J4505" s="530"/>
    </row>
    <row r="4506" spans="1:10" x14ac:dyDescent="0.25">
      <c r="A4506" s="362"/>
      <c r="B4506" s="609">
        <v>44375</v>
      </c>
      <c r="C4506" s="362" t="s">
        <v>86</v>
      </c>
      <c r="D4506" s="560">
        <v>65335834</v>
      </c>
      <c r="E4506" s="560">
        <v>9188941</v>
      </c>
      <c r="F4506" s="560"/>
      <c r="G4506" s="560">
        <f t="shared" si="103"/>
        <v>74524775</v>
      </c>
      <c r="H4506" s="362"/>
      <c r="I4506" s="362"/>
      <c r="J4506" s="362"/>
    </row>
    <row r="4507" spans="1:10" x14ac:dyDescent="0.25">
      <c r="A4507" s="362"/>
      <c r="B4507" s="609">
        <v>44375</v>
      </c>
      <c r="C4507" s="362" t="s">
        <v>87</v>
      </c>
      <c r="D4507" s="560">
        <v>96640578</v>
      </c>
      <c r="E4507" s="560">
        <v>68117656</v>
      </c>
      <c r="F4507" s="560"/>
      <c r="G4507" s="560">
        <f t="shared" si="103"/>
        <v>164758234</v>
      </c>
      <c r="H4507" s="362"/>
      <c r="I4507" s="362"/>
      <c r="J4507" s="362"/>
    </row>
    <row r="4508" spans="1:10" x14ac:dyDescent="0.25">
      <c r="A4508" s="362"/>
      <c r="B4508" s="609">
        <v>44375</v>
      </c>
      <c r="C4508" s="362" t="s">
        <v>88</v>
      </c>
      <c r="D4508" s="560">
        <v>311595465</v>
      </c>
      <c r="E4508" s="560">
        <v>27967006</v>
      </c>
      <c r="F4508" s="560"/>
      <c r="G4508" s="560">
        <f t="shared" si="103"/>
        <v>339562471</v>
      </c>
      <c r="H4508" s="362"/>
      <c r="I4508" s="362"/>
      <c r="J4508" s="362"/>
    </row>
    <row r="4509" spans="1:10" x14ac:dyDescent="0.25">
      <c r="A4509" s="362"/>
      <c r="B4509" s="609">
        <v>44375</v>
      </c>
      <c r="C4509" s="362" t="s">
        <v>82</v>
      </c>
      <c r="D4509" s="560">
        <v>35168998</v>
      </c>
      <c r="E4509" s="560">
        <v>1027434</v>
      </c>
      <c r="F4509" s="560"/>
      <c r="G4509" s="560">
        <f t="shared" si="103"/>
        <v>36196432</v>
      </c>
      <c r="H4509" s="362"/>
      <c r="I4509" s="362"/>
      <c r="J4509" s="362"/>
    </row>
    <row r="4510" spans="1:10" x14ac:dyDescent="0.25">
      <c r="A4510" s="362"/>
      <c r="B4510" s="609">
        <v>44375</v>
      </c>
      <c r="C4510" s="362" t="s">
        <v>80</v>
      </c>
      <c r="D4510" s="560">
        <v>265134220</v>
      </c>
      <c r="E4510" s="560"/>
      <c r="F4510" s="560"/>
      <c r="G4510" s="560">
        <f t="shared" si="103"/>
        <v>265134220</v>
      </c>
      <c r="H4510" s="362"/>
      <c r="I4510" s="362"/>
      <c r="J4510" s="362"/>
    </row>
    <row r="4511" spans="1:10" x14ac:dyDescent="0.25">
      <c r="A4511" s="362"/>
      <c r="B4511" s="609">
        <v>44375</v>
      </c>
      <c r="C4511" s="362" t="s">
        <v>83</v>
      </c>
      <c r="D4511" s="560">
        <v>257021451</v>
      </c>
      <c r="E4511" s="560">
        <v>6140966</v>
      </c>
      <c r="F4511" s="560"/>
      <c r="G4511" s="560">
        <f t="shared" si="103"/>
        <v>263162417</v>
      </c>
      <c r="H4511" s="362"/>
      <c r="I4511" s="362"/>
      <c r="J4511" s="362"/>
    </row>
    <row r="4512" spans="1:10" x14ac:dyDescent="0.25">
      <c r="A4512" s="362"/>
      <c r="B4512" s="609">
        <v>44375</v>
      </c>
      <c r="C4512" s="362" t="s">
        <v>78</v>
      </c>
      <c r="D4512" s="560">
        <v>67001493</v>
      </c>
      <c r="E4512" s="560">
        <v>1131407</v>
      </c>
      <c r="F4512" s="560"/>
      <c r="G4512" s="560">
        <f t="shared" si="103"/>
        <v>68132900</v>
      </c>
      <c r="H4512" s="362"/>
      <c r="I4512" s="362"/>
      <c r="J4512" s="362"/>
    </row>
    <row r="4513" spans="1:10" x14ac:dyDescent="0.25">
      <c r="A4513" s="362"/>
      <c r="B4513" s="609">
        <v>44375</v>
      </c>
      <c r="C4513" s="362" t="s">
        <v>141</v>
      </c>
      <c r="D4513" s="560">
        <v>47709765</v>
      </c>
      <c r="E4513" s="560">
        <v>3252262</v>
      </c>
      <c r="F4513" s="560"/>
      <c r="G4513" s="560">
        <f t="shared" si="103"/>
        <v>50962027</v>
      </c>
      <c r="H4513" s="362"/>
      <c r="I4513" s="362"/>
      <c r="J4513" s="362"/>
    </row>
    <row r="4514" spans="1:10" x14ac:dyDescent="0.25">
      <c r="A4514" s="362"/>
      <c r="B4514" s="609">
        <v>44375</v>
      </c>
      <c r="C4514" s="362" t="s">
        <v>89</v>
      </c>
      <c r="D4514" s="560">
        <v>94779684</v>
      </c>
      <c r="E4514" s="560">
        <v>42079916</v>
      </c>
      <c r="F4514" s="560"/>
      <c r="G4514" s="560">
        <f t="shared" si="103"/>
        <v>136859600</v>
      </c>
      <c r="H4514" s="362"/>
      <c r="I4514" s="362"/>
      <c r="J4514" s="362"/>
    </row>
    <row r="4515" spans="1:10" x14ac:dyDescent="0.25">
      <c r="A4515" s="362"/>
      <c r="B4515" s="609">
        <v>44375</v>
      </c>
      <c r="C4515" s="362" t="s">
        <v>81</v>
      </c>
      <c r="D4515" s="560">
        <v>121575927</v>
      </c>
      <c r="E4515" s="560">
        <v>16430129</v>
      </c>
      <c r="F4515" s="560"/>
      <c r="G4515" s="560">
        <f t="shared" si="103"/>
        <v>138006056</v>
      </c>
      <c r="H4515" s="362"/>
      <c r="I4515" s="362"/>
      <c r="J4515" s="362"/>
    </row>
    <row r="4516" spans="1:10" x14ac:dyDescent="0.25">
      <c r="A4516" s="362"/>
      <c r="B4516" s="609">
        <v>44375</v>
      </c>
      <c r="C4516" s="362" t="s">
        <v>84</v>
      </c>
      <c r="D4516" s="560">
        <v>233294371</v>
      </c>
      <c r="E4516" s="560">
        <v>4228735</v>
      </c>
      <c r="F4516" s="560"/>
      <c r="G4516" s="560">
        <f t="shared" si="103"/>
        <v>237523106</v>
      </c>
      <c r="H4516" s="362"/>
      <c r="I4516" s="362"/>
      <c r="J4516" s="362"/>
    </row>
    <row r="4517" spans="1:10" x14ac:dyDescent="0.25">
      <c r="A4517" s="362"/>
      <c r="B4517" s="609">
        <v>44375</v>
      </c>
      <c r="C4517" s="362" t="s">
        <v>4751</v>
      </c>
      <c r="D4517" s="560">
        <v>186623140</v>
      </c>
      <c r="E4517" s="560">
        <v>10556560</v>
      </c>
      <c r="F4517" s="560"/>
      <c r="G4517" s="560">
        <f t="shared" si="103"/>
        <v>197179700</v>
      </c>
      <c r="H4517" s="362"/>
      <c r="I4517" s="362"/>
      <c r="J4517" s="362"/>
    </row>
    <row r="4518" spans="1:10" x14ac:dyDescent="0.25">
      <c r="A4518" s="362"/>
      <c r="B4518" s="609">
        <v>44375</v>
      </c>
      <c r="C4518" s="362" t="s">
        <v>166</v>
      </c>
      <c r="D4518" s="560">
        <v>59120479</v>
      </c>
      <c r="E4518" s="560"/>
      <c r="F4518" s="560"/>
      <c r="G4518" s="560">
        <f t="shared" si="103"/>
        <v>59120479</v>
      </c>
      <c r="H4518" s="362"/>
      <c r="I4518" s="362"/>
      <c r="J4518" s="362"/>
    </row>
    <row r="4519" spans="1:10" x14ac:dyDescent="0.25">
      <c r="A4519" s="362"/>
      <c r="B4519" s="609">
        <v>44375</v>
      </c>
      <c r="C4519" s="362" t="s">
        <v>3435</v>
      </c>
      <c r="D4519" s="560">
        <v>38335904</v>
      </c>
      <c r="E4519" s="560"/>
      <c r="F4519" s="560"/>
      <c r="G4519" s="560">
        <f t="shared" si="103"/>
        <v>38335904</v>
      </c>
      <c r="H4519" s="362"/>
      <c r="I4519" s="362"/>
      <c r="J4519" s="362"/>
    </row>
    <row r="4520" spans="1:10" x14ac:dyDescent="0.25">
      <c r="A4520" s="362"/>
      <c r="B4520" s="609">
        <v>44375</v>
      </c>
      <c r="C4520" s="370" t="s">
        <v>85</v>
      </c>
      <c r="D4520" s="560">
        <v>53503200</v>
      </c>
      <c r="E4520" s="560"/>
      <c r="F4520" s="560"/>
      <c r="G4520" s="560">
        <f t="shared" si="103"/>
        <v>53503200</v>
      </c>
      <c r="H4520" s="362"/>
      <c r="I4520" s="362"/>
      <c r="J4520" s="362"/>
    </row>
    <row r="4521" spans="1:10" x14ac:dyDescent="0.25">
      <c r="A4521" s="530"/>
      <c r="B4521" s="530"/>
      <c r="C4521" s="530"/>
      <c r="D4521" s="562">
        <f>SUM(D4506:D4520)</f>
        <v>1932840509</v>
      </c>
      <c r="E4521" s="562">
        <f>SUM(E4506:E4520)</f>
        <v>190121012</v>
      </c>
      <c r="F4521" s="562">
        <f>SUM(F4506:F4520)</f>
        <v>0</v>
      </c>
      <c r="G4521" s="562">
        <f>SUM(G4506:G4520)</f>
        <v>2122961521</v>
      </c>
      <c r="H4521" s="530"/>
      <c r="I4521" s="530"/>
      <c r="J4521" s="530"/>
    </row>
    <row r="4522" spans="1:10" x14ac:dyDescent="0.25">
      <c r="A4522" s="362"/>
      <c r="B4522" s="609">
        <v>44376</v>
      </c>
      <c r="C4522" s="362" t="s">
        <v>86</v>
      </c>
      <c r="D4522" s="560">
        <v>161570857</v>
      </c>
      <c r="E4522" s="560">
        <v>95024412</v>
      </c>
      <c r="F4522" s="560">
        <v>256595000</v>
      </c>
      <c r="G4522" s="560">
        <f t="shared" si="103"/>
        <v>269</v>
      </c>
      <c r="H4522" s="362"/>
      <c r="I4522" s="362"/>
      <c r="J4522" s="362"/>
    </row>
    <row r="4523" spans="1:10" x14ac:dyDescent="0.25">
      <c r="A4523" s="362"/>
      <c r="B4523" s="609">
        <v>44376</v>
      </c>
      <c r="C4523" s="362" t="s">
        <v>87</v>
      </c>
      <c r="D4523" s="560">
        <v>67336103</v>
      </c>
      <c r="E4523" s="560">
        <v>86473580</v>
      </c>
      <c r="F4523" s="560">
        <v>153809700</v>
      </c>
      <c r="G4523" s="560">
        <f t="shared" si="103"/>
        <v>-17</v>
      </c>
      <c r="H4523" s="362"/>
      <c r="I4523" s="362"/>
      <c r="J4523" s="362"/>
    </row>
    <row r="4524" spans="1:10" x14ac:dyDescent="0.25">
      <c r="A4524" s="362"/>
      <c r="B4524" s="609">
        <v>44376</v>
      </c>
      <c r="C4524" s="362" t="s">
        <v>88</v>
      </c>
      <c r="D4524" s="560">
        <v>240325230</v>
      </c>
      <c r="E4524" s="560">
        <v>32490832</v>
      </c>
      <c r="F4524" s="560">
        <v>272816100</v>
      </c>
      <c r="G4524" s="560">
        <f t="shared" si="103"/>
        <v>-38</v>
      </c>
      <c r="H4524" s="362"/>
      <c r="I4524" s="362"/>
      <c r="J4524" s="362"/>
    </row>
    <row r="4525" spans="1:10" x14ac:dyDescent="0.25">
      <c r="A4525" s="362"/>
      <c r="B4525" s="609">
        <v>44376</v>
      </c>
      <c r="C4525" s="362" t="s">
        <v>82</v>
      </c>
      <c r="D4525" s="560">
        <v>70358144</v>
      </c>
      <c r="E4525" s="560">
        <v>2776391</v>
      </c>
      <c r="F4525" s="560">
        <v>73134600</v>
      </c>
      <c r="G4525" s="560">
        <f t="shared" si="103"/>
        <v>-65</v>
      </c>
      <c r="H4525" s="362"/>
      <c r="I4525" s="362"/>
      <c r="J4525" s="362"/>
    </row>
    <row r="4526" spans="1:10" x14ac:dyDescent="0.25">
      <c r="A4526" s="362"/>
      <c r="B4526" s="609">
        <v>44376</v>
      </c>
      <c r="C4526" s="362" t="s">
        <v>80</v>
      </c>
      <c r="D4526" s="560">
        <v>321712862</v>
      </c>
      <c r="E4526" s="560">
        <v>1903200</v>
      </c>
      <c r="F4526" s="560">
        <v>323616200</v>
      </c>
      <c r="G4526" s="560">
        <f t="shared" si="103"/>
        <v>-138</v>
      </c>
      <c r="H4526" s="362"/>
      <c r="I4526" s="362"/>
      <c r="J4526" s="362"/>
    </row>
    <row r="4527" spans="1:10" x14ac:dyDescent="0.25">
      <c r="A4527" s="362"/>
      <c r="B4527" s="609">
        <v>44376</v>
      </c>
      <c r="C4527" s="362" t="s">
        <v>83</v>
      </c>
      <c r="D4527" s="560">
        <v>268139101</v>
      </c>
      <c r="E4527" s="560">
        <v>19044977</v>
      </c>
      <c r="F4527" s="560">
        <v>287184100</v>
      </c>
      <c r="G4527" s="560">
        <f t="shared" si="103"/>
        <v>-22</v>
      </c>
      <c r="H4527" s="362"/>
      <c r="I4527" s="362"/>
      <c r="J4527" s="362"/>
    </row>
    <row r="4528" spans="1:10" x14ac:dyDescent="0.25">
      <c r="A4528" s="362"/>
      <c r="B4528" s="609">
        <v>44376</v>
      </c>
      <c r="C4528" s="362" t="s">
        <v>78</v>
      </c>
      <c r="D4528" s="560">
        <v>145323082</v>
      </c>
      <c r="E4528" s="560">
        <v>4119618</v>
      </c>
      <c r="F4528" s="560">
        <v>149442700</v>
      </c>
      <c r="G4528" s="560">
        <f t="shared" si="103"/>
        <v>0</v>
      </c>
      <c r="H4528" s="362"/>
      <c r="I4528" s="362"/>
      <c r="J4528" s="362"/>
    </row>
    <row r="4529" spans="1:10" x14ac:dyDescent="0.25">
      <c r="A4529" s="362"/>
      <c r="B4529" s="609">
        <v>44376</v>
      </c>
      <c r="C4529" s="362" t="s">
        <v>141</v>
      </c>
      <c r="D4529" s="560">
        <v>120942839</v>
      </c>
      <c r="E4529" s="560">
        <v>874169</v>
      </c>
      <c r="F4529" s="560">
        <v>121817100</v>
      </c>
      <c r="G4529" s="560">
        <f t="shared" si="103"/>
        <v>-92</v>
      </c>
      <c r="H4529" s="362"/>
      <c r="I4529" s="362"/>
      <c r="J4529" s="362"/>
    </row>
    <row r="4530" spans="1:10" x14ac:dyDescent="0.25">
      <c r="A4530" s="362"/>
      <c r="B4530" s="609">
        <v>44376</v>
      </c>
      <c r="C4530" s="362" t="s">
        <v>89</v>
      </c>
      <c r="D4530" s="560">
        <v>137080956</v>
      </c>
      <c r="E4530" s="560">
        <v>11607444</v>
      </c>
      <c r="F4530" s="560">
        <v>148688400</v>
      </c>
      <c r="G4530" s="560">
        <f t="shared" si="103"/>
        <v>0</v>
      </c>
      <c r="H4530" s="362"/>
      <c r="I4530" s="362"/>
      <c r="J4530" s="362"/>
    </row>
    <row r="4531" spans="1:10" x14ac:dyDescent="0.25">
      <c r="A4531" s="362"/>
      <c r="B4531" s="609">
        <v>44376</v>
      </c>
      <c r="C4531" s="362" t="s">
        <v>81</v>
      </c>
      <c r="D4531" s="560">
        <v>127321720</v>
      </c>
      <c r="E4531" s="560">
        <v>4231457</v>
      </c>
      <c r="F4531" s="560">
        <v>131553400</v>
      </c>
      <c r="G4531" s="560">
        <f t="shared" si="103"/>
        <v>-223</v>
      </c>
      <c r="H4531" s="362"/>
      <c r="I4531" s="362"/>
      <c r="J4531" s="362"/>
    </row>
    <row r="4532" spans="1:10" x14ac:dyDescent="0.25">
      <c r="A4532" s="362"/>
      <c r="B4532" s="609">
        <v>44376</v>
      </c>
      <c r="C4532" s="362" t="s">
        <v>84</v>
      </c>
      <c r="D4532" s="560">
        <v>193379052</v>
      </c>
      <c r="E4532" s="560">
        <v>14777379</v>
      </c>
      <c r="F4532" s="560">
        <v>208156500</v>
      </c>
      <c r="G4532" s="560">
        <f t="shared" si="103"/>
        <v>-69</v>
      </c>
      <c r="H4532" s="362"/>
      <c r="I4532" s="362"/>
      <c r="J4532" s="362"/>
    </row>
    <row r="4533" spans="1:10" x14ac:dyDescent="0.25">
      <c r="A4533" s="362"/>
      <c r="B4533" s="609">
        <v>44376</v>
      </c>
      <c r="C4533" s="362" t="s">
        <v>4751</v>
      </c>
      <c r="D4533" s="560">
        <v>267789847</v>
      </c>
      <c r="E4533" s="560">
        <v>8338753</v>
      </c>
      <c r="F4533" s="560">
        <v>276128600</v>
      </c>
      <c r="G4533" s="560">
        <f t="shared" si="103"/>
        <v>0</v>
      </c>
      <c r="H4533" s="362"/>
      <c r="I4533" s="362"/>
      <c r="J4533" s="362"/>
    </row>
    <row r="4534" spans="1:10" x14ac:dyDescent="0.25">
      <c r="A4534" s="362"/>
      <c r="B4534" s="609">
        <v>44376</v>
      </c>
      <c r="C4534" s="362" t="s">
        <v>166</v>
      </c>
      <c r="D4534" s="560">
        <v>85032800</v>
      </c>
      <c r="E4534" s="560"/>
      <c r="F4534" s="560">
        <v>85032800</v>
      </c>
      <c r="G4534" s="560">
        <f t="shared" si="103"/>
        <v>0</v>
      </c>
      <c r="H4534" s="362"/>
      <c r="I4534" s="362"/>
      <c r="J4534" s="362"/>
    </row>
    <row r="4535" spans="1:10" x14ac:dyDescent="0.25">
      <c r="A4535" s="362"/>
      <c r="B4535" s="609">
        <v>44376</v>
      </c>
      <c r="C4535" s="362" t="s">
        <v>3435</v>
      </c>
      <c r="D4535" s="560">
        <v>32324203</v>
      </c>
      <c r="E4535" s="560"/>
      <c r="F4535" s="560">
        <v>32324300</v>
      </c>
      <c r="G4535" s="560">
        <f t="shared" si="103"/>
        <v>-97</v>
      </c>
      <c r="H4535" s="362"/>
      <c r="I4535" s="362"/>
      <c r="J4535" s="362"/>
    </row>
    <row r="4536" spans="1:10" x14ac:dyDescent="0.25">
      <c r="A4536" s="362"/>
      <c r="B4536" s="609">
        <v>44376</v>
      </c>
      <c r="C4536" s="370" t="s">
        <v>85</v>
      </c>
      <c r="D4536" s="560">
        <v>30536400</v>
      </c>
      <c r="E4536" s="560"/>
      <c r="F4536" s="560">
        <v>30536400</v>
      </c>
      <c r="G4536" s="560">
        <f t="shared" si="103"/>
        <v>0</v>
      </c>
      <c r="H4536" s="362"/>
      <c r="I4536" s="362"/>
      <c r="J4536" s="362"/>
    </row>
    <row r="4537" spans="1:10" x14ac:dyDescent="0.25">
      <c r="A4537" s="530"/>
      <c r="B4537" s="530"/>
      <c r="C4537" s="530"/>
      <c r="D4537" s="562">
        <f>SUM(D4522:D4536)</f>
        <v>2269173196</v>
      </c>
      <c r="E4537" s="562">
        <f>SUM(E4522:E4536)</f>
        <v>281662212</v>
      </c>
      <c r="F4537" s="562">
        <f>SUM(F4522:F4536)</f>
        <v>2550835900</v>
      </c>
      <c r="G4537" s="562">
        <f>SUM(G4522:G4536)</f>
        <v>-492</v>
      </c>
      <c r="H4537" s="530"/>
      <c r="I4537" s="530"/>
      <c r="J4537" s="530"/>
    </row>
    <row r="4538" spans="1:10" x14ac:dyDescent="0.25">
      <c r="A4538" s="362"/>
      <c r="B4538" s="609">
        <v>44377</v>
      </c>
      <c r="C4538" s="362" t="s">
        <v>86</v>
      </c>
      <c r="D4538" s="560">
        <v>125198363</v>
      </c>
      <c r="E4538" s="560">
        <v>35383542</v>
      </c>
      <c r="F4538" s="560"/>
      <c r="G4538" s="560">
        <f t="shared" si="103"/>
        <v>160581905</v>
      </c>
      <c r="H4538" s="362"/>
      <c r="I4538" s="362"/>
      <c r="J4538" s="362"/>
    </row>
    <row r="4539" spans="1:10" x14ac:dyDescent="0.25">
      <c r="A4539" s="362"/>
      <c r="B4539" s="609">
        <v>44377</v>
      </c>
      <c r="C4539" s="362" t="s">
        <v>87</v>
      </c>
      <c r="D4539" s="560">
        <v>82836876</v>
      </c>
      <c r="E4539" s="560">
        <v>90121455</v>
      </c>
      <c r="F4539" s="560"/>
      <c r="G4539" s="560">
        <f t="shared" si="103"/>
        <v>172958331</v>
      </c>
      <c r="H4539" s="362"/>
      <c r="I4539" s="362"/>
      <c r="J4539" s="362"/>
    </row>
    <row r="4540" spans="1:10" x14ac:dyDescent="0.25">
      <c r="A4540" s="362"/>
      <c r="B4540" s="609">
        <v>44377</v>
      </c>
      <c r="C4540" s="362" t="s">
        <v>88</v>
      </c>
      <c r="D4540" s="560">
        <v>120087211</v>
      </c>
      <c r="E4540" s="560">
        <v>67846618</v>
      </c>
      <c r="F4540" s="560"/>
      <c r="G4540" s="560">
        <f t="shared" si="103"/>
        <v>187933829</v>
      </c>
      <c r="H4540" s="362"/>
      <c r="I4540" s="362"/>
      <c r="J4540" s="362"/>
    </row>
    <row r="4541" spans="1:10" x14ac:dyDescent="0.25">
      <c r="A4541" s="362"/>
      <c r="B4541" s="609">
        <v>44377</v>
      </c>
      <c r="C4541" s="362" t="s">
        <v>82</v>
      </c>
      <c r="D4541" s="560">
        <v>118740545</v>
      </c>
      <c r="E4541" s="560">
        <v>2167116</v>
      </c>
      <c r="F4541" s="560"/>
      <c r="G4541" s="560">
        <f t="shared" si="103"/>
        <v>120907661</v>
      </c>
      <c r="H4541" s="362"/>
      <c r="I4541" s="362"/>
      <c r="J4541" s="362"/>
    </row>
    <row r="4542" spans="1:10" x14ac:dyDescent="0.25">
      <c r="A4542" s="362"/>
      <c r="B4542" s="609">
        <v>44377</v>
      </c>
      <c r="C4542" s="362" t="s">
        <v>80</v>
      </c>
      <c r="D4542" s="560">
        <v>405486269</v>
      </c>
      <c r="E4542" s="560">
        <v>16044731</v>
      </c>
      <c r="F4542" s="560"/>
      <c r="G4542" s="560">
        <f t="shared" si="103"/>
        <v>421531000</v>
      </c>
      <c r="H4542" s="362"/>
      <c r="I4542" s="362"/>
      <c r="J4542" s="362"/>
    </row>
    <row r="4543" spans="1:10" x14ac:dyDescent="0.25">
      <c r="A4543" s="362"/>
      <c r="B4543" s="609">
        <v>44377</v>
      </c>
      <c r="C4543" s="362" t="s">
        <v>83</v>
      </c>
      <c r="D4543" s="560">
        <v>140595264</v>
      </c>
      <c r="E4543" s="560">
        <v>80820282</v>
      </c>
      <c r="F4543" s="560"/>
      <c r="G4543" s="560">
        <f t="shared" si="103"/>
        <v>221415546</v>
      </c>
      <c r="H4543" s="362"/>
      <c r="I4543" s="362"/>
      <c r="J4543" s="362"/>
    </row>
    <row r="4544" spans="1:10" x14ac:dyDescent="0.25">
      <c r="A4544" s="362"/>
      <c r="B4544" s="609">
        <v>44377</v>
      </c>
      <c r="C4544" s="362" t="s">
        <v>78</v>
      </c>
      <c r="D4544" s="560">
        <v>100741888</v>
      </c>
      <c r="E4544" s="560">
        <v>2038112</v>
      </c>
      <c r="F4544" s="560"/>
      <c r="G4544" s="560">
        <f t="shared" si="103"/>
        <v>102780000</v>
      </c>
      <c r="H4544" s="362"/>
      <c r="I4544" s="362"/>
      <c r="J4544" s="362"/>
    </row>
    <row r="4545" spans="1:10" x14ac:dyDescent="0.25">
      <c r="A4545" s="362"/>
      <c r="B4545" s="609">
        <v>44377</v>
      </c>
      <c r="C4545" s="362" t="s">
        <v>141</v>
      </c>
      <c r="D4545" s="560">
        <v>40342948</v>
      </c>
      <c r="E4545" s="560">
        <v>10767052</v>
      </c>
      <c r="F4545" s="560"/>
      <c r="G4545" s="560">
        <f t="shared" si="103"/>
        <v>51110000</v>
      </c>
      <c r="H4545" s="362"/>
      <c r="I4545" s="362"/>
      <c r="J4545" s="362"/>
    </row>
    <row r="4546" spans="1:10" x14ac:dyDescent="0.25">
      <c r="A4546" s="362"/>
      <c r="B4546" s="609">
        <v>44377</v>
      </c>
      <c r="C4546" s="362" t="s">
        <v>89</v>
      </c>
      <c r="D4546" s="560">
        <v>110533663</v>
      </c>
      <c r="E4546" s="560">
        <v>11896337</v>
      </c>
      <c r="F4546" s="560"/>
      <c r="G4546" s="560">
        <f t="shared" si="103"/>
        <v>122430000</v>
      </c>
      <c r="H4546" s="362"/>
      <c r="I4546" s="362"/>
      <c r="J4546" s="362"/>
    </row>
    <row r="4547" spans="1:10" x14ac:dyDescent="0.25">
      <c r="A4547" s="362"/>
      <c r="B4547" s="609">
        <v>44377</v>
      </c>
      <c r="C4547" s="362" t="s">
        <v>81</v>
      </c>
      <c r="D4547" s="560">
        <v>128041437</v>
      </c>
      <c r="E4547" s="560">
        <v>5185000</v>
      </c>
      <c r="F4547" s="560"/>
      <c r="G4547" s="560">
        <f t="shared" si="103"/>
        <v>133226437</v>
      </c>
      <c r="H4547" s="362"/>
      <c r="I4547" s="362"/>
      <c r="J4547" s="362"/>
    </row>
    <row r="4548" spans="1:10" x14ac:dyDescent="0.25">
      <c r="A4548" s="362"/>
      <c r="B4548" s="609">
        <v>44377</v>
      </c>
      <c r="C4548" s="362" t="s">
        <v>84</v>
      </c>
      <c r="D4548" s="560">
        <v>209254573</v>
      </c>
      <c r="E4548" s="560">
        <v>8265191</v>
      </c>
      <c r="F4548" s="560"/>
      <c r="G4548" s="560">
        <f t="shared" si="103"/>
        <v>217519764</v>
      </c>
      <c r="H4548" s="362"/>
      <c r="I4548" s="362"/>
      <c r="J4548" s="362"/>
    </row>
    <row r="4549" spans="1:10" x14ac:dyDescent="0.25">
      <c r="A4549" s="362"/>
      <c r="B4549" s="609">
        <v>44377</v>
      </c>
      <c r="C4549" s="362" t="s">
        <v>4751</v>
      </c>
      <c r="D4549" s="560">
        <v>182289617</v>
      </c>
      <c r="E4549" s="560">
        <v>15479083</v>
      </c>
      <c r="F4549" s="560"/>
      <c r="G4549" s="560">
        <f t="shared" si="103"/>
        <v>197768700</v>
      </c>
      <c r="H4549" s="362"/>
      <c r="I4549" s="362"/>
      <c r="J4549" s="362"/>
    </row>
    <row r="4550" spans="1:10" x14ac:dyDescent="0.25">
      <c r="A4550" s="362"/>
      <c r="B4550" s="609">
        <v>44377</v>
      </c>
      <c r="C4550" s="362" t="s">
        <v>166</v>
      </c>
      <c r="D4550" s="560">
        <v>112684975</v>
      </c>
      <c r="E4550" s="560"/>
      <c r="F4550" s="560"/>
      <c r="G4550" s="560">
        <f t="shared" si="103"/>
        <v>112684975</v>
      </c>
      <c r="H4550" s="362"/>
      <c r="I4550" s="362"/>
      <c r="J4550" s="362"/>
    </row>
    <row r="4551" spans="1:10" x14ac:dyDescent="0.25">
      <c r="A4551" s="362"/>
      <c r="B4551" s="609">
        <v>44377</v>
      </c>
      <c r="C4551" s="362" t="s">
        <v>3435</v>
      </c>
      <c r="D4551" s="560">
        <v>64848035</v>
      </c>
      <c r="E4551" s="560"/>
      <c r="F4551" s="560"/>
      <c r="G4551" s="560">
        <f t="shared" si="103"/>
        <v>64848035</v>
      </c>
      <c r="H4551" s="362"/>
      <c r="I4551" s="362"/>
      <c r="J4551" s="362"/>
    </row>
    <row r="4552" spans="1:10" x14ac:dyDescent="0.25">
      <c r="A4552" s="362"/>
      <c r="B4552" s="609">
        <v>44377</v>
      </c>
      <c r="C4552" s="370" t="s">
        <v>85</v>
      </c>
      <c r="D4552" s="560">
        <v>36529600</v>
      </c>
      <c r="E4552" s="560"/>
      <c r="F4552" s="560"/>
      <c r="G4552" s="560">
        <f t="shared" si="103"/>
        <v>36529600</v>
      </c>
      <c r="H4552" s="362"/>
      <c r="I4552" s="362"/>
      <c r="J4552" s="362"/>
    </row>
    <row r="4553" spans="1:10" x14ac:dyDescent="0.25">
      <c r="A4553" s="530"/>
      <c r="B4553" s="585"/>
      <c r="C4553" s="530"/>
      <c r="D4553" s="562">
        <f>SUM(D4538:D4552)</f>
        <v>1978211264</v>
      </c>
      <c r="E4553" s="562">
        <f>SUM(E4538:E4552)</f>
        <v>346014519</v>
      </c>
      <c r="F4553" s="562">
        <f>SUM(F4538:F4552)</f>
        <v>0</v>
      </c>
      <c r="G4553" s="562">
        <f>SUM(G4538:G4552)</f>
        <v>2324225783</v>
      </c>
      <c r="H4553" s="530"/>
      <c r="I4553" s="530"/>
      <c r="J4553" s="530"/>
    </row>
    <row r="4554" spans="1:10" x14ac:dyDescent="0.25">
      <c r="A4554" s="362"/>
      <c r="B4554" s="609">
        <v>44378</v>
      </c>
      <c r="C4554" s="362" t="s">
        <v>86</v>
      </c>
      <c r="D4554" s="560">
        <v>173341313</v>
      </c>
      <c r="E4554" s="560">
        <v>141604187</v>
      </c>
      <c r="F4554" s="560"/>
      <c r="G4554" s="560">
        <f t="shared" si="103"/>
        <v>314945500</v>
      </c>
      <c r="H4554" s="362"/>
      <c r="I4554" s="362"/>
      <c r="J4554" s="362"/>
    </row>
    <row r="4555" spans="1:10" x14ac:dyDescent="0.25">
      <c r="A4555" s="362"/>
      <c r="B4555" s="609">
        <v>44378</v>
      </c>
      <c r="C4555" s="362" t="s">
        <v>87</v>
      </c>
      <c r="D4555" s="560">
        <v>67030660</v>
      </c>
      <c r="E4555" s="560">
        <v>43647601</v>
      </c>
      <c r="F4555" s="560"/>
      <c r="G4555" s="560">
        <f t="shared" si="103"/>
        <v>110678261</v>
      </c>
      <c r="H4555" s="362"/>
      <c r="I4555" s="362"/>
      <c r="J4555" s="362"/>
    </row>
    <row r="4556" spans="1:10" x14ac:dyDescent="0.25">
      <c r="A4556" s="362"/>
      <c r="B4556" s="609">
        <v>44378</v>
      </c>
      <c r="C4556" s="362" t="s">
        <v>88</v>
      </c>
      <c r="D4556" s="560">
        <v>279809114</v>
      </c>
      <c r="E4556" s="560">
        <v>70950612</v>
      </c>
      <c r="F4556" s="560"/>
      <c r="G4556" s="560">
        <f t="shared" ref="G4556:G4619" si="104">D4556+E4556-F4556</f>
        <v>350759726</v>
      </c>
      <c r="H4556" s="362"/>
      <c r="I4556" s="362"/>
      <c r="J4556" s="362"/>
    </row>
    <row r="4557" spans="1:10" x14ac:dyDescent="0.25">
      <c r="A4557" s="362"/>
      <c r="B4557" s="609">
        <v>44378</v>
      </c>
      <c r="C4557" s="362" t="s">
        <v>82</v>
      </c>
      <c r="D4557" s="560">
        <v>98878759</v>
      </c>
      <c r="E4557" s="560">
        <v>6607168</v>
      </c>
      <c r="F4557" s="560"/>
      <c r="G4557" s="560">
        <f t="shared" si="104"/>
        <v>105485927</v>
      </c>
      <c r="H4557" s="362"/>
      <c r="I4557" s="362"/>
      <c r="J4557" s="362"/>
    </row>
    <row r="4558" spans="1:10" x14ac:dyDescent="0.25">
      <c r="A4558" s="362"/>
      <c r="B4558" s="609">
        <v>44378</v>
      </c>
      <c r="C4558" s="362" t="s">
        <v>80</v>
      </c>
      <c r="D4558" s="560">
        <v>232899818</v>
      </c>
      <c r="E4558" s="560"/>
      <c r="F4558" s="560"/>
      <c r="G4558" s="560">
        <f t="shared" si="104"/>
        <v>232899818</v>
      </c>
      <c r="H4558" s="362"/>
      <c r="I4558" s="362"/>
      <c r="J4558" s="362"/>
    </row>
    <row r="4559" spans="1:10" x14ac:dyDescent="0.25">
      <c r="A4559" s="362"/>
      <c r="B4559" s="609">
        <v>44378</v>
      </c>
      <c r="C4559" s="362" t="s">
        <v>83</v>
      </c>
      <c r="D4559" s="560">
        <v>237811265</v>
      </c>
      <c r="E4559" s="560">
        <v>60188025</v>
      </c>
      <c r="F4559" s="560"/>
      <c r="G4559" s="560">
        <f t="shared" si="104"/>
        <v>297999290</v>
      </c>
      <c r="H4559" s="362"/>
      <c r="I4559" s="362"/>
      <c r="J4559" s="362"/>
    </row>
    <row r="4560" spans="1:10" x14ac:dyDescent="0.25">
      <c r="A4560" s="362"/>
      <c r="B4560" s="609">
        <v>44378</v>
      </c>
      <c r="C4560" s="362" t="s">
        <v>78</v>
      </c>
      <c r="D4560" s="560">
        <v>130920985</v>
      </c>
      <c r="E4560" s="560">
        <v>2543015</v>
      </c>
      <c r="F4560" s="560"/>
      <c r="G4560" s="560">
        <f t="shared" si="104"/>
        <v>133464000</v>
      </c>
      <c r="H4560" s="362"/>
      <c r="I4560" s="362"/>
      <c r="J4560" s="362"/>
    </row>
    <row r="4561" spans="1:10" x14ac:dyDescent="0.25">
      <c r="A4561" s="362"/>
      <c r="B4561" s="609">
        <v>44378</v>
      </c>
      <c r="C4561" s="362" t="s">
        <v>141</v>
      </c>
      <c r="D4561" s="560">
        <v>108798972</v>
      </c>
      <c r="E4561" s="560">
        <v>947989</v>
      </c>
      <c r="F4561" s="560"/>
      <c r="G4561" s="560">
        <f t="shared" si="104"/>
        <v>109746961</v>
      </c>
      <c r="H4561" s="362"/>
      <c r="I4561" s="362"/>
      <c r="J4561" s="362"/>
    </row>
    <row r="4562" spans="1:10" x14ac:dyDescent="0.25">
      <c r="A4562" s="362"/>
      <c r="B4562" s="609">
        <v>44378</v>
      </c>
      <c r="C4562" s="362" t="s">
        <v>89</v>
      </c>
      <c r="D4562" s="560">
        <v>148934574</v>
      </c>
      <c r="E4562" s="560">
        <v>14518126</v>
      </c>
      <c r="F4562" s="560"/>
      <c r="G4562" s="560">
        <f t="shared" si="104"/>
        <v>163452700</v>
      </c>
      <c r="H4562" s="362"/>
      <c r="I4562" s="362"/>
      <c r="J4562" s="362"/>
    </row>
    <row r="4563" spans="1:10" x14ac:dyDescent="0.25">
      <c r="A4563" s="362"/>
      <c r="B4563" s="609">
        <v>44378</v>
      </c>
      <c r="C4563" s="362" t="s">
        <v>81</v>
      </c>
      <c r="D4563" s="560">
        <v>69469832</v>
      </c>
      <c r="E4563" s="560">
        <v>23566029</v>
      </c>
      <c r="F4563" s="560"/>
      <c r="G4563" s="560">
        <f t="shared" si="104"/>
        <v>93035861</v>
      </c>
      <c r="H4563" s="362"/>
      <c r="I4563" s="362"/>
      <c r="J4563" s="362"/>
    </row>
    <row r="4564" spans="1:10" x14ac:dyDescent="0.25">
      <c r="A4564" s="362"/>
      <c r="B4564" s="609">
        <v>44378</v>
      </c>
      <c r="C4564" s="362" t="s">
        <v>84</v>
      </c>
      <c r="D4564" s="560">
        <v>409314682</v>
      </c>
      <c r="E4564" s="560">
        <v>15300301</v>
      </c>
      <c r="F4564" s="560"/>
      <c r="G4564" s="560">
        <f t="shared" si="104"/>
        <v>424614983</v>
      </c>
      <c r="H4564" s="362"/>
      <c r="I4564" s="362"/>
      <c r="J4564" s="362"/>
    </row>
    <row r="4565" spans="1:10" x14ac:dyDescent="0.25">
      <c r="A4565" s="362"/>
      <c r="B4565" s="609">
        <v>44378</v>
      </c>
      <c r="C4565" s="362" t="s">
        <v>4751</v>
      </c>
      <c r="D4565" s="560">
        <v>287795460</v>
      </c>
      <c r="E4565" s="560">
        <v>10661040</v>
      </c>
      <c r="F4565" s="560"/>
      <c r="G4565" s="560">
        <f t="shared" si="104"/>
        <v>298456500</v>
      </c>
      <c r="H4565" s="362"/>
      <c r="I4565" s="362"/>
      <c r="J4565" s="362"/>
    </row>
    <row r="4566" spans="1:10" x14ac:dyDescent="0.25">
      <c r="A4566" s="362"/>
      <c r="B4566" s="609">
        <v>44378</v>
      </c>
      <c r="C4566" s="362" t="s">
        <v>166</v>
      </c>
      <c r="D4566" s="560">
        <v>73037331</v>
      </c>
      <c r="E4566" s="560"/>
      <c r="F4566" s="560"/>
      <c r="G4566" s="560">
        <f t="shared" si="104"/>
        <v>73037331</v>
      </c>
      <c r="H4566" s="362"/>
      <c r="I4566" s="362"/>
      <c r="J4566" s="362"/>
    </row>
    <row r="4567" spans="1:10" x14ac:dyDescent="0.25">
      <c r="A4567" s="362"/>
      <c r="B4567" s="609">
        <v>44378</v>
      </c>
      <c r="C4567" s="362" t="s">
        <v>3435</v>
      </c>
      <c r="D4567" s="560">
        <v>54478785</v>
      </c>
      <c r="E4567" s="560"/>
      <c r="F4567" s="560"/>
      <c r="G4567" s="560">
        <f t="shared" si="104"/>
        <v>54478785</v>
      </c>
      <c r="H4567" s="362"/>
      <c r="I4567" s="362"/>
      <c r="J4567" s="362"/>
    </row>
    <row r="4568" spans="1:10" x14ac:dyDescent="0.25">
      <c r="A4568" s="362"/>
      <c r="B4568" s="609">
        <v>44378</v>
      </c>
      <c r="C4568" s="370" t="s">
        <v>85</v>
      </c>
      <c r="D4568" s="560">
        <v>24587200</v>
      </c>
      <c r="E4568" s="560"/>
      <c r="F4568" s="560"/>
      <c r="G4568" s="560">
        <f t="shared" si="104"/>
        <v>24587200</v>
      </c>
      <c r="H4568" s="362"/>
      <c r="I4568" s="362"/>
      <c r="J4568" s="362"/>
    </row>
    <row r="4569" spans="1:10" x14ac:dyDescent="0.25">
      <c r="A4569" s="530"/>
      <c r="B4569" s="530"/>
      <c r="C4569" s="530"/>
      <c r="D4569" s="562">
        <f>SUM(D4554:D4568)</f>
        <v>2397108750</v>
      </c>
      <c r="E4569" s="562">
        <f>SUM(E4554:E4568)</f>
        <v>390534093</v>
      </c>
      <c r="F4569" s="562">
        <f>SUM(F4554:F4568)</f>
        <v>0</v>
      </c>
      <c r="G4569" s="562">
        <f>SUM(G4554:G4568)</f>
        <v>2787642843</v>
      </c>
      <c r="H4569" s="530"/>
      <c r="I4569" s="530"/>
      <c r="J4569" s="530"/>
    </row>
    <row r="4570" spans="1:10" x14ac:dyDescent="0.25">
      <c r="A4570" s="362"/>
      <c r="B4570" s="609">
        <v>44379</v>
      </c>
      <c r="C4570" s="362" t="s">
        <v>86</v>
      </c>
      <c r="D4570" s="560">
        <v>38636068</v>
      </c>
      <c r="E4570" s="560">
        <v>117508048</v>
      </c>
      <c r="F4570" s="560">
        <v>156144000</v>
      </c>
      <c r="G4570" s="560">
        <f t="shared" si="104"/>
        <v>116</v>
      </c>
      <c r="H4570" s="362"/>
      <c r="I4570" s="362"/>
      <c r="J4570" s="362"/>
    </row>
    <row r="4571" spans="1:10" x14ac:dyDescent="0.25">
      <c r="A4571" s="362"/>
      <c r="B4571" s="609">
        <v>44379</v>
      </c>
      <c r="C4571" s="362" t="s">
        <v>87</v>
      </c>
      <c r="D4571" s="560">
        <v>65166568</v>
      </c>
      <c r="E4571" s="560">
        <v>120436335</v>
      </c>
      <c r="F4571" s="560">
        <v>185602900</v>
      </c>
      <c r="G4571" s="560">
        <f t="shared" si="104"/>
        <v>3</v>
      </c>
      <c r="H4571" s="362"/>
      <c r="I4571" s="362"/>
      <c r="J4571" s="362"/>
    </row>
    <row r="4572" spans="1:10" x14ac:dyDescent="0.25">
      <c r="A4572" s="362"/>
      <c r="B4572" s="609">
        <v>44379</v>
      </c>
      <c r="C4572" s="362" t="s">
        <v>88</v>
      </c>
      <c r="D4572" s="560">
        <v>166816108</v>
      </c>
      <c r="E4572" s="560">
        <v>73917021</v>
      </c>
      <c r="F4572" s="560">
        <v>240733200</v>
      </c>
      <c r="G4572" s="560">
        <f t="shared" si="104"/>
        <v>-71</v>
      </c>
      <c r="H4572" s="362"/>
      <c r="I4572" s="362"/>
      <c r="J4572" s="362"/>
    </row>
    <row r="4573" spans="1:10" x14ac:dyDescent="0.25">
      <c r="A4573" s="362"/>
      <c r="B4573" s="609">
        <v>44379</v>
      </c>
      <c r="C4573" s="362" t="s">
        <v>82</v>
      </c>
      <c r="D4573" s="560">
        <v>112721532</v>
      </c>
      <c r="E4573" s="560">
        <v>3328937</v>
      </c>
      <c r="F4573" s="560">
        <v>116050400</v>
      </c>
      <c r="G4573" s="560">
        <f t="shared" si="104"/>
        <v>69</v>
      </c>
      <c r="H4573" s="362"/>
      <c r="I4573" s="362"/>
      <c r="J4573" s="362"/>
    </row>
    <row r="4574" spans="1:10" x14ac:dyDescent="0.25">
      <c r="A4574" s="362"/>
      <c r="B4574" s="609">
        <v>44379</v>
      </c>
      <c r="C4574" s="362" t="s">
        <v>80</v>
      </c>
      <c r="D4574" s="560">
        <v>142304756</v>
      </c>
      <c r="E4574" s="560"/>
      <c r="F4574" s="560">
        <v>142304800</v>
      </c>
      <c r="G4574" s="560">
        <f t="shared" si="104"/>
        <v>-44</v>
      </c>
      <c r="H4574" s="362"/>
      <c r="I4574" s="362"/>
      <c r="J4574" s="362"/>
    </row>
    <row r="4575" spans="1:10" x14ac:dyDescent="0.25">
      <c r="A4575" s="362"/>
      <c r="B4575" s="609">
        <v>44379</v>
      </c>
      <c r="C4575" s="362" t="s">
        <v>83</v>
      </c>
      <c r="D4575" s="560">
        <v>213373922</v>
      </c>
      <c r="E4575" s="560">
        <v>6420056</v>
      </c>
      <c r="F4575" s="560">
        <v>219794000</v>
      </c>
      <c r="G4575" s="560">
        <f t="shared" si="104"/>
        <v>-22</v>
      </c>
      <c r="H4575" s="362"/>
      <c r="I4575" s="362"/>
      <c r="J4575" s="362"/>
    </row>
    <row r="4576" spans="1:10" x14ac:dyDescent="0.25">
      <c r="A4576" s="362"/>
      <c r="B4576" s="609">
        <v>44379</v>
      </c>
      <c r="C4576" s="362" t="s">
        <v>78</v>
      </c>
      <c r="D4576" s="560">
        <v>97275725</v>
      </c>
      <c r="E4576" s="560">
        <v>4325075</v>
      </c>
      <c r="F4576" s="560">
        <v>101600800</v>
      </c>
      <c r="G4576" s="560">
        <f t="shared" si="104"/>
        <v>0</v>
      </c>
      <c r="H4576" s="362"/>
      <c r="I4576" s="362"/>
      <c r="J4576" s="362"/>
    </row>
    <row r="4577" spans="1:10" x14ac:dyDescent="0.25">
      <c r="A4577" s="362"/>
      <c r="B4577" s="609">
        <v>44379</v>
      </c>
      <c r="C4577" s="362" t="s">
        <v>141</v>
      </c>
      <c r="D4577" s="560">
        <v>59555215</v>
      </c>
      <c r="E4577" s="560">
        <v>3841032</v>
      </c>
      <c r="F4577" s="560">
        <v>63396300</v>
      </c>
      <c r="G4577" s="560">
        <f t="shared" si="104"/>
        <v>-53</v>
      </c>
      <c r="H4577" s="362"/>
      <c r="I4577" s="362"/>
      <c r="J4577" s="362"/>
    </row>
    <row r="4578" spans="1:10" x14ac:dyDescent="0.25">
      <c r="A4578" s="362"/>
      <c r="B4578" s="609">
        <v>44379</v>
      </c>
      <c r="C4578" s="362" t="s">
        <v>89</v>
      </c>
      <c r="D4578" s="560">
        <v>126273075</v>
      </c>
      <c r="E4578" s="560">
        <v>16345725</v>
      </c>
      <c r="F4578" s="560">
        <v>142618800</v>
      </c>
      <c r="G4578" s="560">
        <f t="shared" si="104"/>
        <v>0</v>
      </c>
      <c r="H4578" s="362"/>
      <c r="I4578" s="362"/>
      <c r="J4578" s="362"/>
    </row>
    <row r="4579" spans="1:10" x14ac:dyDescent="0.25">
      <c r="A4579" s="362"/>
      <c r="B4579" s="609">
        <v>44379</v>
      </c>
      <c r="C4579" s="362" t="s">
        <v>81</v>
      </c>
      <c r="D4579" s="560">
        <v>51446117</v>
      </c>
      <c r="E4579" s="560">
        <v>5931027</v>
      </c>
      <c r="F4579" s="560">
        <v>57377200</v>
      </c>
      <c r="G4579" s="560">
        <f t="shared" si="104"/>
        <v>-56</v>
      </c>
      <c r="H4579" s="362"/>
      <c r="I4579" s="362"/>
      <c r="J4579" s="362"/>
    </row>
    <row r="4580" spans="1:10" x14ac:dyDescent="0.25">
      <c r="A4580" s="362"/>
      <c r="B4580" s="609">
        <v>44379</v>
      </c>
      <c r="C4580" s="362" t="s">
        <v>84</v>
      </c>
      <c r="D4580" s="560">
        <v>199783308</v>
      </c>
      <c r="E4580" s="560">
        <v>7527233</v>
      </c>
      <c r="F4580" s="560">
        <v>207310600</v>
      </c>
      <c r="G4580" s="560">
        <f t="shared" si="104"/>
        <v>-59</v>
      </c>
      <c r="H4580" s="362"/>
      <c r="I4580" s="362"/>
      <c r="J4580" s="362"/>
    </row>
    <row r="4581" spans="1:10" x14ac:dyDescent="0.25">
      <c r="A4581" s="362"/>
      <c r="B4581" s="609">
        <v>44379</v>
      </c>
      <c r="C4581" s="362" t="s">
        <v>4751</v>
      </c>
      <c r="D4581" s="560">
        <v>176236137</v>
      </c>
      <c r="E4581" s="560">
        <v>14371563</v>
      </c>
      <c r="F4581" s="560">
        <v>190607700</v>
      </c>
      <c r="G4581" s="560">
        <f t="shared" si="104"/>
        <v>0</v>
      </c>
      <c r="H4581" s="362"/>
      <c r="I4581" s="362"/>
      <c r="J4581" s="362"/>
    </row>
    <row r="4582" spans="1:10" x14ac:dyDescent="0.25">
      <c r="A4582" s="362"/>
      <c r="B4582" s="609">
        <v>44379</v>
      </c>
      <c r="C4582" s="362" t="s">
        <v>166</v>
      </c>
      <c r="D4582" s="560">
        <v>51709296</v>
      </c>
      <c r="E4582" s="560"/>
      <c r="F4582" s="560">
        <v>51709300</v>
      </c>
      <c r="G4582" s="560">
        <f t="shared" si="104"/>
        <v>-4</v>
      </c>
      <c r="H4582" s="362"/>
      <c r="I4582" s="362"/>
      <c r="J4582" s="362"/>
    </row>
    <row r="4583" spans="1:10" x14ac:dyDescent="0.25">
      <c r="A4583" s="362"/>
      <c r="B4583" s="609">
        <v>44379</v>
      </c>
      <c r="C4583" s="362" t="s">
        <v>3435</v>
      </c>
      <c r="D4583" s="560">
        <v>46316952</v>
      </c>
      <c r="E4583" s="560"/>
      <c r="F4583" s="560">
        <v>46317000</v>
      </c>
      <c r="G4583" s="560">
        <f t="shared" si="104"/>
        <v>-48</v>
      </c>
      <c r="H4583" s="362"/>
      <c r="I4583" s="362"/>
      <c r="J4583" s="362"/>
    </row>
    <row r="4584" spans="1:10" x14ac:dyDescent="0.25">
      <c r="A4584" s="362"/>
      <c r="B4584" s="609">
        <v>44379</v>
      </c>
      <c r="C4584" s="370" t="s">
        <v>85</v>
      </c>
      <c r="D4584" s="560">
        <v>23880700</v>
      </c>
      <c r="E4584" s="560"/>
      <c r="F4584" s="560">
        <v>23880700</v>
      </c>
      <c r="G4584" s="560">
        <f t="shared" si="104"/>
        <v>0</v>
      </c>
      <c r="H4584" s="362"/>
      <c r="I4584" s="362"/>
      <c r="J4584" s="362"/>
    </row>
    <row r="4585" spans="1:10" x14ac:dyDescent="0.25">
      <c r="A4585" s="530"/>
      <c r="B4585" s="530"/>
      <c r="C4585" s="530"/>
      <c r="D4585" s="562"/>
      <c r="E4585" s="562"/>
      <c r="F4585" s="562"/>
      <c r="G4585" s="562"/>
      <c r="H4585" s="530"/>
      <c r="I4585" s="530"/>
      <c r="J4585" s="530"/>
    </row>
    <row r="4586" spans="1:10" x14ac:dyDescent="0.25">
      <c r="A4586" s="362"/>
      <c r="B4586" s="609">
        <v>44380</v>
      </c>
      <c r="C4586" s="362" t="s">
        <v>86</v>
      </c>
      <c r="D4586" s="560">
        <v>54804058</v>
      </c>
      <c r="E4586" s="560">
        <v>33335294</v>
      </c>
      <c r="F4586" s="560"/>
      <c r="G4586" s="560">
        <f t="shared" si="104"/>
        <v>88139352</v>
      </c>
      <c r="H4586" s="362"/>
      <c r="I4586" s="362"/>
      <c r="J4586" s="362"/>
    </row>
    <row r="4587" spans="1:10" x14ac:dyDescent="0.25">
      <c r="A4587" s="362"/>
      <c r="B4587" s="609">
        <v>44380</v>
      </c>
      <c r="C4587" s="362" t="s">
        <v>87</v>
      </c>
      <c r="D4587" s="560">
        <v>66157319</v>
      </c>
      <c r="E4587" s="560">
        <v>213406135</v>
      </c>
      <c r="F4587" s="560"/>
      <c r="G4587" s="560">
        <f t="shared" si="104"/>
        <v>279563454</v>
      </c>
      <c r="H4587" s="362"/>
      <c r="I4587" s="362"/>
      <c r="J4587" s="362"/>
    </row>
    <row r="4588" spans="1:10" x14ac:dyDescent="0.25">
      <c r="A4588" s="362"/>
      <c r="B4588" s="609">
        <v>44380</v>
      </c>
      <c r="C4588" s="362" t="s">
        <v>88</v>
      </c>
      <c r="D4588" s="560">
        <v>240039950</v>
      </c>
      <c r="E4588" s="560">
        <v>34689684</v>
      </c>
      <c r="F4588" s="560"/>
      <c r="G4588" s="560">
        <f t="shared" si="104"/>
        <v>274729634</v>
      </c>
      <c r="H4588" s="362"/>
      <c r="I4588" s="362"/>
      <c r="J4588" s="362"/>
    </row>
    <row r="4589" spans="1:10" x14ac:dyDescent="0.25">
      <c r="A4589" s="362"/>
      <c r="B4589" s="609">
        <v>44380</v>
      </c>
      <c r="C4589" s="362" t="s">
        <v>82</v>
      </c>
      <c r="D4589" s="560">
        <v>37103062</v>
      </c>
      <c r="E4589" s="560">
        <v>4275000</v>
      </c>
      <c r="F4589" s="560"/>
      <c r="G4589" s="560">
        <f t="shared" si="104"/>
        <v>41378062</v>
      </c>
      <c r="H4589" s="362"/>
      <c r="I4589" s="362"/>
      <c r="J4589" s="362"/>
    </row>
    <row r="4590" spans="1:10" x14ac:dyDescent="0.25">
      <c r="A4590" s="362"/>
      <c r="B4590" s="609">
        <v>44380</v>
      </c>
      <c r="C4590" s="362" t="s">
        <v>80</v>
      </c>
      <c r="D4590" s="560">
        <v>250139438</v>
      </c>
      <c r="E4590" s="560">
        <v>11027806</v>
      </c>
      <c r="F4590" s="560"/>
      <c r="G4590" s="560">
        <f t="shared" si="104"/>
        <v>261167244</v>
      </c>
      <c r="H4590" s="362"/>
      <c r="I4590" s="362"/>
      <c r="J4590" s="362"/>
    </row>
    <row r="4591" spans="1:10" x14ac:dyDescent="0.25">
      <c r="A4591" s="362"/>
      <c r="B4591" s="609">
        <v>44380</v>
      </c>
      <c r="C4591" s="362" t="s">
        <v>83</v>
      </c>
      <c r="D4591" s="560">
        <v>189922926</v>
      </c>
      <c r="E4591" s="560">
        <v>21015274</v>
      </c>
      <c r="F4591" s="560"/>
      <c r="G4591" s="560">
        <f t="shared" si="104"/>
        <v>210938200</v>
      </c>
      <c r="H4591" s="362"/>
      <c r="I4591" s="362"/>
      <c r="J4591" s="362"/>
    </row>
    <row r="4592" spans="1:10" x14ac:dyDescent="0.25">
      <c r="A4592" s="362"/>
      <c r="B4592" s="609">
        <v>44380</v>
      </c>
      <c r="C4592" s="362" t="s">
        <v>78</v>
      </c>
      <c r="D4592" s="560">
        <v>135961844</v>
      </c>
      <c r="E4592" s="560">
        <v>1529256</v>
      </c>
      <c r="F4592" s="560"/>
      <c r="G4592" s="560">
        <f t="shared" si="104"/>
        <v>137491100</v>
      </c>
      <c r="H4592" s="362"/>
      <c r="I4592" s="362"/>
      <c r="J4592" s="362"/>
    </row>
    <row r="4593" spans="1:10" x14ac:dyDescent="0.25">
      <c r="A4593" s="362"/>
      <c r="B4593" s="609">
        <v>44380</v>
      </c>
      <c r="C4593" s="362" t="s">
        <v>141</v>
      </c>
      <c r="D4593" s="560">
        <v>36562852</v>
      </c>
      <c r="E4593" s="560">
        <v>13755745</v>
      </c>
      <c r="F4593" s="560"/>
      <c r="G4593" s="560">
        <f t="shared" si="104"/>
        <v>50318597</v>
      </c>
      <c r="H4593" s="362"/>
      <c r="I4593" s="362"/>
      <c r="J4593" s="362"/>
    </row>
    <row r="4594" spans="1:10" x14ac:dyDescent="0.25">
      <c r="A4594" s="362"/>
      <c r="B4594" s="609">
        <v>44380</v>
      </c>
      <c r="C4594" s="362" t="s">
        <v>89</v>
      </c>
      <c r="D4594" s="560">
        <v>117601373</v>
      </c>
      <c r="E4594" s="560">
        <v>31415127</v>
      </c>
      <c r="F4594" s="560"/>
      <c r="G4594" s="560">
        <f t="shared" si="104"/>
        <v>149016500</v>
      </c>
      <c r="H4594" s="362"/>
      <c r="I4594" s="362"/>
      <c r="J4594" s="362"/>
    </row>
    <row r="4595" spans="1:10" x14ac:dyDescent="0.25">
      <c r="A4595" s="362"/>
      <c r="B4595" s="609">
        <v>44380</v>
      </c>
      <c r="C4595" s="362" t="s">
        <v>81</v>
      </c>
      <c r="D4595" s="560">
        <v>166963189</v>
      </c>
      <c r="E4595" s="560">
        <v>54903932</v>
      </c>
      <c r="F4595" s="560"/>
      <c r="G4595" s="560">
        <f t="shared" si="104"/>
        <v>221867121</v>
      </c>
      <c r="H4595" s="362"/>
      <c r="I4595" s="362"/>
      <c r="J4595" s="362"/>
    </row>
    <row r="4596" spans="1:10" x14ac:dyDescent="0.25">
      <c r="A4596" s="362"/>
      <c r="B4596" s="609">
        <v>44380</v>
      </c>
      <c r="C4596" s="362" t="s">
        <v>84</v>
      </c>
      <c r="D4596" s="560">
        <v>390693807</v>
      </c>
      <c r="E4596" s="560">
        <v>18380737</v>
      </c>
      <c r="F4596" s="560"/>
      <c r="G4596" s="560">
        <f t="shared" si="104"/>
        <v>409074544</v>
      </c>
      <c r="H4596" s="362"/>
      <c r="I4596" s="362"/>
      <c r="J4596" s="362"/>
    </row>
    <row r="4597" spans="1:10" x14ac:dyDescent="0.25">
      <c r="A4597" s="362"/>
      <c r="B4597" s="609">
        <v>44380</v>
      </c>
      <c r="C4597" s="362" t="s">
        <v>4751</v>
      </c>
      <c r="D4597" s="560">
        <v>261826361</v>
      </c>
      <c r="E4597" s="560">
        <v>14863939</v>
      </c>
      <c r="F4597" s="560"/>
      <c r="G4597" s="560">
        <f t="shared" si="104"/>
        <v>276690300</v>
      </c>
      <c r="H4597" s="362"/>
      <c r="I4597" s="362"/>
      <c r="J4597" s="362"/>
    </row>
    <row r="4598" spans="1:10" x14ac:dyDescent="0.25">
      <c r="A4598" s="362"/>
      <c r="B4598" s="609">
        <v>44380</v>
      </c>
      <c r="C4598" s="362" t="s">
        <v>166</v>
      </c>
      <c r="D4598" s="560"/>
      <c r="E4598" s="560"/>
      <c r="F4598" s="560"/>
      <c r="G4598" s="560">
        <f t="shared" si="104"/>
        <v>0</v>
      </c>
      <c r="H4598" s="362"/>
      <c r="I4598" s="362"/>
      <c r="J4598" s="362"/>
    </row>
    <row r="4599" spans="1:10" x14ac:dyDescent="0.25">
      <c r="A4599" s="362"/>
      <c r="B4599" s="609">
        <v>44380</v>
      </c>
      <c r="C4599" s="362" t="s">
        <v>3435</v>
      </c>
      <c r="D4599" s="560"/>
      <c r="E4599" s="560"/>
      <c r="F4599" s="560"/>
      <c r="G4599" s="560">
        <f t="shared" si="104"/>
        <v>0</v>
      </c>
      <c r="H4599" s="362"/>
      <c r="I4599" s="362"/>
      <c r="J4599" s="362"/>
    </row>
    <row r="4600" spans="1:10" x14ac:dyDescent="0.25">
      <c r="A4600" s="362"/>
      <c r="B4600" s="609">
        <v>44380</v>
      </c>
      <c r="C4600" s="370" t="s">
        <v>85</v>
      </c>
      <c r="D4600" s="560">
        <v>22859900</v>
      </c>
      <c r="E4600" s="560"/>
      <c r="F4600" s="560"/>
      <c r="G4600" s="560">
        <f t="shared" si="104"/>
        <v>22859900</v>
      </c>
      <c r="H4600" s="362"/>
      <c r="I4600" s="362"/>
      <c r="J4600" s="362"/>
    </row>
    <row r="4601" spans="1:10" x14ac:dyDescent="0.25">
      <c r="A4601" s="530"/>
      <c r="B4601" s="530"/>
      <c r="C4601" s="530"/>
      <c r="D4601" s="562">
        <f>SUM(D4586:D4600)</f>
        <v>1970636079</v>
      </c>
      <c r="E4601" s="562">
        <f>SUM(E4586:E4600)</f>
        <v>452597929</v>
      </c>
      <c r="F4601" s="562">
        <f>SUM(F4586:F4600)</f>
        <v>0</v>
      </c>
      <c r="G4601" s="562">
        <f>SUM(G4586:G4600)</f>
        <v>2423234008</v>
      </c>
      <c r="H4601" s="530"/>
      <c r="I4601" s="530"/>
      <c r="J4601" s="530"/>
    </row>
    <row r="4602" spans="1:10" x14ac:dyDescent="0.25">
      <c r="A4602" s="362"/>
      <c r="B4602" s="609">
        <v>44382</v>
      </c>
      <c r="C4602" s="362" t="s">
        <v>86</v>
      </c>
      <c r="D4602" s="560">
        <v>56211392</v>
      </c>
      <c r="E4602" s="560">
        <v>19196263</v>
      </c>
      <c r="F4602" s="560"/>
      <c r="G4602" s="560">
        <f t="shared" si="104"/>
        <v>75407655</v>
      </c>
      <c r="H4602" s="362"/>
      <c r="I4602" s="362"/>
      <c r="J4602" s="362"/>
    </row>
    <row r="4603" spans="1:10" x14ac:dyDescent="0.25">
      <c r="A4603" s="362"/>
      <c r="B4603" s="609">
        <v>44382</v>
      </c>
      <c r="C4603" s="362" t="s">
        <v>87</v>
      </c>
      <c r="D4603" s="560">
        <v>148312940</v>
      </c>
      <c r="E4603" s="560">
        <v>30175166</v>
      </c>
      <c r="F4603" s="560"/>
      <c r="G4603" s="560">
        <f t="shared" si="104"/>
        <v>178488106</v>
      </c>
      <c r="H4603" s="362"/>
      <c r="I4603" s="362"/>
      <c r="J4603" s="362"/>
    </row>
    <row r="4604" spans="1:10" x14ac:dyDescent="0.25">
      <c r="A4604" s="362"/>
      <c r="B4604" s="609">
        <v>44382</v>
      </c>
      <c r="C4604" s="362" t="s">
        <v>88</v>
      </c>
      <c r="D4604" s="560">
        <v>196936910</v>
      </c>
      <c r="E4604" s="560">
        <v>12938165</v>
      </c>
      <c r="F4604" s="560"/>
      <c r="G4604" s="560">
        <f t="shared" si="104"/>
        <v>209875075</v>
      </c>
      <c r="H4604" s="362"/>
      <c r="I4604" s="362"/>
      <c r="J4604" s="362"/>
    </row>
    <row r="4605" spans="1:10" x14ac:dyDescent="0.25">
      <c r="A4605" s="362"/>
      <c r="B4605" s="609">
        <v>44382</v>
      </c>
      <c r="C4605" s="362" t="s">
        <v>82</v>
      </c>
      <c r="D4605" s="560">
        <v>42067928</v>
      </c>
      <c r="E4605" s="560">
        <v>855052</v>
      </c>
      <c r="F4605" s="560"/>
      <c r="G4605" s="560">
        <f t="shared" si="104"/>
        <v>42922980</v>
      </c>
      <c r="H4605" s="362"/>
      <c r="I4605" s="362"/>
      <c r="J4605" s="362"/>
    </row>
    <row r="4606" spans="1:10" x14ac:dyDescent="0.25">
      <c r="A4606" s="362"/>
      <c r="B4606" s="609">
        <v>44382</v>
      </c>
      <c r="C4606" s="362" t="s">
        <v>80</v>
      </c>
      <c r="D4606" s="560">
        <v>295909689</v>
      </c>
      <c r="E4606" s="560"/>
      <c r="F4606" s="560"/>
      <c r="G4606" s="560">
        <f t="shared" si="104"/>
        <v>295909689</v>
      </c>
      <c r="H4606" s="362"/>
      <c r="I4606" s="362"/>
      <c r="J4606" s="362"/>
    </row>
    <row r="4607" spans="1:10" x14ac:dyDescent="0.25">
      <c r="A4607" s="362"/>
      <c r="B4607" s="609">
        <v>44382</v>
      </c>
      <c r="C4607" s="362" t="s">
        <v>83</v>
      </c>
      <c r="D4607" s="560">
        <v>332301715</v>
      </c>
      <c r="E4607" s="560">
        <v>126956785</v>
      </c>
      <c r="F4607" s="560"/>
      <c r="G4607" s="560">
        <f t="shared" si="104"/>
        <v>459258500</v>
      </c>
      <c r="H4607" s="362"/>
      <c r="I4607" s="362"/>
      <c r="J4607" s="362"/>
    </row>
    <row r="4608" spans="1:10" x14ac:dyDescent="0.25">
      <c r="A4608" s="362"/>
      <c r="B4608" s="609">
        <v>44382</v>
      </c>
      <c r="C4608" s="362" t="s">
        <v>78</v>
      </c>
      <c r="D4608" s="560">
        <v>94359224</v>
      </c>
      <c r="E4608" s="560">
        <v>1620376</v>
      </c>
      <c r="F4608" s="560"/>
      <c r="G4608" s="560">
        <f t="shared" si="104"/>
        <v>95979600</v>
      </c>
      <c r="H4608" s="362"/>
      <c r="I4608" s="362"/>
      <c r="J4608" s="362"/>
    </row>
    <row r="4609" spans="1:10" x14ac:dyDescent="0.25">
      <c r="A4609" s="362"/>
      <c r="B4609" s="609">
        <v>44382</v>
      </c>
      <c r="C4609" s="362" t="s">
        <v>141</v>
      </c>
      <c r="D4609" s="560">
        <v>94547459</v>
      </c>
      <c r="E4609" s="560">
        <v>3136131</v>
      </c>
      <c r="F4609" s="560"/>
      <c r="G4609" s="560">
        <f t="shared" si="104"/>
        <v>97683590</v>
      </c>
      <c r="H4609" s="362"/>
      <c r="I4609" s="362"/>
      <c r="J4609" s="362"/>
    </row>
    <row r="4610" spans="1:10" x14ac:dyDescent="0.25">
      <c r="A4610" s="362"/>
      <c r="B4610" s="609">
        <v>44382</v>
      </c>
      <c r="C4610" s="362" t="s">
        <v>89</v>
      </c>
      <c r="D4610" s="560">
        <v>126606688</v>
      </c>
      <c r="E4610" s="560">
        <v>36216112</v>
      </c>
      <c r="F4610" s="560"/>
      <c r="G4610" s="560">
        <f t="shared" si="104"/>
        <v>162822800</v>
      </c>
      <c r="H4610" s="362"/>
      <c r="I4610" s="362"/>
      <c r="J4610" s="362"/>
    </row>
    <row r="4611" spans="1:10" x14ac:dyDescent="0.25">
      <c r="A4611" s="362"/>
      <c r="B4611" s="609">
        <v>44382</v>
      </c>
      <c r="C4611" s="362" t="s">
        <v>81</v>
      </c>
      <c r="D4611" s="560">
        <v>42788847</v>
      </c>
      <c r="E4611" s="560">
        <v>7606946</v>
      </c>
      <c r="F4611" s="560"/>
      <c r="G4611" s="560">
        <f t="shared" si="104"/>
        <v>50395793</v>
      </c>
      <c r="H4611" s="362"/>
      <c r="I4611" s="362"/>
      <c r="J4611" s="362"/>
    </row>
    <row r="4612" spans="1:10" x14ac:dyDescent="0.25">
      <c r="A4612" s="362"/>
      <c r="B4612" s="609">
        <v>44382</v>
      </c>
      <c r="C4612" s="362" t="s">
        <v>84</v>
      </c>
      <c r="D4612" s="560">
        <v>215679594</v>
      </c>
      <c r="E4612" s="560">
        <v>9279418</v>
      </c>
      <c r="F4612" s="560"/>
      <c r="G4612" s="560">
        <f t="shared" si="104"/>
        <v>224959012</v>
      </c>
      <c r="H4612" s="362"/>
      <c r="I4612" s="362"/>
      <c r="J4612" s="362"/>
    </row>
    <row r="4613" spans="1:10" x14ac:dyDescent="0.25">
      <c r="A4613" s="362"/>
      <c r="B4613" s="609">
        <v>44382</v>
      </c>
      <c r="C4613" s="362" t="s">
        <v>4751</v>
      </c>
      <c r="D4613" s="560">
        <v>150811006</v>
      </c>
      <c r="E4613" s="560">
        <v>5950294</v>
      </c>
      <c r="F4613" s="560"/>
      <c r="G4613" s="560">
        <f t="shared" si="104"/>
        <v>156761300</v>
      </c>
      <c r="H4613" s="362"/>
      <c r="I4613" s="362"/>
      <c r="J4613" s="362"/>
    </row>
    <row r="4614" spans="1:10" x14ac:dyDescent="0.25">
      <c r="A4614" s="362"/>
      <c r="B4614" s="609">
        <v>44382</v>
      </c>
      <c r="C4614" s="362" t="s">
        <v>166</v>
      </c>
      <c r="D4614" s="560">
        <v>110198609</v>
      </c>
      <c r="E4614" s="560"/>
      <c r="F4614" s="560"/>
      <c r="G4614" s="560">
        <f t="shared" si="104"/>
        <v>110198609</v>
      </c>
      <c r="H4614" s="362"/>
      <c r="I4614" s="362"/>
      <c r="J4614" s="362"/>
    </row>
    <row r="4615" spans="1:10" x14ac:dyDescent="0.25">
      <c r="A4615" s="362"/>
      <c r="B4615" s="609">
        <v>44382</v>
      </c>
      <c r="C4615" s="362" t="s">
        <v>3435</v>
      </c>
      <c r="D4615" s="560">
        <v>36236901</v>
      </c>
      <c r="E4615" s="560"/>
      <c r="F4615" s="560"/>
      <c r="G4615" s="560">
        <f t="shared" si="104"/>
        <v>36236901</v>
      </c>
      <c r="H4615" s="362"/>
      <c r="I4615" s="362"/>
      <c r="J4615" s="362"/>
    </row>
    <row r="4616" spans="1:10" x14ac:dyDescent="0.25">
      <c r="A4616" s="362"/>
      <c r="B4616" s="609">
        <v>44382</v>
      </c>
      <c r="C4616" s="370" t="s">
        <v>85</v>
      </c>
      <c r="D4616" s="560">
        <v>43191700</v>
      </c>
      <c r="E4616" s="560"/>
      <c r="F4616" s="560"/>
      <c r="G4616" s="560">
        <f t="shared" si="104"/>
        <v>43191700</v>
      </c>
      <c r="H4616" s="362"/>
      <c r="I4616" s="362"/>
      <c r="J4616" s="362"/>
    </row>
    <row r="4617" spans="1:10" x14ac:dyDescent="0.25">
      <c r="A4617" s="530"/>
      <c r="B4617" s="530"/>
      <c r="C4617" s="530"/>
      <c r="D4617" s="562">
        <f>SUM(D4602:D4616)</f>
        <v>1986160602</v>
      </c>
      <c r="E4617" s="562">
        <f>SUM(E4602:E4616)</f>
        <v>253930708</v>
      </c>
      <c r="F4617" s="562">
        <f>SUM(F4602:F4616)</f>
        <v>0</v>
      </c>
      <c r="G4617" s="562">
        <f>SUM(G4602:G4616)</f>
        <v>2240091310</v>
      </c>
      <c r="H4617" s="530"/>
      <c r="I4617" s="530"/>
      <c r="J4617" s="530"/>
    </row>
    <row r="4618" spans="1:10" x14ac:dyDescent="0.25">
      <c r="A4618" s="362"/>
      <c r="B4618" s="609">
        <v>44383</v>
      </c>
      <c r="C4618" s="362" t="s">
        <v>86</v>
      </c>
      <c r="D4618" s="560">
        <v>62989243</v>
      </c>
      <c r="E4618" s="560">
        <v>75193696</v>
      </c>
      <c r="F4618" s="560"/>
      <c r="G4618" s="560">
        <f t="shared" si="104"/>
        <v>138182939</v>
      </c>
      <c r="H4618" s="362"/>
      <c r="I4618" s="362"/>
      <c r="J4618" s="362"/>
    </row>
    <row r="4619" spans="1:10" x14ac:dyDescent="0.25">
      <c r="A4619" s="362"/>
      <c r="B4619" s="609">
        <v>44383</v>
      </c>
      <c r="C4619" s="362" t="s">
        <v>87</v>
      </c>
      <c r="D4619" s="560">
        <v>119127886</v>
      </c>
      <c r="E4619" s="560">
        <v>61085549</v>
      </c>
      <c r="F4619" s="560"/>
      <c r="G4619" s="560">
        <f t="shared" si="104"/>
        <v>180213435</v>
      </c>
      <c r="H4619" s="362"/>
      <c r="I4619" s="362"/>
      <c r="J4619" s="362"/>
    </row>
    <row r="4620" spans="1:10" x14ac:dyDescent="0.25">
      <c r="A4620" s="362"/>
      <c r="B4620" s="609">
        <v>44383</v>
      </c>
      <c r="C4620" s="362" t="s">
        <v>88</v>
      </c>
      <c r="D4620" s="560">
        <v>206398114</v>
      </c>
      <c r="E4620" s="560">
        <v>48767288</v>
      </c>
      <c r="F4620" s="560"/>
      <c r="G4620" s="560">
        <f t="shared" ref="G4620:G4683" si="105">D4620+E4620-F4620</f>
        <v>255165402</v>
      </c>
      <c r="H4620" s="362"/>
      <c r="I4620" s="362"/>
      <c r="J4620" s="362"/>
    </row>
    <row r="4621" spans="1:10" x14ac:dyDescent="0.25">
      <c r="A4621" s="362"/>
      <c r="B4621" s="609">
        <v>44383</v>
      </c>
      <c r="C4621" s="362" t="s">
        <v>82</v>
      </c>
      <c r="D4621" s="560">
        <v>41162729</v>
      </c>
      <c r="E4621" s="560">
        <v>880198</v>
      </c>
      <c r="F4621" s="560"/>
      <c r="G4621" s="560">
        <f t="shared" si="105"/>
        <v>42042927</v>
      </c>
      <c r="H4621" s="362"/>
      <c r="I4621" s="362"/>
      <c r="J4621" s="362"/>
    </row>
    <row r="4622" spans="1:10" x14ac:dyDescent="0.25">
      <c r="A4622" s="362"/>
      <c r="B4622" s="609">
        <v>44383</v>
      </c>
      <c r="C4622" s="362" t="s">
        <v>80</v>
      </c>
      <c r="D4622" s="560">
        <v>181889489</v>
      </c>
      <c r="E4622" s="560"/>
      <c r="F4622" s="560"/>
      <c r="G4622" s="560">
        <f t="shared" si="105"/>
        <v>181889489</v>
      </c>
      <c r="H4622" s="362"/>
      <c r="I4622" s="362"/>
      <c r="J4622" s="362"/>
    </row>
    <row r="4623" spans="1:10" x14ac:dyDescent="0.25">
      <c r="A4623" s="362"/>
      <c r="B4623" s="609">
        <v>44383</v>
      </c>
      <c r="C4623" s="362" t="s">
        <v>83</v>
      </c>
      <c r="D4623" s="560">
        <v>263519418</v>
      </c>
      <c r="E4623" s="560">
        <v>34052865</v>
      </c>
      <c r="F4623" s="560"/>
      <c r="G4623" s="560">
        <f t="shared" si="105"/>
        <v>297572283</v>
      </c>
      <c r="H4623" s="362"/>
      <c r="I4623" s="362"/>
      <c r="J4623" s="362"/>
    </row>
    <row r="4624" spans="1:10" x14ac:dyDescent="0.25">
      <c r="A4624" s="362"/>
      <c r="B4624" s="609">
        <v>44383</v>
      </c>
      <c r="C4624" s="362" t="s">
        <v>78</v>
      </c>
      <c r="D4624" s="560">
        <v>80372828</v>
      </c>
      <c r="E4624" s="560">
        <v>1207772</v>
      </c>
      <c r="F4624" s="560"/>
      <c r="G4624" s="560">
        <f t="shared" si="105"/>
        <v>81580600</v>
      </c>
      <c r="H4624" s="362"/>
      <c r="I4624" s="362"/>
      <c r="J4624" s="362"/>
    </row>
    <row r="4625" spans="1:10" x14ac:dyDescent="0.25">
      <c r="A4625" s="362"/>
      <c r="B4625" s="609">
        <v>44383</v>
      </c>
      <c r="C4625" s="362" t="s">
        <v>141</v>
      </c>
      <c r="D4625" s="560">
        <v>55736593</v>
      </c>
      <c r="E4625" s="560">
        <v>2689770</v>
      </c>
      <c r="F4625" s="560"/>
      <c r="G4625" s="560">
        <f t="shared" si="105"/>
        <v>58426363</v>
      </c>
      <c r="H4625" s="362"/>
      <c r="I4625" s="362"/>
      <c r="J4625" s="362"/>
    </row>
    <row r="4626" spans="1:10" x14ac:dyDescent="0.25">
      <c r="A4626" s="362"/>
      <c r="B4626" s="609">
        <v>44383</v>
      </c>
      <c r="C4626" s="362" t="s">
        <v>89</v>
      </c>
      <c r="D4626" s="560">
        <v>148372746</v>
      </c>
      <c r="E4626" s="560">
        <v>3695454</v>
      </c>
      <c r="F4626" s="560"/>
      <c r="G4626" s="560">
        <f t="shared" si="105"/>
        <v>152068200</v>
      </c>
      <c r="H4626" s="362"/>
      <c r="I4626" s="362"/>
      <c r="J4626" s="362"/>
    </row>
    <row r="4627" spans="1:10" x14ac:dyDescent="0.25">
      <c r="A4627" s="362"/>
      <c r="B4627" s="609">
        <v>44383</v>
      </c>
      <c r="C4627" s="362" t="s">
        <v>81</v>
      </c>
      <c r="D4627" s="560">
        <v>74476817</v>
      </c>
      <c r="E4627" s="560">
        <v>4412238</v>
      </c>
      <c r="F4627" s="560"/>
      <c r="G4627" s="560">
        <f t="shared" si="105"/>
        <v>78889055</v>
      </c>
      <c r="H4627" s="362"/>
      <c r="I4627" s="362"/>
      <c r="J4627" s="362"/>
    </row>
    <row r="4628" spans="1:10" x14ac:dyDescent="0.25">
      <c r="A4628" s="362"/>
      <c r="B4628" s="609">
        <v>44383</v>
      </c>
      <c r="C4628" s="362" t="s">
        <v>84</v>
      </c>
      <c r="D4628" s="560">
        <v>181437249</v>
      </c>
      <c r="E4628" s="560">
        <v>9318061</v>
      </c>
      <c r="F4628" s="560"/>
      <c r="G4628" s="560">
        <f t="shared" si="105"/>
        <v>190755310</v>
      </c>
      <c r="H4628" s="362"/>
      <c r="I4628" s="362"/>
      <c r="J4628" s="362"/>
    </row>
    <row r="4629" spans="1:10" x14ac:dyDescent="0.25">
      <c r="A4629" s="362"/>
      <c r="B4629" s="609">
        <v>44383</v>
      </c>
      <c r="C4629" s="362" t="s">
        <v>4751</v>
      </c>
      <c r="D4629" s="560">
        <v>175387117</v>
      </c>
      <c r="E4629" s="560">
        <v>6075983</v>
      </c>
      <c r="F4629" s="560"/>
      <c r="G4629" s="560">
        <f t="shared" si="105"/>
        <v>181463100</v>
      </c>
      <c r="H4629" s="362"/>
      <c r="I4629" s="362"/>
      <c r="J4629" s="362"/>
    </row>
    <row r="4630" spans="1:10" x14ac:dyDescent="0.25">
      <c r="A4630" s="362"/>
      <c r="B4630" s="609">
        <v>44383</v>
      </c>
      <c r="C4630" s="362" t="s">
        <v>166</v>
      </c>
      <c r="D4630" s="560">
        <v>76078950</v>
      </c>
      <c r="E4630" s="560"/>
      <c r="F4630" s="560"/>
      <c r="G4630" s="560">
        <f t="shared" si="105"/>
        <v>76078950</v>
      </c>
      <c r="H4630" s="362"/>
      <c r="I4630" s="362"/>
      <c r="J4630" s="362"/>
    </row>
    <row r="4631" spans="1:10" x14ac:dyDescent="0.25">
      <c r="A4631" s="362"/>
      <c r="B4631" s="609">
        <v>44383</v>
      </c>
      <c r="C4631" s="362" t="s">
        <v>3435</v>
      </c>
      <c r="D4631" s="560">
        <v>90160634</v>
      </c>
      <c r="E4631" s="560"/>
      <c r="F4631" s="560"/>
      <c r="G4631" s="560">
        <f t="shared" si="105"/>
        <v>90160634</v>
      </c>
      <c r="H4631" s="362"/>
      <c r="I4631" s="362"/>
      <c r="J4631" s="362"/>
    </row>
    <row r="4632" spans="1:10" x14ac:dyDescent="0.25">
      <c r="A4632" s="362"/>
      <c r="B4632" s="609">
        <v>44383</v>
      </c>
      <c r="C4632" s="370" t="s">
        <v>85</v>
      </c>
      <c r="D4632" s="560">
        <v>28608700</v>
      </c>
      <c r="E4632" s="560"/>
      <c r="F4632" s="560"/>
      <c r="G4632" s="560">
        <f t="shared" si="105"/>
        <v>28608700</v>
      </c>
      <c r="H4632" s="362"/>
      <c r="I4632" s="362"/>
      <c r="J4632" s="362"/>
    </row>
    <row r="4633" spans="1:10" x14ac:dyDescent="0.25">
      <c r="A4633" s="530"/>
      <c r="B4633" s="530"/>
      <c r="C4633" s="530"/>
      <c r="D4633" s="562">
        <f>SUM(D4618:D4632)</f>
        <v>1785718513</v>
      </c>
      <c r="E4633" s="562">
        <f>SUM(E4618:E4632)</f>
        <v>247378874</v>
      </c>
      <c r="F4633" s="562">
        <f>SUM(F4618:F4632)</f>
        <v>0</v>
      </c>
      <c r="G4633" s="562">
        <f>SUM(G4618:G4632)</f>
        <v>2033097387</v>
      </c>
      <c r="H4633" s="530"/>
      <c r="I4633" s="530"/>
      <c r="J4633" s="530"/>
    </row>
    <row r="4634" spans="1:10" x14ac:dyDescent="0.25">
      <c r="A4634" s="362"/>
      <c r="B4634" s="609">
        <v>44384</v>
      </c>
      <c r="C4634" s="362" t="s">
        <v>86</v>
      </c>
      <c r="D4634" s="560">
        <v>45277977</v>
      </c>
      <c r="E4634" s="560">
        <v>45957900</v>
      </c>
      <c r="F4634" s="560"/>
      <c r="G4634" s="560">
        <f t="shared" si="105"/>
        <v>91235877</v>
      </c>
      <c r="H4634" s="362"/>
      <c r="I4634" s="362"/>
      <c r="J4634" s="362"/>
    </row>
    <row r="4635" spans="1:10" x14ac:dyDescent="0.25">
      <c r="A4635" s="362"/>
      <c r="B4635" s="609">
        <v>44384</v>
      </c>
      <c r="C4635" s="362" t="s">
        <v>87</v>
      </c>
      <c r="D4635" s="560">
        <v>155012990</v>
      </c>
      <c r="E4635" s="560">
        <v>12391091</v>
      </c>
      <c r="F4635" s="560"/>
      <c r="G4635" s="560">
        <f t="shared" si="105"/>
        <v>167404081</v>
      </c>
      <c r="H4635" s="362"/>
      <c r="I4635" s="362"/>
      <c r="J4635" s="362"/>
    </row>
    <row r="4636" spans="1:10" x14ac:dyDescent="0.25">
      <c r="A4636" s="362"/>
      <c r="B4636" s="609">
        <v>44384</v>
      </c>
      <c r="C4636" s="362" t="s">
        <v>88</v>
      </c>
      <c r="D4636" s="560">
        <v>166809178</v>
      </c>
      <c r="E4636" s="560">
        <v>57679163</v>
      </c>
      <c r="F4636" s="560"/>
      <c r="G4636" s="560">
        <f t="shared" si="105"/>
        <v>224488341</v>
      </c>
      <c r="H4636" s="362"/>
      <c r="I4636" s="362"/>
      <c r="J4636" s="362"/>
    </row>
    <row r="4637" spans="1:10" x14ac:dyDescent="0.25">
      <c r="A4637" s="362"/>
      <c r="B4637" s="609">
        <v>44384</v>
      </c>
      <c r="C4637" s="362" t="s">
        <v>82</v>
      </c>
      <c r="D4637" s="560">
        <v>59977210</v>
      </c>
      <c r="E4637" s="560">
        <v>1045924</v>
      </c>
      <c r="F4637" s="560"/>
      <c r="G4637" s="560">
        <f t="shared" si="105"/>
        <v>61023134</v>
      </c>
      <c r="H4637" s="362"/>
      <c r="I4637" s="362"/>
      <c r="J4637" s="362"/>
    </row>
    <row r="4638" spans="1:10" x14ac:dyDescent="0.25">
      <c r="A4638" s="362"/>
      <c r="B4638" s="609">
        <v>44384</v>
      </c>
      <c r="C4638" s="362" t="s">
        <v>80</v>
      </c>
      <c r="D4638" s="560">
        <v>243036119</v>
      </c>
      <c r="E4638" s="560">
        <v>7396468</v>
      </c>
      <c r="F4638" s="560"/>
      <c r="G4638" s="560">
        <f t="shared" si="105"/>
        <v>250432587</v>
      </c>
      <c r="H4638" s="362"/>
      <c r="I4638" s="362"/>
      <c r="J4638" s="362"/>
    </row>
    <row r="4639" spans="1:10" x14ac:dyDescent="0.25">
      <c r="A4639" s="362"/>
      <c r="B4639" s="609">
        <v>44384</v>
      </c>
      <c r="C4639" s="362" t="s">
        <v>83</v>
      </c>
      <c r="D4639" s="560">
        <v>253054012</v>
      </c>
      <c r="E4639" s="560">
        <v>20916988</v>
      </c>
      <c r="F4639" s="560"/>
      <c r="G4639" s="560">
        <f t="shared" si="105"/>
        <v>273971000</v>
      </c>
      <c r="H4639" s="362"/>
      <c r="I4639" s="362"/>
      <c r="J4639" s="362"/>
    </row>
    <row r="4640" spans="1:10" x14ac:dyDescent="0.25">
      <c r="A4640" s="362"/>
      <c r="B4640" s="609">
        <v>44384</v>
      </c>
      <c r="C4640" s="362" t="s">
        <v>78</v>
      </c>
      <c r="D4640" s="560">
        <v>165283078</v>
      </c>
      <c r="E4640" s="560">
        <v>807822</v>
      </c>
      <c r="F4640" s="560"/>
      <c r="G4640" s="560">
        <f t="shared" si="105"/>
        <v>166090900</v>
      </c>
      <c r="H4640" s="362"/>
      <c r="I4640" s="362"/>
      <c r="J4640" s="362"/>
    </row>
    <row r="4641" spans="1:10" x14ac:dyDescent="0.25">
      <c r="A4641" s="362"/>
      <c r="B4641" s="609">
        <v>44384</v>
      </c>
      <c r="C4641" s="362" t="s">
        <v>141</v>
      </c>
      <c r="D4641" s="560">
        <v>120961591</v>
      </c>
      <c r="E4641" s="560">
        <v>664600</v>
      </c>
      <c r="F4641" s="560"/>
      <c r="G4641" s="560">
        <f t="shared" si="105"/>
        <v>121626191</v>
      </c>
      <c r="H4641" s="362"/>
      <c r="I4641" s="362"/>
      <c r="J4641" s="362"/>
    </row>
    <row r="4642" spans="1:10" x14ac:dyDescent="0.25">
      <c r="A4642" s="362"/>
      <c r="B4642" s="609">
        <v>44384</v>
      </c>
      <c r="C4642" s="362" t="s">
        <v>89</v>
      </c>
      <c r="D4642" s="560">
        <v>129422780</v>
      </c>
      <c r="E4642" s="560">
        <v>36398320</v>
      </c>
      <c r="F4642" s="560"/>
      <c r="G4642" s="560">
        <f t="shared" si="105"/>
        <v>165821100</v>
      </c>
      <c r="H4642" s="362"/>
      <c r="I4642" s="362"/>
      <c r="J4642" s="362"/>
    </row>
    <row r="4643" spans="1:10" x14ac:dyDescent="0.25">
      <c r="A4643" s="362"/>
      <c r="B4643" s="609">
        <v>44384</v>
      </c>
      <c r="C4643" s="362" t="s">
        <v>81</v>
      </c>
      <c r="D4643" s="560">
        <v>100007301</v>
      </c>
      <c r="E4643" s="560">
        <v>10327098</v>
      </c>
      <c r="F4643" s="560"/>
      <c r="G4643" s="560">
        <f t="shared" si="105"/>
        <v>110334399</v>
      </c>
      <c r="H4643" s="362"/>
      <c r="I4643" s="362"/>
      <c r="J4643" s="362"/>
    </row>
    <row r="4644" spans="1:10" x14ac:dyDescent="0.25">
      <c r="A4644" s="362"/>
      <c r="B4644" s="609">
        <v>44384</v>
      </c>
      <c r="C4644" s="362" t="s">
        <v>84</v>
      </c>
      <c r="D4644" s="560">
        <v>227287198</v>
      </c>
      <c r="E4644" s="560">
        <v>8250272</v>
      </c>
      <c r="F4644" s="560"/>
      <c r="G4644" s="560">
        <f t="shared" si="105"/>
        <v>235537470</v>
      </c>
      <c r="H4644" s="362"/>
      <c r="I4644" s="362"/>
      <c r="J4644" s="362"/>
    </row>
    <row r="4645" spans="1:10" x14ac:dyDescent="0.25">
      <c r="A4645" s="362"/>
      <c r="B4645" s="609">
        <v>44384</v>
      </c>
      <c r="C4645" s="362" t="s">
        <v>4751</v>
      </c>
      <c r="D4645" s="560">
        <v>171869702</v>
      </c>
      <c r="E4645" s="560">
        <v>15343298</v>
      </c>
      <c r="F4645" s="560"/>
      <c r="G4645" s="560">
        <f t="shared" si="105"/>
        <v>187213000</v>
      </c>
      <c r="H4645" s="362"/>
      <c r="I4645" s="362"/>
      <c r="J4645" s="362"/>
    </row>
    <row r="4646" spans="1:10" x14ac:dyDescent="0.25">
      <c r="A4646" s="362"/>
      <c r="B4646" s="609">
        <v>44384</v>
      </c>
      <c r="C4646" s="362" t="s">
        <v>166</v>
      </c>
      <c r="D4646" s="560">
        <v>54097882</v>
      </c>
      <c r="E4646" s="560"/>
      <c r="F4646" s="560"/>
      <c r="G4646" s="560">
        <f t="shared" si="105"/>
        <v>54097882</v>
      </c>
      <c r="H4646" s="362"/>
      <c r="I4646" s="362"/>
      <c r="J4646" s="362"/>
    </row>
    <row r="4647" spans="1:10" x14ac:dyDescent="0.25">
      <c r="A4647" s="362"/>
      <c r="B4647" s="609">
        <v>44384</v>
      </c>
      <c r="C4647" s="362" t="s">
        <v>3435</v>
      </c>
      <c r="D4647" s="560">
        <v>42026536</v>
      </c>
      <c r="E4647" s="560"/>
      <c r="F4647" s="560"/>
      <c r="G4647" s="560">
        <f t="shared" si="105"/>
        <v>42026536</v>
      </c>
      <c r="H4647" s="362"/>
      <c r="I4647" s="362"/>
      <c r="J4647" s="362"/>
    </row>
    <row r="4648" spans="1:10" x14ac:dyDescent="0.25">
      <c r="A4648" s="362"/>
      <c r="B4648" s="609">
        <v>44384</v>
      </c>
      <c r="C4648" s="370" t="s">
        <v>85</v>
      </c>
      <c r="D4648" s="560">
        <v>42313900</v>
      </c>
      <c r="E4648" s="560"/>
      <c r="F4648" s="560"/>
      <c r="G4648" s="560">
        <f t="shared" si="105"/>
        <v>42313900</v>
      </c>
      <c r="H4648" s="362"/>
      <c r="I4648" s="362"/>
      <c r="J4648" s="362"/>
    </row>
    <row r="4649" spans="1:10" x14ac:dyDescent="0.25">
      <c r="A4649" s="530"/>
      <c r="B4649" s="530"/>
      <c r="C4649" s="530"/>
      <c r="D4649" s="562">
        <f>SUM(D4634:D4648)</f>
        <v>1976437454</v>
      </c>
      <c r="E4649" s="562">
        <f>SUM(E4634:E4648)</f>
        <v>217178944</v>
      </c>
      <c r="F4649" s="562">
        <f>SUM(F4634:F4648)</f>
        <v>0</v>
      </c>
      <c r="G4649" s="562">
        <f>SUM(G4634:G4648)</f>
        <v>2193616398</v>
      </c>
      <c r="H4649" s="530"/>
      <c r="I4649" s="530"/>
      <c r="J4649" s="530"/>
    </row>
    <row r="4650" spans="1:10" x14ac:dyDescent="0.25">
      <c r="A4650" s="362"/>
      <c r="B4650" s="609">
        <v>44385</v>
      </c>
      <c r="C4650" s="362" t="s">
        <v>86</v>
      </c>
      <c r="D4650" s="560">
        <v>102346012</v>
      </c>
      <c r="E4650" s="560">
        <v>137307884</v>
      </c>
      <c r="F4650" s="560"/>
      <c r="G4650" s="560">
        <f t="shared" si="105"/>
        <v>239653896</v>
      </c>
      <c r="H4650" s="362"/>
      <c r="I4650" s="362"/>
      <c r="J4650" s="362"/>
    </row>
    <row r="4651" spans="1:10" x14ac:dyDescent="0.25">
      <c r="A4651" s="362"/>
      <c r="B4651" s="609">
        <v>44385</v>
      </c>
      <c r="C4651" s="362" t="s">
        <v>87</v>
      </c>
      <c r="D4651" s="560">
        <v>103334113</v>
      </c>
      <c r="E4651" s="560">
        <v>192180376</v>
      </c>
      <c r="F4651" s="560"/>
      <c r="G4651" s="560">
        <f t="shared" si="105"/>
        <v>295514489</v>
      </c>
      <c r="H4651" s="362"/>
      <c r="I4651" s="362"/>
      <c r="J4651" s="362"/>
    </row>
    <row r="4652" spans="1:10" x14ac:dyDescent="0.25">
      <c r="A4652" s="362"/>
      <c r="B4652" s="609">
        <v>44385</v>
      </c>
      <c r="C4652" s="362" t="s">
        <v>88</v>
      </c>
      <c r="D4652" s="560">
        <v>328695682</v>
      </c>
      <c r="E4652" s="560">
        <v>9516019</v>
      </c>
      <c r="F4652" s="560"/>
      <c r="G4652" s="560">
        <f t="shared" si="105"/>
        <v>338211701</v>
      </c>
      <c r="H4652" s="362"/>
      <c r="I4652" s="362"/>
      <c r="J4652" s="362"/>
    </row>
    <row r="4653" spans="1:10" x14ac:dyDescent="0.25">
      <c r="A4653" s="362"/>
      <c r="B4653" s="609">
        <v>44385</v>
      </c>
      <c r="C4653" s="362" t="s">
        <v>82</v>
      </c>
      <c r="D4653" s="560">
        <v>113683339</v>
      </c>
      <c r="E4653" s="560">
        <v>4040773</v>
      </c>
      <c r="F4653" s="560"/>
      <c r="G4653" s="560">
        <f t="shared" si="105"/>
        <v>117724112</v>
      </c>
      <c r="H4653" s="362"/>
      <c r="I4653" s="362"/>
      <c r="J4653" s="362"/>
    </row>
    <row r="4654" spans="1:10" x14ac:dyDescent="0.25">
      <c r="A4654" s="362"/>
      <c r="B4654" s="609">
        <v>44385</v>
      </c>
      <c r="C4654" s="362" t="s">
        <v>80</v>
      </c>
      <c r="D4654" s="560">
        <v>221537971</v>
      </c>
      <c r="E4654" s="560"/>
      <c r="F4654" s="560"/>
      <c r="G4654" s="560">
        <f t="shared" si="105"/>
        <v>221537971</v>
      </c>
      <c r="H4654" s="362"/>
      <c r="I4654" s="362"/>
      <c r="J4654" s="362"/>
    </row>
    <row r="4655" spans="1:10" x14ac:dyDescent="0.25">
      <c r="A4655" s="362"/>
      <c r="B4655" s="609">
        <v>44385</v>
      </c>
      <c r="C4655" s="362" t="s">
        <v>83</v>
      </c>
      <c r="D4655" s="560">
        <v>183190977</v>
      </c>
      <c r="E4655" s="560">
        <v>10167519</v>
      </c>
      <c r="F4655" s="560"/>
      <c r="G4655" s="560">
        <f t="shared" si="105"/>
        <v>193358496</v>
      </c>
      <c r="H4655" s="362"/>
      <c r="I4655" s="362"/>
      <c r="J4655" s="362"/>
    </row>
    <row r="4656" spans="1:10" x14ac:dyDescent="0.25">
      <c r="A4656" s="362"/>
      <c r="B4656" s="609">
        <v>44385</v>
      </c>
      <c r="C4656" s="362" t="s">
        <v>78</v>
      </c>
      <c r="D4656" s="560">
        <v>114279100</v>
      </c>
      <c r="E4656" s="560"/>
      <c r="F4656" s="560"/>
      <c r="G4656" s="560">
        <f t="shared" si="105"/>
        <v>114279100</v>
      </c>
      <c r="H4656" s="362"/>
      <c r="I4656" s="362"/>
      <c r="J4656" s="362"/>
    </row>
    <row r="4657" spans="1:10" x14ac:dyDescent="0.25">
      <c r="A4657" s="362"/>
      <c r="B4657" s="609">
        <v>44385</v>
      </c>
      <c r="C4657" s="362" t="s">
        <v>141</v>
      </c>
      <c r="D4657" s="560">
        <v>69481508</v>
      </c>
      <c r="E4657" s="560">
        <v>3365196</v>
      </c>
      <c r="F4657" s="560"/>
      <c r="G4657" s="560">
        <f t="shared" si="105"/>
        <v>72846704</v>
      </c>
      <c r="H4657" s="362"/>
      <c r="I4657" s="362"/>
      <c r="J4657" s="362"/>
    </row>
    <row r="4658" spans="1:10" x14ac:dyDescent="0.25">
      <c r="A4658" s="362"/>
      <c r="B4658" s="609">
        <v>44385</v>
      </c>
      <c r="C4658" s="362" t="s">
        <v>89</v>
      </c>
      <c r="D4658" s="560">
        <v>143170789</v>
      </c>
      <c r="E4658" s="560">
        <v>8601811</v>
      </c>
      <c r="F4658" s="560"/>
      <c r="G4658" s="560">
        <f t="shared" si="105"/>
        <v>151772600</v>
      </c>
      <c r="H4658" s="362"/>
      <c r="I4658" s="362"/>
      <c r="J4658" s="362"/>
    </row>
    <row r="4659" spans="1:10" x14ac:dyDescent="0.25">
      <c r="A4659" s="362"/>
      <c r="B4659" s="609">
        <v>44385</v>
      </c>
      <c r="C4659" s="362" t="s">
        <v>81</v>
      </c>
      <c r="D4659" s="560">
        <v>132614137</v>
      </c>
      <c r="E4659" s="560">
        <v>10272574</v>
      </c>
      <c r="F4659" s="560"/>
      <c r="G4659" s="560">
        <f t="shared" si="105"/>
        <v>142886711</v>
      </c>
      <c r="H4659" s="362"/>
      <c r="I4659" s="362"/>
      <c r="J4659" s="362"/>
    </row>
    <row r="4660" spans="1:10" x14ac:dyDescent="0.25">
      <c r="A4660" s="362"/>
      <c r="B4660" s="609">
        <v>44385</v>
      </c>
      <c r="C4660" s="362" t="s">
        <v>84</v>
      </c>
      <c r="D4660" s="560">
        <v>171117079</v>
      </c>
      <c r="E4660" s="560">
        <v>25194141</v>
      </c>
      <c r="F4660" s="560"/>
      <c r="G4660" s="560">
        <f t="shared" si="105"/>
        <v>196311220</v>
      </c>
      <c r="H4660" s="362"/>
      <c r="I4660" s="362"/>
      <c r="J4660" s="362"/>
    </row>
    <row r="4661" spans="1:10" x14ac:dyDescent="0.25">
      <c r="A4661" s="362"/>
      <c r="B4661" s="609">
        <v>44385</v>
      </c>
      <c r="C4661" s="362" t="s">
        <v>4751</v>
      </c>
      <c r="D4661" s="560">
        <v>163507714</v>
      </c>
      <c r="E4661" s="560">
        <v>17050686</v>
      </c>
      <c r="F4661" s="560"/>
      <c r="G4661" s="560">
        <f t="shared" si="105"/>
        <v>180558400</v>
      </c>
      <c r="H4661" s="362"/>
      <c r="I4661" s="362"/>
      <c r="J4661" s="362"/>
    </row>
    <row r="4662" spans="1:10" x14ac:dyDescent="0.25">
      <c r="A4662" s="362"/>
      <c r="B4662" s="609">
        <v>44385</v>
      </c>
      <c r="C4662" s="362" t="s">
        <v>166</v>
      </c>
      <c r="D4662" s="560">
        <v>129670341</v>
      </c>
      <c r="E4662" s="560"/>
      <c r="F4662" s="560"/>
      <c r="G4662" s="560">
        <f t="shared" si="105"/>
        <v>129670341</v>
      </c>
      <c r="H4662" s="362"/>
      <c r="I4662" s="362"/>
      <c r="J4662" s="362"/>
    </row>
    <row r="4663" spans="1:10" x14ac:dyDescent="0.25">
      <c r="A4663" s="362"/>
      <c r="B4663" s="609">
        <v>44385</v>
      </c>
      <c r="C4663" s="362" t="s">
        <v>3435</v>
      </c>
      <c r="D4663" s="560">
        <v>103418265</v>
      </c>
      <c r="E4663" s="560"/>
      <c r="F4663" s="560"/>
      <c r="G4663" s="560">
        <f t="shared" si="105"/>
        <v>103418265</v>
      </c>
      <c r="H4663" s="362"/>
      <c r="I4663" s="362"/>
      <c r="J4663" s="362"/>
    </row>
    <row r="4664" spans="1:10" x14ac:dyDescent="0.25">
      <c r="A4664" s="362"/>
      <c r="B4664" s="609">
        <v>44385</v>
      </c>
      <c r="C4664" s="370" t="s">
        <v>85</v>
      </c>
      <c r="D4664" s="560">
        <v>15039300</v>
      </c>
      <c r="E4664" s="560"/>
      <c r="F4664" s="560"/>
      <c r="G4664" s="560">
        <f t="shared" si="105"/>
        <v>15039300</v>
      </c>
      <c r="H4664" s="362"/>
      <c r="I4664" s="362"/>
      <c r="J4664" s="362"/>
    </row>
    <row r="4665" spans="1:10" x14ac:dyDescent="0.25">
      <c r="A4665" s="530"/>
      <c r="B4665" s="530"/>
      <c r="C4665" s="530"/>
      <c r="D4665" s="562">
        <f>SUM(D4650:D4664)</f>
        <v>2095086327</v>
      </c>
      <c r="E4665" s="562">
        <f>SUM(E4650:E4664)</f>
        <v>417696979</v>
      </c>
      <c r="F4665" s="562">
        <f>SUM(F4650:F4664)</f>
        <v>0</v>
      </c>
      <c r="G4665" s="562">
        <f>SUM(G4650:G4664)</f>
        <v>2512783306</v>
      </c>
      <c r="H4665" s="530"/>
      <c r="I4665" s="530"/>
      <c r="J4665" s="530"/>
    </row>
    <row r="4666" spans="1:10" x14ac:dyDescent="0.25">
      <c r="A4666" s="362"/>
      <c r="B4666" s="609">
        <v>44386</v>
      </c>
      <c r="C4666" s="362" t="s">
        <v>86</v>
      </c>
      <c r="D4666" s="560">
        <v>5901003</v>
      </c>
      <c r="E4666" s="560">
        <v>82628587</v>
      </c>
      <c r="F4666" s="560">
        <v>88529500</v>
      </c>
      <c r="G4666" s="560">
        <f t="shared" si="105"/>
        <v>90</v>
      </c>
      <c r="H4666" s="362"/>
      <c r="I4666" s="362"/>
      <c r="J4666" s="362"/>
    </row>
    <row r="4667" spans="1:10" x14ac:dyDescent="0.25">
      <c r="A4667" s="362"/>
      <c r="B4667" s="609">
        <v>44386</v>
      </c>
      <c r="C4667" s="362" t="s">
        <v>87</v>
      </c>
      <c r="D4667" s="560">
        <v>164643055</v>
      </c>
      <c r="E4667" s="560">
        <v>53560993</v>
      </c>
      <c r="F4667" s="560">
        <v>218204200</v>
      </c>
      <c r="G4667" s="560">
        <f t="shared" si="105"/>
        <v>-152</v>
      </c>
      <c r="H4667" s="362"/>
      <c r="I4667" s="362"/>
      <c r="J4667" s="362"/>
    </row>
    <row r="4668" spans="1:10" x14ac:dyDescent="0.25">
      <c r="A4668" s="362"/>
      <c r="B4668" s="609">
        <v>44386</v>
      </c>
      <c r="C4668" s="362" t="s">
        <v>88</v>
      </c>
      <c r="D4668" s="560">
        <v>116950139</v>
      </c>
      <c r="E4668" s="560">
        <v>41006686</v>
      </c>
      <c r="F4668" s="560">
        <v>157956900</v>
      </c>
      <c r="G4668" s="560">
        <f t="shared" si="105"/>
        <v>-75</v>
      </c>
      <c r="H4668" s="362"/>
      <c r="I4668" s="362"/>
      <c r="J4668" s="362"/>
    </row>
    <row r="4669" spans="1:10" x14ac:dyDescent="0.25">
      <c r="A4669" s="362"/>
      <c r="B4669" s="609">
        <v>44386</v>
      </c>
      <c r="C4669" s="362" t="s">
        <v>82</v>
      </c>
      <c r="D4669" s="560">
        <v>55740006</v>
      </c>
      <c r="E4669" s="560">
        <v>1141360</v>
      </c>
      <c r="F4669" s="560">
        <v>56881400</v>
      </c>
      <c r="G4669" s="560">
        <f t="shared" si="105"/>
        <v>-34</v>
      </c>
      <c r="H4669" s="362"/>
      <c r="I4669" s="362"/>
      <c r="J4669" s="362"/>
    </row>
    <row r="4670" spans="1:10" x14ac:dyDescent="0.25">
      <c r="A4670" s="362"/>
      <c r="B4670" s="609">
        <v>44386</v>
      </c>
      <c r="C4670" s="362" t="s">
        <v>80</v>
      </c>
      <c r="D4670" s="560">
        <v>225404741</v>
      </c>
      <c r="E4670" s="560"/>
      <c r="F4670" s="560">
        <v>225410800</v>
      </c>
      <c r="G4670" s="560">
        <f t="shared" si="105"/>
        <v>-6059</v>
      </c>
      <c r="H4670" s="362"/>
      <c r="I4670" s="362"/>
      <c r="J4670" s="362"/>
    </row>
    <row r="4671" spans="1:10" x14ac:dyDescent="0.25">
      <c r="A4671" s="362"/>
      <c r="B4671" s="609">
        <v>44386</v>
      </c>
      <c r="C4671" s="362" t="s">
        <v>83</v>
      </c>
      <c r="D4671" s="560">
        <v>168475490</v>
      </c>
      <c r="E4671" s="560">
        <v>104641498</v>
      </c>
      <c r="F4671" s="560">
        <v>273117000</v>
      </c>
      <c r="G4671" s="560">
        <f t="shared" si="105"/>
        <v>-12</v>
      </c>
      <c r="H4671" s="362"/>
      <c r="I4671" s="362"/>
      <c r="J4671" s="362"/>
    </row>
    <row r="4672" spans="1:10" x14ac:dyDescent="0.25">
      <c r="A4672" s="362"/>
      <c r="B4672" s="609">
        <v>44386</v>
      </c>
      <c r="C4672" s="362" t="s">
        <v>78</v>
      </c>
      <c r="D4672" s="560">
        <v>130212926</v>
      </c>
      <c r="E4672" s="560">
        <v>964574</v>
      </c>
      <c r="F4672" s="560">
        <v>131177500</v>
      </c>
      <c r="G4672" s="560">
        <f t="shared" si="105"/>
        <v>0</v>
      </c>
      <c r="H4672" s="362"/>
      <c r="I4672" s="362"/>
      <c r="J4672" s="362"/>
    </row>
    <row r="4673" spans="1:10" x14ac:dyDescent="0.25">
      <c r="A4673" s="362"/>
      <c r="B4673" s="609">
        <v>44386</v>
      </c>
      <c r="C4673" s="362" t="s">
        <v>141</v>
      </c>
      <c r="D4673" s="560">
        <v>80374553</v>
      </c>
      <c r="E4673" s="560">
        <v>1351232</v>
      </c>
      <c r="F4673" s="560">
        <v>81725800</v>
      </c>
      <c r="G4673" s="560">
        <f t="shared" si="105"/>
        <v>-15</v>
      </c>
      <c r="H4673" s="362"/>
      <c r="I4673" s="362"/>
      <c r="J4673" s="362"/>
    </row>
    <row r="4674" spans="1:10" x14ac:dyDescent="0.25">
      <c r="A4674" s="362"/>
      <c r="B4674" s="609">
        <v>44386</v>
      </c>
      <c r="C4674" s="362" t="s">
        <v>89</v>
      </c>
      <c r="D4674" s="560">
        <v>144375849</v>
      </c>
      <c r="E4674" s="560">
        <v>68920151</v>
      </c>
      <c r="F4674" s="560">
        <v>213296000</v>
      </c>
      <c r="G4674" s="560">
        <f t="shared" si="105"/>
        <v>0</v>
      </c>
      <c r="H4674" s="362"/>
      <c r="I4674" s="362"/>
      <c r="J4674" s="362"/>
    </row>
    <row r="4675" spans="1:10" x14ac:dyDescent="0.25">
      <c r="A4675" s="362"/>
      <c r="B4675" s="609">
        <v>44386</v>
      </c>
      <c r="C4675" s="362" t="s">
        <v>81</v>
      </c>
      <c r="D4675" s="560">
        <v>59228792</v>
      </c>
      <c r="E4675" s="560">
        <v>13958151</v>
      </c>
      <c r="F4675" s="560">
        <v>73187000</v>
      </c>
      <c r="G4675" s="560">
        <f t="shared" si="105"/>
        <v>-57</v>
      </c>
      <c r="H4675" s="362"/>
      <c r="I4675" s="362"/>
      <c r="J4675" s="362"/>
    </row>
    <row r="4676" spans="1:10" x14ac:dyDescent="0.25">
      <c r="A4676" s="362"/>
      <c r="B4676" s="609">
        <v>44386</v>
      </c>
      <c r="C4676" s="362" t="s">
        <v>84</v>
      </c>
      <c r="D4676" s="560">
        <v>120208123</v>
      </c>
      <c r="E4676" s="560">
        <v>11215528</v>
      </c>
      <c r="F4676" s="560">
        <v>131423700</v>
      </c>
      <c r="G4676" s="560">
        <f t="shared" si="105"/>
        <v>-49</v>
      </c>
      <c r="H4676" s="362"/>
      <c r="I4676" s="362"/>
      <c r="J4676" s="362"/>
    </row>
    <row r="4677" spans="1:10" x14ac:dyDescent="0.25">
      <c r="A4677" s="362"/>
      <c r="B4677" s="609">
        <v>44386</v>
      </c>
      <c r="C4677" s="362" t="s">
        <v>4751</v>
      </c>
      <c r="D4677" s="560">
        <v>109930441</v>
      </c>
      <c r="E4677" s="560">
        <v>16082459</v>
      </c>
      <c r="F4677" s="560">
        <v>126012800</v>
      </c>
      <c r="G4677" s="560">
        <f t="shared" si="105"/>
        <v>100</v>
      </c>
      <c r="H4677" s="362"/>
      <c r="I4677" s="362"/>
      <c r="J4677" s="362"/>
    </row>
    <row r="4678" spans="1:10" x14ac:dyDescent="0.25">
      <c r="A4678" s="362"/>
      <c r="B4678" s="609">
        <v>44386</v>
      </c>
      <c r="C4678" s="362" t="s">
        <v>166</v>
      </c>
      <c r="D4678" s="560">
        <v>33706130</v>
      </c>
      <c r="E4678" s="560"/>
      <c r="F4678" s="560">
        <v>33706100</v>
      </c>
      <c r="G4678" s="560">
        <f t="shared" si="105"/>
        <v>30</v>
      </c>
      <c r="H4678" s="362"/>
      <c r="I4678" s="362"/>
      <c r="J4678" s="362"/>
    </row>
    <row r="4679" spans="1:10" x14ac:dyDescent="0.25">
      <c r="A4679" s="362"/>
      <c r="B4679" s="609">
        <v>44386</v>
      </c>
      <c r="C4679" s="362" t="s">
        <v>3435</v>
      </c>
      <c r="D4679" s="560">
        <v>218930785</v>
      </c>
      <c r="E4679" s="560"/>
      <c r="F4679" s="560">
        <v>218930800</v>
      </c>
      <c r="G4679" s="560">
        <f t="shared" si="105"/>
        <v>-15</v>
      </c>
      <c r="H4679" s="362"/>
      <c r="I4679" s="362"/>
      <c r="J4679" s="362"/>
    </row>
    <row r="4680" spans="1:10" x14ac:dyDescent="0.25">
      <c r="A4680" s="362"/>
      <c r="B4680" s="609">
        <v>44386</v>
      </c>
      <c r="C4680" s="370" t="s">
        <v>85</v>
      </c>
      <c r="D4680" s="560">
        <v>17033900</v>
      </c>
      <c r="E4680" s="560"/>
      <c r="F4680" s="560">
        <v>17033900</v>
      </c>
      <c r="G4680" s="560">
        <f t="shared" si="105"/>
        <v>0</v>
      </c>
      <c r="H4680" s="362"/>
      <c r="I4680" s="362"/>
      <c r="J4680" s="362"/>
    </row>
    <row r="4681" spans="1:10" x14ac:dyDescent="0.25">
      <c r="A4681" s="530"/>
      <c r="B4681" s="530"/>
      <c r="C4681" s="530"/>
      <c r="D4681" s="562">
        <f>SUM(D4666:D4680)</f>
        <v>1651115933</v>
      </c>
      <c r="E4681" s="562">
        <f>SUM(E4666:E4680)</f>
        <v>395471219</v>
      </c>
      <c r="F4681" s="562">
        <f>SUM(F4666:F4680)</f>
        <v>2046593400</v>
      </c>
      <c r="G4681" s="562">
        <f>SUM(G4666:G4680)</f>
        <v>-6248</v>
      </c>
      <c r="H4681" s="530"/>
      <c r="I4681" s="530"/>
      <c r="J4681" s="530"/>
    </row>
    <row r="4682" spans="1:10" x14ac:dyDescent="0.25">
      <c r="A4682" s="362"/>
      <c r="B4682" s="609">
        <v>44387</v>
      </c>
      <c r="C4682" s="362" t="s">
        <v>86</v>
      </c>
      <c r="D4682" s="560">
        <v>63010096</v>
      </c>
      <c r="E4682" s="560">
        <v>138009027</v>
      </c>
      <c r="F4682" s="560">
        <v>201018900</v>
      </c>
      <c r="G4682" s="560">
        <f t="shared" si="105"/>
        <v>223</v>
      </c>
      <c r="H4682" s="362"/>
      <c r="I4682" s="362"/>
      <c r="J4682" s="362"/>
    </row>
    <row r="4683" spans="1:10" x14ac:dyDescent="0.25">
      <c r="A4683" s="362"/>
      <c r="B4683" s="609">
        <v>44387</v>
      </c>
      <c r="C4683" s="362" t="s">
        <v>87</v>
      </c>
      <c r="D4683" s="560">
        <v>105920462</v>
      </c>
      <c r="E4683" s="560">
        <v>182116420</v>
      </c>
      <c r="F4683" s="560">
        <v>288037000</v>
      </c>
      <c r="G4683" s="560">
        <f t="shared" si="105"/>
        <v>-118</v>
      </c>
      <c r="H4683" s="362"/>
      <c r="I4683" s="362"/>
      <c r="J4683" s="362"/>
    </row>
    <row r="4684" spans="1:10" x14ac:dyDescent="0.25">
      <c r="A4684" s="362"/>
      <c r="B4684" s="609">
        <v>44387</v>
      </c>
      <c r="C4684" s="362" t="s">
        <v>88</v>
      </c>
      <c r="D4684" s="560">
        <v>232492740</v>
      </c>
      <c r="E4684" s="560">
        <v>19143695</v>
      </c>
      <c r="F4684" s="560">
        <v>251636500</v>
      </c>
      <c r="G4684" s="560">
        <f t="shared" ref="G4684:G4747" si="106">D4684+E4684-F4684</f>
        <v>-65</v>
      </c>
      <c r="H4684" s="362"/>
      <c r="I4684" s="362"/>
      <c r="J4684" s="362"/>
    </row>
    <row r="4685" spans="1:10" x14ac:dyDescent="0.25">
      <c r="A4685" s="362"/>
      <c r="B4685" s="609">
        <v>44387</v>
      </c>
      <c r="C4685" s="362" t="s">
        <v>82</v>
      </c>
      <c r="D4685" s="560">
        <v>60210834</v>
      </c>
      <c r="E4685" s="560">
        <v>6400669</v>
      </c>
      <c r="F4685" s="560">
        <v>66611600</v>
      </c>
      <c r="G4685" s="560">
        <f t="shared" si="106"/>
        <v>-97</v>
      </c>
      <c r="H4685" s="362"/>
      <c r="I4685" s="362"/>
      <c r="J4685" s="362"/>
    </row>
    <row r="4686" spans="1:10" x14ac:dyDescent="0.25">
      <c r="A4686" s="362"/>
      <c r="B4686" s="609">
        <v>44387</v>
      </c>
      <c r="C4686" s="362" t="s">
        <v>80</v>
      </c>
      <c r="D4686" s="560">
        <v>235207460</v>
      </c>
      <c r="E4686" s="560"/>
      <c r="F4686" s="560">
        <v>235207500</v>
      </c>
      <c r="G4686" s="560">
        <f t="shared" si="106"/>
        <v>-40</v>
      </c>
      <c r="H4686" s="362"/>
      <c r="I4686" s="362"/>
      <c r="J4686" s="362"/>
    </row>
    <row r="4687" spans="1:10" x14ac:dyDescent="0.25">
      <c r="A4687" s="362"/>
      <c r="B4687" s="609">
        <v>44387</v>
      </c>
      <c r="C4687" s="362" t="s">
        <v>83</v>
      </c>
      <c r="D4687" s="560">
        <v>182777504</v>
      </c>
      <c r="E4687" s="560">
        <v>159513196</v>
      </c>
      <c r="F4687" s="560">
        <v>342290700</v>
      </c>
      <c r="G4687" s="560">
        <f t="shared" si="106"/>
        <v>0</v>
      </c>
      <c r="H4687" s="362"/>
      <c r="I4687" s="362"/>
      <c r="J4687" s="362"/>
    </row>
    <row r="4688" spans="1:10" x14ac:dyDescent="0.25">
      <c r="A4688" s="362"/>
      <c r="B4688" s="609">
        <v>44387</v>
      </c>
      <c r="C4688" s="362" t="s">
        <v>78</v>
      </c>
      <c r="D4688" s="560">
        <v>126482109</v>
      </c>
      <c r="E4688" s="560">
        <v>6600191</v>
      </c>
      <c r="F4688" s="560">
        <v>133082300</v>
      </c>
      <c r="G4688" s="560">
        <f t="shared" si="106"/>
        <v>0</v>
      </c>
      <c r="H4688" s="362"/>
      <c r="I4688" s="362"/>
      <c r="J4688" s="362"/>
    </row>
    <row r="4689" spans="1:10" x14ac:dyDescent="0.25">
      <c r="A4689" s="362"/>
      <c r="B4689" s="609">
        <v>44387</v>
      </c>
      <c r="C4689" s="362" t="s">
        <v>141</v>
      </c>
      <c r="D4689" s="560">
        <v>41852692</v>
      </c>
      <c r="E4689" s="560">
        <v>812323</v>
      </c>
      <c r="F4689" s="560">
        <v>42665100</v>
      </c>
      <c r="G4689" s="560">
        <f t="shared" si="106"/>
        <v>-85</v>
      </c>
      <c r="H4689" s="362"/>
      <c r="I4689" s="362"/>
      <c r="J4689" s="362"/>
    </row>
    <row r="4690" spans="1:10" x14ac:dyDescent="0.25">
      <c r="A4690" s="362"/>
      <c r="B4690" s="609">
        <v>44387</v>
      </c>
      <c r="C4690" s="362" t="s">
        <v>89</v>
      </c>
      <c r="D4690" s="560">
        <v>75437580</v>
      </c>
      <c r="E4690" s="560">
        <v>85326920</v>
      </c>
      <c r="F4690" s="560">
        <v>160764500</v>
      </c>
      <c r="G4690" s="560">
        <f t="shared" si="106"/>
        <v>0</v>
      </c>
      <c r="H4690" s="362"/>
      <c r="I4690" s="362"/>
      <c r="J4690" s="362"/>
    </row>
    <row r="4691" spans="1:10" x14ac:dyDescent="0.25">
      <c r="A4691" s="362"/>
      <c r="B4691" s="609">
        <v>44387</v>
      </c>
      <c r="C4691" s="362" t="s">
        <v>81</v>
      </c>
      <c r="D4691" s="560">
        <v>85658407</v>
      </c>
      <c r="E4691" s="560">
        <v>7229643</v>
      </c>
      <c r="F4691" s="560">
        <f>42400300+50487800</f>
        <v>92888100</v>
      </c>
      <c r="G4691" s="560">
        <f t="shared" si="106"/>
        <v>-50</v>
      </c>
      <c r="H4691" s="362"/>
      <c r="I4691" s="362"/>
      <c r="J4691" s="362"/>
    </row>
    <row r="4692" spans="1:10" x14ac:dyDescent="0.25">
      <c r="A4692" s="362"/>
      <c r="B4692" s="609">
        <v>44387</v>
      </c>
      <c r="C4692" s="362" t="s">
        <v>84</v>
      </c>
      <c r="D4692" s="560">
        <v>181667398</v>
      </c>
      <c r="E4692" s="560">
        <v>34649076</v>
      </c>
      <c r="F4692" s="560">
        <v>216316500</v>
      </c>
      <c r="G4692" s="560">
        <f t="shared" si="106"/>
        <v>-26</v>
      </c>
      <c r="H4692" s="362"/>
      <c r="I4692" s="362"/>
      <c r="J4692" s="362"/>
    </row>
    <row r="4693" spans="1:10" x14ac:dyDescent="0.25">
      <c r="A4693" s="362"/>
      <c r="B4693" s="609">
        <v>44387</v>
      </c>
      <c r="C4693" s="362" t="s">
        <v>4751</v>
      </c>
      <c r="D4693" s="560">
        <v>210387246</v>
      </c>
      <c r="E4693" s="560">
        <v>11524854</v>
      </c>
      <c r="F4693" s="560">
        <v>221912100</v>
      </c>
      <c r="G4693" s="560">
        <f t="shared" si="106"/>
        <v>0</v>
      </c>
      <c r="H4693" s="362"/>
      <c r="I4693" s="362"/>
      <c r="J4693" s="362"/>
    </row>
    <row r="4694" spans="1:10" x14ac:dyDescent="0.25">
      <c r="A4694" s="362"/>
      <c r="B4694" s="609">
        <v>44387</v>
      </c>
      <c r="C4694" s="362" t="s">
        <v>166</v>
      </c>
      <c r="D4694" s="560"/>
      <c r="E4694" s="560"/>
      <c r="F4694" s="560"/>
      <c r="G4694" s="560">
        <f t="shared" si="106"/>
        <v>0</v>
      </c>
      <c r="H4694" s="362"/>
      <c r="I4694" s="362"/>
      <c r="J4694" s="362"/>
    </row>
    <row r="4695" spans="1:10" x14ac:dyDescent="0.25">
      <c r="A4695" s="362"/>
      <c r="B4695" s="609">
        <v>44387</v>
      </c>
      <c r="C4695" s="362" t="s">
        <v>3435</v>
      </c>
      <c r="D4695" s="560"/>
      <c r="E4695" s="560"/>
      <c r="F4695" s="560"/>
      <c r="G4695" s="560">
        <f t="shared" si="106"/>
        <v>0</v>
      </c>
      <c r="H4695" s="362"/>
      <c r="I4695" s="362"/>
      <c r="J4695" s="362"/>
    </row>
    <row r="4696" spans="1:10" x14ac:dyDescent="0.25">
      <c r="A4696" s="362"/>
      <c r="B4696" s="609">
        <v>44387</v>
      </c>
      <c r="C4696" s="370" t="s">
        <v>85</v>
      </c>
      <c r="D4696" s="560">
        <v>27395600</v>
      </c>
      <c r="E4696" s="560"/>
      <c r="F4696" s="560">
        <v>27395700</v>
      </c>
      <c r="G4696" s="560">
        <f t="shared" si="106"/>
        <v>-100</v>
      </c>
      <c r="H4696" s="362"/>
      <c r="I4696" s="362"/>
      <c r="J4696" s="362"/>
    </row>
    <row r="4697" spans="1:10" x14ac:dyDescent="0.25">
      <c r="A4697" s="530"/>
      <c r="B4697" s="530"/>
      <c r="C4697" s="530"/>
      <c r="D4697" s="562">
        <f>SUM(D4682:D4696)</f>
        <v>1628500128</v>
      </c>
      <c r="E4697" s="562">
        <f>SUM(E4682:E4696)</f>
        <v>651326014</v>
      </c>
      <c r="F4697" s="562">
        <f>SUM(F4682:F4696)</f>
        <v>2279826500</v>
      </c>
      <c r="G4697" s="562">
        <f>SUM(G4682:G4696)</f>
        <v>-358</v>
      </c>
      <c r="H4697" s="530"/>
      <c r="I4697" s="530"/>
      <c r="J4697" s="530"/>
    </row>
    <row r="4698" spans="1:10" x14ac:dyDescent="0.25">
      <c r="A4698" s="362"/>
      <c r="B4698" s="609">
        <v>44389</v>
      </c>
      <c r="C4698" s="362" t="s">
        <v>86</v>
      </c>
      <c r="D4698" s="560">
        <v>47996055</v>
      </c>
      <c r="E4698" s="560">
        <v>6865941</v>
      </c>
      <c r="F4698" s="560">
        <v>54861900</v>
      </c>
      <c r="G4698" s="560">
        <f t="shared" si="106"/>
        <v>96</v>
      </c>
      <c r="H4698" s="362"/>
      <c r="I4698" s="362"/>
      <c r="J4698" s="362"/>
    </row>
    <row r="4699" spans="1:10" x14ac:dyDescent="0.25">
      <c r="A4699" s="362"/>
      <c r="B4699" s="609">
        <v>44389</v>
      </c>
      <c r="C4699" s="362" t="s">
        <v>87</v>
      </c>
      <c r="D4699" s="560">
        <v>95319432</v>
      </c>
      <c r="E4699" s="560">
        <v>25003485</v>
      </c>
      <c r="F4699" s="560">
        <v>120323000</v>
      </c>
      <c r="G4699" s="560">
        <f t="shared" si="106"/>
        <v>-83</v>
      </c>
      <c r="H4699" s="362"/>
      <c r="I4699" s="362"/>
      <c r="J4699" s="362"/>
    </row>
    <row r="4700" spans="1:10" x14ac:dyDescent="0.25">
      <c r="A4700" s="362"/>
      <c r="B4700" s="609">
        <v>44389</v>
      </c>
      <c r="C4700" s="362" t="s">
        <v>88</v>
      </c>
      <c r="D4700" s="560">
        <v>325480731</v>
      </c>
      <c r="E4700" s="560">
        <v>6416102</v>
      </c>
      <c r="F4700" s="560">
        <v>331896900</v>
      </c>
      <c r="G4700" s="560">
        <f t="shared" si="106"/>
        <v>-67</v>
      </c>
      <c r="H4700" s="362"/>
      <c r="I4700" s="362"/>
      <c r="J4700" s="362"/>
    </row>
    <row r="4701" spans="1:10" x14ac:dyDescent="0.25">
      <c r="A4701" s="362"/>
      <c r="B4701" s="609">
        <v>44389</v>
      </c>
      <c r="C4701" s="362" t="s">
        <v>82</v>
      </c>
      <c r="D4701" s="560">
        <v>31288436</v>
      </c>
      <c r="E4701" s="560">
        <v>23984239</v>
      </c>
      <c r="F4701" s="560">
        <v>55272700</v>
      </c>
      <c r="G4701" s="560">
        <f t="shared" si="106"/>
        <v>-25</v>
      </c>
      <c r="H4701" s="362"/>
      <c r="I4701" s="362"/>
      <c r="J4701" s="362"/>
    </row>
    <row r="4702" spans="1:10" x14ac:dyDescent="0.25">
      <c r="A4702" s="362"/>
      <c r="B4702" s="609">
        <v>44389</v>
      </c>
      <c r="C4702" s="362" t="s">
        <v>80</v>
      </c>
      <c r="D4702" s="560">
        <v>322785228</v>
      </c>
      <c r="E4702" s="560"/>
      <c r="F4702" s="560">
        <v>322781000</v>
      </c>
      <c r="G4702" s="560">
        <f t="shared" si="106"/>
        <v>4228</v>
      </c>
      <c r="H4702" s="362"/>
      <c r="I4702" s="362"/>
      <c r="J4702" s="362"/>
    </row>
    <row r="4703" spans="1:10" x14ac:dyDescent="0.25">
      <c r="A4703" s="362"/>
      <c r="B4703" s="609">
        <v>44389</v>
      </c>
      <c r="C4703" s="362" t="s">
        <v>83</v>
      </c>
      <c r="D4703" s="560">
        <v>247288455</v>
      </c>
      <c r="E4703" s="560">
        <v>11221232</v>
      </c>
      <c r="F4703" s="560">
        <v>258509700</v>
      </c>
      <c r="G4703" s="560">
        <f t="shared" si="106"/>
        <v>-13</v>
      </c>
      <c r="H4703" s="362"/>
      <c r="I4703" s="362"/>
      <c r="J4703" s="362"/>
    </row>
    <row r="4704" spans="1:10" x14ac:dyDescent="0.25">
      <c r="A4704" s="362"/>
      <c r="B4704" s="609">
        <v>44389</v>
      </c>
      <c r="C4704" s="362" t="s">
        <v>78</v>
      </c>
      <c r="D4704" s="560">
        <v>110891479</v>
      </c>
      <c r="E4704" s="560">
        <v>2124321</v>
      </c>
      <c r="F4704" s="560">
        <v>113015800</v>
      </c>
      <c r="G4704" s="560">
        <f t="shared" si="106"/>
        <v>0</v>
      </c>
      <c r="H4704" s="362"/>
      <c r="I4704" s="362"/>
      <c r="J4704" s="362"/>
    </row>
    <row r="4705" spans="1:10" x14ac:dyDescent="0.25">
      <c r="A4705" s="362"/>
      <c r="B4705" s="609">
        <v>44389</v>
      </c>
      <c r="C4705" s="362" t="s">
        <v>141</v>
      </c>
      <c r="D4705" s="560">
        <v>55679740</v>
      </c>
      <c r="E4705" s="560">
        <v>639100</v>
      </c>
      <c r="F4705" s="560">
        <v>56318900</v>
      </c>
      <c r="G4705" s="560">
        <f t="shared" si="106"/>
        <v>-60</v>
      </c>
      <c r="H4705" s="362"/>
      <c r="I4705" s="362"/>
      <c r="J4705" s="362"/>
    </row>
    <row r="4706" spans="1:10" x14ac:dyDescent="0.25">
      <c r="A4706" s="362"/>
      <c r="B4706" s="609">
        <v>44389</v>
      </c>
      <c r="C4706" s="362" t="s">
        <v>89</v>
      </c>
      <c r="D4706" s="560">
        <v>126550702</v>
      </c>
      <c r="E4706" s="560">
        <v>33123898</v>
      </c>
      <c r="F4706" s="560">
        <v>159674000</v>
      </c>
      <c r="G4706" s="560">
        <f t="shared" si="106"/>
        <v>600</v>
      </c>
      <c r="H4706" s="362"/>
      <c r="I4706" s="362"/>
      <c r="J4706" s="362"/>
    </row>
    <row r="4707" spans="1:10" x14ac:dyDescent="0.25">
      <c r="A4707" s="362"/>
      <c r="B4707" s="609">
        <v>44389</v>
      </c>
      <c r="C4707" s="362" t="s">
        <v>81</v>
      </c>
      <c r="D4707" s="560">
        <v>105896854</v>
      </c>
      <c r="E4707" s="560">
        <v>11770647</v>
      </c>
      <c r="F4707" s="560">
        <v>117667500</v>
      </c>
      <c r="G4707" s="560">
        <f t="shared" si="106"/>
        <v>1</v>
      </c>
      <c r="H4707" s="362"/>
      <c r="I4707" s="362"/>
      <c r="J4707" s="362"/>
    </row>
    <row r="4708" spans="1:10" x14ac:dyDescent="0.25">
      <c r="A4708" s="362"/>
      <c r="B4708" s="609">
        <v>44389</v>
      </c>
      <c r="C4708" s="362" t="s">
        <v>84</v>
      </c>
      <c r="D4708" s="560">
        <v>174216454</v>
      </c>
      <c r="E4708" s="560">
        <v>7629207</v>
      </c>
      <c r="F4708" s="560">
        <v>181945600</v>
      </c>
      <c r="G4708" s="560">
        <f t="shared" si="106"/>
        <v>-99939</v>
      </c>
      <c r="H4708" s="362"/>
      <c r="I4708" s="362"/>
      <c r="J4708" s="362"/>
    </row>
    <row r="4709" spans="1:10" x14ac:dyDescent="0.25">
      <c r="A4709" s="362"/>
      <c r="B4709" s="609">
        <v>44389</v>
      </c>
      <c r="C4709" s="362" t="s">
        <v>4751</v>
      </c>
      <c r="D4709" s="560">
        <v>179363656</v>
      </c>
      <c r="E4709" s="560">
        <v>12851544</v>
      </c>
      <c r="F4709" s="560">
        <v>192215200</v>
      </c>
      <c r="G4709" s="560">
        <f t="shared" si="106"/>
        <v>0</v>
      </c>
      <c r="H4709" s="362"/>
      <c r="I4709" s="362"/>
      <c r="J4709" s="362"/>
    </row>
    <row r="4710" spans="1:10" x14ac:dyDescent="0.25">
      <c r="A4710" s="362"/>
      <c r="B4710" s="609">
        <v>44389</v>
      </c>
      <c r="C4710" s="362" t="s">
        <v>166</v>
      </c>
      <c r="D4710" s="560">
        <v>45316201</v>
      </c>
      <c r="E4710" s="560"/>
      <c r="F4710" s="560">
        <v>45316500</v>
      </c>
      <c r="G4710" s="560">
        <f t="shared" si="106"/>
        <v>-299</v>
      </c>
      <c r="H4710" s="362"/>
      <c r="I4710" s="362"/>
      <c r="J4710" s="362"/>
    </row>
    <row r="4711" spans="1:10" x14ac:dyDescent="0.25">
      <c r="A4711" s="362"/>
      <c r="B4711" s="609">
        <v>44389</v>
      </c>
      <c r="C4711" s="362" t="s">
        <v>3435</v>
      </c>
      <c r="D4711" s="560">
        <v>44156584</v>
      </c>
      <c r="E4711" s="560"/>
      <c r="F4711" s="560">
        <v>44156600</v>
      </c>
      <c r="G4711" s="560">
        <f t="shared" si="106"/>
        <v>-16</v>
      </c>
      <c r="H4711" s="362"/>
      <c r="I4711" s="362"/>
      <c r="J4711" s="362"/>
    </row>
    <row r="4712" spans="1:10" x14ac:dyDescent="0.25">
      <c r="A4712" s="362"/>
      <c r="B4712" s="609">
        <v>44389</v>
      </c>
      <c r="C4712" s="370" t="s">
        <v>85</v>
      </c>
      <c r="D4712" s="560">
        <v>32898700</v>
      </c>
      <c r="E4712" s="560"/>
      <c r="F4712" s="560">
        <v>32898700</v>
      </c>
      <c r="G4712" s="560">
        <f t="shared" si="106"/>
        <v>0</v>
      </c>
      <c r="H4712" s="362"/>
      <c r="I4712" s="362"/>
      <c r="J4712" s="362"/>
    </row>
    <row r="4713" spans="1:10" x14ac:dyDescent="0.25">
      <c r="A4713" s="530"/>
      <c r="B4713" s="530"/>
      <c r="C4713" s="530"/>
      <c r="D4713" s="562">
        <f>SUM(D4698:D4712)</f>
        <v>1945128707</v>
      </c>
      <c r="E4713" s="562">
        <f>SUM(E4698:E4712)</f>
        <v>141629716</v>
      </c>
      <c r="F4713" s="562">
        <f>SUM(F4698:F4712)</f>
        <v>2086854000</v>
      </c>
      <c r="G4713" s="562">
        <f>SUM(G4698:G4712)</f>
        <v>-95577</v>
      </c>
      <c r="H4713" s="530"/>
      <c r="I4713" s="530"/>
      <c r="J4713" s="530"/>
    </row>
    <row r="4714" spans="1:10" x14ac:dyDescent="0.25">
      <c r="A4714" s="362"/>
      <c r="B4714" s="609">
        <v>44390</v>
      </c>
      <c r="C4714" s="362" t="s">
        <v>86</v>
      </c>
      <c r="D4714" s="560">
        <v>96450281</v>
      </c>
      <c r="E4714" s="560">
        <v>138359959</v>
      </c>
      <c r="F4714" s="560"/>
      <c r="G4714" s="560">
        <f t="shared" si="106"/>
        <v>234810240</v>
      </c>
      <c r="H4714" s="362"/>
      <c r="I4714" s="362"/>
      <c r="J4714" s="362"/>
    </row>
    <row r="4715" spans="1:10" x14ac:dyDescent="0.25">
      <c r="A4715" s="362"/>
      <c r="B4715" s="609">
        <v>44390</v>
      </c>
      <c r="C4715" s="362" t="s">
        <v>87</v>
      </c>
      <c r="D4715" s="560">
        <v>127987256</v>
      </c>
      <c r="E4715" s="560">
        <v>40102398</v>
      </c>
      <c r="F4715" s="560"/>
      <c r="G4715" s="560">
        <f t="shared" si="106"/>
        <v>168089654</v>
      </c>
      <c r="H4715" s="362"/>
      <c r="I4715" s="362"/>
      <c r="J4715" s="362"/>
    </row>
    <row r="4716" spans="1:10" x14ac:dyDescent="0.25">
      <c r="A4716" s="362"/>
      <c r="B4716" s="609">
        <v>44390</v>
      </c>
      <c r="C4716" s="362" t="s">
        <v>88</v>
      </c>
      <c r="D4716" s="560">
        <v>143154883</v>
      </c>
      <c r="E4716" s="560">
        <v>78041323</v>
      </c>
      <c r="F4716" s="560"/>
      <c r="G4716" s="560">
        <f t="shared" si="106"/>
        <v>221196206</v>
      </c>
      <c r="H4716" s="362"/>
      <c r="I4716" s="362"/>
      <c r="J4716" s="362"/>
    </row>
    <row r="4717" spans="1:10" x14ac:dyDescent="0.25">
      <c r="A4717" s="362"/>
      <c r="B4717" s="609">
        <v>44390</v>
      </c>
      <c r="C4717" s="362" t="s">
        <v>82</v>
      </c>
      <c r="D4717" s="560">
        <v>57072142</v>
      </c>
      <c r="E4717" s="560">
        <v>1161715</v>
      </c>
      <c r="F4717" s="560"/>
      <c r="G4717" s="560">
        <f t="shared" si="106"/>
        <v>58233857</v>
      </c>
      <c r="H4717" s="362"/>
      <c r="I4717" s="362"/>
      <c r="J4717" s="362"/>
    </row>
    <row r="4718" spans="1:10" x14ac:dyDescent="0.25">
      <c r="A4718" s="362"/>
      <c r="B4718" s="609">
        <v>44390</v>
      </c>
      <c r="C4718" s="362" t="s">
        <v>80</v>
      </c>
      <c r="D4718" s="560">
        <v>308065191</v>
      </c>
      <c r="E4718" s="560"/>
      <c r="F4718" s="560"/>
      <c r="G4718" s="560">
        <f t="shared" si="106"/>
        <v>308065191</v>
      </c>
      <c r="H4718" s="362"/>
      <c r="I4718" s="362"/>
      <c r="J4718" s="362"/>
    </row>
    <row r="4719" spans="1:10" x14ac:dyDescent="0.25">
      <c r="A4719" s="362"/>
      <c r="B4719" s="609">
        <v>44390</v>
      </c>
      <c r="C4719" s="362" t="s">
        <v>83</v>
      </c>
      <c r="D4719" s="560">
        <v>269489855</v>
      </c>
      <c r="E4719" s="560">
        <v>73850754</v>
      </c>
      <c r="F4719" s="560"/>
      <c r="G4719" s="560">
        <f t="shared" si="106"/>
        <v>343340609</v>
      </c>
      <c r="H4719" s="362"/>
      <c r="I4719" s="362"/>
      <c r="J4719" s="362"/>
    </row>
    <row r="4720" spans="1:10" x14ac:dyDescent="0.25">
      <c r="A4720" s="362"/>
      <c r="B4720" s="609">
        <v>44390</v>
      </c>
      <c r="C4720" s="362" t="s">
        <v>78</v>
      </c>
      <c r="D4720" s="560">
        <v>76984966</v>
      </c>
      <c r="E4720" s="560">
        <v>978934</v>
      </c>
      <c r="F4720" s="560"/>
      <c r="G4720" s="560">
        <f t="shared" si="106"/>
        <v>77963900</v>
      </c>
      <c r="H4720" s="362"/>
      <c r="I4720" s="362"/>
      <c r="J4720" s="362"/>
    </row>
    <row r="4721" spans="1:10" x14ac:dyDescent="0.25">
      <c r="A4721" s="362"/>
      <c r="B4721" s="609">
        <v>44390</v>
      </c>
      <c r="C4721" s="362" t="s">
        <v>141</v>
      </c>
      <c r="D4721" s="560">
        <v>54419367</v>
      </c>
      <c r="E4721" s="560">
        <v>489075</v>
      </c>
      <c r="F4721" s="560"/>
      <c r="G4721" s="560">
        <f t="shared" si="106"/>
        <v>54908442</v>
      </c>
      <c r="H4721" s="362"/>
      <c r="I4721" s="362"/>
      <c r="J4721" s="362"/>
    </row>
    <row r="4722" spans="1:10" x14ac:dyDescent="0.25">
      <c r="A4722" s="362"/>
      <c r="B4722" s="609">
        <v>44390</v>
      </c>
      <c r="C4722" s="362" t="s">
        <v>89</v>
      </c>
      <c r="D4722" s="560">
        <v>154921897</v>
      </c>
      <c r="E4722" s="560">
        <v>33792103</v>
      </c>
      <c r="F4722" s="560"/>
      <c r="G4722" s="560">
        <f t="shared" si="106"/>
        <v>188714000</v>
      </c>
      <c r="H4722" s="362"/>
      <c r="I4722" s="362"/>
      <c r="J4722" s="362"/>
    </row>
    <row r="4723" spans="1:10" x14ac:dyDescent="0.25">
      <c r="A4723" s="362"/>
      <c r="B4723" s="609">
        <v>44390</v>
      </c>
      <c r="C4723" s="362" t="s">
        <v>81</v>
      </c>
      <c r="D4723" s="560">
        <v>139290784</v>
      </c>
      <c r="E4723" s="560">
        <v>4219576</v>
      </c>
      <c r="F4723" s="560"/>
      <c r="G4723" s="560">
        <f t="shared" si="106"/>
        <v>143510360</v>
      </c>
      <c r="H4723" s="362"/>
      <c r="I4723" s="362"/>
      <c r="J4723" s="362"/>
    </row>
    <row r="4724" spans="1:10" x14ac:dyDescent="0.25">
      <c r="A4724" s="362"/>
      <c r="B4724" s="609">
        <v>44390</v>
      </c>
      <c r="C4724" s="362" t="s">
        <v>84</v>
      </c>
      <c r="D4724" s="560">
        <v>146482731</v>
      </c>
      <c r="E4724" s="560">
        <v>15448768</v>
      </c>
      <c r="F4724" s="560"/>
      <c r="G4724" s="560">
        <f t="shared" si="106"/>
        <v>161931499</v>
      </c>
      <c r="H4724" s="362"/>
      <c r="I4724" s="362"/>
      <c r="J4724" s="362"/>
    </row>
    <row r="4725" spans="1:10" x14ac:dyDescent="0.25">
      <c r="A4725" s="362"/>
      <c r="B4725" s="609">
        <v>44390</v>
      </c>
      <c r="C4725" s="362" t="s">
        <v>4751</v>
      </c>
      <c r="D4725" s="560">
        <v>235632377</v>
      </c>
      <c r="E4725" s="560">
        <v>13931423</v>
      </c>
      <c r="F4725" s="560"/>
      <c r="G4725" s="560">
        <f t="shared" si="106"/>
        <v>249563800</v>
      </c>
      <c r="H4725" s="362"/>
      <c r="I4725" s="362"/>
      <c r="J4725" s="362"/>
    </row>
    <row r="4726" spans="1:10" x14ac:dyDescent="0.25">
      <c r="A4726" s="362"/>
      <c r="B4726" s="609">
        <v>44390</v>
      </c>
      <c r="C4726" s="362" t="s">
        <v>166</v>
      </c>
      <c r="D4726" s="560">
        <v>60105919</v>
      </c>
      <c r="E4726" s="560"/>
      <c r="F4726" s="560"/>
      <c r="G4726" s="560">
        <f t="shared" si="106"/>
        <v>60105919</v>
      </c>
      <c r="H4726" s="362"/>
      <c r="I4726" s="362"/>
      <c r="J4726" s="362"/>
    </row>
    <row r="4727" spans="1:10" x14ac:dyDescent="0.25">
      <c r="A4727" s="362"/>
      <c r="B4727" s="609">
        <v>44390</v>
      </c>
      <c r="C4727" s="362" t="s">
        <v>3435</v>
      </c>
      <c r="D4727" s="560">
        <v>217019165</v>
      </c>
      <c r="E4727" s="560"/>
      <c r="F4727" s="560"/>
      <c r="G4727" s="560">
        <f t="shared" si="106"/>
        <v>217019165</v>
      </c>
      <c r="H4727" s="362"/>
      <c r="I4727" s="362"/>
      <c r="J4727" s="362"/>
    </row>
    <row r="4728" spans="1:10" x14ac:dyDescent="0.25">
      <c r="A4728" s="362"/>
      <c r="B4728" s="609">
        <v>44390</v>
      </c>
      <c r="C4728" s="370" t="s">
        <v>85</v>
      </c>
      <c r="D4728" s="560">
        <v>27197600</v>
      </c>
      <c r="E4728" s="560"/>
      <c r="F4728" s="560"/>
      <c r="G4728" s="560">
        <f t="shared" si="106"/>
        <v>27197600</v>
      </c>
      <c r="H4728" s="362"/>
      <c r="I4728" s="362"/>
      <c r="J4728" s="362"/>
    </row>
    <row r="4729" spans="1:10" x14ac:dyDescent="0.25">
      <c r="A4729" s="530"/>
      <c r="B4729" s="530"/>
      <c r="C4729" s="530"/>
      <c r="D4729" s="562">
        <f>SUM(D4714:D4728)</f>
        <v>2114274414</v>
      </c>
      <c r="E4729" s="562">
        <f>SUM(E4714:E4728)</f>
        <v>400376028</v>
      </c>
      <c r="F4729" s="562">
        <f>SUM(F4714:F4728)</f>
        <v>0</v>
      </c>
      <c r="G4729" s="562">
        <f>SUM(G4714:G4728)</f>
        <v>2514650442</v>
      </c>
      <c r="H4729" s="530"/>
      <c r="I4729" s="530"/>
      <c r="J4729" s="530"/>
    </row>
    <row r="4730" spans="1:10" x14ac:dyDescent="0.25">
      <c r="A4730" s="362"/>
      <c r="B4730" s="609">
        <v>44391</v>
      </c>
      <c r="C4730" s="362" t="s">
        <v>86</v>
      </c>
      <c r="D4730" s="560">
        <v>79585215</v>
      </c>
      <c r="E4730" s="560">
        <v>64951409</v>
      </c>
      <c r="F4730" s="560"/>
      <c r="G4730" s="560">
        <f t="shared" si="106"/>
        <v>144536624</v>
      </c>
      <c r="H4730" s="362"/>
      <c r="I4730" s="362"/>
      <c r="J4730" s="362"/>
    </row>
    <row r="4731" spans="1:10" x14ac:dyDescent="0.25">
      <c r="A4731" s="362"/>
      <c r="B4731" s="609">
        <v>44391</v>
      </c>
      <c r="C4731" s="362" t="s">
        <v>87</v>
      </c>
      <c r="D4731" s="560">
        <v>98022662</v>
      </c>
      <c r="E4731" s="560">
        <v>18271467</v>
      </c>
      <c r="F4731" s="560"/>
      <c r="G4731" s="560">
        <f t="shared" si="106"/>
        <v>116294129</v>
      </c>
      <c r="H4731" s="362"/>
      <c r="I4731" s="362"/>
      <c r="J4731" s="362"/>
    </row>
    <row r="4732" spans="1:10" x14ac:dyDescent="0.25">
      <c r="A4732" s="362"/>
      <c r="B4732" s="609">
        <v>44391</v>
      </c>
      <c r="C4732" s="362" t="s">
        <v>88</v>
      </c>
      <c r="D4732" s="560">
        <v>163635608</v>
      </c>
      <c r="E4732" s="560">
        <v>9427360</v>
      </c>
      <c r="F4732" s="560"/>
      <c r="G4732" s="560">
        <f t="shared" si="106"/>
        <v>173062968</v>
      </c>
      <c r="H4732" s="362"/>
      <c r="I4732" s="362"/>
      <c r="J4732" s="362"/>
    </row>
    <row r="4733" spans="1:10" x14ac:dyDescent="0.25">
      <c r="A4733" s="362"/>
      <c r="B4733" s="609">
        <v>44391</v>
      </c>
      <c r="C4733" s="362" t="s">
        <v>82</v>
      </c>
      <c r="D4733" s="560">
        <v>61539738</v>
      </c>
      <c r="E4733" s="560">
        <v>924308</v>
      </c>
      <c r="F4733" s="560"/>
      <c r="G4733" s="560">
        <f t="shared" si="106"/>
        <v>62464046</v>
      </c>
      <c r="H4733" s="362"/>
      <c r="I4733" s="362"/>
      <c r="J4733" s="362"/>
    </row>
    <row r="4734" spans="1:10" x14ac:dyDescent="0.25">
      <c r="A4734" s="362"/>
      <c r="B4734" s="609">
        <v>44391</v>
      </c>
      <c r="C4734" s="362" t="s">
        <v>80</v>
      </c>
      <c r="D4734" s="560">
        <v>285727007</v>
      </c>
      <c r="E4734" s="560">
        <v>7095700</v>
      </c>
      <c r="F4734" s="560"/>
      <c r="G4734" s="560">
        <f t="shared" si="106"/>
        <v>292822707</v>
      </c>
      <c r="H4734" s="362"/>
      <c r="I4734" s="362"/>
      <c r="J4734" s="362"/>
    </row>
    <row r="4735" spans="1:10" x14ac:dyDescent="0.25">
      <c r="A4735" s="362"/>
      <c r="B4735" s="609">
        <v>44391</v>
      </c>
      <c r="C4735" s="362" t="s">
        <v>83</v>
      </c>
      <c r="D4735" s="560">
        <v>189194274</v>
      </c>
      <c r="E4735" s="560">
        <v>15662848</v>
      </c>
      <c r="F4735" s="560"/>
      <c r="G4735" s="560">
        <f t="shared" si="106"/>
        <v>204857122</v>
      </c>
      <c r="H4735" s="362"/>
      <c r="I4735" s="362"/>
      <c r="J4735" s="362"/>
    </row>
    <row r="4736" spans="1:10" x14ac:dyDescent="0.25">
      <c r="A4736" s="362"/>
      <c r="B4736" s="609">
        <v>44391</v>
      </c>
      <c r="C4736" s="362" t="s">
        <v>78</v>
      </c>
      <c r="D4736" s="560">
        <v>113798191</v>
      </c>
      <c r="E4736" s="560">
        <v>2044309</v>
      </c>
      <c r="F4736" s="560"/>
      <c r="G4736" s="560">
        <f t="shared" si="106"/>
        <v>115842500</v>
      </c>
      <c r="H4736" s="362"/>
      <c r="I4736" s="362"/>
      <c r="J4736" s="362"/>
    </row>
    <row r="4737" spans="1:10" x14ac:dyDescent="0.25">
      <c r="A4737" s="362"/>
      <c r="B4737" s="609">
        <v>44391</v>
      </c>
      <c r="C4737" s="362" t="s">
        <v>141</v>
      </c>
      <c r="D4737" s="560">
        <v>54846941</v>
      </c>
      <c r="E4737" s="560">
        <v>1358807</v>
      </c>
      <c r="F4737" s="560"/>
      <c r="G4737" s="560">
        <f t="shared" si="106"/>
        <v>56205748</v>
      </c>
      <c r="H4737" s="362"/>
      <c r="I4737" s="362"/>
      <c r="J4737" s="362"/>
    </row>
    <row r="4738" spans="1:10" x14ac:dyDescent="0.25">
      <c r="A4738" s="362"/>
      <c r="B4738" s="609">
        <v>44391</v>
      </c>
      <c r="C4738" s="362" t="s">
        <v>89</v>
      </c>
      <c r="D4738" s="560">
        <v>97226002</v>
      </c>
      <c r="E4738" s="560">
        <v>24164498</v>
      </c>
      <c r="F4738" s="560"/>
      <c r="G4738" s="560">
        <f t="shared" si="106"/>
        <v>121390500</v>
      </c>
      <c r="H4738" s="362"/>
      <c r="I4738" s="362"/>
      <c r="J4738" s="362"/>
    </row>
    <row r="4739" spans="1:10" x14ac:dyDescent="0.25">
      <c r="A4739" s="362"/>
      <c r="B4739" s="609">
        <v>44391</v>
      </c>
      <c r="C4739" s="362" t="s">
        <v>81</v>
      </c>
      <c r="D4739" s="560">
        <v>121408783</v>
      </c>
      <c r="E4739" s="560">
        <v>7260601</v>
      </c>
      <c r="F4739" s="560"/>
      <c r="G4739" s="560">
        <f t="shared" si="106"/>
        <v>128669384</v>
      </c>
      <c r="H4739" s="362"/>
      <c r="I4739" s="362"/>
      <c r="J4739" s="362"/>
    </row>
    <row r="4740" spans="1:10" x14ac:dyDescent="0.25">
      <c r="A4740" s="362"/>
      <c r="B4740" s="609">
        <v>44391</v>
      </c>
      <c r="C4740" s="362" t="s">
        <v>84</v>
      </c>
      <c r="D4740" s="560">
        <v>221308807</v>
      </c>
      <c r="E4740" s="560">
        <v>6208033</v>
      </c>
      <c r="F4740" s="560"/>
      <c r="G4740" s="560">
        <f t="shared" si="106"/>
        <v>227516840</v>
      </c>
      <c r="H4740" s="362"/>
      <c r="I4740" s="362"/>
      <c r="J4740" s="362"/>
    </row>
    <row r="4741" spans="1:10" x14ac:dyDescent="0.25">
      <c r="A4741" s="362"/>
      <c r="B4741" s="609">
        <v>44391</v>
      </c>
      <c r="C4741" s="362" t="s">
        <v>4751</v>
      </c>
      <c r="D4741" s="560">
        <v>215322092</v>
      </c>
      <c r="E4741" s="560">
        <v>10983908</v>
      </c>
      <c r="F4741" s="560"/>
      <c r="G4741" s="560">
        <f t="shared" si="106"/>
        <v>226306000</v>
      </c>
      <c r="H4741" s="362"/>
      <c r="I4741" s="362"/>
      <c r="J4741" s="362"/>
    </row>
    <row r="4742" spans="1:10" x14ac:dyDescent="0.25">
      <c r="A4742" s="362"/>
      <c r="B4742" s="609">
        <v>44391</v>
      </c>
      <c r="C4742" s="362" t="s">
        <v>166</v>
      </c>
      <c r="D4742" s="560">
        <v>50393773</v>
      </c>
      <c r="E4742" s="560"/>
      <c r="F4742" s="560"/>
      <c r="G4742" s="560">
        <f t="shared" si="106"/>
        <v>50393773</v>
      </c>
      <c r="H4742" s="362"/>
      <c r="I4742" s="362"/>
      <c r="J4742" s="362"/>
    </row>
    <row r="4743" spans="1:10" x14ac:dyDescent="0.25">
      <c r="A4743" s="362"/>
      <c r="B4743" s="609">
        <v>44391</v>
      </c>
      <c r="C4743" s="362" t="s">
        <v>3435</v>
      </c>
      <c r="D4743" s="560">
        <v>89470525</v>
      </c>
      <c r="E4743" s="560"/>
      <c r="F4743" s="560"/>
      <c r="G4743" s="560">
        <f t="shared" si="106"/>
        <v>89470525</v>
      </c>
      <c r="H4743" s="362"/>
      <c r="I4743" s="362"/>
      <c r="J4743" s="362"/>
    </row>
    <row r="4744" spans="1:10" x14ac:dyDescent="0.25">
      <c r="A4744" s="362"/>
      <c r="B4744" s="609">
        <v>44391</v>
      </c>
      <c r="C4744" s="370" t="s">
        <v>85</v>
      </c>
      <c r="D4744" s="560">
        <v>35229900</v>
      </c>
      <c r="E4744" s="560"/>
      <c r="F4744" s="560"/>
      <c r="G4744" s="560">
        <f t="shared" si="106"/>
        <v>35229900</v>
      </c>
      <c r="H4744" s="362"/>
      <c r="I4744" s="362"/>
      <c r="J4744" s="362"/>
    </row>
    <row r="4745" spans="1:10" x14ac:dyDescent="0.25">
      <c r="A4745" s="530"/>
      <c r="B4745" s="530"/>
      <c r="C4745" s="530"/>
      <c r="D4745" s="562">
        <f>SUM(D4730:D4744)</f>
        <v>1876709518</v>
      </c>
      <c r="E4745" s="562">
        <f>SUM(E4730:E4744)</f>
        <v>168353248</v>
      </c>
      <c r="F4745" s="562">
        <f>SUM(F4730:F4744)</f>
        <v>0</v>
      </c>
      <c r="G4745" s="562">
        <f>SUM(G4730:G4744)</f>
        <v>2045062766</v>
      </c>
      <c r="H4745" s="530"/>
      <c r="I4745" s="530"/>
      <c r="J4745" s="530"/>
    </row>
    <row r="4746" spans="1:10" x14ac:dyDescent="0.25">
      <c r="A4746" s="362"/>
      <c r="B4746" s="609">
        <v>44392</v>
      </c>
      <c r="C4746" s="362" t="s">
        <v>86</v>
      </c>
      <c r="D4746" s="560">
        <v>46197062</v>
      </c>
      <c r="E4746" s="560">
        <v>183648288</v>
      </c>
      <c r="F4746" s="560"/>
      <c r="G4746" s="560">
        <f t="shared" si="106"/>
        <v>229845350</v>
      </c>
      <c r="H4746" s="362"/>
      <c r="I4746" s="362"/>
      <c r="J4746" s="362"/>
    </row>
    <row r="4747" spans="1:10" x14ac:dyDescent="0.25">
      <c r="A4747" s="362"/>
      <c r="B4747" s="609">
        <v>44392</v>
      </c>
      <c r="C4747" s="362" t="s">
        <v>87</v>
      </c>
      <c r="D4747" s="560">
        <v>115620380</v>
      </c>
      <c r="E4747" s="560">
        <v>24932745</v>
      </c>
      <c r="F4747" s="560"/>
      <c r="G4747" s="560">
        <f t="shared" si="106"/>
        <v>140553125</v>
      </c>
      <c r="H4747" s="362"/>
      <c r="I4747" s="362"/>
      <c r="J4747" s="362"/>
    </row>
    <row r="4748" spans="1:10" x14ac:dyDescent="0.25">
      <c r="A4748" s="362"/>
      <c r="B4748" s="609">
        <v>44392</v>
      </c>
      <c r="C4748" s="362" t="s">
        <v>88</v>
      </c>
      <c r="D4748" s="560">
        <v>171386093</v>
      </c>
      <c r="E4748" s="560">
        <v>29564017</v>
      </c>
      <c r="F4748" s="560"/>
      <c r="G4748" s="560">
        <f t="shared" ref="G4748:G4811" si="107">D4748+E4748-F4748</f>
        <v>200950110</v>
      </c>
      <c r="H4748" s="362"/>
      <c r="I4748" s="362"/>
      <c r="J4748" s="362"/>
    </row>
    <row r="4749" spans="1:10" x14ac:dyDescent="0.25">
      <c r="A4749" s="362"/>
      <c r="B4749" s="609">
        <v>44392</v>
      </c>
      <c r="C4749" s="362" t="s">
        <v>82</v>
      </c>
      <c r="D4749" s="560">
        <v>64861247</v>
      </c>
      <c r="E4749" s="560">
        <v>4571360</v>
      </c>
      <c r="F4749" s="560"/>
      <c r="G4749" s="560">
        <f t="shared" si="107"/>
        <v>69432607</v>
      </c>
      <c r="H4749" s="362"/>
      <c r="I4749" s="362"/>
      <c r="J4749" s="362"/>
    </row>
    <row r="4750" spans="1:10" x14ac:dyDescent="0.25">
      <c r="A4750" s="362"/>
      <c r="B4750" s="609">
        <v>44392</v>
      </c>
      <c r="C4750" s="362" t="s">
        <v>80</v>
      </c>
      <c r="D4750" s="560">
        <v>339938666</v>
      </c>
      <c r="E4750" s="560"/>
      <c r="F4750" s="560"/>
      <c r="G4750" s="560">
        <f t="shared" si="107"/>
        <v>339938666</v>
      </c>
      <c r="H4750" s="362"/>
      <c r="I4750" s="362"/>
      <c r="J4750" s="362"/>
    </row>
    <row r="4751" spans="1:10" x14ac:dyDescent="0.25">
      <c r="A4751" s="362"/>
      <c r="B4751" s="609">
        <v>44392</v>
      </c>
      <c r="C4751" s="362" t="s">
        <v>83</v>
      </c>
      <c r="D4751" s="560">
        <v>194834134</v>
      </c>
      <c r="E4751" s="560">
        <v>6310934</v>
      </c>
      <c r="F4751" s="560"/>
      <c r="G4751" s="560">
        <f t="shared" si="107"/>
        <v>201145068</v>
      </c>
      <c r="H4751" s="362"/>
      <c r="I4751" s="362"/>
      <c r="J4751" s="362"/>
    </row>
    <row r="4752" spans="1:10" x14ac:dyDescent="0.25">
      <c r="A4752" s="362"/>
      <c r="B4752" s="609">
        <v>44392</v>
      </c>
      <c r="C4752" s="362" t="s">
        <v>78</v>
      </c>
      <c r="D4752" s="560">
        <v>80928026</v>
      </c>
      <c r="E4752" s="560">
        <v>2959974</v>
      </c>
      <c r="F4752" s="560"/>
      <c r="G4752" s="560">
        <f t="shared" si="107"/>
        <v>83888000</v>
      </c>
      <c r="H4752" s="362"/>
      <c r="I4752" s="362"/>
      <c r="J4752" s="362"/>
    </row>
    <row r="4753" spans="1:10" x14ac:dyDescent="0.25">
      <c r="A4753" s="362"/>
      <c r="B4753" s="609">
        <v>44392</v>
      </c>
      <c r="C4753" s="362" t="s">
        <v>141</v>
      </c>
      <c r="D4753" s="560">
        <v>59173181</v>
      </c>
      <c r="E4753" s="560">
        <v>440000</v>
      </c>
      <c r="F4753" s="560"/>
      <c r="G4753" s="560">
        <f t="shared" si="107"/>
        <v>59613181</v>
      </c>
      <c r="H4753" s="362"/>
      <c r="I4753" s="362"/>
      <c r="J4753" s="362"/>
    </row>
    <row r="4754" spans="1:10" x14ac:dyDescent="0.25">
      <c r="A4754" s="362"/>
      <c r="B4754" s="609">
        <v>44392</v>
      </c>
      <c r="C4754" s="362" t="s">
        <v>89</v>
      </c>
      <c r="D4754" s="560">
        <v>162774020</v>
      </c>
      <c r="E4754" s="560">
        <v>7394980</v>
      </c>
      <c r="F4754" s="560"/>
      <c r="G4754" s="560">
        <f t="shared" si="107"/>
        <v>170169000</v>
      </c>
      <c r="H4754" s="362"/>
      <c r="I4754" s="362"/>
      <c r="J4754" s="362"/>
    </row>
    <row r="4755" spans="1:10" x14ac:dyDescent="0.25">
      <c r="A4755" s="362"/>
      <c r="B4755" s="609">
        <v>44392</v>
      </c>
      <c r="C4755" s="362" t="s">
        <v>81</v>
      </c>
      <c r="D4755" s="560">
        <v>38485597</v>
      </c>
      <c r="E4755" s="560">
        <v>14439575</v>
      </c>
      <c r="F4755" s="560"/>
      <c r="G4755" s="560">
        <f t="shared" si="107"/>
        <v>52925172</v>
      </c>
      <c r="H4755" s="362"/>
      <c r="I4755" s="362"/>
      <c r="J4755" s="362"/>
    </row>
    <row r="4756" spans="1:10" x14ac:dyDescent="0.25">
      <c r="A4756" s="362"/>
      <c r="B4756" s="609">
        <v>44392</v>
      </c>
      <c r="C4756" s="362" t="s">
        <v>84</v>
      </c>
      <c r="D4756" s="560">
        <v>358239465</v>
      </c>
      <c r="E4756" s="560">
        <v>9060929</v>
      </c>
      <c r="F4756" s="560"/>
      <c r="G4756" s="560">
        <f t="shared" si="107"/>
        <v>367300394</v>
      </c>
      <c r="H4756" s="362"/>
      <c r="I4756" s="362"/>
      <c r="J4756" s="362"/>
    </row>
    <row r="4757" spans="1:10" x14ac:dyDescent="0.25">
      <c r="A4757" s="362"/>
      <c r="B4757" s="609">
        <v>44392</v>
      </c>
      <c r="C4757" s="362" t="s">
        <v>4751</v>
      </c>
      <c r="D4757" s="560">
        <v>286029991</v>
      </c>
      <c r="E4757" s="560">
        <v>29697109</v>
      </c>
      <c r="F4757" s="560"/>
      <c r="G4757" s="560">
        <f t="shared" si="107"/>
        <v>315727100</v>
      </c>
      <c r="H4757" s="362"/>
      <c r="I4757" s="362"/>
      <c r="J4757" s="362"/>
    </row>
    <row r="4758" spans="1:10" x14ac:dyDescent="0.25">
      <c r="A4758" s="362"/>
      <c r="B4758" s="609">
        <v>44392</v>
      </c>
      <c r="C4758" s="362" t="s">
        <v>166</v>
      </c>
      <c r="D4758" s="560">
        <v>66896618</v>
      </c>
      <c r="E4758" s="560"/>
      <c r="F4758" s="560"/>
      <c r="G4758" s="560">
        <f t="shared" si="107"/>
        <v>66896618</v>
      </c>
      <c r="H4758" s="362"/>
      <c r="I4758" s="362"/>
      <c r="J4758" s="362"/>
    </row>
    <row r="4759" spans="1:10" x14ac:dyDescent="0.25">
      <c r="A4759" s="362"/>
      <c r="B4759" s="609">
        <v>44392</v>
      </c>
      <c r="C4759" s="362" t="s">
        <v>3435</v>
      </c>
      <c r="D4759" s="560">
        <v>94371525</v>
      </c>
      <c r="E4759" s="560"/>
      <c r="F4759" s="560"/>
      <c r="G4759" s="560">
        <f t="shared" si="107"/>
        <v>94371525</v>
      </c>
      <c r="H4759" s="362"/>
      <c r="I4759" s="362"/>
      <c r="J4759" s="362"/>
    </row>
    <row r="4760" spans="1:10" x14ac:dyDescent="0.25">
      <c r="A4760" s="362"/>
      <c r="B4760" s="609">
        <v>44392</v>
      </c>
      <c r="C4760" s="370" t="s">
        <v>85</v>
      </c>
      <c r="D4760" s="560">
        <v>18652200</v>
      </c>
      <c r="E4760" s="560"/>
      <c r="F4760" s="560"/>
      <c r="G4760" s="560">
        <f t="shared" si="107"/>
        <v>18652200</v>
      </c>
      <c r="H4760" s="362"/>
      <c r="I4760" s="362"/>
      <c r="J4760" s="362"/>
    </row>
    <row r="4761" spans="1:10" x14ac:dyDescent="0.25">
      <c r="A4761" s="530"/>
      <c r="B4761" s="530"/>
      <c r="C4761" s="530"/>
      <c r="D4761" s="562">
        <f>SUM(D4746:D4760)</f>
        <v>2098388205</v>
      </c>
      <c r="E4761" s="562">
        <f>SUM(E4746:E4760)</f>
        <v>313019911</v>
      </c>
      <c r="F4761" s="562">
        <f>SUM(F4746:F4760)</f>
        <v>0</v>
      </c>
      <c r="G4761" s="562">
        <f>SUM(G4746:G4760)</f>
        <v>2411408116</v>
      </c>
      <c r="H4761" s="530"/>
      <c r="I4761" s="530"/>
      <c r="J4761" s="530"/>
    </row>
    <row r="4762" spans="1:10" x14ac:dyDescent="0.25">
      <c r="A4762" s="362"/>
      <c r="B4762" s="609">
        <v>44393</v>
      </c>
      <c r="C4762" s="362" t="s">
        <v>86</v>
      </c>
      <c r="D4762" s="560">
        <v>35149017</v>
      </c>
      <c r="E4762" s="560">
        <v>5528928</v>
      </c>
      <c r="F4762" s="560">
        <v>40678100</v>
      </c>
      <c r="G4762" s="560">
        <f t="shared" si="107"/>
        <v>-155</v>
      </c>
      <c r="H4762" s="362"/>
      <c r="I4762" s="362"/>
      <c r="J4762" s="362"/>
    </row>
    <row r="4763" spans="1:10" x14ac:dyDescent="0.25">
      <c r="A4763" s="362"/>
      <c r="B4763" s="609">
        <v>44393</v>
      </c>
      <c r="C4763" s="362" t="s">
        <v>87</v>
      </c>
      <c r="D4763" s="560">
        <v>158051464</v>
      </c>
      <c r="E4763" s="560">
        <v>72954768</v>
      </c>
      <c r="F4763" s="560">
        <v>231006400</v>
      </c>
      <c r="G4763" s="560">
        <f t="shared" si="107"/>
        <v>-168</v>
      </c>
      <c r="H4763" s="362"/>
      <c r="I4763" s="362"/>
      <c r="J4763" s="362"/>
    </row>
    <row r="4764" spans="1:10" x14ac:dyDescent="0.25">
      <c r="A4764" s="362"/>
      <c r="B4764" s="609">
        <v>44393</v>
      </c>
      <c r="C4764" s="362" t="s">
        <v>88</v>
      </c>
      <c r="D4764" s="560">
        <v>122459030</v>
      </c>
      <c r="E4764" s="560">
        <v>77351863</v>
      </c>
      <c r="F4764" s="560">
        <v>199811000</v>
      </c>
      <c r="G4764" s="560">
        <f t="shared" si="107"/>
        <v>-107</v>
      </c>
      <c r="H4764" s="362"/>
      <c r="I4764" s="362"/>
      <c r="J4764" s="362"/>
    </row>
    <row r="4765" spans="1:10" x14ac:dyDescent="0.25">
      <c r="A4765" s="362"/>
      <c r="B4765" s="609">
        <v>44393</v>
      </c>
      <c r="C4765" s="362" t="s">
        <v>82</v>
      </c>
      <c r="D4765" s="560">
        <v>30934598</v>
      </c>
      <c r="E4765" s="560">
        <v>13569317</v>
      </c>
      <c r="F4765" s="560">
        <v>44504000</v>
      </c>
      <c r="G4765" s="560">
        <f t="shared" si="107"/>
        <v>-85</v>
      </c>
      <c r="H4765" s="362"/>
      <c r="I4765" s="362"/>
      <c r="J4765" s="362"/>
    </row>
    <row r="4766" spans="1:10" x14ac:dyDescent="0.25">
      <c r="A4766" s="362"/>
      <c r="B4766" s="609">
        <v>44393</v>
      </c>
      <c r="C4766" s="362" t="s">
        <v>80</v>
      </c>
      <c r="D4766" s="560">
        <v>144917495</v>
      </c>
      <c r="E4766" s="560">
        <v>39861600</v>
      </c>
      <c r="F4766" s="560">
        <v>184779100</v>
      </c>
      <c r="G4766" s="560">
        <f t="shared" si="107"/>
        <v>-5</v>
      </c>
      <c r="H4766" s="362"/>
      <c r="I4766" s="362"/>
      <c r="J4766" s="362"/>
    </row>
    <row r="4767" spans="1:10" x14ac:dyDescent="0.25">
      <c r="A4767" s="362"/>
      <c r="B4767" s="609">
        <v>44393</v>
      </c>
      <c r="C4767" s="362" t="s">
        <v>83</v>
      </c>
      <c r="D4767" s="560">
        <v>139962182</v>
      </c>
      <c r="E4767" s="560">
        <v>6318069</v>
      </c>
      <c r="F4767" s="560">
        <v>146280300</v>
      </c>
      <c r="G4767" s="560">
        <f t="shared" si="107"/>
        <v>-49</v>
      </c>
      <c r="H4767" s="362"/>
      <c r="I4767" s="362"/>
      <c r="J4767" s="362"/>
    </row>
    <row r="4768" spans="1:10" x14ac:dyDescent="0.25">
      <c r="A4768" s="362"/>
      <c r="B4768" s="609">
        <v>44393</v>
      </c>
      <c r="C4768" s="362" t="s">
        <v>78</v>
      </c>
      <c r="D4768" s="560">
        <v>74174135</v>
      </c>
      <c r="E4768" s="560">
        <v>2096765</v>
      </c>
      <c r="F4768" s="560">
        <v>76270900</v>
      </c>
      <c r="G4768" s="560">
        <f t="shared" si="107"/>
        <v>0</v>
      </c>
      <c r="H4768" s="362"/>
      <c r="I4768" s="362"/>
      <c r="J4768" s="362"/>
    </row>
    <row r="4769" spans="1:10" x14ac:dyDescent="0.25">
      <c r="A4769" s="362"/>
      <c r="B4769" s="609">
        <v>44393</v>
      </c>
      <c r="C4769" s="362" t="s">
        <v>141</v>
      </c>
      <c r="D4769" s="560">
        <v>46922690</v>
      </c>
      <c r="E4769" s="560">
        <v>1578405</v>
      </c>
      <c r="F4769" s="560">
        <v>48501100</v>
      </c>
      <c r="G4769" s="560">
        <f t="shared" si="107"/>
        <v>-5</v>
      </c>
      <c r="H4769" s="362"/>
      <c r="I4769" s="362"/>
      <c r="J4769" s="362"/>
    </row>
    <row r="4770" spans="1:10" x14ac:dyDescent="0.25">
      <c r="A4770" s="362"/>
      <c r="B4770" s="609">
        <v>44393</v>
      </c>
      <c r="C4770" s="362" t="s">
        <v>89</v>
      </c>
      <c r="D4770" s="560">
        <v>158369469</v>
      </c>
      <c r="E4770" s="560">
        <v>18370731</v>
      </c>
      <c r="F4770" s="560">
        <v>176740400</v>
      </c>
      <c r="G4770" s="560">
        <f t="shared" si="107"/>
        <v>-200</v>
      </c>
      <c r="H4770" s="362"/>
      <c r="I4770" s="362"/>
      <c r="J4770" s="362"/>
    </row>
    <row r="4771" spans="1:10" x14ac:dyDescent="0.25">
      <c r="A4771" s="362"/>
      <c r="B4771" s="609">
        <v>44393</v>
      </c>
      <c r="C4771" s="362" t="s">
        <v>81</v>
      </c>
      <c r="D4771" s="560">
        <v>72350880</v>
      </c>
      <c r="E4771" s="560">
        <v>15732317</v>
      </c>
      <c r="F4771" s="560">
        <v>88083200</v>
      </c>
      <c r="G4771" s="560">
        <f t="shared" si="107"/>
        <v>-3</v>
      </c>
      <c r="H4771" s="362"/>
      <c r="I4771" s="362"/>
      <c r="J4771" s="362"/>
    </row>
    <row r="4772" spans="1:10" x14ac:dyDescent="0.25">
      <c r="A4772" s="362"/>
      <c r="B4772" s="609">
        <v>44393</v>
      </c>
      <c r="C4772" s="362" t="s">
        <v>84</v>
      </c>
      <c r="D4772" s="560">
        <v>222983827</v>
      </c>
      <c r="E4772" s="560">
        <v>13245318</v>
      </c>
      <c r="F4772" s="560">
        <v>236229200</v>
      </c>
      <c r="G4772" s="560">
        <f t="shared" si="107"/>
        <v>-55</v>
      </c>
      <c r="H4772" s="362"/>
      <c r="I4772" s="362"/>
      <c r="J4772" s="362"/>
    </row>
    <row r="4773" spans="1:10" x14ac:dyDescent="0.25">
      <c r="A4773" s="362"/>
      <c r="B4773" s="609">
        <v>44393</v>
      </c>
      <c r="C4773" s="362" t="s">
        <v>4751</v>
      </c>
      <c r="D4773" s="560">
        <v>112575944</v>
      </c>
      <c r="E4773" s="560">
        <v>13034556</v>
      </c>
      <c r="F4773" s="560">
        <v>125610500</v>
      </c>
      <c r="G4773" s="560">
        <f t="shared" si="107"/>
        <v>0</v>
      </c>
      <c r="H4773" s="362"/>
      <c r="I4773" s="362"/>
      <c r="J4773" s="362"/>
    </row>
    <row r="4774" spans="1:10" x14ac:dyDescent="0.25">
      <c r="A4774" s="362"/>
      <c r="B4774" s="609">
        <v>44393</v>
      </c>
      <c r="C4774" s="362" t="s">
        <v>166</v>
      </c>
      <c r="D4774" s="560">
        <v>47855038</v>
      </c>
      <c r="E4774" s="560"/>
      <c r="F4774" s="560">
        <v>47855100</v>
      </c>
      <c r="G4774" s="560">
        <f t="shared" si="107"/>
        <v>-62</v>
      </c>
      <c r="H4774" s="362"/>
      <c r="I4774" s="362"/>
      <c r="J4774" s="362"/>
    </row>
    <row r="4775" spans="1:10" x14ac:dyDescent="0.25">
      <c r="A4775" s="362"/>
      <c r="B4775" s="609">
        <v>44393</v>
      </c>
      <c r="C4775" s="362" t="s">
        <v>3435</v>
      </c>
      <c r="D4775" s="560">
        <v>25840673</v>
      </c>
      <c r="E4775" s="560"/>
      <c r="F4775" s="560">
        <v>25840700</v>
      </c>
      <c r="G4775" s="560">
        <f t="shared" si="107"/>
        <v>-27</v>
      </c>
      <c r="H4775" s="362"/>
      <c r="I4775" s="362"/>
      <c r="J4775" s="362"/>
    </row>
    <row r="4776" spans="1:10" x14ac:dyDescent="0.25">
      <c r="A4776" s="362"/>
      <c r="B4776" s="609">
        <v>44393</v>
      </c>
      <c r="C4776" s="370" t="s">
        <v>85</v>
      </c>
      <c r="D4776" s="560">
        <v>22405900</v>
      </c>
      <c r="E4776" s="560"/>
      <c r="F4776" s="560">
        <v>22405900</v>
      </c>
      <c r="G4776" s="560">
        <f t="shared" si="107"/>
        <v>0</v>
      </c>
      <c r="H4776" s="362"/>
      <c r="I4776" s="362"/>
      <c r="J4776" s="362"/>
    </row>
    <row r="4777" spans="1:10" x14ac:dyDescent="0.25">
      <c r="A4777" s="530"/>
      <c r="B4777" s="530"/>
      <c r="C4777" s="530"/>
      <c r="D4777" s="562">
        <f>SUM(D4762:D4776)</f>
        <v>1414952342</v>
      </c>
      <c r="E4777" s="562">
        <f>SUM(E4762:E4776)</f>
        <v>279642637</v>
      </c>
      <c r="F4777" s="562">
        <f>SUM(F4762:F4776)</f>
        <v>1694595900</v>
      </c>
      <c r="G4777" s="562">
        <f>SUM(G4762:G4776)</f>
        <v>-921</v>
      </c>
      <c r="H4777" s="530"/>
      <c r="I4777" s="530"/>
      <c r="J4777" s="530"/>
    </row>
    <row r="4778" spans="1:10" x14ac:dyDescent="0.25">
      <c r="A4778" s="362"/>
      <c r="B4778" s="609">
        <v>44394</v>
      </c>
      <c r="C4778" s="362" t="s">
        <v>86</v>
      </c>
      <c r="D4778" s="560">
        <v>37857479</v>
      </c>
      <c r="E4778" s="560">
        <v>40025652</v>
      </c>
      <c r="F4778" s="560"/>
      <c r="G4778" s="560">
        <f t="shared" si="107"/>
        <v>77883131</v>
      </c>
      <c r="H4778" s="362"/>
      <c r="I4778" s="362"/>
      <c r="J4778" s="362"/>
    </row>
    <row r="4779" spans="1:10" x14ac:dyDescent="0.25">
      <c r="A4779" s="362"/>
      <c r="B4779" s="609">
        <v>44394</v>
      </c>
      <c r="C4779" s="362" t="s">
        <v>87</v>
      </c>
      <c r="D4779" s="560">
        <v>55742949</v>
      </c>
      <c r="E4779" s="560">
        <v>110235451</v>
      </c>
      <c r="F4779" s="560"/>
      <c r="G4779" s="560">
        <f t="shared" si="107"/>
        <v>165978400</v>
      </c>
      <c r="H4779" s="362"/>
      <c r="I4779" s="362"/>
      <c r="J4779" s="362"/>
    </row>
    <row r="4780" spans="1:10" x14ac:dyDescent="0.25">
      <c r="A4780" s="362"/>
      <c r="B4780" s="609">
        <v>44394</v>
      </c>
      <c r="C4780" s="362" t="s">
        <v>88</v>
      </c>
      <c r="D4780" s="560">
        <v>182277901</v>
      </c>
      <c r="E4780" s="560">
        <v>108667813</v>
      </c>
      <c r="F4780" s="560"/>
      <c r="G4780" s="560">
        <f t="shared" si="107"/>
        <v>290945714</v>
      </c>
      <c r="H4780" s="362"/>
      <c r="I4780" s="362"/>
      <c r="J4780" s="362"/>
    </row>
    <row r="4781" spans="1:10" x14ac:dyDescent="0.25">
      <c r="A4781" s="362"/>
      <c r="B4781" s="609">
        <v>44394</v>
      </c>
      <c r="C4781" s="362" t="s">
        <v>82</v>
      </c>
      <c r="D4781" s="560">
        <v>92669083</v>
      </c>
      <c r="E4781" s="560">
        <v>5209740</v>
      </c>
      <c r="F4781" s="560"/>
      <c r="G4781" s="560">
        <f t="shared" si="107"/>
        <v>97878823</v>
      </c>
      <c r="H4781" s="362"/>
      <c r="I4781" s="362"/>
      <c r="J4781" s="362"/>
    </row>
    <row r="4782" spans="1:10" x14ac:dyDescent="0.25">
      <c r="A4782" s="362"/>
      <c r="B4782" s="609">
        <v>44394</v>
      </c>
      <c r="C4782" s="362" t="s">
        <v>80</v>
      </c>
      <c r="D4782" s="560">
        <v>197247754</v>
      </c>
      <c r="E4782" s="560">
        <v>5799497</v>
      </c>
      <c r="F4782" s="560"/>
      <c r="G4782" s="560">
        <f t="shared" si="107"/>
        <v>203047251</v>
      </c>
      <c r="H4782" s="362"/>
      <c r="I4782" s="362"/>
      <c r="J4782" s="362"/>
    </row>
    <row r="4783" spans="1:10" x14ac:dyDescent="0.25">
      <c r="A4783" s="362"/>
      <c r="B4783" s="609">
        <v>44394</v>
      </c>
      <c r="C4783" s="362" t="s">
        <v>83</v>
      </c>
      <c r="D4783" s="560">
        <v>154361807</v>
      </c>
      <c r="E4783" s="560">
        <v>162158366</v>
      </c>
      <c r="F4783" s="560"/>
      <c r="G4783" s="560">
        <f t="shared" si="107"/>
        <v>316520173</v>
      </c>
      <c r="H4783" s="362"/>
      <c r="I4783" s="362"/>
      <c r="J4783" s="362"/>
    </row>
    <row r="4784" spans="1:10" x14ac:dyDescent="0.25">
      <c r="A4784" s="362"/>
      <c r="B4784" s="609">
        <v>44394</v>
      </c>
      <c r="C4784" s="362" t="s">
        <v>78</v>
      </c>
      <c r="D4784" s="560">
        <v>109899099</v>
      </c>
      <c r="E4784" s="560">
        <v>4276801</v>
      </c>
      <c r="F4784" s="560"/>
      <c r="G4784" s="560">
        <f t="shared" si="107"/>
        <v>114175900</v>
      </c>
      <c r="H4784" s="362"/>
      <c r="I4784" s="362"/>
      <c r="J4784" s="362"/>
    </row>
    <row r="4785" spans="1:10" x14ac:dyDescent="0.25">
      <c r="A4785" s="362"/>
      <c r="B4785" s="609">
        <v>44394</v>
      </c>
      <c r="C4785" s="362" t="s">
        <v>141</v>
      </c>
      <c r="D4785" s="560">
        <v>30454609</v>
      </c>
      <c r="E4785" s="560">
        <v>2012943</v>
      </c>
      <c r="F4785" s="560"/>
      <c r="G4785" s="560">
        <f t="shared" si="107"/>
        <v>32467552</v>
      </c>
      <c r="H4785" s="362"/>
      <c r="I4785" s="362"/>
      <c r="J4785" s="362"/>
    </row>
    <row r="4786" spans="1:10" x14ac:dyDescent="0.25">
      <c r="A4786" s="362"/>
      <c r="B4786" s="609">
        <v>44394</v>
      </c>
      <c r="C4786" s="362" t="s">
        <v>89</v>
      </c>
      <c r="D4786" s="560">
        <v>108680885</v>
      </c>
      <c r="E4786" s="560">
        <v>42875815</v>
      </c>
      <c r="F4786" s="560"/>
      <c r="G4786" s="560">
        <f t="shared" si="107"/>
        <v>151556700</v>
      </c>
      <c r="H4786" s="362"/>
      <c r="I4786" s="362"/>
      <c r="J4786" s="362"/>
    </row>
    <row r="4787" spans="1:10" x14ac:dyDescent="0.25">
      <c r="A4787" s="362"/>
      <c r="B4787" s="609">
        <v>44394</v>
      </c>
      <c r="C4787" s="362" t="s">
        <v>81</v>
      </c>
      <c r="D4787" s="560">
        <v>105255203</v>
      </c>
      <c r="E4787" s="560">
        <v>17996520</v>
      </c>
      <c r="F4787" s="560"/>
      <c r="G4787" s="560">
        <f t="shared" si="107"/>
        <v>123251723</v>
      </c>
      <c r="H4787" s="362"/>
      <c r="I4787" s="362"/>
      <c r="J4787" s="362"/>
    </row>
    <row r="4788" spans="1:10" x14ac:dyDescent="0.25">
      <c r="A4788" s="362"/>
      <c r="B4788" s="609">
        <v>44394</v>
      </c>
      <c r="C4788" s="362" t="s">
        <v>84</v>
      </c>
      <c r="D4788" s="560">
        <v>295991117</v>
      </c>
      <c r="E4788" s="560">
        <v>13798405</v>
      </c>
      <c r="F4788" s="560"/>
      <c r="G4788" s="560">
        <f t="shared" si="107"/>
        <v>309789522</v>
      </c>
      <c r="H4788" s="362"/>
      <c r="I4788" s="362"/>
      <c r="J4788" s="362"/>
    </row>
    <row r="4789" spans="1:10" x14ac:dyDescent="0.25">
      <c r="A4789" s="362"/>
      <c r="B4789" s="609">
        <v>44394</v>
      </c>
      <c r="C4789" s="362" t="s">
        <v>4751</v>
      </c>
      <c r="D4789" s="560">
        <v>268625362</v>
      </c>
      <c r="E4789" s="560">
        <v>11295238</v>
      </c>
      <c r="F4789" s="560"/>
      <c r="G4789" s="560">
        <f t="shared" si="107"/>
        <v>279920600</v>
      </c>
      <c r="H4789" s="362"/>
      <c r="I4789" s="362"/>
      <c r="J4789" s="362"/>
    </row>
    <row r="4790" spans="1:10" x14ac:dyDescent="0.25">
      <c r="A4790" s="362"/>
      <c r="B4790" s="609">
        <v>44394</v>
      </c>
      <c r="C4790" s="362" t="s">
        <v>166</v>
      </c>
      <c r="D4790" s="560"/>
      <c r="E4790" s="560"/>
      <c r="F4790" s="560"/>
      <c r="G4790" s="560">
        <f t="shared" si="107"/>
        <v>0</v>
      </c>
      <c r="H4790" s="362"/>
      <c r="I4790" s="362"/>
      <c r="J4790" s="362"/>
    </row>
    <row r="4791" spans="1:10" x14ac:dyDescent="0.25">
      <c r="A4791" s="362"/>
      <c r="B4791" s="609">
        <v>44394</v>
      </c>
      <c r="C4791" s="362" t="s">
        <v>3435</v>
      </c>
      <c r="D4791" s="560"/>
      <c r="E4791" s="560"/>
      <c r="F4791" s="560"/>
      <c r="G4791" s="560">
        <f t="shared" si="107"/>
        <v>0</v>
      </c>
      <c r="H4791" s="362"/>
      <c r="I4791" s="362"/>
      <c r="J4791" s="362"/>
    </row>
    <row r="4792" spans="1:10" x14ac:dyDescent="0.25">
      <c r="A4792" s="362"/>
      <c r="B4792" s="609">
        <v>44394</v>
      </c>
      <c r="C4792" s="370" t="s">
        <v>85</v>
      </c>
      <c r="D4792" s="560">
        <v>18747400</v>
      </c>
      <c r="E4792" s="560"/>
      <c r="F4792" s="560"/>
      <c r="G4792" s="560">
        <f t="shared" si="107"/>
        <v>18747400</v>
      </c>
      <c r="H4792" s="362"/>
      <c r="I4792" s="362"/>
      <c r="J4792" s="362"/>
    </row>
    <row r="4793" spans="1:10" x14ac:dyDescent="0.25">
      <c r="A4793" s="530"/>
      <c r="B4793" s="530"/>
      <c r="C4793" s="530"/>
      <c r="D4793" s="562">
        <f>SUM(D4778:D4792)</f>
        <v>1657810648</v>
      </c>
      <c r="E4793" s="562">
        <f>SUM(E4778:E4792)</f>
        <v>524352241</v>
      </c>
      <c r="F4793" s="562">
        <f>SUM(F4778:F4792)</f>
        <v>0</v>
      </c>
      <c r="G4793" s="562">
        <f>SUM(G4778:G4792)</f>
        <v>2182162889</v>
      </c>
      <c r="H4793" s="530"/>
      <c r="I4793" s="530"/>
      <c r="J4793" s="530"/>
    </row>
    <row r="4794" spans="1:10" x14ac:dyDescent="0.25">
      <c r="A4794" s="362"/>
      <c r="B4794" s="609">
        <v>44396</v>
      </c>
      <c r="C4794" s="362" t="s">
        <v>86</v>
      </c>
      <c r="D4794" s="560">
        <v>49279651</v>
      </c>
      <c r="E4794" s="560">
        <v>107817596</v>
      </c>
      <c r="F4794" s="560"/>
      <c r="G4794" s="560">
        <f t="shared" si="107"/>
        <v>157097247</v>
      </c>
      <c r="H4794" s="362"/>
      <c r="I4794" s="362"/>
      <c r="J4794" s="362"/>
    </row>
    <row r="4795" spans="1:10" x14ac:dyDescent="0.25">
      <c r="A4795" s="362"/>
      <c r="B4795" s="609">
        <v>44396</v>
      </c>
      <c r="C4795" s="362" t="s">
        <v>87</v>
      </c>
      <c r="D4795" s="560">
        <v>206076043</v>
      </c>
      <c r="E4795" s="560">
        <v>179752586</v>
      </c>
      <c r="F4795" s="560"/>
      <c r="G4795" s="560">
        <f t="shared" si="107"/>
        <v>385828629</v>
      </c>
      <c r="H4795" s="362"/>
      <c r="I4795" s="362"/>
      <c r="J4795" s="362"/>
    </row>
    <row r="4796" spans="1:10" x14ac:dyDescent="0.25">
      <c r="A4796" s="362"/>
      <c r="B4796" s="609">
        <v>44396</v>
      </c>
      <c r="C4796" s="362" t="s">
        <v>88</v>
      </c>
      <c r="D4796" s="560">
        <v>280014166</v>
      </c>
      <c r="E4796" s="560">
        <v>131760950</v>
      </c>
      <c r="F4796" s="560"/>
      <c r="G4796" s="560">
        <f t="shared" si="107"/>
        <v>411775116</v>
      </c>
      <c r="H4796" s="362"/>
      <c r="I4796" s="362"/>
      <c r="J4796" s="362"/>
    </row>
    <row r="4797" spans="1:10" x14ac:dyDescent="0.25">
      <c r="A4797" s="362"/>
      <c r="B4797" s="609">
        <v>44396</v>
      </c>
      <c r="C4797" s="362" t="s">
        <v>82</v>
      </c>
      <c r="D4797" s="560">
        <v>156347066</v>
      </c>
      <c r="E4797" s="560">
        <v>1204104</v>
      </c>
      <c r="F4797" s="560"/>
      <c r="G4797" s="560">
        <f t="shared" si="107"/>
        <v>157551170</v>
      </c>
      <c r="H4797" s="362"/>
      <c r="I4797" s="362"/>
      <c r="J4797" s="362"/>
    </row>
    <row r="4798" spans="1:10" x14ac:dyDescent="0.25">
      <c r="A4798" s="362"/>
      <c r="B4798" s="609">
        <v>44396</v>
      </c>
      <c r="C4798" s="362" t="s">
        <v>80</v>
      </c>
      <c r="D4798" s="560">
        <v>311991731</v>
      </c>
      <c r="E4798" s="560">
        <v>85078</v>
      </c>
      <c r="F4798" s="560"/>
      <c r="G4798" s="560">
        <f t="shared" si="107"/>
        <v>312076809</v>
      </c>
      <c r="H4798" s="362"/>
      <c r="I4798" s="362"/>
      <c r="J4798" s="362"/>
    </row>
    <row r="4799" spans="1:10" x14ac:dyDescent="0.25">
      <c r="A4799" s="362"/>
      <c r="B4799" s="609">
        <v>44396</v>
      </c>
      <c r="C4799" s="362" t="s">
        <v>83</v>
      </c>
      <c r="D4799" s="560">
        <v>394540426</v>
      </c>
      <c r="E4799" s="560">
        <v>182585374</v>
      </c>
      <c r="F4799" s="560"/>
      <c r="G4799" s="560">
        <f t="shared" si="107"/>
        <v>577125800</v>
      </c>
      <c r="H4799" s="362"/>
      <c r="I4799" s="362"/>
      <c r="J4799" s="362"/>
    </row>
    <row r="4800" spans="1:10" x14ac:dyDescent="0.25">
      <c r="A4800" s="362"/>
      <c r="B4800" s="609">
        <v>44396</v>
      </c>
      <c r="C4800" s="362" t="s">
        <v>78</v>
      </c>
      <c r="D4800" s="560">
        <v>93074201</v>
      </c>
      <c r="E4800" s="560">
        <v>21526399</v>
      </c>
      <c r="F4800" s="560"/>
      <c r="G4800" s="560">
        <f t="shared" si="107"/>
        <v>114600600</v>
      </c>
      <c r="H4800" s="362"/>
      <c r="I4800" s="362"/>
      <c r="J4800" s="362"/>
    </row>
    <row r="4801" spans="1:10" x14ac:dyDescent="0.25">
      <c r="A4801" s="362"/>
      <c r="B4801" s="609">
        <v>44396</v>
      </c>
      <c r="C4801" s="362" t="s">
        <v>141</v>
      </c>
      <c r="D4801" s="560">
        <v>137294125</v>
      </c>
      <c r="E4801" s="560">
        <v>2215733</v>
      </c>
      <c r="F4801" s="560"/>
      <c r="G4801" s="560">
        <f t="shared" si="107"/>
        <v>139509858</v>
      </c>
      <c r="H4801" s="362"/>
      <c r="I4801" s="362"/>
      <c r="J4801" s="362"/>
    </row>
    <row r="4802" spans="1:10" x14ac:dyDescent="0.25">
      <c r="A4802" s="362"/>
      <c r="B4802" s="609">
        <v>44396</v>
      </c>
      <c r="C4802" s="362" t="s">
        <v>89</v>
      </c>
      <c r="D4802" s="560">
        <v>184683915</v>
      </c>
      <c r="E4802" s="560">
        <v>22386285</v>
      </c>
      <c r="F4802" s="560"/>
      <c r="G4802" s="560">
        <f t="shared" si="107"/>
        <v>207070200</v>
      </c>
      <c r="H4802" s="362"/>
      <c r="I4802" s="362"/>
      <c r="J4802" s="362"/>
    </row>
    <row r="4803" spans="1:10" x14ac:dyDescent="0.25">
      <c r="A4803" s="362"/>
      <c r="B4803" s="609">
        <v>44396</v>
      </c>
      <c r="C4803" s="362" t="s">
        <v>81</v>
      </c>
      <c r="D4803" s="560">
        <v>266326494</v>
      </c>
      <c r="E4803" s="560">
        <v>13274375</v>
      </c>
      <c r="F4803" s="560"/>
      <c r="G4803" s="560">
        <f t="shared" si="107"/>
        <v>279600869</v>
      </c>
      <c r="H4803" s="362"/>
      <c r="I4803" s="362"/>
      <c r="J4803" s="362"/>
    </row>
    <row r="4804" spans="1:10" x14ac:dyDescent="0.25">
      <c r="A4804" s="362"/>
      <c r="B4804" s="609">
        <v>44396</v>
      </c>
      <c r="C4804" s="362" t="s">
        <v>84</v>
      </c>
      <c r="D4804" s="560">
        <v>193464711</v>
      </c>
      <c r="E4804" s="560">
        <v>10784567</v>
      </c>
      <c r="F4804" s="560"/>
      <c r="G4804" s="560">
        <f t="shared" si="107"/>
        <v>204249278</v>
      </c>
      <c r="H4804" s="362"/>
      <c r="I4804" s="362"/>
      <c r="J4804" s="362"/>
    </row>
    <row r="4805" spans="1:10" x14ac:dyDescent="0.25">
      <c r="A4805" s="362"/>
      <c r="B4805" s="609">
        <v>44396</v>
      </c>
      <c r="C4805" s="362" t="s">
        <v>4751</v>
      </c>
      <c r="D4805" s="560">
        <v>200985533</v>
      </c>
      <c r="E4805" s="560">
        <v>15490967</v>
      </c>
      <c r="F4805" s="560"/>
      <c r="G4805" s="560">
        <f t="shared" si="107"/>
        <v>216476500</v>
      </c>
      <c r="H4805" s="362"/>
      <c r="I4805" s="362"/>
      <c r="J4805" s="362"/>
    </row>
    <row r="4806" spans="1:10" x14ac:dyDescent="0.25">
      <c r="A4806" s="362"/>
      <c r="B4806" s="609">
        <v>44396</v>
      </c>
      <c r="C4806" s="362" t="s">
        <v>166</v>
      </c>
      <c r="D4806" s="560"/>
      <c r="E4806" s="560"/>
      <c r="F4806" s="560"/>
      <c r="G4806" s="560">
        <f t="shared" si="107"/>
        <v>0</v>
      </c>
      <c r="H4806" s="362"/>
      <c r="I4806" s="362"/>
      <c r="J4806" s="362"/>
    </row>
    <row r="4807" spans="1:10" x14ac:dyDescent="0.25">
      <c r="A4807" s="362"/>
      <c r="B4807" s="609">
        <v>44396</v>
      </c>
      <c r="C4807" s="362" t="s">
        <v>3435</v>
      </c>
      <c r="D4807" s="560"/>
      <c r="E4807" s="560"/>
      <c r="F4807" s="560"/>
      <c r="G4807" s="560">
        <f t="shared" si="107"/>
        <v>0</v>
      </c>
      <c r="H4807" s="362"/>
      <c r="I4807" s="362"/>
      <c r="J4807" s="362"/>
    </row>
    <row r="4808" spans="1:10" x14ac:dyDescent="0.25">
      <c r="A4808" s="362"/>
      <c r="B4808" s="609">
        <v>44396</v>
      </c>
      <c r="C4808" s="370" t="s">
        <v>85</v>
      </c>
      <c r="D4808" s="560">
        <v>68961200</v>
      </c>
      <c r="E4808" s="560"/>
      <c r="F4808" s="560"/>
      <c r="G4808" s="560">
        <f t="shared" si="107"/>
        <v>68961200</v>
      </c>
      <c r="H4808" s="362"/>
      <c r="I4808" s="362"/>
      <c r="J4808" s="362"/>
    </row>
    <row r="4809" spans="1:10" x14ac:dyDescent="0.25">
      <c r="A4809" s="530"/>
      <c r="B4809" s="530"/>
      <c r="C4809" s="530"/>
      <c r="D4809" s="562">
        <f>SUM(D4794:D4808)</f>
        <v>2543039262</v>
      </c>
      <c r="E4809" s="562">
        <f>SUM(E4794:E4808)</f>
        <v>688884014</v>
      </c>
      <c r="F4809" s="562">
        <f>SUM(F4794:F4808)</f>
        <v>0</v>
      </c>
      <c r="G4809" s="562">
        <f>SUM(G4794:G4808)</f>
        <v>3231923276</v>
      </c>
      <c r="H4809" s="530"/>
      <c r="I4809" s="530"/>
      <c r="J4809" s="530"/>
    </row>
    <row r="4810" spans="1:10" x14ac:dyDescent="0.25">
      <c r="A4810" s="362"/>
      <c r="B4810" s="609">
        <v>44398</v>
      </c>
      <c r="C4810" s="362" t="s">
        <v>86</v>
      </c>
      <c r="D4810" s="560">
        <v>42786862</v>
      </c>
      <c r="E4810" s="560">
        <v>188370760</v>
      </c>
      <c r="F4810" s="560"/>
      <c r="G4810" s="560">
        <f t="shared" si="107"/>
        <v>231157622</v>
      </c>
      <c r="H4810" s="362"/>
      <c r="I4810" s="362"/>
      <c r="J4810" s="362"/>
    </row>
    <row r="4811" spans="1:10" x14ac:dyDescent="0.25">
      <c r="A4811" s="362"/>
      <c r="B4811" s="609">
        <v>44398</v>
      </c>
      <c r="C4811" s="362" t="s">
        <v>87</v>
      </c>
      <c r="D4811" s="560">
        <v>163787937</v>
      </c>
      <c r="E4811" s="560">
        <v>21423891</v>
      </c>
      <c r="F4811" s="560"/>
      <c r="G4811" s="560">
        <f t="shared" si="107"/>
        <v>185211828</v>
      </c>
      <c r="H4811" s="362"/>
      <c r="I4811" s="362"/>
      <c r="J4811" s="362"/>
    </row>
    <row r="4812" spans="1:10" x14ac:dyDescent="0.25">
      <c r="A4812" s="362"/>
      <c r="B4812" s="609">
        <v>44398</v>
      </c>
      <c r="C4812" s="362" t="s">
        <v>88</v>
      </c>
      <c r="D4812" s="560">
        <v>174226048</v>
      </c>
      <c r="E4812" s="560">
        <v>14940422</v>
      </c>
      <c r="F4812" s="560"/>
      <c r="G4812" s="560">
        <f t="shared" ref="G4812:G4875" si="108">D4812+E4812-F4812</f>
        <v>189166470</v>
      </c>
      <c r="H4812" s="362"/>
      <c r="I4812" s="362"/>
      <c r="J4812" s="362"/>
    </row>
    <row r="4813" spans="1:10" x14ac:dyDescent="0.25">
      <c r="A4813" s="362"/>
      <c r="B4813" s="609">
        <v>44398</v>
      </c>
      <c r="C4813" s="362" t="s">
        <v>82</v>
      </c>
      <c r="D4813" s="560">
        <v>134341804</v>
      </c>
      <c r="E4813" s="560">
        <v>1428570</v>
      </c>
      <c r="F4813" s="560"/>
      <c r="G4813" s="560">
        <f t="shared" si="108"/>
        <v>135770374</v>
      </c>
      <c r="H4813" s="362"/>
      <c r="I4813" s="362"/>
      <c r="J4813" s="362"/>
    </row>
    <row r="4814" spans="1:10" x14ac:dyDescent="0.25">
      <c r="A4814" s="362"/>
      <c r="B4814" s="609">
        <v>44398</v>
      </c>
      <c r="C4814" s="362" t="s">
        <v>80</v>
      </c>
      <c r="D4814" s="560">
        <v>343891586</v>
      </c>
      <c r="E4814" s="560"/>
      <c r="F4814" s="560"/>
      <c r="G4814" s="560">
        <f t="shared" si="108"/>
        <v>343891586</v>
      </c>
      <c r="H4814" s="362"/>
      <c r="I4814" s="362"/>
      <c r="J4814" s="362"/>
    </row>
    <row r="4815" spans="1:10" x14ac:dyDescent="0.25">
      <c r="A4815" s="362"/>
      <c r="B4815" s="609">
        <v>44398</v>
      </c>
      <c r="C4815" s="362" t="s">
        <v>83</v>
      </c>
      <c r="D4815" s="560">
        <v>292644759</v>
      </c>
      <c r="E4815" s="560">
        <v>47974972</v>
      </c>
      <c r="F4815" s="560"/>
      <c r="G4815" s="560">
        <f t="shared" si="108"/>
        <v>340619731</v>
      </c>
      <c r="H4815" s="362"/>
      <c r="I4815" s="362"/>
      <c r="J4815" s="362"/>
    </row>
    <row r="4816" spans="1:10" x14ac:dyDescent="0.25">
      <c r="A4816" s="362"/>
      <c r="B4816" s="609">
        <v>44398</v>
      </c>
      <c r="C4816" s="362" t="s">
        <v>78</v>
      </c>
      <c r="D4816" s="560">
        <v>113942299</v>
      </c>
      <c r="E4816" s="560">
        <v>3798301</v>
      </c>
      <c r="F4816" s="560"/>
      <c r="G4816" s="560">
        <f t="shared" si="108"/>
        <v>117740600</v>
      </c>
      <c r="H4816" s="362"/>
      <c r="I4816" s="362"/>
      <c r="J4816" s="362"/>
    </row>
    <row r="4817" spans="1:10" x14ac:dyDescent="0.25">
      <c r="A4817" s="362"/>
      <c r="B4817" s="609">
        <v>44398</v>
      </c>
      <c r="C4817" s="362" t="s">
        <v>141</v>
      </c>
      <c r="D4817" s="560">
        <v>120124580</v>
      </c>
      <c r="E4817" s="560">
        <v>1107800</v>
      </c>
      <c r="F4817" s="560"/>
      <c r="G4817" s="560">
        <f t="shared" si="108"/>
        <v>121232380</v>
      </c>
      <c r="H4817" s="362"/>
      <c r="I4817" s="362"/>
      <c r="J4817" s="362"/>
    </row>
    <row r="4818" spans="1:10" x14ac:dyDescent="0.25">
      <c r="A4818" s="362"/>
      <c r="B4818" s="609">
        <v>44398</v>
      </c>
      <c r="C4818" s="362" t="s">
        <v>89</v>
      </c>
      <c r="D4818" s="560">
        <v>162374898</v>
      </c>
      <c r="E4818" s="560">
        <v>4569602</v>
      </c>
      <c r="F4818" s="560"/>
      <c r="G4818" s="560">
        <f t="shared" si="108"/>
        <v>166944500</v>
      </c>
      <c r="H4818" s="362"/>
      <c r="I4818" s="362"/>
      <c r="J4818" s="362"/>
    </row>
    <row r="4819" spans="1:10" x14ac:dyDescent="0.25">
      <c r="A4819" s="362"/>
      <c r="B4819" s="609">
        <v>44398</v>
      </c>
      <c r="C4819" s="362" t="s">
        <v>81</v>
      </c>
      <c r="D4819" s="560">
        <v>42189569</v>
      </c>
      <c r="E4819" s="560">
        <v>13440813</v>
      </c>
      <c r="F4819" s="560"/>
      <c r="G4819" s="560">
        <f t="shared" si="108"/>
        <v>55630382</v>
      </c>
      <c r="H4819" s="362"/>
      <c r="I4819" s="362"/>
      <c r="J4819" s="362"/>
    </row>
    <row r="4820" spans="1:10" x14ac:dyDescent="0.25">
      <c r="A4820" s="362"/>
      <c r="B4820" s="609">
        <v>44398</v>
      </c>
      <c r="C4820" s="362" t="s">
        <v>84</v>
      </c>
      <c r="D4820" s="560">
        <v>346906171</v>
      </c>
      <c r="E4820" s="560">
        <v>5821119</v>
      </c>
      <c r="F4820" s="560"/>
      <c r="G4820" s="560">
        <f t="shared" si="108"/>
        <v>352727290</v>
      </c>
      <c r="H4820" s="362"/>
      <c r="I4820" s="362"/>
      <c r="J4820" s="362"/>
    </row>
    <row r="4821" spans="1:10" x14ac:dyDescent="0.25">
      <c r="A4821" s="362"/>
      <c r="B4821" s="609">
        <v>44398</v>
      </c>
      <c r="C4821" s="362" t="s">
        <v>4751</v>
      </c>
      <c r="D4821" s="560">
        <v>223985409</v>
      </c>
      <c r="E4821" s="560">
        <v>6952891</v>
      </c>
      <c r="F4821" s="560"/>
      <c r="G4821" s="560">
        <f t="shared" si="108"/>
        <v>230938300</v>
      </c>
      <c r="H4821" s="362"/>
      <c r="I4821" s="362"/>
      <c r="J4821" s="362"/>
    </row>
    <row r="4822" spans="1:10" x14ac:dyDescent="0.25">
      <c r="A4822" s="362"/>
      <c r="B4822" s="609">
        <v>44398</v>
      </c>
      <c r="C4822" s="362" t="s">
        <v>166</v>
      </c>
      <c r="D4822" s="560">
        <v>62980967</v>
      </c>
      <c r="E4822" s="560"/>
      <c r="F4822" s="560"/>
      <c r="G4822" s="560">
        <f t="shared" si="108"/>
        <v>62980967</v>
      </c>
      <c r="H4822" s="362"/>
      <c r="I4822" s="362"/>
      <c r="J4822" s="362"/>
    </row>
    <row r="4823" spans="1:10" x14ac:dyDescent="0.25">
      <c r="A4823" s="362"/>
      <c r="B4823" s="609">
        <v>44398</v>
      </c>
      <c r="C4823" s="362" t="s">
        <v>3435</v>
      </c>
      <c r="D4823" s="560">
        <v>91909327</v>
      </c>
      <c r="E4823" s="560"/>
      <c r="F4823" s="560"/>
      <c r="G4823" s="560">
        <f t="shared" si="108"/>
        <v>91909327</v>
      </c>
      <c r="H4823" s="362"/>
      <c r="I4823" s="362"/>
      <c r="J4823" s="362"/>
    </row>
    <row r="4824" spans="1:10" x14ac:dyDescent="0.25">
      <c r="A4824" s="362"/>
      <c r="B4824" s="609">
        <v>44398</v>
      </c>
      <c r="C4824" s="370" t="s">
        <v>85</v>
      </c>
      <c r="D4824" s="560">
        <v>37954900</v>
      </c>
      <c r="E4824" s="560"/>
      <c r="F4824" s="560"/>
      <c r="G4824" s="560">
        <f t="shared" si="108"/>
        <v>37954900</v>
      </c>
      <c r="H4824" s="362"/>
      <c r="I4824" s="362"/>
      <c r="J4824" s="362"/>
    </row>
    <row r="4825" spans="1:10" x14ac:dyDescent="0.25">
      <c r="A4825" s="530"/>
      <c r="B4825" s="530"/>
      <c r="C4825" s="530"/>
      <c r="D4825" s="562">
        <f>SUM(D4810:D4824)</f>
        <v>2354047116</v>
      </c>
      <c r="E4825" s="562">
        <f>SUM(E4810:E4824)</f>
        <v>309829141</v>
      </c>
      <c r="F4825" s="562">
        <f>SUM(F4810:F4824)</f>
        <v>0</v>
      </c>
      <c r="G4825" s="562">
        <f>SUM(G4810:G4824)</f>
        <v>2663876257</v>
      </c>
      <c r="H4825" s="530"/>
      <c r="I4825" s="530"/>
      <c r="J4825" s="530"/>
    </row>
    <row r="4826" spans="1:10" x14ac:dyDescent="0.25">
      <c r="A4826" s="362"/>
      <c r="B4826" s="609">
        <v>44399</v>
      </c>
      <c r="C4826" s="362" t="s">
        <v>86</v>
      </c>
      <c r="D4826" s="560">
        <v>37681327</v>
      </c>
      <c r="E4826" s="560">
        <v>141774963</v>
      </c>
      <c r="F4826" s="560"/>
      <c r="G4826" s="560">
        <f t="shared" si="108"/>
        <v>179456290</v>
      </c>
      <c r="H4826" s="362"/>
      <c r="I4826" s="362"/>
      <c r="J4826" s="362"/>
    </row>
    <row r="4827" spans="1:10" x14ac:dyDescent="0.25">
      <c r="A4827" s="362"/>
      <c r="B4827" s="609">
        <v>44399</v>
      </c>
      <c r="C4827" s="362" t="s">
        <v>87</v>
      </c>
      <c r="D4827" s="560">
        <v>73217294</v>
      </c>
      <c r="E4827" s="560">
        <v>89955644</v>
      </c>
      <c r="F4827" s="560"/>
      <c r="G4827" s="560">
        <f t="shared" si="108"/>
        <v>163172938</v>
      </c>
      <c r="H4827" s="362"/>
      <c r="I4827" s="362"/>
      <c r="J4827" s="362"/>
    </row>
    <row r="4828" spans="1:10" x14ac:dyDescent="0.25">
      <c r="A4828" s="362"/>
      <c r="B4828" s="609">
        <v>44399</v>
      </c>
      <c r="C4828" s="362" t="s">
        <v>88</v>
      </c>
      <c r="D4828" s="560">
        <v>215778407</v>
      </c>
      <c r="E4828" s="560">
        <v>6590141</v>
      </c>
      <c r="F4828" s="560"/>
      <c r="G4828" s="560">
        <f t="shared" si="108"/>
        <v>222368548</v>
      </c>
      <c r="H4828" s="362"/>
      <c r="I4828" s="362"/>
      <c r="J4828" s="362"/>
    </row>
    <row r="4829" spans="1:10" x14ac:dyDescent="0.25">
      <c r="A4829" s="362"/>
      <c r="B4829" s="609">
        <v>44399</v>
      </c>
      <c r="C4829" s="362" t="s">
        <v>82</v>
      </c>
      <c r="D4829" s="560">
        <v>207672780</v>
      </c>
      <c r="E4829" s="560">
        <v>1211794</v>
      </c>
      <c r="F4829" s="560"/>
      <c r="G4829" s="560">
        <f t="shared" si="108"/>
        <v>208884574</v>
      </c>
      <c r="H4829" s="362"/>
      <c r="I4829" s="362"/>
      <c r="J4829" s="362"/>
    </row>
    <row r="4830" spans="1:10" x14ac:dyDescent="0.25">
      <c r="A4830" s="362"/>
      <c r="B4830" s="609">
        <v>44399</v>
      </c>
      <c r="C4830" s="362" t="s">
        <v>80</v>
      </c>
      <c r="D4830" s="560">
        <v>294950100</v>
      </c>
      <c r="E4830" s="560"/>
      <c r="F4830" s="560"/>
      <c r="G4830" s="560">
        <f t="shared" si="108"/>
        <v>294950100</v>
      </c>
      <c r="H4830" s="362"/>
      <c r="I4830" s="362"/>
      <c r="J4830" s="362"/>
    </row>
    <row r="4831" spans="1:10" x14ac:dyDescent="0.25">
      <c r="A4831" s="362"/>
      <c r="B4831" s="609">
        <v>44399</v>
      </c>
      <c r="C4831" s="362" t="s">
        <v>83</v>
      </c>
      <c r="D4831" s="560">
        <v>224938331</v>
      </c>
      <c r="E4831" s="560">
        <v>18159505</v>
      </c>
      <c r="F4831" s="560"/>
      <c r="G4831" s="560">
        <f t="shared" si="108"/>
        <v>243097836</v>
      </c>
      <c r="H4831" s="362"/>
      <c r="I4831" s="362"/>
      <c r="J4831" s="362"/>
    </row>
    <row r="4832" spans="1:10" x14ac:dyDescent="0.25">
      <c r="A4832" s="362"/>
      <c r="B4832" s="609">
        <v>44399</v>
      </c>
      <c r="C4832" s="362" t="s">
        <v>78</v>
      </c>
      <c r="D4832" s="560">
        <v>112628882</v>
      </c>
      <c r="E4832" s="560">
        <v>740018</v>
      </c>
      <c r="F4832" s="560"/>
      <c r="G4832" s="560">
        <f t="shared" si="108"/>
        <v>113368900</v>
      </c>
      <c r="H4832" s="362"/>
      <c r="I4832" s="362"/>
      <c r="J4832" s="362"/>
    </row>
    <row r="4833" spans="1:10" x14ac:dyDescent="0.25">
      <c r="A4833" s="362"/>
      <c r="B4833" s="609">
        <v>44399</v>
      </c>
      <c r="C4833" s="362" t="s">
        <v>141</v>
      </c>
      <c r="D4833" s="560">
        <v>59580793</v>
      </c>
      <c r="E4833" s="560">
        <v>1238266</v>
      </c>
      <c r="F4833" s="560"/>
      <c r="G4833" s="560">
        <f t="shared" si="108"/>
        <v>60819059</v>
      </c>
      <c r="H4833" s="362"/>
      <c r="I4833" s="362"/>
      <c r="J4833" s="362"/>
    </row>
    <row r="4834" spans="1:10" x14ac:dyDescent="0.25">
      <c r="A4834" s="362"/>
      <c r="B4834" s="609">
        <v>44399</v>
      </c>
      <c r="C4834" s="362" t="s">
        <v>89</v>
      </c>
      <c r="D4834" s="560">
        <v>169306464</v>
      </c>
      <c r="E4834" s="560">
        <v>9553236</v>
      </c>
      <c r="F4834" s="560"/>
      <c r="G4834" s="560">
        <f t="shared" si="108"/>
        <v>178859700</v>
      </c>
      <c r="H4834" s="362"/>
      <c r="I4834" s="362"/>
      <c r="J4834" s="362"/>
    </row>
    <row r="4835" spans="1:10" x14ac:dyDescent="0.25">
      <c r="A4835" s="362"/>
      <c r="B4835" s="609">
        <v>44399</v>
      </c>
      <c r="C4835" s="362" t="s">
        <v>81</v>
      </c>
      <c r="D4835" s="560">
        <v>93896901</v>
      </c>
      <c r="E4835" s="560">
        <v>14809428</v>
      </c>
      <c r="F4835" s="560"/>
      <c r="G4835" s="560">
        <f t="shared" si="108"/>
        <v>108706329</v>
      </c>
      <c r="H4835" s="362"/>
      <c r="I4835" s="362"/>
      <c r="J4835" s="362"/>
    </row>
    <row r="4836" spans="1:10" x14ac:dyDescent="0.25">
      <c r="A4836" s="362"/>
      <c r="B4836" s="609">
        <v>44399</v>
      </c>
      <c r="C4836" s="362" t="s">
        <v>84</v>
      </c>
      <c r="D4836" s="560">
        <v>162386347</v>
      </c>
      <c r="E4836" s="560">
        <v>22835099</v>
      </c>
      <c r="F4836" s="560"/>
      <c r="G4836" s="560">
        <f t="shared" si="108"/>
        <v>185221446</v>
      </c>
      <c r="H4836" s="362"/>
      <c r="I4836" s="362"/>
      <c r="J4836" s="362"/>
    </row>
    <row r="4837" spans="1:10" x14ac:dyDescent="0.25">
      <c r="A4837" s="362"/>
      <c r="B4837" s="609">
        <v>44399</v>
      </c>
      <c r="C4837" s="362" t="s">
        <v>4751</v>
      </c>
      <c r="D4837" s="560">
        <v>233015574</v>
      </c>
      <c r="E4837" s="560">
        <v>11521826</v>
      </c>
      <c r="F4837" s="560"/>
      <c r="G4837" s="560">
        <f t="shared" si="108"/>
        <v>244537400</v>
      </c>
      <c r="H4837" s="362"/>
      <c r="I4837" s="362"/>
      <c r="J4837" s="362"/>
    </row>
    <row r="4838" spans="1:10" x14ac:dyDescent="0.25">
      <c r="A4838" s="362"/>
      <c r="B4838" s="609">
        <v>44399</v>
      </c>
      <c r="C4838" s="362" t="s">
        <v>166</v>
      </c>
      <c r="D4838" s="560">
        <v>79050551</v>
      </c>
      <c r="E4838" s="560"/>
      <c r="F4838" s="560"/>
      <c r="G4838" s="560">
        <f t="shared" si="108"/>
        <v>79050551</v>
      </c>
      <c r="H4838" s="362"/>
      <c r="I4838" s="362"/>
      <c r="J4838" s="362"/>
    </row>
    <row r="4839" spans="1:10" x14ac:dyDescent="0.25">
      <c r="A4839" s="362"/>
      <c r="B4839" s="609">
        <v>44399</v>
      </c>
      <c r="C4839" s="362" t="s">
        <v>3435</v>
      </c>
      <c r="D4839" s="560">
        <v>93825064</v>
      </c>
      <c r="E4839" s="560"/>
      <c r="F4839" s="560"/>
      <c r="G4839" s="560">
        <f t="shared" si="108"/>
        <v>93825064</v>
      </c>
      <c r="H4839" s="362"/>
      <c r="I4839" s="362"/>
      <c r="J4839" s="362"/>
    </row>
    <row r="4840" spans="1:10" x14ac:dyDescent="0.25">
      <c r="A4840" s="362"/>
      <c r="B4840" s="609">
        <v>44399</v>
      </c>
      <c r="C4840" s="370" t="s">
        <v>85</v>
      </c>
      <c r="D4840" s="560">
        <v>25420300</v>
      </c>
      <c r="E4840" s="560"/>
      <c r="F4840" s="560"/>
      <c r="G4840" s="560">
        <f t="shared" si="108"/>
        <v>25420300</v>
      </c>
      <c r="H4840" s="362"/>
      <c r="I4840" s="362"/>
      <c r="J4840" s="362"/>
    </row>
    <row r="4841" spans="1:10" x14ac:dyDescent="0.25">
      <c r="A4841" s="530"/>
      <c r="B4841" s="530"/>
      <c r="C4841" s="530"/>
      <c r="D4841" s="562">
        <f>SUM(D4826:D4840)</f>
        <v>2083349115</v>
      </c>
      <c r="E4841" s="562">
        <f>SUM(E4826:E4840)</f>
        <v>318389920</v>
      </c>
      <c r="F4841" s="562">
        <f>SUM(F4826:F4840)</f>
        <v>0</v>
      </c>
      <c r="G4841" s="562">
        <f>SUM(G4826:G4840)</f>
        <v>2401739035</v>
      </c>
      <c r="H4841" s="530"/>
      <c r="I4841" s="530"/>
      <c r="J4841" s="530"/>
    </row>
    <row r="4842" spans="1:10" x14ac:dyDescent="0.25">
      <c r="A4842" s="362"/>
      <c r="B4842" s="609">
        <v>44400</v>
      </c>
      <c r="C4842" s="362" t="s">
        <v>86</v>
      </c>
      <c r="D4842" s="560">
        <v>47462994</v>
      </c>
      <c r="E4842" s="560">
        <v>74369239</v>
      </c>
      <c r="F4842" s="560">
        <v>121832200</v>
      </c>
      <c r="G4842" s="560">
        <f t="shared" si="108"/>
        <v>33</v>
      </c>
      <c r="H4842" s="362"/>
      <c r="I4842" s="362"/>
      <c r="J4842" s="362"/>
    </row>
    <row r="4843" spans="1:10" x14ac:dyDescent="0.25">
      <c r="A4843" s="362"/>
      <c r="B4843" s="609">
        <v>44400</v>
      </c>
      <c r="C4843" s="362" t="s">
        <v>87</v>
      </c>
      <c r="D4843" s="560">
        <v>159027012</v>
      </c>
      <c r="E4843" s="560">
        <v>164314786</v>
      </c>
      <c r="F4843" s="560">
        <v>323341800</v>
      </c>
      <c r="G4843" s="560">
        <f t="shared" si="108"/>
        <v>-2</v>
      </c>
      <c r="H4843" s="362"/>
      <c r="I4843" s="362"/>
      <c r="J4843" s="362"/>
    </row>
    <row r="4844" spans="1:10" x14ac:dyDescent="0.25">
      <c r="A4844" s="362"/>
      <c r="B4844" s="609">
        <v>44400</v>
      </c>
      <c r="C4844" s="362" t="s">
        <v>88</v>
      </c>
      <c r="D4844" s="560">
        <v>108246944</v>
      </c>
      <c r="E4844" s="560">
        <v>60596466</v>
      </c>
      <c r="F4844" s="560">
        <v>168843500</v>
      </c>
      <c r="G4844" s="560">
        <f t="shared" si="108"/>
        <v>-90</v>
      </c>
      <c r="H4844" s="362"/>
      <c r="I4844" s="362"/>
      <c r="J4844" s="362"/>
    </row>
    <row r="4845" spans="1:10" x14ac:dyDescent="0.25">
      <c r="A4845" s="362"/>
      <c r="B4845" s="609">
        <v>44400</v>
      </c>
      <c r="C4845" s="362" t="s">
        <v>82</v>
      </c>
      <c r="D4845" s="560">
        <v>82598685</v>
      </c>
      <c r="E4845" s="560">
        <v>1155924</v>
      </c>
      <c r="F4845" s="560">
        <v>83754700</v>
      </c>
      <c r="G4845" s="560">
        <f t="shared" si="108"/>
        <v>-91</v>
      </c>
      <c r="H4845" s="362"/>
      <c r="I4845" s="362"/>
      <c r="J4845" s="362"/>
    </row>
    <row r="4846" spans="1:10" x14ac:dyDescent="0.25">
      <c r="A4846" s="362"/>
      <c r="B4846" s="609">
        <v>44400</v>
      </c>
      <c r="C4846" s="362" t="s">
        <v>80</v>
      </c>
      <c r="D4846" s="560">
        <v>202228292</v>
      </c>
      <c r="E4846" s="560"/>
      <c r="F4846" s="560">
        <v>202228300</v>
      </c>
      <c r="G4846" s="560">
        <f t="shared" si="108"/>
        <v>-8</v>
      </c>
      <c r="H4846" s="362"/>
      <c r="I4846" s="362"/>
      <c r="J4846" s="362"/>
    </row>
    <row r="4847" spans="1:10" x14ac:dyDescent="0.25">
      <c r="A4847" s="362"/>
      <c r="B4847" s="609">
        <v>44400</v>
      </c>
      <c r="C4847" s="362" t="s">
        <v>83</v>
      </c>
      <c r="D4847" s="560">
        <v>151732103</v>
      </c>
      <c r="E4847" s="560">
        <v>11429665</v>
      </c>
      <c r="F4847" s="560">
        <v>163161800</v>
      </c>
      <c r="G4847" s="560">
        <f t="shared" si="108"/>
        <v>-32</v>
      </c>
      <c r="H4847" s="362"/>
      <c r="I4847" s="362"/>
      <c r="J4847" s="362"/>
    </row>
    <row r="4848" spans="1:10" x14ac:dyDescent="0.25">
      <c r="A4848" s="362"/>
      <c r="B4848" s="609">
        <v>44400</v>
      </c>
      <c r="C4848" s="362" t="s">
        <v>78</v>
      </c>
      <c r="D4848" s="560">
        <v>180093286</v>
      </c>
      <c r="E4848" s="560">
        <v>1050414</v>
      </c>
      <c r="F4848" s="560">
        <v>181143700</v>
      </c>
      <c r="G4848" s="560">
        <f t="shared" si="108"/>
        <v>0</v>
      </c>
      <c r="H4848" s="362"/>
      <c r="I4848" s="362"/>
      <c r="J4848" s="362"/>
    </row>
    <row r="4849" spans="1:10" x14ac:dyDescent="0.25">
      <c r="A4849" s="362"/>
      <c r="B4849" s="609">
        <v>44400</v>
      </c>
      <c r="C4849" s="362" t="s">
        <v>141</v>
      </c>
      <c r="D4849" s="560">
        <v>70628573</v>
      </c>
      <c r="E4849" s="560">
        <v>9434990</v>
      </c>
      <c r="F4849" s="560">
        <v>80063600</v>
      </c>
      <c r="G4849" s="560">
        <f t="shared" si="108"/>
        <v>-37</v>
      </c>
      <c r="H4849" s="362"/>
      <c r="I4849" s="362"/>
      <c r="J4849" s="362"/>
    </row>
    <row r="4850" spans="1:10" x14ac:dyDescent="0.25">
      <c r="A4850" s="362"/>
      <c r="B4850" s="609">
        <v>44400</v>
      </c>
      <c r="C4850" s="362" t="s">
        <v>89</v>
      </c>
      <c r="D4850" s="560">
        <v>139447498</v>
      </c>
      <c r="E4850" s="560">
        <v>58946602</v>
      </c>
      <c r="F4850" s="560">
        <v>198394100</v>
      </c>
      <c r="G4850" s="560">
        <f t="shared" si="108"/>
        <v>0</v>
      </c>
      <c r="H4850" s="362"/>
      <c r="I4850" s="362"/>
      <c r="J4850" s="362"/>
    </row>
    <row r="4851" spans="1:10" x14ac:dyDescent="0.25">
      <c r="A4851" s="362"/>
      <c r="B4851" s="609">
        <v>44400</v>
      </c>
      <c r="C4851" s="362" t="s">
        <v>81</v>
      </c>
      <c r="D4851" s="560">
        <v>58318463</v>
      </c>
      <c r="E4851" s="560">
        <v>26116303</v>
      </c>
      <c r="F4851" s="560">
        <v>84434800</v>
      </c>
      <c r="G4851" s="560">
        <f t="shared" si="108"/>
        <v>-34</v>
      </c>
      <c r="H4851" s="362"/>
      <c r="I4851" s="362"/>
      <c r="J4851" s="362"/>
    </row>
    <row r="4852" spans="1:10" x14ac:dyDescent="0.25">
      <c r="A4852" s="362"/>
      <c r="B4852" s="609">
        <v>44400</v>
      </c>
      <c r="C4852" s="362" t="s">
        <v>84</v>
      </c>
      <c r="D4852" s="560">
        <v>240580937</v>
      </c>
      <c r="E4852" s="560">
        <v>7918815</v>
      </c>
      <c r="F4852" s="560">
        <v>248499700</v>
      </c>
      <c r="G4852" s="560">
        <f t="shared" si="108"/>
        <v>52</v>
      </c>
      <c r="H4852" s="362"/>
      <c r="I4852" s="362"/>
      <c r="J4852" s="362"/>
    </row>
    <row r="4853" spans="1:10" x14ac:dyDescent="0.25">
      <c r="A4853" s="362"/>
      <c r="B4853" s="609">
        <v>44400</v>
      </c>
      <c r="C4853" s="362" t="s">
        <v>4751</v>
      </c>
      <c r="D4853" s="560">
        <v>169459999</v>
      </c>
      <c r="E4853" s="560">
        <v>50464301</v>
      </c>
      <c r="F4853" s="560">
        <v>219924300</v>
      </c>
      <c r="G4853" s="560">
        <f t="shared" si="108"/>
        <v>0</v>
      </c>
      <c r="H4853" s="362"/>
      <c r="I4853" s="362"/>
      <c r="J4853" s="362"/>
    </row>
    <row r="4854" spans="1:10" x14ac:dyDescent="0.25">
      <c r="A4854" s="362"/>
      <c r="B4854" s="609">
        <v>44400</v>
      </c>
      <c r="C4854" s="362" t="s">
        <v>166</v>
      </c>
      <c r="D4854" s="560">
        <v>38130535</v>
      </c>
      <c r="E4854" s="560"/>
      <c r="F4854" s="560">
        <v>38130600</v>
      </c>
      <c r="G4854" s="560">
        <f t="shared" si="108"/>
        <v>-65</v>
      </c>
      <c r="H4854" s="362"/>
      <c r="I4854" s="362"/>
      <c r="J4854" s="362"/>
    </row>
    <row r="4855" spans="1:10" x14ac:dyDescent="0.25">
      <c r="A4855" s="362"/>
      <c r="B4855" s="609">
        <v>44400</v>
      </c>
      <c r="C4855" s="362" t="s">
        <v>3435</v>
      </c>
      <c r="D4855" s="560">
        <v>67913487</v>
      </c>
      <c r="E4855" s="560"/>
      <c r="F4855" s="560">
        <v>67913500</v>
      </c>
      <c r="G4855" s="560">
        <f t="shared" si="108"/>
        <v>-13</v>
      </c>
      <c r="H4855" s="362"/>
      <c r="I4855" s="362"/>
      <c r="J4855" s="362"/>
    </row>
    <row r="4856" spans="1:10" x14ac:dyDescent="0.25">
      <c r="A4856" s="362"/>
      <c r="B4856" s="609">
        <v>44400</v>
      </c>
      <c r="C4856" s="370" t="s">
        <v>85</v>
      </c>
      <c r="D4856" s="560">
        <v>37315700</v>
      </c>
      <c r="E4856" s="560"/>
      <c r="F4856" s="560">
        <v>37315700</v>
      </c>
      <c r="G4856" s="560">
        <f t="shared" si="108"/>
        <v>0</v>
      </c>
      <c r="H4856" s="362"/>
      <c r="I4856" s="362"/>
      <c r="J4856" s="362"/>
    </row>
    <row r="4857" spans="1:10" x14ac:dyDescent="0.25">
      <c r="A4857" s="530"/>
      <c r="B4857" s="530"/>
      <c r="C4857" s="530"/>
      <c r="D4857" s="562">
        <f>SUM(D4842:D4856)</f>
        <v>1753184508</v>
      </c>
      <c r="E4857" s="562">
        <f>SUM(E4842:E4856)</f>
        <v>465797505</v>
      </c>
      <c r="F4857" s="562">
        <f>SUM(F4842:F4856)</f>
        <v>2218982300</v>
      </c>
      <c r="G4857" s="562">
        <f>SUM(G4842:G4856)</f>
        <v>-287</v>
      </c>
      <c r="H4857" s="530"/>
      <c r="I4857" s="530"/>
      <c r="J4857" s="530"/>
    </row>
    <row r="4858" spans="1:10" x14ac:dyDescent="0.25">
      <c r="A4858" s="362"/>
      <c r="B4858" s="609">
        <v>44401</v>
      </c>
      <c r="C4858" s="362" t="s">
        <v>86</v>
      </c>
      <c r="D4858" s="560">
        <v>64800872</v>
      </c>
      <c r="E4858" s="560">
        <v>37686734</v>
      </c>
      <c r="F4858" s="560"/>
      <c r="G4858" s="560">
        <f t="shared" si="108"/>
        <v>102487606</v>
      </c>
      <c r="H4858" s="362"/>
      <c r="I4858" s="362"/>
      <c r="J4858" s="362"/>
    </row>
    <row r="4859" spans="1:10" x14ac:dyDescent="0.25">
      <c r="A4859" s="362"/>
      <c r="B4859" s="609">
        <v>44401</v>
      </c>
      <c r="C4859" s="362" t="s">
        <v>87</v>
      </c>
      <c r="D4859" s="560">
        <v>233049431</v>
      </c>
      <c r="E4859" s="560">
        <v>6790617</v>
      </c>
      <c r="F4859" s="560"/>
      <c r="G4859" s="560">
        <f t="shared" si="108"/>
        <v>239840048</v>
      </c>
      <c r="H4859" s="362"/>
      <c r="I4859" s="362"/>
      <c r="J4859" s="362"/>
    </row>
    <row r="4860" spans="1:10" x14ac:dyDescent="0.25">
      <c r="A4860" s="362"/>
      <c r="B4860" s="609">
        <v>44401</v>
      </c>
      <c r="C4860" s="362" t="s">
        <v>88</v>
      </c>
      <c r="D4860" s="560">
        <v>220298716</v>
      </c>
      <c r="E4860" s="560">
        <v>16391506</v>
      </c>
      <c r="F4860" s="560"/>
      <c r="G4860" s="560">
        <f t="shared" si="108"/>
        <v>236690222</v>
      </c>
      <c r="H4860" s="362"/>
      <c r="I4860" s="362"/>
      <c r="J4860" s="362"/>
    </row>
    <row r="4861" spans="1:10" x14ac:dyDescent="0.25">
      <c r="A4861" s="362"/>
      <c r="B4861" s="609">
        <v>44401</v>
      </c>
      <c r="C4861" s="362" t="s">
        <v>82</v>
      </c>
      <c r="D4861" s="560">
        <v>67992917</v>
      </c>
      <c r="E4861" s="560">
        <v>3349360</v>
      </c>
      <c r="F4861" s="560"/>
      <c r="G4861" s="560">
        <f t="shared" si="108"/>
        <v>71342277</v>
      </c>
      <c r="H4861" s="362"/>
      <c r="I4861" s="362"/>
      <c r="J4861" s="362"/>
    </row>
    <row r="4862" spans="1:10" x14ac:dyDescent="0.25">
      <c r="A4862" s="362"/>
      <c r="B4862" s="609">
        <v>44401</v>
      </c>
      <c r="C4862" s="362" t="s">
        <v>80</v>
      </c>
      <c r="D4862" s="560">
        <v>245084650</v>
      </c>
      <c r="E4862" s="560">
        <v>11480050</v>
      </c>
      <c r="F4862" s="560"/>
      <c r="G4862" s="560">
        <f t="shared" si="108"/>
        <v>256564700</v>
      </c>
      <c r="H4862" s="362"/>
      <c r="I4862" s="362"/>
      <c r="J4862" s="362"/>
    </row>
    <row r="4863" spans="1:10" x14ac:dyDescent="0.25">
      <c r="A4863" s="362"/>
      <c r="B4863" s="609">
        <v>44401</v>
      </c>
      <c r="C4863" s="362" t="s">
        <v>83</v>
      </c>
      <c r="D4863" s="560">
        <v>173525501</v>
      </c>
      <c r="E4863" s="560">
        <v>60116747</v>
      </c>
      <c r="F4863" s="560"/>
      <c r="G4863" s="560">
        <f t="shared" si="108"/>
        <v>233642248</v>
      </c>
      <c r="H4863" s="362"/>
      <c r="I4863" s="362"/>
      <c r="J4863" s="362"/>
    </row>
    <row r="4864" spans="1:10" x14ac:dyDescent="0.25">
      <c r="A4864" s="362"/>
      <c r="B4864" s="609">
        <v>44401</v>
      </c>
      <c r="C4864" s="362" t="s">
        <v>78</v>
      </c>
      <c r="D4864" s="560">
        <v>165183830</v>
      </c>
      <c r="E4864" s="560">
        <v>1892070</v>
      </c>
      <c r="F4864" s="560"/>
      <c r="G4864" s="560">
        <f t="shared" si="108"/>
        <v>167075900</v>
      </c>
      <c r="H4864" s="362"/>
      <c r="I4864" s="362"/>
      <c r="J4864" s="362"/>
    </row>
    <row r="4865" spans="1:10" x14ac:dyDescent="0.25">
      <c r="A4865" s="362"/>
      <c r="B4865" s="609">
        <v>44401</v>
      </c>
      <c r="C4865" s="362" t="s">
        <v>141</v>
      </c>
      <c r="D4865" s="560">
        <v>34080060</v>
      </c>
      <c r="E4865" s="560">
        <v>3995300</v>
      </c>
      <c r="F4865" s="560"/>
      <c r="G4865" s="560">
        <f t="shared" si="108"/>
        <v>38075360</v>
      </c>
      <c r="H4865" s="362"/>
      <c r="I4865" s="362"/>
      <c r="J4865" s="362"/>
    </row>
    <row r="4866" spans="1:10" x14ac:dyDescent="0.25">
      <c r="A4866" s="362"/>
      <c r="B4866" s="609">
        <v>44401</v>
      </c>
      <c r="C4866" s="362" t="s">
        <v>89</v>
      </c>
      <c r="D4866" s="560">
        <v>96482291</v>
      </c>
      <c r="E4866" s="560">
        <v>50523209</v>
      </c>
      <c r="F4866" s="560"/>
      <c r="G4866" s="560">
        <f t="shared" si="108"/>
        <v>147005500</v>
      </c>
      <c r="H4866" s="362"/>
      <c r="I4866" s="362"/>
      <c r="J4866" s="362"/>
    </row>
    <row r="4867" spans="1:10" x14ac:dyDescent="0.25">
      <c r="A4867" s="362"/>
      <c r="B4867" s="609">
        <v>44401</v>
      </c>
      <c r="C4867" s="362" t="s">
        <v>81</v>
      </c>
      <c r="D4867" s="560">
        <v>93555747</v>
      </c>
      <c r="E4867" s="560">
        <v>18640860</v>
      </c>
      <c r="F4867" s="560"/>
      <c r="G4867" s="560">
        <f t="shared" si="108"/>
        <v>112196607</v>
      </c>
      <c r="H4867" s="362"/>
      <c r="I4867" s="362"/>
      <c r="J4867" s="362"/>
    </row>
    <row r="4868" spans="1:10" x14ac:dyDescent="0.25">
      <c r="A4868" s="362"/>
      <c r="B4868" s="609">
        <v>44401</v>
      </c>
      <c r="C4868" s="362" t="s">
        <v>84</v>
      </c>
      <c r="D4868" s="560">
        <v>165057619</v>
      </c>
      <c r="E4868" s="560">
        <v>10627177</v>
      </c>
      <c r="F4868" s="560"/>
      <c r="G4868" s="560">
        <f t="shared" si="108"/>
        <v>175684796</v>
      </c>
      <c r="H4868" s="362"/>
      <c r="I4868" s="362"/>
      <c r="J4868" s="362"/>
    </row>
    <row r="4869" spans="1:10" x14ac:dyDescent="0.25">
      <c r="A4869" s="362"/>
      <c r="B4869" s="609">
        <v>44401</v>
      </c>
      <c r="C4869" s="362" t="s">
        <v>4751</v>
      </c>
      <c r="D4869" s="560">
        <v>239196309</v>
      </c>
      <c r="E4869" s="560">
        <v>16769691</v>
      </c>
      <c r="F4869" s="560"/>
      <c r="G4869" s="560">
        <f t="shared" si="108"/>
        <v>255966000</v>
      </c>
      <c r="H4869" s="362"/>
      <c r="I4869" s="362"/>
      <c r="J4869" s="362"/>
    </row>
    <row r="4870" spans="1:10" x14ac:dyDescent="0.25">
      <c r="A4870" s="362"/>
      <c r="B4870" s="609">
        <v>44401</v>
      </c>
      <c r="C4870" s="362" t="s">
        <v>166</v>
      </c>
      <c r="D4870" s="560"/>
      <c r="E4870" s="560"/>
      <c r="F4870" s="560"/>
      <c r="G4870" s="560">
        <f t="shared" si="108"/>
        <v>0</v>
      </c>
      <c r="H4870" s="362"/>
      <c r="I4870" s="362"/>
      <c r="J4870" s="362"/>
    </row>
    <row r="4871" spans="1:10" x14ac:dyDescent="0.25">
      <c r="A4871" s="362"/>
      <c r="B4871" s="609">
        <v>44401</v>
      </c>
      <c r="C4871" s="362" t="s">
        <v>3435</v>
      </c>
      <c r="D4871" s="560"/>
      <c r="E4871" s="560"/>
      <c r="F4871" s="560"/>
      <c r="G4871" s="560">
        <f t="shared" si="108"/>
        <v>0</v>
      </c>
      <c r="H4871" s="362"/>
      <c r="I4871" s="362"/>
      <c r="J4871" s="362"/>
    </row>
    <row r="4872" spans="1:10" x14ac:dyDescent="0.25">
      <c r="A4872" s="362"/>
      <c r="B4872" s="609">
        <v>44401</v>
      </c>
      <c r="C4872" s="370" t="s">
        <v>85</v>
      </c>
      <c r="D4872" s="560">
        <v>20654300</v>
      </c>
      <c r="E4872" s="560"/>
      <c r="F4872" s="560"/>
      <c r="G4872" s="560">
        <f t="shared" si="108"/>
        <v>20654300</v>
      </c>
      <c r="H4872" s="362"/>
      <c r="I4872" s="362"/>
      <c r="J4872" s="362"/>
    </row>
    <row r="4873" spans="1:10" x14ac:dyDescent="0.25">
      <c r="A4873" s="530"/>
      <c r="B4873" s="530"/>
      <c r="C4873" s="530"/>
      <c r="D4873" s="562">
        <f>SUM(D4858:D4872)</f>
        <v>1818962243</v>
      </c>
      <c r="E4873" s="562">
        <f>SUM(E4858:E4872)</f>
        <v>238263321</v>
      </c>
      <c r="F4873" s="562">
        <f>SUM(F4858:F4872)</f>
        <v>0</v>
      </c>
      <c r="G4873" s="562">
        <f>SUM(G4858:G4872)</f>
        <v>2057225564</v>
      </c>
      <c r="H4873" s="530"/>
      <c r="I4873" s="530"/>
      <c r="J4873" s="530"/>
    </row>
    <row r="4874" spans="1:10" x14ac:dyDescent="0.25">
      <c r="A4874" s="362"/>
      <c r="B4874" s="609">
        <v>44403</v>
      </c>
      <c r="C4874" s="362" t="s">
        <v>86</v>
      </c>
      <c r="D4874" s="560">
        <v>34777721</v>
      </c>
      <c r="E4874" s="560">
        <v>191268191</v>
      </c>
      <c r="F4874" s="560"/>
      <c r="G4874" s="560">
        <f t="shared" si="108"/>
        <v>226045912</v>
      </c>
      <c r="H4874" s="362"/>
      <c r="I4874" s="362"/>
      <c r="J4874" s="362"/>
    </row>
    <row r="4875" spans="1:10" x14ac:dyDescent="0.25">
      <c r="A4875" s="362"/>
      <c r="B4875" s="609">
        <v>44403</v>
      </c>
      <c r="C4875" s="362" t="s">
        <v>87</v>
      </c>
      <c r="D4875" s="560">
        <v>119123926</v>
      </c>
      <c r="E4875" s="560">
        <v>49009586</v>
      </c>
      <c r="F4875" s="560"/>
      <c r="G4875" s="560">
        <f t="shared" si="108"/>
        <v>168133512</v>
      </c>
      <c r="H4875" s="362"/>
      <c r="I4875" s="362"/>
      <c r="J4875" s="362"/>
    </row>
    <row r="4876" spans="1:10" x14ac:dyDescent="0.25">
      <c r="A4876" s="362"/>
      <c r="B4876" s="609">
        <v>44403</v>
      </c>
      <c r="C4876" s="362" t="s">
        <v>88</v>
      </c>
      <c r="D4876" s="560">
        <v>190418150</v>
      </c>
      <c r="E4876" s="560">
        <v>7828012</v>
      </c>
      <c r="F4876" s="560"/>
      <c r="G4876" s="560">
        <f t="shared" ref="G4876:G4939" si="109">D4876+E4876-F4876</f>
        <v>198246162</v>
      </c>
      <c r="H4876" s="362"/>
      <c r="I4876" s="362"/>
      <c r="J4876" s="362"/>
    </row>
    <row r="4877" spans="1:10" x14ac:dyDescent="0.25">
      <c r="A4877" s="362"/>
      <c r="B4877" s="609">
        <v>44403</v>
      </c>
      <c r="C4877" s="362" t="s">
        <v>82</v>
      </c>
      <c r="D4877" s="560">
        <v>41738735</v>
      </c>
      <c r="E4877" s="560">
        <v>8880967</v>
      </c>
      <c r="F4877" s="560"/>
      <c r="G4877" s="560">
        <f t="shared" si="109"/>
        <v>50619702</v>
      </c>
      <c r="H4877" s="362"/>
      <c r="I4877" s="362"/>
      <c r="J4877" s="362"/>
    </row>
    <row r="4878" spans="1:10" x14ac:dyDescent="0.25">
      <c r="A4878" s="362"/>
      <c r="B4878" s="609">
        <v>44403</v>
      </c>
      <c r="C4878" s="362" t="s">
        <v>80</v>
      </c>
      <c r="D4878" s="560">
        <v>237713780</v>
      </c>
      <c r="E4878" s="560"/>
      <c r="F4878" s="560"/>
      <c r="G4878" s="560">
        <f t="shared" si="109"/>
        <v>237713780</v>
      </c>
      <c r="H4878" s="362"/>
      <c r="I4878" s="362"/>
      <c r="J4878" s="362"/>
    </row>
    <row r="4879" spans="1:10" x14ac:dyDescent="0.25">
      <c r="A4879" s="362"/>
      <c r="B4879" s="609">
        <v>44403</v>
      </c>
      <c r="C4879" s="362" t="s">
        <v>83</v>
      </c>
      <c r="D4879" s="560">
        <v>194748544</v>
      </c>
      <c r="E4879" s="560">
        <v>140661647</v>
      </c>
      <c r="F4879" s="560"/>
      <c r="G4879" s="560">
        <f t="shared" si="109"/>
        <v>335410191</v>
      </c>
      <c r="H4879" s="362"/>
      <c r="I4879" s="362"/>
      <c r="J4879" s="362"/>
    </row>
    <row r="4880" spans="1:10" x14ac:dyDescent="0.25">
      <c r="A4880" s="362"/>
      <c r="B4880" s="609">
        <v>44403</v>
      </c>
      <c r="C4880" s="362" t="s">
        <v>78</v>
      </c>
      <c r="D4880" s="560">
        <v>73396228</v>
      </c>
      <c r="E4880" s="560">
        <v>1112872</v>
      </c>
      <c r="F4880" s="560"/>
      <c r="G4880" s="560">
        <f t="shared" si="109"/>
        <v>74509100</v>
      </c>
      <c r="H4880" s="362"/>
      <c r="I4880" s="362"/>
      <c r="J4880" s="362"/>
    </row>
    <row r="4881" spans="1:10" x14ac:dyDescent="0.25">
      <c r="A4881" s="362"/>
      <c r="B4881" s="609">
        <v>44403</v>
      </c>
      <c r="C4881" s="362" t="s">
        <v>141</v>
      </c>
      <c r="D4881" s="560">
        <v>36816407</v>
      </c>
      <c r="E4881" s="560">
        <v>13280593</v>
      </c>
      <c r="F4881" s="560"/>
      <c r="G4881" s="560">
        <f t="shared" si="109"/>
        <v>50097000</v>
      </c>
      <c r="H4881" s="362"/>
      <c r="I4881" s="362"/>
      <c r="J4881" s="362"/>
    </row>
    <row r="4882" spans="1:10" x14ac:dyDescent="0.25">
      <c r="A4882" s="362"/>
      <c r="B4882" s="609">
        <v>44403</v>
      </c>
      <c r="C4882" s="362" t="s">
        <v>89</v>
      </c>
      <c r="D4882" s="560">
        <v>114993395</v>
      </c>
      <c r="E4882" s="560">
        <v>24684505</v>
      </c>
      <c r="F4882" s="560"/>
      <c r="G4882" s="560">
        <f t="shared" si="109"/>
        <v>139677900</v>
      </c>
      <c r="H4882" s="362"/>
      <c r="I4882" s="362"/>
      <c r="J4882" s="362"/>
    </row>
    <row r="4883" spans="1:10" x14ac:dyDescent="0.25">
      <c r="A4883" s="362"/>
      <c r="B4883" s="609">
        <v>44403</v>
      </c>
      <c r="C4883" s="362" t="s">
        <v>81</v>
      </c>
      <c r="D4883" s="560">
        <v>134780325</v>
      </c>
      <c r="E4883" s="560">
        <v>128267196</v>
      </c>
      <c r="F4883" s="560"/>
      <c r="G4883" s="560">
        <f t="shared" si="109"/>
        <v>263047521</v>
      </c>
      <c r="H4883" s="362"/>
      <c r="I4883" s="362"/>
      <c r="J4883" s="362"/>
    </row>
    <row r="4884" spans="1:10" x14ac:dyDescent="0.25">
      <c r="A4884" s="362"/>
      <c r="B4884" s="609">
        <v>44403</v>
      </c>
      <c r="C4884" s="362" t="s">
        <v>84</v>
      </c>
      <c r="D4884" s="560">
        <v>224081291</v>
      </c>
      <c r="E4884" s="560">
        <v>5275082</v>
      </c>
      <c r="F4884" s="560"/>
      <c r="G4884" s="560">
        <f t="shared" si="109"/>
        <v>229356373</v>
      </c>
      <c r="H4884" s="362"/>
      <c r="I4884" s="362"/>
      <c r="J4884" s="362"/>
    </row>
    <row r="4885" spans="1:10" x14ac:dyDescent="0.25">
      <c r="A4885" s="362"/>
      <c r="B4885" s="609">
        <v>44403</v>
      </c>
      <c r="C4885" s="362" t="s">
        <v>4751</v>
      </c>
      <c r="D4885" s="560">
        <v>220254884</v>
      </c>
      <c r="E4885" s="560">
        <v>10682416</v>
      </c>
      <c r="F4885" s="560"/>
      <c r="G4885" s="560">
        <f t="shared" si="109"/>
        <v>230937300</v>
      </c>
      <c r="H4885" s="362"/>
      <c r="I4885" s="362"/>
      <c r="J4885" s="362"/>
    </row>
    <row r="4886" spans="1:10" x14ac:dyDescent="0.25">
      <c r="A4886" s="362"/>
      <c r="B4886" s="609">
        <v>44403</v>
      </c>
      <c r="C4886" s="362" t="s">
        <v>166</v>
      </c>
      <c r="D4886" s="560">
        <v>53147136</v>
      </c>
      <c r="E4886" s="560"/>
      <c r="F4886" s="560"/>
      <c r="G4886" s="560">
        <f t="shared" si="109"/>
        <v>53147136</v>
      </c>
      <c r="H4886" s="362"/>
      <c r="I4886" s="362"/>
      <c r="J4886" s="362"/>
    </row>
    <row r="4887" spans="1:10" x14ac:dyDescent="0.25">
      <c r="A4887" s="362"/>
      <c r="B4887" s="609">
        <v>44403</v>
      </c>
      <c r="C4887" s="362" t="s">
        <v>3435</v>
      </c>
      <c r="D4887" s="560">
        <v>56762815</v>
      </c>
      <c r="E4887" s="560"/>
      <c r="F4887" s="560"/>
      <c r="G4887" s="560">
        <f t="shared" si="109"/>
        <v>56762815</v>
      </c>
      <c r="H4887" s="362"/>
      <c r="I4887" s="362"/>
      <c r="J4887" s="362"/>
    </row>
    <row r="4888" spans="1:10" x14ac:dyDescent="0.25">
      <c r="A4888" s="362"/>
      <c r="B4888" s="609">
        <v>44403</v>
      </c>
      <c r="C4888" s="370" t="s">
        <v>85</v>
      </c>
      <c r="D4888" s="560">
        <v>47747000</v>
      </c>
      <c r="E4888" s="560"/>
      <c r="F4888" s="560"/>
      <c r="G4888" s="560">
        <f t="shared" si="109"/>
        <v>47747000</v>
      </c>
      <c r="H4888" s="362"/>
      <c r="I4888" s="362"/>
      <c r="J4888" s="362"/>
    </row>
    <row r="4889" spans="1:10" x14ac:dyDescent="0.25">
      <c r="A4889" s="530"/>
      <c r="B4889" s="530"/>
      <c r="C4889" s="530"/>
      <c r="D4889" s="562">
        <f>SUM(D4874:D4888)</f>
        <v>1780500337</v>
      </c>
      <c r="E4889" s="562">
        <f>SUM(E4874:E4888)</f>
        <v>580951067</v>
      </c>
      <c r="F4889" s="562">
        <f>SUM(F4874:F4888)</f>
        <v>0</v>
      </c>
      <c r="G4889" s="562">
        <f>SUM(G4874:G4888)</f>
        <v>2361451404</v>
      </c>
      <c r="H4889" s="530"/>
      <c r="I4889" s="530"/>
      <c r="J4889" s="530"/>
    </row>
    <row r="4890" spans="1:10" x14ac:dyDescent="0.25">
      <c r="A4890" s="362"/>
      <c r="B4890" s="609">
        <v>44404</v>
      </c>
      <c r="C4890" s="362" t="s">
        <v>86</v>
      </c>
      <c r="D4890" s="560">
        <v>67021041</v>
      </c>
      <c r="E4890" s="560">
        <v>70155219</v>
      </c>
      <c r="F4890" s="560"/>
      <c r="G4890" s="560">
        <f t="shared" si="109"/>
        <v>137176260</v>
      </c>
      <c r="H4890" s="362"/>
      <c r="I4890" s="362"/>
      <c r="J4890" s="362"/>
    </row>
    <row r="4891" spans="1:10" x14ac:dyDescent="0.25">
      <c r="A4891" s="362"/>
      <c r="B4891" s="609">
        <v>44404</v>
      </c>
      <c r="C4891" s="362" t="s">
        <v>87</v>
      </c>
      <c r="D4891" s="560">
        <v>123043603</v>
      </c>
      <c r="E4891" s="560">
        <v>107624803</v>
      </c>
      <c r="F4891" s="560"/>
      <c r="G4891" s="560">
        <f t="shared" si="109"/>
        <v>230668406</v>
      </c>
      <c r="H4891" s="362"/>
      <c r="I4891" s="362"/>
      <c r="J4891" s="362"/>
    </row>
    <row r="4892" spans="1:10" x14ac:dyDescent="0.25">
      <c r="A4892" s="362"/>
      <c r="B4892" s="609">
        <v>44404</v>
      </c>
      <c r="C4892" s="362" t="s">
        <v>88</v>
      </c>
      <c r="D4892" s="560">
        <v>218989781</v>
      </c>
      <c r="E4892" s="560">
        <v>72993331</v>
      </c>
      <c r="F4892" s="560"/>
      <c r="G4892" s="560">
        <f t="shared" si="109"/>
        <v>291983112</v>
      </c>
      <c r="H4892" s="362"/>
      <c r="I4892" s="362"/>
      <c r="J4892" s="362"/>
    </row>
    <row r="4893" spans="1:10" x14ac:dyDescent="0.25">
      <c r="A4893" s="362"/>
      <c r="B4893" s="609">
        <v>44404</v>
      </c>
      <c r="C4893" s="362" t="s">
        <v>82</v>
      </c>
      <c r="D4893" s="560">
        <v>56759913</v>
      </c>
      <c r="E4893" s="560">
        <v>6297636</v>
      </c>
      <c r="F4893" s="560"/>
      <c r="G4893" s="560">
        <f t="shared" si="109"/>
        <v>63057549</v>
      </c>
      <c r="H4893" s="362"/>
      <c r="I4893" s="362"/>
      <c r="J4893" s="362"/>
    </row>
    <row r="4894" spans="1:10" x14ac:dyDescent="0.25">
      <c r="A4894" s="362"/>
      <c r="B4894" s="609">
        <v>44404</v>
      </c>
      <c r="C4894" s="362" t="s">
        <v>80</v>
      </c>
      <c r="D4894" s="560">
        <v>412143850</v>
      </c>
      <c r="E4894" s="560">
        <v>60565000</v>
      </c>
      <c r="F4894" s="560"/>
      <c r="G4894" s="560">
        <f t="shared" si="109"/>
        <v>472708850</v>
      </c>
      <c r="H4894" s="362"/>
      <c r="I4894" s="362"/>
      <c r="J4894" s="362"/>
    </row>
    <row r="4895" spans="1:10" x14ac:dyDescent="0.25">
      <c r="A4895" s="362"/>
      <c r="B4895" s="609">
        <v>44404</v>
      </c>
      <c r="C4895" s="362" t="s">
        <v>83</v>
      </c>
      <c r="D4895" s="560">
        <v>218813396</v>
      </c>
      <c r="E4895" s="560">
        <v>45421404</v>
      </c>
      <c r="F4895" s="560"/>
      <c r="G4895" s="560">
        <f t="shared" si="109"/>
        <v>264234800</v>
      </c>
      <c r="H4895" s="362"/>
      <c r="I4895" s="362"/>
      <c r="J4895" s="362"/>
    </row>
    <row r="4896" spans="1:10" x14ac:dyDescent="0.25">
      <c r="A4896" s="362"/>
      <c r="B4896" s="609">
        <v>44404</v>
      </c>
      <c r="C4896" s="362" t="s">
        <v>78</v>
      </c>
      <c r="D4896" s="560">
        <v>102056056</v>
      </c>
      <c r="E4896" s="560">
        <v>2887144</v>
      </c>
      <c r="F4896" s="560"/>
      <c r="G4896" s="560">
        <f t="shared" si="109"/>
        <v>104943200</v>
      </c>
      <c r="H4896" s="362"/>
      <c r="I4896" s="362"/>
      <c r="J4896" s="362"/>
    </row>
    <row r="4897" spans="1:10" x14ac:dyDescent="0.25">
      <c r="A4897" s="362"/>
      <c r="B4897" s="609">
        <v>44404</v>
      </c>
      <c r="C4897" s="362" t="s">
        <v>141</v>
      </c>
      <c r="D4897" s="560">
        <v>88756999</v>
      </c>
      <c r="E4897" s="560">
        <v>1065216</v>
      </c>
      <c r="F4897" s="560"/>
      <c r="G4897" s="560">
        <f t="shared" si="109"/>
        <v>89822215</v>
      </c>
      <c r="H4897" s="362"/>
      <c r="I4897" s="362"/>
      <c r="J4897" s="362"/>
    </row>
    <row r="4898" spans="1:10" x14ac:dyDescent="0.25">
      <c r="A4898" s="362"/>
      <c r="B4898" s="609">
        <v>44404</v>
      </c>
      <c r="C4898" s="362" t="s">
        <v>89</v>
      </c>
      <c r="D4898" s="560">
        <v>178059228</v>
      </c>
      <c r="E4898" s="560">
        <v>33293628</v>
      </c>
      <c r="F4898" s="560"/>
      <c r="G4898" s="560">
        <f t="shared" si="109"/>
        <v>211352856</v>
      </c>
      <c r="H4898" s="362"/>
      <c r="I4898" s="362"/>
      <c r="J4898" s="362"/>
    </row>
    <row r="4899" spans="1:10" x14ac:dyDescent="0.25">
      <c r="A4899" s="362"/>
      <c r="B4899" s="609">
        <v>44404</v>
      </c>
      <c r="C4899" s="362" t="s">
        <v>81</v>
      </c>
      <c r="D4899" s="560">
        <v>71263672</v>
      </c>
      <c r="E4899" s="560">
        <v>7030300</v>
      </c>
      <c r="F4899" s="560"/>
      <c r="G4899" s="560">
        <f t="shared" si="109"/>
        <v>78293972</v>
      </c>
      <c r="H4899" s="362"/>
      <c r="I4899" s="362"/>
      <c r="J4899" s="362"/>
    </row>
    <row r="4900" spans="1:10" x14ac:dyDescent="0.25">
      <c r="A4900" s="362"/>
      <c r="B4900" s="609">
        <v>44404</v>
      </c>
      <c r="C4900" s="362" t="s">
        <v>84</v>
      </c>
      <c r="D4900" s="560">
        <v>273955833</v>
      </c>
      <c r="E4900" s="560">
        <v>17169693</v>
      </c>
      <c r="F4900" s="560"/>
      <c r="G4900" s="560">
        <f t="shared" si="109"/>
        <v>291125526</v>
      </c>
      <c r="H4900" s="362"/>
      <c r="I4900" s="362"/>
      <c r="J4900" s="362"/>
    </row>
    <row r="4901" spans="1:10" x14ac:dyDescent="0.25">
      <c r="A4901" s="362"/>
      <c r="B4901" s="609">
        <v>44404</v>
      </c>
      <c r="C4901" s="362" t="s">
        <v>4751</v>
      </c>
      <c r="D4901" s="560">
        <v>268777540</v>
      </c>
      <c r="E4901" s="560">
        <v>11939260</v>
      </c>
      <c r="F4901" s="560"/>
      <c r="G4901" s="560">
        <f t="shared" si="109"/>
        <v>280716800</v>
      </c>
      <c r="H4901" s="362"/>
      <c r="I4901" s="362"/>
      <c r="J4901" s="362"/>
    </row>
    <row r="4902" spans="1:10" x14ac:dyDescent="0.25">
      <c r="A4902" s="362"/>
      <c r="B4902" s="609">
        <v>44404</v>
      </c>
      <c r="C4902" s="362" t="s">
        <v>166</v>
      </c>
      <c r="D4902" s="560">
        <v>49871286</v>
      </c>
      <c r="E4902" s="560"/>
      <c r="F4902" s="560"/>
      <c r="G4902" s="560">
        <f t="shared" si="109"/>
        <v>49871286</v>
      </c>
      <c r="H4902" s="362"/>
      <c r="I4902" s="362"/>
      <c r="J4902" s="362"/>
    </row>
    <row r="4903" spans="1:10" x14ac:dyDescent="0.25">
      <c r="A4903" s="362"/>
      <c r="B4903" s="609">
        <v>44404</v>
      </c>
      <c r="C4903" s="362" t="s">
        <v>3435</v>
      </c>
      <c r="D4903" s="560">
        <v>61597048</v>
      </c>
      <c r="E4903" s="560"/>
      <c r="F4903" s="560"/>
      <c r="G4903" s="560">
        <f t="shared" si="109"/>
        <v>61597048</v>
      </c>
      <c r="H4903" s="362"/>
      <c r="I4903" s="362"/>
      <c r="J4903" s="362"/>
    </row>
    <row r="4904" spans="1:10" x14ac:dyDescent="0.25">
      <c r="A4904" s="362"/>
      <c r="B4904" s="609">
        <v>44404</v>
      </c>
      <c r="C4904" s="370" t="s">
        <v>85</v>
      </c>
      <c r="D4904" s="560">
        <v>34319200</v>
      </c>
      <c r="E4904" s="560"/>
      <c r="F4904" s="560"/>
      <c r="G4904" s="560">
        <f t="shared" si="109"/>
        <v>34319200</v>
      </c>
      <c r="H4904" s="362"/>
      <c r="I4904" s="362"/>
      <c r="J4904" s="362"/>
    </row>
    <row r="4905" spans="1:10" x14ac:dyDescent="0.25">
      <c r="A4905" s="530"/>
      <c r="B4905" s="530"/>
      <c r="C4905" s="530"/>
      <c r="D4905" s="562">
        <f>SUM(D4890:D4904)</f>
        <v>2225428446</v>
      </c>
      <c r="E4905" s="562">
        <f>SUM(E4890:E4904)</f>
        <v>436442634</v>
      </c>
      <c r="F4905" s="562">
        <f>SUM(F4890:F4904)</f>
        <v>0</v>
      </c>
      <c r="G4905" s="562">
        <f>SUM(G4890:G4904)</f>
        <v>2661871080</v>
      </c>
      <c r="H4905" s="530"/>
      <c r="I4905" s="530"/>
      <c r="J4905" s="530"/>
    </row>
    <row r="4906" spans="1:10" x14ac:dyDescent="0.25">
      <c r="A4906" s="362"/>
      <c r="B4906" s="609">
        <v>44405</v>
      </c>
      <c r="C4906" s="362" t="s">
        <v>86</v>
      </c>
      <c r="D4906" s="560">
        <v>40529218</v>
      </c>
      <c r="E4906" s="560">
        <v>92634211</v>
      </c>
      <c r="F4906" s="560"/>
      <c r="G4906" s="560">
        <f t="shared" si="109"/>
        <v>133163429</v>
      </c>
      <c r="H4906" s="362"/>
      <c r="I4906" s="362"/>
      <c r="J4906" s="362"/>
    </row>
    <row r="4907" spans="1:10" x14ac:dyDescent="0.25">
      <c r="A4907" s="362"/>
      <c r="B4907" s="609">
        <v>44405</v>
      </c>
      <c r="C4907" s="362" t="s">
        <v>87</v>
      </c>
      <c r="D4907" s="560">
        <v>124810006</v>
      </c>
      <c r="E4907" s="560">
        <v>151372996</v>
      </c>
      <c r="F4907" s="560"/>
      <c r="G4907" s="560">
        <f t="shared" si="109"/>
        <v>276183002</v>
      </c>
      <c r="H4907" s="362"/>
      <c r="I4907" s="362"/>
      <c r="J4907" s="362"/>
    </row>
    <row r="4908" spans="1:10" x14ac:dyDescent="0.25">
      <c r="A4908" s="362"/>
      <c r="B4908" s="609">
        <v>44405</v>
      </c>
      <c r="C4908" s="362" t="s">
        <v>88</v>
      </c>
      <c r="D4908" s="560">
        <v>277476544</v>
      </c>
      <c r="E4908" s="560">
        <v>92891619</v>
      </c>
      <c r="F4908" s="560"/>
      <c r="G4908" s="560">
        <f t="shared" si="109"/>
        <v>370368163</v>
      </c>
      <c r="H4908" s="362"/>
      <c r="I4908" s="362"/>
      <c r="J4908" s="362"/>
    </row>
    <row r="4909" spans="1:10" x14ac:dyDescent="0.25">
      <c r="A4909" s="362"/>
      <c r="B4909" s="609">
        <v>44405</v>
      </c>
      <c r="C4909" s="362" t="s">
        <v>82</v>
      </c>
      <c r="D4909" s="560">
        <v>105266052</v>
      </c>
      <c r="E4909" s="560">
        <v>1421354</v>
      </c>
      <c r="F4909" s="560"/>
      <c r="G4909" s="560">
        <f t="shared" si="109"/>
        <v>106687406</v>
      </c>
      <c r="H4909" s="362"/>
      <c r="I4909" s="362"/>
      <c r="J4909" s="362"/>
    </row>
    <row r="4910" spans="1:10" x14ac:dyDescent="0.25">
      <c r="A4910" s="362"/>
      <c r="B4910" s="609">
        <v>44405</v>
      </c>
      <c r="C4910" s="362" t="s">
        <v>80</v>
      </c>
      <c r="D4910" s="560">
        <v>287277732</v>
      </c>
      <c r="E4910" s="560"/>
      <c r="F4910" s="560"/>
      <c r="G4910" s="560">
        <f t="shared" si="109"/>
        <v>287277732</v>
      </c>
      <c r="H4910" s="362"/>
      <c r="I4910" s="362"/>
      <c r="J4910" s="362"/>
    </row>
    <row r="4911" spans="1:10" x14ac:dyDescent="0.25">
      <c r="A4911" s="362"/>
      <c r="B4911" s="609">
        <v>44405</v>
      </c>
      <c r="C4911" s="362" t="s">
        <v>83</v>
      </c>
      <c r="D4911" s="560">
        <v>234530941</v>
      </c>
      <c r="E4911" s="560">
        <v>38224358</v>
      </c>
      <c r="F4911" s="560"/>
      <c r="G4911" s="560">
        <f t="shared" si="109"/>
        <v>272755299</v>
      </c>
      <c r="H4911" s="362"/>
      <c r="I4911" s="362"/>
      <c r="J4911" s="362"/>
    </row>
    <row r="4912" spans="1:10" x14ac:dyDescent="0.25">
      <c r="A4912" s="362"/>
      <c r="B4912" s="609">
        <v>44405</v>
      </c>
      <c r="C4912" s="362" t="s">
        <v>78</v>
      </c>
      <c r="D4912" s="560">
        <v>129935597</v>
      </c>
      <c r="E4912" s="560">
        <v>2132603</v>
      </c>
      <c r="F4912" s="560"/>
      <c r="G4912" s="560">
        <f t="shared" si="109"/>
        <v>132068200</v>
      </c>
      <c r="H4912" s="362"/>
      <c r="I4912" s="362"/>
      <c r="J4912" s="362"/>
    </row>
    <row r="4913" spans="1:10" x14ac:dyDescent="0.25">
      <c r="A4913" s="362"/>
      <c r="B4913" s="609">
        <v>44405</v>
      </c>
      <c r="C4913" s="362" t="s">
        <v>141</v>
      </c>
      <c r="D4913" s="560">
        <v>84621893</v>
      </c>
      <c r="E4913" s="560">
        <v>914439</v>
      </c>
      <c r="F4913" s="560"/>
      <c r="G4913" s="560">
        <f t="shared" si="109"/>
        <v>85536332</v>
      </c>
      <c r="H4913" s="362"/>
      <c r="I4913" s="362"/>
      <c r="J4913" s="362"/>
    </row>
    <row r="4914" spans="1:10" x14ac:dyDescent="0.25">
      <c r="A4914" s="362"/>
      <c r="B4914" s="609">
        <v>44405</v>
      </c>
      <c r="C4914" s="362" t="s">
        <v>89</v>
      </c>
      <c r="D4914" s="560">
        <v>139925591</v>
      </c>
      <c r="E4914" s="560">
        <v>35765709</v>
      </c>
      <c r="F4914" s="560"/>
      <c r="G4914" s="560">
        <f t="shared" si="109"/>
        <v>175691300</v>
      </c>
      <c r="H4914" s="362"/>
      <c r="I4914" s="362"/>
      <c r="J4914" s="362"/>
    </row>
    <row r="4915" spans="1:10" x14ac:dyDescent="0.25">
      <c r="A4915" s="362"/>
      <c r="B4915" s="609">
        <v>44405</v>
      </c>
      <c r="C4915" s="362" t="s">
        <v>81</v>
      </c>
      <c r="D4915" s="560">
        <v>106004401</v>
      </c>
      <c r="E4915" s="560">
        <v>9448189</v>
      </c>
      <c r="F4915" s="560"/>
      <c r="G4915" s="560">
        <f t="shared" si="109"/>
        <v>115452590</v>
      </c>
      <c r="H4915" s="362"/>
      <c r="I4915" s="362"/>
      <c r="J4915" s="362"/>
    </row>
    <row r="4916" spans="1:10" x14ac:dyDescent="0.25">
      <c r="A4916" s="362"/>
      <c r="B4916" s="609">
        <v>44405</v>
      </c>
      <c r="C4916" s="362" t="s">
        <v>84</v>
      </c>
      <c r="D4916" s="560">
        <v>348995988</v>
      </c>
      <c r="E4916" s="560">
        <v>88575826</v>
      </c>
      <c r="F4916" s="560"/>
      <c r="G4916" s="560">
        <f t="shared" si="109"/>
        <v>437571814</v>
      </c>
      <c r="H4916" s="362"/>
      <c r="I4916" s="362"/>
      <c r="J4916" s="362"/>
    </row>
    <row r="4917" spans="1:10" x14ac:dyDescent="0.25">
      <c r="A4917" s="362"/>
      <c r="B4917" s="609">
        <v>44405</v>
      </c>
      <c r="C4917" s="362" t="s">
        <v>4751</v>
      </c>
      <c r="D4917" s="560">
        <v>187192902</v>
      </c>
      <c r="E4917" s="560">
        <v>14772098</v>
      </c>
      <c r="F4917" s="560"/>
      <c r="G4917" s="560">
        <f t="shared" si="109"/>
        <v>201965000</v>
      </c>
      <c r="H4917" s="362"/>
      <c r="I4917" s="362"/>
      <c r="J4917" s="362"/>
    </row>
    <row r="4918" spans="1:10" x14ac:dyDescent="0.25">
      <c r="A4918" s="362"/>
      <c r="B4918" s="609">
        <v>44405</v>
      </c>
      <c r="C4918" s="362" t="s">
        <v>166</v>
      </c>
      <c r="D4918" s="560">
        <v>62457882</v>
      </c>
      <c r="E4918" s="560"/>
      <c r="F4918" s="560"/>
      <c r="G4918" s="560">
        <f t="shared" si="109"/>
        <v>62457882</v>
      </c>
      <c r="H4918" s="362"/>
      <c r="I4918" s="362"/>
      <c r="J4918" s="362"/>
    </row>
    <row r="4919" spans="1:10" x14ac:dyDescent="0.25">
      <c r="A4919" s="362"/>
      <c r="B4919" s="609">
        <v>44405</v>
      </c>
      <c r="C4919" s="362" t="s">
        <v>3435</v>
      </c>
      <c r="D4919" s="560">
        <v>91031780</v>
      </c>
      <c r="E4919" s="560"/>
      <c r="F4919" s="560"/>
      <c r="G4919" s="560">
        <f t="shared" si="109"/>
        <v>91031780</v>
      </c>
      <c r="H4919" s="362"/>
      <c r="I4919" s="362"/>
      <c r="J4919" s="362"/>
    </row>
    <row r="4920" spans="1:10" x14ac:dyDescent="0.25">
      <c r="A4920" s="362"/>
      <c r="B4920" s="609">
        <v>44405</v>
      </c>
      <c r="C4920" s="370" t="s">
        <v>85</v>
      </c>
      <c r="D4920" s="560">
        <v>42324600</v>
      </c>
      <c r="E4920" s="560"/>
      <c r="F4920" s="560"/>
      <c r="G4920" s="560">
        <f t="shared" si="109"/>
        <v>42324600</v>
      </c>
      <c r="H4920" s="362"/>
      <c r="I4920" s="362"/>
      <c r="J4920" s="362"/>
    </row>
    <row r="4921" spans="1:10" x14ac:dyDescent="0.25">
      <c r="A4921" s="530"/>
      <c r="B4921" s="530"/>
      <c r="C4921" s="530"/>
      <c r="D4921" s="562">
        <f>SUM(D4906:D4920)</f>
        <v>2262381127</v>
      </c>
      <c r="E4921" s="562">
        <f>SUM(E4906:E4920)</f>
        <v>528153402</v>
      </c>
      <c r="F4921" s="562">
        <f>SUM(F4906:F4920)</f>
        <v>0</v>
      </c>
      <c r="G4921" s="562">
        <f>SUM(G4906:G4920)</f>
        <v>2790534529</v>
      </c>
      <c r="H4921" s="530"/>
      <c r="I4921" s="530"/>
      <c r="J4921" s="530"/>
    </row>
    <row r="4922" spans="1:10" x14ac:dyDescent="0.25">
      <c r="A4922" s="362"/>
      <c r="B4922" s="609">
        <v>44406</v>
      </c>
      <c r="C4922" s="362" t="s">
        <v>86</v>
      </c>
      <c r="D4922" s="560">
        <v>38285436</v>
      </c>
      <c r="E4922" s="560">
        <v>193910187</v>
      </c>
      <c r="F4922" s="560"/>
      <c r="G4922" s="560">
        <f t="shared" si="109"/>
        <v>232195623</v>
      </c>
      <c r="H4922" s="362"/>
      <c r="I4922" s="362"/>
      <c r="J4922" s="362"/>
    </row>
    <row r="4923" spans="1:10" x14ac:dyDescent="0.25">
      <c r="A4923" s="362"/>
      <c r="B4923" s="609">
        <v>44406</v>
      </c>
      <c r="C4923" s="362" t="s">
        <v>87</v>
      </c>
      <c r="D4923" s="560">
        <v>100901030</v>
      </c>
      <c r="E4923" s="560">
        <v>50164175</v>
      </c>
      <c r="F4923" s="560"/>
      <c r="G4923" s="560">
        <f t="shared" si="109"/>
        <v>151065205</v>
      </c>
      <c r="H4923" s="362"/>
      <c r="I4923" s="362"/>
      <c r="J4923" s="362"/>
    </row>
    <row r="4924" spans="1:10" x14ac:dyDescent="0.25">
      <c r="A4924" s="362"/>
      <c r="B4924" s="609">
        <v>44406</v>
      </c>
      <c r="C4924" s="362" t="s">
        <v>88</v>
      </c>
      <c r="D4924" s="560">
        <v>175222393</v>
      </c>
      <c r="E4924" s="560">
        <v>78777911</v>
      </c>
      <c r="F4924" s="560"/>
      <c r="G4924" s="560">
        <f t="shared" si="109"/>
        <v>254000304</v>
      </c>
      <c r="H4924" s="362"/>
      <c r="I4924" s="362"/>
      <c r="J4924" s="362"/>
    </row>
    <row r="4925" spans="1:10" x14ac:dyDescent="0.25">
      <c r="A4925" s="362"/>
      <c r="B4925" s="609">
        <v>44406</v>
      </c>
      <c r="C4925" s="362" t="s">
        <v>82</v>
      </c>
      <c r="D4925" s="560">
        <v>144952712</v>
      </c>
      <c r="E4925" s="560">
        <v>1018097</v>
      </c>
      <c r="F4925" s="560"/>
      <c r="G4925" s="560">
        <f t="shared" si="109"/>
        <v>145970809</v>
      </c>
      <c r="H4925" s="362"/>
      <c r="I4925" s="362"/>
      <c r="J4925" s="362"/>
    </row>
    <row r="4926" spans="1:10" x14ac:dyDescent="0.25">
      <c r="A4926" s="362"/>
      <c r="B4926" s="609">
        <v>44406</v>
      </c>
      <c r="C4926" s="362" t="s">
        <v>80</v>
      </c>
      <c r="D4926" s="560">
        <v>153032892</v>
      </c>
      <c r="E4926" s="560">
        <v>11839964</v>
      </c>
      <c r="F4926" s="560"/>
      <c r="G4926" s="560">
        <f t="shared" si="109"/>
        <v>164872856</v>
      </c>
      <c r="H4926" s="362"/>
      <c r="I4926" s="362"/>
      <c r="J4926" s="362"/>
    </row>
    <row r="4927" spans="1:10" x14ac:dyDescent="0.25">
      <c r="A4927" s="362"/>
      <c r="B4927" s="609">
        <v>44406</v>
      </c>
      <c r="C4927" s="362" t="s">
        <v>83</v>
      </c>
      <c r="D4927" s="560">
        <v>289688672</v>
      </c>
      <c r="E4927" s="560">
        <v>37816847</v>
      </c>
      <c r="F4927" s="560"/>
      <c r="G4927" s="560">
        <f t="shared" si="109"/>
        <v>327505519</v>
      </c>
      <c r="H4927" s="362"/>
      <c r="I4927" s="362"/>
      <c r="J4927" s="362"/>
    </row>
    <row r="4928" spans="1:10" x14ac:dyDescent="0.25">
      <c r="A4928" s="362"/>
      <c r="B4928" s="609">
        <v>44406</v>
      </c>
      <c r="C4928" s="362" t="s">
        <v>78</v>
      </c>
      <c r="D4928" s="560">
        <v>107617436</v>
      </c>
      <c r="E4928" s="560">
        <v>1352764</v>
      </c>
      <c r="F4928" s="560"/>
      <c r="G4928" s="560">
        <f t="shared" si="109"/>
        <v>108970200</v>
      </c>
      <c r="H4928" s="362"/>
      <c r="I4928" s="362"/>
      <c r="J4928" s="362"/>
    </row>
    <row r="4929" spans="1:10" x14ac:dyDescent="0.25">
      <c r="A4929" s="362"/>
      <c r="B4929" s="609">
        <v>44406</v>
      </c>
      <c r="C4929" s="362" t="s">
        <v>141</v>
      </c>
      <c r="D4929" s="560">
        <v>83251069</v>
      </c>
      <c r="E4929" s="560">
        <v>2149402</v>
      </c>
      <c r="F4929" s="560"/>
      <c r="G4929" s="560">
        <f t="shared" si="109"/>
        <v>85400471</v>
      </c>
      <c r="H4929" s="362"/>
      <c r="I4929" s="362"/>
      <c r="J4929" s="362"/>
    </row>
    <row r="4930" spans="1:10" x14ac:dyDescent="0.25">
      <c r="A4930" s="362"/>
      <c r="B4930" s="609">
        <v>44406</v>
      </c>
      <c r="C4930" s="362" t="s">
        <v>89</v>
      </c>
      <c r="D4930" s="560">
        <v>216105455</v>
      </c>
      <c r="E4930" s="560">
        <v>28011445</v>
      </c>
      <c r="F4930" s="560"/>
      <c r="G4930" s="560">
        <f t="shared" si="109"/>
        <v>244116900</v>
      </c>
      <c r="H4930" s="362"/>
      <c r="I4930" s="362"/>
      <c r="J4930" s="362"/>
    </row>
    <row r="4931" spans="1:10" x14ac:dyDescent="0.25">
      <c r="A4931" s="362"/>
      <c r="B4931" s="609">
        <v>44406</v>
      </c>
      <c r="C4931" s="362" t="s">
        <v>81</v>
      </c>
      <c r="D4931" s="560">
        <v>50995109</v>
      </c>
      <c r="E4931" s="560">
        <v>13781904</v>
      </c>
      <c r="F4931" s="560"/>
      <c r="G4931" s="560">
        <f t="shared" si="109"/>
        <v>64777013</v>
      </c>
      <c r="H4931" s="362"/>
      <c r="I4931" s="362"/>
      <c r="J4931" s="362"/>
    </row>
    <row r="4932" spans="1:10" x14ac:dyDescent="0.25">
      <c r="A4932" s="362"/>
      <c r="B4932" s="609">
        <v>44406</v>
      </c>
      <c r="C4932" s="362" t="s">
        <v>84</v>
      </c>
      <c r="D4932" s="560">
        <v>188891087</v>
      </c>
      <c r="E4932" s="560">
        <v>10150088</v>
      </c>
      <c r="F4932" s="560"/>
      <c r="G4932" s="560">
        <f t="shared" si="109"/>
        <v>199041175</v>
      </c>
      <c r="H4932" s="362"/>
      <c r="I4932" s="362"/>
      <c r="J4932" s="362"/>
    </row>
    <row r="4933" spans="1:10" x14ac:dyDescent="0.25">
      <c r="A4933" s="362"/>
      <c r="B4933" s="609">
        <v>44406</v>
      </c>
      <c r="C4933" s="362" t="s">
        <v>4751</v>
      </c>
      <c r="D4933" s="560">
        <v>265679839</v>
      </c>
      <c r="E4933" s="560">
        <v>12418161</v>
      </c>
      <c r="F4933" s="560"/>
      <c r="G4933" s="560">
        <f t="shared" si="109"/>
        <v>278098000</v>
      </c>
      <c r="H4933" s="362"/>
      <c r="I4933" s="362"/>
      <c r="J4933" s="362"/>
    </row>
    <row r="4934" spans="1:10" x14ac:dyDescent="0.25">
      <c r="A4934" s="362"/>
      <c r="B4934" s="609">
        <v>44406</v>
      </c>
      <c r="C4934" s="362" t="s">
        <v>166</v>
      </c>
      <c r="D4934" s="560">
        <v>99063385</v>
      </c>
      <c r="E4934" s="560"/>
      <c r="F4934" s="560"/>
      <c r="G4934" s="560">
        <f t="shared" si="109"/>
        <v>99063385</v>
      </c>
      <c r="H4934" s="362"/>
      <c r="I4934" s="362"/>
      <c r="J4934" s="362"/>
    </row>
    <row r="4935" spans="1:10" x14ac:dyDescent="0.25">
      <c r="A4935" s="362"/>
      <c r="B4935" s="609">
        <v>44406</v>
      </c>
      <c r="C4935" s="362" t="s">
        <v>3435</v>
      </c>
      <c r="D4935" s="560">
        <v>84188235</v>
      </c>
      <c r="E4935" s="560"/>
      <c r="F4935" s="560"/>
      <c r="G4935" s="560">
        <f t="shared" si="109"/>
        <v>84188235</v>
      </c>
      <c r="H4935" s="362"/>
      <c r="I4935" s="362"/>
      <c r="J4935" s="362"/>
    </row>
    <row r="4936" spans="1:10" x14ac:dyDescent="0.25">
      <c r="A4936" s="362"/>
      <c r="B4936" s="609">
        <v>44406</v>
      </c>
      <c r="C4936" s="370" t="s">
        <v>85</v>
      </c>
      <c r="D4936" s="560">
        <v>33693200</v>
      </c>
      <c r="E4936" s="560"/>
      <c r="F4936" s="560"/>
      <c r="G4936" s="560">
        <f t="shared" si="109"/>
        <v>33693200</v>
      </c>
      <c r="H4936" s="362"/>
      <c r="I4936" s="362"/>
      <c r="J4936" s="362"/>
    </row>
    <row r="4937" spans="1:10" x14ac:dyDescent="0.25">
      <c r="A4937" s="530"/>
      <c r="B4937" s="530"/>
      <c r="C4937" s="530"/>
      <c r="D4937" s="562">
        <f>SUM(D4922:D4936)</f>
        <v>2031567950</v>
      </c>
      <c r="E4937" s="562">
        <f>SUM(E4922:E4936)</f>
        <v>441390945</v>
      </c>
      <c r="F4937" s="562">
        <f>SUM(F4922:F4936)</f>
        <v>0</v>
      </c>
      <c r="G4937" s="562">
        <f>SUM(G4922:G4936)</f>
        <v>2472958895</v>
      </c>
      <c r="H4937" s="530"/>
      <c r="I4937" s="530"/>
      <c r="J4937" s="530"/>
    </row>
    <row r="4938" spans="1:10" x14ac:dyDescent="0.25">
      <c r="A4938" s="362"/>
      <c r="B4938" s="609">
        <v>44407</v>
      </c>
      <c r="C4938" s="362" t="s">
        <v>86</v>
      </c>
      <c r="D4938" s="560">
        <v>37062373</v>
      </c>
      <c r="E4938" s="560">
        <v>113849422</v>
      </c>
      <c r="F4938" s="560"/>
      <c r="G4938" s="560">
        <f t="shared" si="109"/>
        <v>150911795</v>
      </c>
      <c r="H4938" s="362"/>
      <c r="I4938" s="362"/>
      <c r="J4938" s="362"/>
    </row>
    <row r="4939" spans="1:10" x14ac:dyDescent="0.25">
      <c r="A4939" s="362"/>
      <c r="B4939" s="609">
        <v>44407</v>
      </c>
      <c r="C4939" s="362" t="s">
        <v>87</v>
      </c>
      <c r="D4939" s="560">
        <v>115888216</v>
      </c>
      <c r="E4939" s="560">
        <v>32682645</v>
      </c>
      <c r="F4939" s="560"/>
      <c r="G4939" s="560">
        <f t="shared" si="109"/>
        <v>148570861</v>
      </c>
      <c r="H4939" s="362"/>
      <c r="I4939" s="362"/>
      <c r="J4939" s="362"/>
    </row>
    <row r="4940" spans="1:10" x14ac:dyDescent="0.25">
      <c r="A4940" s="362"/>
      <c r="B4940" s="609">
        <v>44407</v>
      </c>
      <c r="C4940" s="362" t="s">
        <v>88</v>
      </c>
      <c r="D4940" s="560">
        <v>178640482</v>
      </c>
      <c r="E4940" s="560">
        <v>90665369</v>
      </c>
      <c r="F4940" s="560"/>
      <c r="G4940" s="560">
        <f t="shared" ref="G4940:G5003" si="110">D4940+E4940-F4940</f>
        <v>269305851</v>
      </c>
      <c r="H4940" s="362"/>
      <c r="I4940" s="362"/>
      <c r="J4940" s="362"/>
    </row>
    <row r="4941" spans="1:10" x14ac:dyDescent="0.25">
      <c r="A4941" s="362"/>
      <c r="B4941" s="609">
        <v>44407</v>
      </c>
      <c r="C4941" s="362" t="s">
        <v>82</v>
      </c>
      <c r="D4941" s="560">
        <v>69570314</v>
      </c>
      <c r="E4941" s="560">
        <v>4765447</v>
      </c>
      <c r="F4941" s="560"/>
      <c r="G4941" s="560">
        <f t="shared" si="110"/>
        <v>74335761</v>
      </c>
      <c r="H4941" s="362"/>
      <c r="I4941" s="362"/>
      <c r="J4941" s="362"/>
    </row>
    <row r="4942" spans="1:10" x14ac:dyDescent="0.25">
      <c r="A4942" s="362"/>
      <c r="B4942" s="609">
        <v>44407</v>
      </c>
      <c r="C4942" s="362" t="s">
        <v>80</v>
      </c>
      <c r="D4942" s="560">
        <v>209723581</v>
      </c>
      <c r="E4942" s="560">
        <v>4673460</v>
      </c>
      <c r="F4942" s="560"/>
      <c r="G4942" s="560">
        <f t="shared" si="110"/>
        <v>214397041</v>
      </c>
      <c r="H4942" s="362"/>
      <c r="I4942" s="362"/>
      <c r="J4942" s="362"/>
    </row>
    <row r="4943" spans="1:10" x14ac:dyDescent="0.25">
      <c r="A4943" s="362"/>
      <c r="B4943" s="609">
        <v>44407</v>
      </c>
      <c r="C4943" s="362" t="s">
        <v>83</v>
      </c>
      <c r="D4943" s="560">
        <v>163808431</v>
      </c>
      <c r="E4943" s="560">
        <v>420901856</v>
      </c>
      <c r="F4943" s="560"/>
      <c r="G4943" s="560">
        <f t="shared" si="110"/>
        <v>584710287</v>
      </c>
      <c r="H4943" s="362"/>
      <c r="I4943" s="362"/>
      <c r="J4943" s="362"/>
    </row>
    <row r="4944" spans="1:10" x14ac:dyDescent="0.25">
      <c r="A4944" s="362"/>
      <c r="B4944" s="609">
        <v>44407</v>
      </c>
      <c r="C4944" s="362" t="s">
        <v>78</v>
      </c>
      <c r="D4944" s="560">
        <v>99960120</v>
      </c>
      <c r="E4944" s="560">
        <v>5343080</v>
      </c>
      <c r="F4944" s="560"/>
      <c r="G4944" s="560">
        <f t="shared" si="110"/>
        <v>105303200</v>
      </c>
      <c r="H4944" s="362"/>
      <c r="I4944" s="362"/>
      <c r="J4944" s="362"/>
    </row>
    <row r="4945" spans="1:10" x14ac:dyDescent="0.25">
      <c r="A4945" s="362"/>
      <c r="B4945" s="609">
        <v>44407</v>
      </c>
      <c r="C4945" s="362" t="s">
        <v>141</v>
      </c>
      <c r="D4945" s="560">
        <v>57867175</v>
      </c>
      <c r="E4945" s="560"/>
      <c r="F4945" s="560"/>
      <c r="G4945" s="560">
        <f t="shared" si="110"/>
        <v>57867175</v>
      </c>
      <c r="H4945" s="362"/>
      <c r="I4945" s="362"/>
      <c r="J4945" s="362"/>
    </row>
    <row r="4946" spans="1:10" x14ac:dyDescent="0.25">
      <c r="A4946" s="362"/>
      <c r="B4946" s="609">
        <v>44407</v>
      </c>
      <c r="C4946" s="362" t="s">
        <v>89</v>
      </c>
      <c r="D4946" s="560">
        <v>217593364</v>
      </c>
      <c r="E4946" s="560">
        <v>31647236</v>
      </c>
      <c r="F4946" s="560"/>
      <c r="G4946" s="560">
        <f t="shared" si="110"/>
        <v>249240600</v>
      </c>
      <c r="H4946" s="362"/>
      <c r="I4946" s="362"/>
      <c r="J4946" s="362"/>
    </row>
    <row r="4947" spans="1:10" x14ac:dyDescent="0.25">
      <c r="A4947" s="362"/>
      <c r="B4947" s="609">
        <v>44407</v>
      </c>
      <c r="C4947" s="362" t="s">
        <v>81</v>
      </c>
      <c r="D4947" s="560">
        <v>62628224</v>
      </c>
      <c r="E4947" s="560">
        <v>19265371</v>
      </c>
      <c r="F4947" s="560"/>
      <c r="G4947" s="560">
        <f t="shared" si="110"/>
        <v>81893595</v>
      </c>
      <c r="H4947" s="362"/>
      <c r="I4947" s="362"/>
      <c r="J4947" s="362"/>
    </row>
    <row r="4948" spans="1:10" x14ac:dyDescent="0.25">
      <c r="A4948" s="362"/>
      <c r="B4948" s="609">
        <v>44407</v>
      </c>
      <c r="C4948" s="362" t="s">
        <v>84</v>
      </c>
      <c r="D4948" s="560">
        <v>270708952</v>
      </c>
      <c r="E4948" s="560">
        <v>24146358</v>
      </c>
      <c r="F4948" s="560"/>
      <c r="G4948" s="560">
        <f t="shared" si="110"/>
        <v>294855310</v>
      </c>
      <c r="H4948" s="362"/>
      <c r="I4948" s="362"/>
      <c r="J4948" s="362"/>
    </row>
    <row r="4949" spans="1:10" x14ac:dyDescent="0.25">
      <c r="A4949" s="362"/>
      <c r="B4949" s="609">
        <v>44407</v>
      </c>
      <c r="C4949" s="362" t="s">
        <v>4751</v>
      </c>
      <c r="D4949" s="560">
        <v>151133297</v>
      </c>
      <c r="E4949" s="560">
        <v>11495403</v>
      </c>
      <c r="F4949" s="560"/>
      <c r="G4949" s="560">
        <f t="shared" si="110"/>
        <v>162628700</v>
      </c>
      <c r="H4949" s="362"/>
      <c r="I4949" s="362"/>
      <c r="J4949" s="362"/>
    </row>
    <row r="4950" spans="1:10" x14ac:dyDescent="0.25">
      <c r="A4950" s="362"/>
      <c r="B4950" s="609">
        <v>44407</v>
      </c>
      <c r="C4950" s="362" t="s">
        <v>166</v>
      </c>
      <c r="D4950" s="560">
        <v>58877963</v>
      </c>
      <c r="E4950" s="560"/>
      <c r="F4950" s="560"/>
      <c r="G4950" s="560">
        <f t="shared" si="110"/>
        <v>58877963</v>
      </c>
      <c r="H4950" s="362"/>
      <c r="I4950" s="362"/>
      <c r="J4950" s="362"/>
    </row>
    <row r="4951" spans="1:10" x14ac:dyDescent="0.25">
      <c r="A4951" s="362"/>
      <c r="B4951" s="609">
        <v>44407</v>
      </c>
      <c r="C4951" s="362" t="s">
        <v>3435</v>
      </c>
      <c r="D4951" s="560"/>
      <c r="E4951" s="560"/>
      <c r="F4951" s="560"/>
      <c r="G4951" s="560">
        <f t="shared" si="110"/>
        <v>0</v>
      </c>
      <c r="H4951" s="362"/>
      <c r="I4951" s="362"/>
      <c r="J4951" s="362"/>
    </row>
    <row r="4952" spans="1:10" x14ac:dyDescent="0.25">
      <c r="A4952" s="362"/>
      <c r="B4952" s="609">
        <v>44407</v>
      </c>
      <c r="C4952" s="370" t="s">
        <v>85</v>
      </c>
      <c r="D4952" s="560">
        <v>27383600</v>
      </c>
      <c r="E4952" s="560"/>
      <c r="F4952" s="560"/>
      <c r="G4952" s="560">
        <f t="shared" si="110"/>
        <v>27383600</v>
      </c>
      <c r="H4952" s="362"/>
      <c r="I4952" s="362"/>
      <c r="J4952" s="362"/>
    </row>
    <row r="4953" spans="1:10" x14ac:dyDescent="0.25">
      <c r="A4953" s="530"/>
      <c r="B4953" s="530"/>
      <c r="C4953" s="530"/>
      <c r="D4953" s="562">
        <f>SUM(D4938:D4952)</f>
        <v>1720846092</v>
      </c>
      <c r="E4953" s="562">
        <f>SUM(E4938:E4952)</f>
        <v>759435647</v>
      </c>
      <c r="F4953" s="562">
        <f>SUM(F4938:F4952)</f>
        <v>0</v>
      </c>
      <c r="G4953" s="562">
        <f>SUM(G4938:G4952)</f>
        <v>2480281739</v>
      </c>
      <c r="H4953" s="530"/>
      <c r="I4953" s="530"/>
      <c r="J4953" s="530"/>
    </row>
    <row r="4954" spans="1:10" x14ac:dyDescent="0.25">
      <c r="A4954" s="362"/>
      <c r="B4954" s="609">
        <v>44408</v>
      </c>
      <c r="C4954" s="362" t="s">
        <v>86</v>
      </c>
      <c r="D4954" s="560">
        <v>25812451</v>
      </c>
      <c r="E4954" s="560">
        <v>130743901</v>
      </c>
      <c r="F4954" s="560"/>
      <c r="G4954" s="560">
        <f t="shared" si="110"/>
        <v>156556352</v>
      </c>
      <c r="H4954" s="362"/>
      <c r="I4954" s="362"/>
      <c r="J4954" s="362"/>
    </row>
    <row r="4955" spans="1:10" x14ac:dyDescent="0.25">
      <c r="A4955" s="362"/>
      <c r="B4955" s="609">
        <v>44408</v>
      </c>
      <c r="C4955" s="362" t="s">
        <v>87</v>
      </c>
      <c r="D4955" s="560">
        <v>79923739</v>
      </c>
      <c r="E4955" s="560">
        <v>148199392</v>
      </c>
      <c r="F4955" s="560"/>
      <c r="G4955" s="560">
        <f t="shared" si="110"/>
        <v>228123131</v>
      </c>
      <c r="H4955" s="362"/>
      <c r="I4955" s="362"/>
      <c r="J4955" s="362"/>
    </row>
    <row r="4956" spans="1:10" x14ac:dyDescent="0.25">
      <c r="A4956" s="362"/>
      <c r="B4956" s="609">
        <v>44408</v>
      </c>
      <c r="C4956" s="362" t="s">
        <v>88</v>
      </c>
      <c r="D4956" s="560">
        <v>101959335</v>
      </c>
      <c r="E4956" s="560">
        <v>88080944</v>
      </c>
      <c r="F4956" s="560"/>
      <c r="G4956" s="560">
        <f t="shared" si="110"/>
        <v>190040279</v>
      </c>
      <c r="H4956" s="362"/>
      <c r="I4956" s="362"/>
      <c r="J4956" s="362"/>
    </row>
    <row r="4957" spans="1:10" x14ac:dyDescent="0.25">
      <c r="A4957" s="362"/>
      <c r="B4957" s="609">
        <v>44408</v>
      </c>
      <c r="C4957" s="362" t="s">
        <v>82</v>
      </c>
      <c r="D4957" s="560">
        <v>94452217</v>
      </c>
      <c r="E4957" s="560">
        <v>7480020</v>
      </c>
      <c r="F4957" s="560"/>
      <c r="G4957" s="560">
        <f t="shared" si="110"/>
        <v>101932237</v>
      </c>
      <c r="H4957" s="362"/>
      <c r="I4957" s="362"/>
      <c r="J4957" s="362"/>
    </row>
    <row r="4958" spans="1:10" x14ac:dyDescent="0.25">
      <c r="A4958" s="362"/>
      <c r="B4958" s="609">
        <v>44408</v>
      </c>
      <c r="C4958" s="362" t="s">
        <v>80</v>
      </c>
      <c r="D4958" s="560">
        <v>250214915</v>
      </c>
      <c r="E4958" s="560">
        <v>62468085</v>
      </c>
      <c r="F4958" s="560"/>
      <c r="G4958" s="560">
        <f t="shared" si="110"/>
        <v>312683000</v>
      </c>
      <c r="H4958" s="362"/>
      <c r="I4958" s="362"/>
      <c r="J4958" s="362"/>
    </row>
    <row r="4959" spans="1:10" x14ac:dyDescent="0.25">
      <c r="A4959" s="362"/>
      <c r="B4959" s="609">
        <v>44408</v>
      </c>
      <c r="C4959" s="362" t="s">
        <v>83</v>
      </c>
      <c r="D4959" s="560">
        <v>186603927</v>
      </c>
      <c r="E4959" s="560">
        <v>49855073</v>
      </c>
      <c r="F4959" s="560"/>
      <c r="G4959" s="560">
        <f t="shared" si="110"/>
        <v>236459000</v>
      </c>
      <c r="H4959" s="362"/>
      <c r="I4959" s="362"/>
      <c r="J4959" s="362"/>
    </row>
    <row r="4960" spans="1:10" x14ac:dyDescent="0.25">
      <c r="A4960" s="362"/>
      <c r="B4960" s="609">
        <v>44408</v>
      </c>
      <c r="C4960" s="362" t="s">
        <v>78</v>
      </c>
      <c r="D4960" s="560">
        <v>115214733</v>
      </c>
      <c r="E4960" s="560">
        <v>4295467</v>
      </c>
      <c r="F4960" s="560"/>
      <c r="G4960" s="560">
        <f t="shared" si="110"/>
        <v>119510200</v>
      </c>
      <c r="H4960" s="362"/>
      <c r="I4960" s="362"/>
      <c r="J4960" s="362"/>
    </row>
    <row r="4961" spans="1:10" x14ac:dyDescent="0.25">
      <c r="A4961" s="362"/>
      <c r="B4961" s="609">
        <v>44408</v>
      </c>
      <c r="C4961" s="362" t="s">
        <v>141</v>
      </c>
      <c r="D4961" s="560">
        <v>40150073</v>
      </c>
      <c r="E4961" s="560">
        <v>911800</v>
      </c>
      <c r="F4961" s="560"/>
      <c r="G4961" s="560">
        <f t="shared" si="110"/>
        <v>41061873</v>
      </c>
      <c r="H4961" s="362"/>
      <c r="I4961" s="362"/>
      <c r="J4961" s="362"/>
    </row>
    <row r="4962" spans="1:10" x14ac:dyDescent="0.25">
      <c r="A4962" s="362"/>
      <c r="B4962" s="609">
        <v>44408</v>
      </c>
      <c r="C4962" s="362" t="s">
        <v>89</v>
      </c>
      <c r="D4962" s="560">
        <v>136037610</v>
      </c>
      <c r="E4962" s="560">
        <v>36130090</v>
      </c>
      <c r="F4962" s="560"/>
      <c r="G4962" s="560">
        <f t="shared" si="110"/>
        <v>172167700</v>
      </c>
      <c r="H4962" s="362"/>
      <c r="I4962" s="362"/>
      <c r="J4962" s="362"/>
    </row>
    <row r="4963" spans="1:10" x14ac:dyDescent="0.25">
      <c r="A4963" s="362"/>
      <c r="B4963" s="609">
        <v>44408</v>
      </c>
      <c r="C4963" s="362" t="s">
        <v>81</v>
      </c>
      <c r="D4963" s="560">
        <v>132669505</v>
      </c>
      <c r="E4963" s="560">
        <v>8231902</v>
      </c>
      <c r="F4963" s="560"/>
      <c r="G4963" s="560">
        <f t="shared" si="110"/>
        <v>140901407</v>
      </c>
      <c r="H4963" s="362"/>
      <c r="I4963" s="362"/>
      <c r="J4963" s="362"/>
    </row>
    <row r="4964" spans="1:10" x14ac:dyDescent="0.25">
      <c r="A4964" s="362"/>
      <c r="B4964" s="609">
        <v>44408</v>
      </c>
      <c r="C4964" s="362" t="s">
        <v>84</v>
      </c>
      <c r="D4964" s="560">
        <v>195545296</v>
      </c>
      <c r="E4964" s="560">
        <v>35836313</v>
      </c>
      <c r="F4964" s="560"/>
      <c r="G4964" s="560">
        <f t="shared" si="110"/>
        <v>231381609</v>
      </c>
      <c r="H4964" s="362"/>
      <c r="I4964" s="362"/>
      <c r="J4964" s="362"/>
    </row>
    <row r="4965" spans="1:10" x14ac:dyDescent="0.25">
      <c r="A4965" s="362"/>
      <c r="B4965" s="609">
        <v>44408</v>
      </c>
      <c r="C4965" s="362" t="s">
        <v>4751</v>
      </c>
      <c r="D4965" s="560">
        <v>277899953</v>
      </c>
      <c r="E4965" s="560">
        <v>26738247</v>
      </c>
      <c r="F4965" s="560"/>
      <c r="G4965" s="560">
        <f t="shared" si="110"/>
        <v>304638200</v>
      </c>
      <c r="H4965" s="362"/>
      <c r="I4965" s="362"/>
      <c r="J4965" s="362"/>
    </row>
    <row r="4966" spans="1:10" x14ac:dyDescent="0.25">
      <c r="A4966" s="362"/>
      <c r="B4966" s="609">
        <v>44408</v>
      </c>
      <c r="C4966" s="362" t="s">
        <v>166</v>
      </c>
      <c r="D4966" s="560"/>
      <c r="E4966" s="560"/>
      <c r="F4966" s="560"/>
      <c r="G4966" s="560">
        <f t="shared" si="110"/>
        <v>0</v>
      </c>
      <c r="H4966" s="362"/>
      <c r="I4966" s="362"/>
      <c r="J4966" s="362"/>
    </row>
    <row r="4967" spans="1:10" x14ac:dyDescent="0.25">
      <c r="A4967" s="362"/>
      <c r="B4967" s="609">
        <v>44408</v>
      </c>
      <c r="C4967" s="362" t="s">
        <v>3435</v>
      </c>
      <c r="D4967" s="560"/>
      <c r="E4967" s="560"/>
      <c r="F4967" s="560"/>
      <c r="G4967" s="560">
        <f t="shared" si="110"/>
        <v>0</v>
      </c>
      <c r="H4967" s="362"/>
      <c r="I4967" s="362"/>
      <c r="J4967" s="362"/>
    </row>
    <row r="4968" spans="1:10" x14ac:dyDescent="0.25">
      <c r="A4968" s="362"/>
      <c r="B4968" s="609">
        <v>44408</v>
      </c>
      <c r="C4968" s="370" t="s">
        <v>85</v>
      </c>
      <c r="D4968" s="560">
        <v>13952700</v>
      </c>
      <c r="E4968" s="560"/>
      <c r="F4968" s="560"/>
      <c r="G4968" s="560">
        <f t="shared" si="110"/>
        <v>13952700</v>
      </c>
      <c r="H4968" s="362"/>
      <c r="I4968" s="362"/>
      <c r="J4968" s="362"/>
    </row>
    <row r="4969" spans="1:10" x14ac:dyDescent="0.25">
      <c r="A4969" s="530"/>
      <c r="B4969" s="530"/>
      <c r="C4969" s="530"/>
      <c r="D4969" s="562">
        <f>SUM(D4954:D4968)</f>
        <v>1650436454</v>
      </c>
      <c r="E4969" s="562">
        <f>SUM(E4954:E4968)</f>
        <v>598971234</v>
      </c>
      <c r="F4969" s="562">
        <f>SUM(F4954:F4968)</f>
        <v>0</v>
      </c>
      <c r="G4969" s="562">
        <f>SUM(G4954:G4968)</f>
        <v>2249407688</v>
      </c>
      <c r="H4969" s="530"/>
      <c r="I4969" s="530"/>
      <c r="J4969" s="530"/>
    </row>
    <row r="4970" spans="1:10" x14ac:dyDescent="0.25">
      <c r="A4970" s="362"/>
      <c r="B4970" s="609">
        <v>44410</v>
      </c>
      <c r="C4970" s="362" t="s">
        <v>86</v>
      </c>
      <c r="D4970" s="560">
        <v>48347382</v>
      </c>
      <c r="E4970" s="560">
        <v>7732085</v>
      </c>
      <c r="F4970" s="560">
        <v>56079400</v>
      </c>
      <c r="G4970" s="560">
        <f t="shared" si="110"/>
        <v>67</v>
      </c>
      <c r="H4970" s="362"/>
      <c r="I4970" s="362"/>
      <c r="J4970" s="362"/>
    </row>
    <row r="4971" spans="1:10" x14ac:dyDescent="0.25">
      <c r="A4971" s="362"/>
      <c r="B4971" s="609">
        <v>44410</v>
      </c>
      <c r="C4971" s="362" t="s">
        <v>87</v>
      </c>
      <c r="D4971" s="560">
        <v>131161587</v>
      </c>
      <c r="E4971" s="560">
        <v>58338086</v>
      </c>
      <c r="F4971" s="560">
        <v>189499700</v>
      </c>
      <c r="G4971" s="560">
        <f t="shared" si="110"/>
        <v>-27</v>
      </c>
      <c r="H4971" s="362"/>
      <c r="I4971" s="362"/>
      <c r="J4971" s="362"/>
    </row>
    <row r="4972" spans="1:10" x14ac:dyDescent="0.25">
      <c r="A4972" s="362"/>
      <c r="B4972" s="609">
        <v>44410</v>
      </c>
      <c r="C4972" s="362" t="s">
        <v>88</v>
      </c>
      <c r="D4972" s="560">
        <v>212783681</v>
      </c>
      <c r="E4972" s="560">
        <v>4759837</v>
      </c>
      <c r="F4972" s="560">
        <v>217543600</v>
      </c>
      <c r="G4972" s="560">
        <f t="shared" si="110"/>
        <v>-82</v>
      </c>
      <c r="H4972" s="362"/>
      <c r="I4972" s="362"/>
      <c r="J4972" s="362"/>
    </row>
    <row r="4973" spans="1:10" x14ac:dyDescent="0.25">
      <c r="A4973" s="362"/>
      <c r="B4973" s="609">
        <v>44410</v>
      </c>
      <c r="C4973" s="362" t="s">
        <v>82</v>
      </c>
      <c r="D4973" s="560">
        <v>61464363</v>
      </c>
      <c r="E4973" s="560">
        <v>2302120</v>
      </c>
      <c r="F4973" s="560">
        <v>63766500</v>
      </c>
      <c r="G4973" s="560">
        <f t="shared" si="110"/>
        <v>-17</v>
      </c>
      <c r="H4973" s="362"/>
      <c r="I4973" s="362"/>
      <c r="J4973" s="362"/>
    </row>
    <row r="4974" spans="1:10" x14ac:dyDescent="0.25">
      <c r="A4974" s="362"/>
      <c r="B4974" s="609">
        <v>44410</v>
      </c>
      <c r="C4974" s="362" t="s">
        <v>80</v>
      </c>
      <c r="D4974" s="560">
        <v>259548076</v>
      </c>
      <c r="E4974" s="560">
        <v>41395324</v>
      </c>
      <c r="F4974" s="560">
        <v>300943400</v>
      </c>
      <c r="G4974" s="560">
        <f t="shared" si="110"/>
        <v>0</v>
      </c>
      <c r="H4974" s="362"/>
      <c r="I4974" s="362"/>
      <c r="J4974" s="362"/>
    </row>
    <row r="4975" spans="1:10" x14ac:dyDescent="0.25">
      <c r="A4975" s="362"/>
      <c r="B4975" s="609">
        <v>44410</v>
      </c>
      <c r="C4975" s="362" t="s">
        <v>83</v>
      </c>
      <c r="D4975" s="560">
        <v>321213258</v>
      </c>
      <c r="E4975" s="560">
        <v>56320849</v>
      </c>
      <c r="F4975" s="560">
        <v>377534100</v>
      </c>
      <c r="G4975" s="560">
        <f t="shared" si="110"/>
        <v>7</v>
      </c>
      <c r="H4975" s="362"/>
      <c r="I4975" s="362"/>
      <c r="J4975" s="362"/>
    </row>
    <row r="4976" spans="1:10" x14ac:dyDescent="0.25">
      <c r="A4976" s="362"/>
      <c r="B4976" s="609">
        <v>44410</v>
      </c>
      <c r="C4976" s="362" t="s">
        <v>78</v>
      </c>
      <c r="D4976" s="560">
        <v>195141023</v>
      </c>
      <c r="E4976" s="560">
        <v>1627277</v>
      </c>
      <c r="F4976" s="560">
        <v>196768300</v>
      </c>
      <c r="G4976" s="560">
        <f t="shared" si="110"/>
        <v>0</v>
      </c>
      <c r="H4976" s="362"/>
      <c r="I4976" s="362"/>
      <c r="J4976" s="362"/>
    </row>
    <row r="4977" spans="1:10" x14ac:dyDescent="0.25">
      <c r="A4977" s="362"/>
      <c r="B4977" s="609">
        <v>44410</v>
      </c>
      <c r="C4977" s="362" t="s">
        <v>141</v>
      </c>
      <c r="D4977" s="560">
        <v>111811980</v>
      </c>
      <c r="E4977" s="560"/>
      <c r="F4977" s="560">
        <v>111812000</v>
      </c>
      <c r="G4977" s="560">
        <f t="shared" si="110"/>
        <v>-20</v>
      </c>
      <c r="H4977" s="362"/>
      <c r="I4977" s="362"/>
      <c r="J4977" s="362"/>
    </row>
    <row r="4978" spans="1:10" x14ac:dyDescent="0.25">
      <c r="A4978" s="362"/>
      <c r="B4978" s="609">
        <v>44410</v>
      </c>
      <c r="C4978" s="362" t="s">
        <v>89</v>
      </c>
      <c r="D4978" s="560">
        <v>195131753</v>
      </c>
      <c r="E4978" s="560">
        <v>55174847</v>
      </c>
      <c r="F4978" s="560">
        <v>250306500</v>
      </c>
      <c r="G4978" s="560">
        <f t="shared" si="110"/>
        <v>100</v>
      </c>
      <c r="H4978" s="362"/>
      <c r="I4978" s="362"/>
      <c r="J4978" s="362"/>
    </row>
    <row r="4979" spans="1:10" x14ac:dyDescent="0.25">
      <c r="A4979" s="362"/>
      <c r="B4979" s="609">
        <v>44410</v>
      </c>
      <c r="C4979" s="362" t="s">
        <v>81</v>
      </c>
      <c r="D4979" s="560">
        <v>81597522</v>
      </c>
      <c r="E4979" s="560">
        <v>8858259</v>
      </c>
      <c r="F4979" s="560">
        <v>90455800</v>
      </c>
      <c r="G4979" s="560">
        <f t="shared" si="110"/>
        <v>-19</v>
      </c>
      <c r="H4979" s="362"/>
      <c r="I4979" s="362"/>
      <c r="J4979" s="362"/>
    </row>
    <row r="4980" spans="1:10" x14ac:dyDescent="0.25">
      <c r="A4980" s="362"/>
      <c r="B4980" s="609">
        <v>44410</v>
      </c>
      <c r="C4980" s="362" t="s">
        <v>84</v>
      </c>
      <c r="D4980" s="560">
        <v>202235373</v>
      </c>
      <c r="E4980" s="560">
        <v>9756432</v>
      </c>
      <c r="F4980" s="560">
        <v>211992100</v>
      </c>
      <c r="G4980" s="560">
        <f t="shared" si="110"/>
        <v>-295</v>
      </c>
      <c r="H4980" s="362"/>
      <c r="I4980" s="362"/>
      <c r="J4980" s="362"/>
    </row>
    <row r="4981" spans="1:10" x14ac:dyDescent="0.25">
      <c r="A4981" s="362"/>
      <c r="B4981" s="609">
        <v>44410</v>
      </c>
      <c r="C4981" s="362" t="s">
        <v>4751</v>
      </c>
      <c r="D4981" s="560">
        <v>208158941</v>
      </c>
      <c r="E4981" s="560">
        <v>6094659</v>
      </c>
      <c r="F4981" s="560">
        <v>214253600</v>
      </c>
      <c r="G4981" s="560">
        <f t="shared" si="110"/>
        <v>0</v>
      </c>
      <c r="H4981" s="362"/>
      <c r="I4981" s="362"/>
      <c r="J4981" s="362"/>
    </row>
    <row r="4982" spans="1:10" x14ac:dyDescent="0.25">
      <c r="A4982" s="362"/>
      <c r="B4982" s="609">
        <v>44410</v>
      </c>
      <c r="C4982" s="362" t="s">
        <v>166</v>
      </c>
      <c r="D4982" s="560">
        <v>79444657</v>
      </c>
      <c r="E4982" s="560"/>
      <c r="F4982" s="560">
        <v>79445000</v>
      </c>
      <c r="G4982" s="560">
        <f t="shared" si="110"/>
        <v>-343</v>
      </c>
      <c r="H4982" s="362"/>
      <c r="I4982" s="362"/>
      <c r="J4982" s="362"/>
    </row>
    <row r="4983" spans="1:10" x14ac:dyDescent="0.25">
      <c r="A4983" s="362"/>
      <c r="B4983" s="609">
        <v>44410</v>
      </c>
      <c r="C4983" s="362" t="s">
        <v>3435</v>
      </c>
      <c r="D4983" s="560">
        <v>38172516</v>
      </c>
      <c r="E4983" s="560"/>
      <c r="F4983" s="560">
        <v>38172600</v>
      </c>
      <c r="G4983" s="560">
        <f t="shared" si="110"/>
        <v>-84</v>
      </c>
      <c r="H4983" s="362"/>
      <c r="I4983" s="362"/>
      <c r="J4983" s="362"/>
    </row>
    <row r="4984" spans="1:10" x14ac:dyDescent="0.25">
      <c r="A4984" s="362"/>
      <c r="B4984" s="609">
        <v>44410</v>
      </c>
      <c r="C4984" s="370" t="s">
        <v>85</v>
      </c>
      <c r="D4984" s="560">
        <v>45927000</v>
      </c>
      <c r="E4984" s="560"/>
      <c r="F4984" s="560">
        <v>45297000</v>
      </c>
      <c r="G4984" s="560">
        <f t="shared" si="110"/>
        <v>630000</v>
      </c>
      <c r="H4984" s="362"/>
      <c r="I4984" s="362"/>
      <c r="J4984" s="362"/>
    </row>
    <row r="4985" spans="1:10" x14ac:dyDescent="0.25">
      <c r="A4985" s="530"/>
      <c r="B4985" s="530"/>
      <c r="C4985" s="530"/>
      <c r="D4985" s="562">
        <f>SUM(D4970:D4984)</f>
        <v>2192139112</v>
      </c>
      <c r="E4985" s="562">
        <f>SUM(E4970:E4984)</f>
        <v>252359775</v>
      </c>
      <c r="F4985" s="562">
        <f>SUM(F4970:F4984)</f>
        <v>2443869600</v>
      </c>
      <c r="G4985" s="562">
        <f>SUM(G4970:G4984)</f>
        <v>629287</v>
      </c>
      <c r="H4985" s="530"/>
      <c r="I4985" s="530"/>
      <c r="J4985" s="530"/>
    </row>
    <row r="4986" spans="1:10" x14ac:dyDescent="0.25">
      <c r="A4986" s="362"/>
      <c r="B4986" s="609">
        <v>44411</v>
      </c>
      <c r="C4986" s="362" t="s">
        <v>86</v>
      </c>
      <c r="D4986" s="560">
        <v>80023720</v>
      </c>
      <c r="E4986" s="560">
        <v>35791504</v>
      </c>
      <c r="F4986" s="560">
        <v>115815100</v>
      </c>
      <c r="G4986" s="560">
        <f t="shared" si="110"/>
        <v>124</v>
      </c>
      <c r="H4986" s="362"/>
      <c r="I4986" s="362"/>
      <c r="J4986" s="362"/>
    </row>
    <row r="4987" spans="1:10" x14ac:dyDescent="0.25">
      <c r="A4987" s="362"/>
      <c r="B4987" s="609">
        <v>44411</v>
      </c>
      <c r="C4987" s="362" t="s">
        <v>87</v>
      </c>
      <c r="D4987" s="560">
        <v>78155619</v>
      </c>
      <c r="E4987" s="560">
        <v>90246782</v>
      </c>
      <c r="F4987" s="560">
        <v>168402500</v>
      </c>
      <c r="G4987" s="560">
        <f t="shared" si="110"/>
        <v>-99</v>
      </c>
      <c r="H4987" s="362"/>
      <c r="I4987" s="362"/>
      <c r="J4987" s="362"/>
    </row>
    <row r="4988" spans="1:10" x14ac:dyDescent="0.25">
      <c r="A4988" s="362"/>
      <c r="B4988" s="609">
        <v>44411</v>
      </c>
      <c r="C4988" s="362" t="s">
        <v>88</v>
      </c>
      <c r="D4988" s="560">
        <v>187978831</v>
      </c>
      <c r="E4988" s="560">
        <v>10874811</v>
      </c>
      <c r="F4988" s="560">
        <v>198853700</v>
      </c>
      <c r="G4988" s="560">
        <f t="shared" si="110"/>
        <v>-58</v>
      </c>
      <c r="H4988" s="362"/>
      <c r="I4988" s="362"/>
      <c r="J4988" s="362"/>
    </row>
    <row r="4989" spans="1:10" x14ac:dyDescent="0.25">
      <c r="A4989" s="362"/>
      <c r="B4989" s="609">
        <v>44411</v>
      </c>
      <c r="C4989" s="362" t="s">
        <v>82</v>
      </c>
      <c r="D4989" s="560">
        <v>62782242</v>
      </c>
      <c r="E4989" s="560">
        <v>4282387</v>
      </c>
      <c r="F4989" s="560">
        <v>67064600</v>
      </c>
      <c r="G4989" s="560">
        <f t="shared" si="110"/>
        <v>29</v>
      </c>
      <c r="H4989" s="362"/>
      <c r="I4989" s="362"/>
      <c r="J4989" s="362"/>
    </row>
    <row r="4990" spans="1:10" x14ac:dyDescent="0.25">
      <c r="A4990" s="362"/>
      <c r="B4990" s="609">
        <v>44411</v>
      </c>
      <c r="C4990" s="362" t="s">
        <v>80</v>
      </c>
      <c r="D4990" s="560">
        <v>219831036</v>
      </c>
      <c r="E4990" s="560"/>
      <c r="F4990" s="560">
        <v>219831100</v>
      </c>
      <c r="G4990" s="560">
        <f t="shared" si="110"/>
        <v>-64</v>
      </c>
      <c r="H4990" s="362"/>
      <c r="I4990" s="362"/>
      <c r="J4990" s="362"/>
    </row>
    <row r="4991" spans="1:10" x14ac:dyDescent="0.25">
      <c r="A4991" s="362"/>
      <c r="B4991" s="609">
        <v>44411</v>
      </c>
      <c r="C4991" s="362" t="s">
        <v>83</v>
      </c>
      <c r="D4991" s="560">
        <v>150043114</v>
      </c>
      <c r="E4991" s="560">
        <v>10124664</v>
      </c>
      <c r="F4991" s="560">
        <v>160167700</v>
      </c>
      <c r="G4991" s="560">
        <f t="shared" si="110"/>
        <v>78</v>
      </c>
      <c r="H4991" s="362"/>
      <c r="I4991" s="362"/>
      <c r="J4991" s="362"/>
    </row>
    <row r="4992" spans="1:10" x14ac:dyDescent="0.25">
      <c r="A4992" s="362"/>
      <c r="B4992" s="609">
        <v>44411</v>
      </c>
      <c r="C4992" s="362" t="s">
        <v>78</v>
      </c>
      <c r="D4992" s="560">
        <v>74779757</v>
      </c>
      <c r="E4992" s="560">
        <v>4791443</v>
      </c>
      <c r="F4992" s="560">
        <v>79571200</v>
      </c>
      <c r="G4992" s="560">
        <f t="shared" si="110"/>
        <v>0</v>
      </c>
      <c r="H4992" s="362"/>
      <c r="I4992" s="362"/>
      <c r="J4992" s="362"/>
    </row>
    <row r="4993" spans="1:10" x14ac:dyDescent="0.25">
      <c r="A4993" s="362"/>
      <c r="B4993" s="609">
        <v>44411</v>
      </c>
      <c r="C4993" s="362" t="s">
        <v>141</v>
      </c>
      <c r="D4993" s="560">
        <v>33555775</v>
      </c>
      <c r="E4993" s="560">
        <v>780426</v>
      </c>
      <c r="F4993" s="560">
        <v>34336300</v>
      </c>
      <c r="G4993" s="560">
        <f t="shared" si="110"/>
        <v>-99</v>
      </c>
      <c r="H4993" s="362"/>
      <c r="I4993" s="362"/>
      <c r="J4993" s="362"/>
    </row>
    <row r="4994" spans="1:10" x14ac:dyDescent="0.25">
      <c r="A4994" s="362"/>
      <c r="B4994" s="609">
        <v>44411</v>
      </c>
      <c r="C4994" s="362" t="s">
        <v>89</v>
      </c>
      <c r="D4994" s="560">
        <v>51149886</v>
      </c>
      <c r="E4994" s="560">
        <v>4977414</v>
      </c>
      <c r="F4994" s="560">
        <v>56127300</v>
      </c>
      <c r="G4994" s="560">
        <f t="shared" si="110"/>
        <v>0</v>
      </c>
      <c r="H4994" s="362"/>
      <c r="I4994" s="362"/>
      <c r="J4994" s="362"/>
    </row>
    <row r="4995" spans="1:10" x14ac:dyDescent="0.25">
      <c r="A4995" s="362"/>
      <c r="B4995" s="609">
        <v>44411</v>
      </c>
      <c r="C4995" s="362" t="s">
        <v>81</v>
      </c>
      <c r="D4995" s="560">
        <v>41729209</v>
      </c>
      <c r="E4995" s="560">
        <v>6364983</v>
      </c>
      <c r="F4995" s="560">
        <v>48094200</v>
      </c>
      <c r="G4995" s="560">
        <f t="shared" si="110"/>
        <v>-8</v>
      </c>
      <c r="H4995" s="362"/>
      <c r="I4995" s="362"/>
      <c r="J4995" s="362"/>
    </row>
    <row r="4996" spans="1:10" x14ac:dyDescent="0.25">
      <c r="A4996" s="362"/>
      <c r="B4996" s="609">
        <v>44411</v>
      </c>
      <c r="C4996" s="362" t="s">
        <v>84</v>
      </c>
      <c r="D4996" s="560">
        <v>109032135</v>
      </c>
      <c r="E4996" s="560">
        <v>23459090</v>
      </c>
      <c r="F4996" s="560">
        <v>132491300</v>
      </c>
      <c r="G4996" s="560">
        <f t="shared" si="110"/>
        <v>-75</v>
      </c>
      <c r="H4996" s="362"/>
      <c r="I4996" s="362"/>
      <c r="J4996" s="362"/>
    </row>
    <row r="4997" spans="1:10" x14ac:dyDescent="0.25">
      <c r="A4997" s="362"/>
      <c r="B4997" s="609">
        <v>44411</v>
      </c>
      <c r="C4997" s="362" t="s">
        <v>4751</v>
      </c>
      <c r="D4997" s="560">
        <v>157860309</v>
      </c>
      <c r="E4997" s="560">
        <v>11145791</v>
      </c>
      <c r="F4997" s="560">
        <v>169006100</v>
      </c>
      <c r="G4997" s="560">
        <f t="shared" si="110"/>
        <v>0</v>
      </c>
      <c r="H4997" s="362"/>
      <c r="I4997" s="362"/>
      <c r="J4997" s="362"/>
    </row>
    <row r="4998" spans="1:10" x14ac:dyDescent="0.25">
      <c r="A4998" s="362"/>
      <c r="B4998" s="609">
        <v>44411</v>
      </c>
      <c r="C4998" s="362" t="s">
        <v>166</v>
      </c>
      <c r="D4998" s="560">
        <v>68976770</v>
      </c>
      <c r="E4998" s="560"/>
      <c r="F4998" s="560">
        <v>68977000</v>
      </c>
      <c r="G4998" s="560">
        <f t="shared" si="110"/>
        <v>-230</v>
      </c>
      <c r="H4998" s="362"/>
      <c r="I4998" s="362"/>
      <c r="J4998" s="362"/>
    </row>
    <row r="4999" spans="1:10" x14ac:dyDescent="0.25">
      <c r="A4999" s="362"/>
      <c r="B4999" s="609">
        <v>44411</v>
      </c>
      <c r="C4999" s="362" t="s">
        <v>3435</v>
      </c>
      <c r="D4999" s="560">
        <v>21904335</v>
      </c>
      <c r="E4999" s="560"/>
      <c r="F4999" s="560">
        <v>21904400</v>
      </c>
      <c r="G4999" s="560">
        <f t="shared" si="110"/>
        <v>-65</v>
      </c>
      <c r="H4999" s="362"/>
      <c r="I4999" s="362"/>
      <c r="J4999" s="362"/>
    </row>
    <row r="5000" spans="1:10" x14ac:dyDescent="0.25">
      <c r="A5000" s="362"/>
      <c r="B5000" s="609">
        <v>44411</v>
      </c>
      <c r="C5000" s="370" t="s">
        <v>85</v>
      </c>
      <c r="D5000" s="560">
        <v>21289600</v>
      </c>
      <c r="E5000" s="560"/>
      <c r="F5000" s="560">
        <v>21289600</v>
      </c>
      <c r="G5000" s="560">
        <f t="shared" si="110"/>
        <v>0</v>
      </c>
      <c r="H5000" s="362"/>
      <c r="I5000" s="362"/>
      <c r="J5000" s="362"/>
    </row>
    <row r="5001" spans="1:10" x14ac:dyDescent="0.25">
      <c r="A5001" s="530"/>
      <c r="B5001" s="530"/>
      <c r="C5001" s="530"/>
      <c r="D5001" s="562">
        <f>SUM(D4986:D5000)</f>
        <v>1359092338</v>
      </c>
      <c r="E5001" s="562">
        <f>SUM(E4986:E5000)</f>
        <v>202839295</v>
      </c>
      <c r="F5001" s="562">
        <f>SUM(F4986:F5000)</f>
        <v>1561932100</v>
      </c>
      <c r="G5001" s="630">
        <f>SUM(G4986:G5000)</f>
        <v>-467</v>
      </c>
      <c r="H5001" s="530"/>
      <c r="I5001" s="530"/>
      <c r="J5001" s="530"/>
    </row>
    <row r="5002" spans="1:10" x14ac:dyDescent="0.25">
      <c r="A5002" s="362"/>
      <c r="B5002" s="609">
        <v>44412</v>
      </c>
      <c r="C5002" s="362" t="s">
        <v>86</v>
      </c>
      <c r="D5002" s="560">
        <v>61648814</v>
      </c>
      <c r="E5002" s="560">
        <v>98954769</v>
      </c>
      <c r="F5002" s="560">
        <v>160603500</v>
      </c>
      <c r="G5002" s="560">
        <f t="shared" si="110"/>
        <v>83</v>
      </c>
      <c r="H5002" s="362"/>
      <c r="I5002" s="362"/>
      <c r="J5002" s="362"/>
    </row>
    <row r="5003" spans="1:10" x14ac:dyDescent="0.25">
      <c r="A5003" s="362"/>
      <c r="B5003" s="609">
        <v>44412</v>
      </c>
      <c r="C5003" s="362" t="s">
        <v>87</v>
      </c>
      <c r="D5003" s="560">
        <v>144832281</v>
      </c>
      <c r="E5003" s="560">
        <v>53703857</v>
      </c>
      <c r="F5003" s="560">
        <v>198536600</v>
      </c>
      <c r="G5003" s="560">
        <f t="shared" si="110"/>
        <v>-462</v>
      </c>
      <c r="H5003" s="362"/>
      <c r="I5003" s="362"/>
      <c r="J5003" s="362"/>
    </row>
    <row r="5004" spans="1:10" x14ac:dyDescent="0.25">
      <c r="A5004" s="362"/>
      <c r="B5004" s="609">
        <v>44412</v>
      </c>
      <c r="C5004" s="362" t="s">
        <v>88</v>
      </c>
      <c r="D5004" s="560">
        <v>115293256</v>
      </c>
      <c r="E5004" s="560">
        <v>70870090</v>
      </c>
      <c r="F5004" s="560">
        <v>186163400</v>
      </c>
      <c r="G5004" s="560">
        <f t="shared" ref="G5004:G5067" si="111">D5004+E5004-F5004</f>
        <v>-54</v>
      </c>
      <c r="H5004" s="362"/>
      <c r="I5004" s="362"/>
      <c r="J5004" s="362"/>
    </row>
    <row r="5005" spans="1:10" x14ac:dyDescent="0.25">
      <c r="A5005" s="362"/>
      <c r="B5005" s="609">
        <v>44412</v>
      </c>
      <c r="C5005" s="362" t="s">
        <v>82</v>
      </c>
      <c r="D5005" s="560">
        <v>89289356</v>
      </c>
      <c r="E5005" s="560">
        <v>8097006</v>
      </c>
      <c r="F5005" s="560">
        <v>97386400</v>
      </c>
      <c r="G5005" s="560">
        <f t="shared" si="111"/>
        <v>-38</v>
      </c>
      <c r="H5005" s="362"/>
      <c r="I5005" s="362"/>
      <c r="J5005" s="362"/>
    </row>
    <row r="5006" spans="1:10" x14ac:dyDescent="0.25">
      <c r="A5006" s="362"/>
      <c r="B5006" s="609">
        <v>44412</v>
      </c>
      <c r="C5006" s="362" t="s">
        <v>80</v>
      </c>
      <c r="D5006" s="560">
        <v>345724234</v>
      </c>
      <c r="E5006" s="560">
        <v>20166300</v>
      </c>
      <c r="F5006" s="560">
        <v>365906000</v>
      </c>
      <c r="G5006" s="560">
        <f t="shared" si="111"/>
        <v>-15466</v>
      </c>
      <c r="H5006" s="362"/>
      <c r="I5006" s="362"/>
      <c r="J5006" s="362"/>
    </row>
    <row r="5007" spans="1:10" x14ac:dyDescent="0.25">
      <c r="A5007" s="362"/>
      <c r="B5007" s="609">
        <v>44412</v>
      </c>
      <c r="C5007" s="362" t="s">
        <v>83</v>
      </c>
      <c r="D5007" s="560">
        <v>199322964</v>
      </c>
      <c r="E5007" s="560">
        <v>38096623</v>
      </c>
      <c r="F5007" s="560">
        <v>237419600</v>
      </c>
      <c r="G5007" s="560">
        <f t="shared" si="111"/>
        <v>-13</v>
      </c>
      <c r="H5007" s="362"/>
      <c r="I5007" s="362"/>
      <c r="J5007" s="362"/>
    </row>
    <row r="5008" spans="1:10" x14ac:dyDescent="0.25">
      <c r="A5008" s="362"/>
      <c r="B5008" s="609">
        <v>44412</v>
      </c>
      <c r="C5008" s="362" t="s">
        <v>78</v>
      </c>
      <c r="D5008" s="560">
        <v>161722135</v>
      </c>
      <c r="E5008" s="560">
        <v>3615265</v>
      </c>
      <c r="F5008" s="560">
        <v>165337400</v>
      </c>
      <c r="G5008" s="560">
        <f t="shared" si="111"/>
        <v>0</v>
      </c>
      <c r="H5008" s="362"/>
      <c r="I5008" s="362"/>
      <c r="J5008" s="362"/>
    </row>
    <row r="5009" spans="1:10" x14ac:dyDescent="0.25">
      <c r="A5009" s="362"/>
      <c r="B5009" s="609">
        <v>44412</v>
      </c>
      <c r="C5009" s="362" t="s">
        <v>141</v>
      </c>
      <c r="D5009" s="560">
        <v>109988525</v>
      </c>
      <c r="E5009" s="560"/>
      <c r="F5009" s="560">
        <v>109988700</v>
      </c>
      <c r="G5009" s="560">
        <f t="shared" si="111"/>
        <v>-175</v>
      </c>
      <c r="H5009" s="362"/>
      <c r="I5009" s="362"/>
      <c r="J5009" s="362"/>
    </row>
    <row r="5010" spans="1:10" x14ac:dyDescent="0.25">
      <c r="A5010" s="362"/>
      <c r="B5010" s="609">
        <v>44412</v>
      </c>
      <c r="C5010" s="362" t="s">
        <v>89</v>
      </c>
      <c r="D5010" s="560">
        <v>156914811</v>
      </c>
      <c r="E5010" s="560">
        <v>18505889</v>
      </c>
      <c r="F5010" s="560">
        <v>175420700</v>
      </c>
      <c r="G5010" s="560">
        <f t="shared" si="111"/>
        <v>0</v>
      </c>
      <c r="H5010" s="362"/>
      <c r="I5010" s="362"/>
      <c r="J5010" s="362"/>
    </row>
    <row r="5011" spans="1:10" x14ac:dyDescent="0.25">
      <c r="A5011" s="362"/>
      <c r="B5011" s="609">
        <v>44412</v>
      </c>
      <c r="C5011" s="362" t="s">
        <v>81</v>
      </c>
      <c r="D5011" s="560">
        <v>92451385</v>
      </c>
      <c r="E5011" s="560">
        <v>13502610</v>
      </c>
      <c r="F5011" s="560">
        <v>105954000</v>
      </c>
      <c r="G5011" s="560">
        <f t="shared" si="111"/>
        <v>-5</v>
      </c>
      <c r="H5011" s="362"/>
      <c r="I5011" s="362"/>
      <c r="J5011" s="362"/>
    </row>
    <row r="5012" spans="1:10" x14ac:dyDescent="0.25">
      <c r="A5012" s="362"/>
      <c r="B5012" s="609">
        <v>44412</v>
      </c>
      <c r="C5012" s="362" t="s">
        <v>84</v>
      </c>
      <c r="D5012" s="560">
        <v>264303945</v>
      </c>
      <c r="E5012" s="560">
        <v>14060247</v>
      </c>
      <c r="F5012" s="560">
        <v>278364200</v>
      </c>
      <c r="G5012" s="560">
        <f t="shared" si="111"/>
        <v>-8</v>
      </c>
      <c r="H5012" s="362"/>
      <c r="I5012" s="362"/>
      <c r="J5012" s="362"/>
    </row>
    <row r="5013" spans="1:10" x14ac:dyDescent="0.25">
      <c r="A5013" s="362"/>
      <c r="B5013" s="609">
        <v>44412</v>
      </c>
      <c r="C5013" s="362" t="s">
        <v>4751</v>
      </c>
      <c r="D5013" s="560">
        <v>147966479</v>
      </c>
      <c r="E5013" s="560">
        <v>20277421</v>
      </c>
      <c r="F5013" s="560">
        <v>168243900</v>
      </c>
      <c r="G5013" s="560">
        <f t="shared" si="111"/>
        <v>0</v>
      </c>
      <c r="H5013" s="362"/>
      <c r="I5013" s="362"/>
      <c r="J5013" s="362"/>
    </row>
    <row r="5014" spans="1:10" x14ac:dyDescent="0.25">
      <c r="A5014" s="362"/>
      <c r="B5014" s="609">
        <v>44412</v>
      </c>
      <c r="C5014" s="362" t="s">
        <v>166</v>
      </c>
      <c r="D5014" s="560">
        <v>67859721</v>
      </c>
      <c r="E5014" s="560"/>
      <c r="F5014" s="560">
        <v>67859800</v>
      </c>
      <c r="G5014" s="560">
        <f t="shared" si="111"/>
        <v>-79</v>
      </c>
      <c r="H5014" s="362"/>
      <c r="I5014" s="362"/>
      <c r="J5014" s="362"/>
    </row>
    <row r="5015" spans="1:10" x14ac:dyDescent="0.25">
      <c r="A5015" s="362"/>
      <c r="B5015" s="609">
        <v>44412</v>
      </c>
      <c r="C5015" s="362" t="s">
        <v>3435</v>
      </c>
      <c r="D5015" s="560">
        <v>66053325</v>
      </c>
      <c r="E5015" s="560"/>
      <c r="F5015" s="560">
        <v>66053400</v>
      </c>
      <c r="G5015" s="560">
        <f t="shared" si="111"/>
        <v>-75</v>
      </c>
      <c r="H5015" s="362"/>
      <c r="I5015" s="362"/>
      <c r="J5015" s="362"/>
    </row>
    <row r="5016" spans="1:10" x14ac:dyDescent="0.25">
      <c r="A5016" s="362"/>
      <c r="B5016" s="609">
        <v>44412</v>
      </c>
      <c r="C5016" s="370" t="s">
        <v>85</v>
      </c>
      <c r="D5016" s="560">
        <v>37278800</v>
      </c>
      <c r="E5016" s="560"/>
      <c r="F5016" s="560">
        <v>37278800</v>
      </c>
      <c r="G5016" s="560">
        <f t="shared" si="111"/>
        <v>0</v>
      </c>
      <c r="H5016" s="362"/>
      <c r="I5016" s="362"/>
      <c r="J5016" s="362"/>
    </row>
    <row r="5017" spans="1:10" x14ac:dyDescent="0.25">
      <c r="A5017" s="530"/>
      <c r="B5017" s="530"/>
      <c r="C5017" s="530"/>
      <c r="D5017" s="562">
        <f>SUM(D5002:D5016)</f>
        <v>2060650031</v>
      </c>
      <c r="E5017" s="562">
        <f>SUM(E5002:E5016)</f>
        <v>359850077</v>
      </c>
      <c r="F5017" s="562">
        <f>SUM(F5002:F5016)</f>
        <v>2420516400</v>
      </c>
      <c r="G5017" s="562">
        <f>SUM(G5002:G5016)</f>
        <v>-16292</v>
      </c>
      <c r="H5017" s="530"/>
      <c r="I5017" s="530"/>
      <c r="J5017" s="530"/>
    </row>
    <row r="5018" spans="1:10" x14ac:dyDescent="0.25">
      <c r="A5018" s="362"/>
      <c r="B5018" s="609">
        <v>44413</v>
      </c>
      <c r="C5018" s="362" t="s">
        <v>86</v>
      </c>
      <c r="D5018" s="560">
        <v>55779559</v>
      </c>
      <c r="E5018" s="560">
        <v>158465797</v>
      </c>
      <c r="F5018" s="560">
        <v>214245200</v>
      </c>
      <c r="G5018" s="560">
        <f t="shared" si="111"/>
        <v>156</v>
      </c>
      <c r="H5018" s="362"/>
      <c r="I5018" s="362"/>
      <c r="J5018" s="362"/>
    </row>
    <row r="5019" spans="1:10" x14ac:dyDescent="0.25">
      <c r="A5019" s="362"/>
      <c r="B5019" s="609">
        <v>44413</v>
      </c>
      <c r="C5019" s="362" t="s">
        <v>87</v>
      </c>
      <c r="D5019" s="560">
        <v>53939191</v>
      </c>
      <c r="E5019" s="560">
        <v>110826881</v>
      </c>
      <c r="F5019" s="560">
        <v>164766300</v>
      </c>
      <c r="G5019" s="560">
        <f t="shared" si="111"/>
        <v>-228</v>
      </c>
      <c r="H5019" s="362"/>
      <c r="I5019" s="362"/>
      <c r="J5019" s="362"/>
    </row>
    <row r="5020" spans="1:10" x14ac:dyDescent="0.25">
      <c r="A5020" s="362"/>
      <c r="B5020" s="609">
        <v>44413</v>
      </c>
      <c r="C5020" s="362" t="s">
        <v>88</v>
      </c>
      <c r="D5020" s="560">
        <v>242916179</v>
      </c>
      <c r="E5020" s="560">
        <v>26007614</v>
      </c>
      <c r="F5020" s="560">
        <v>268923800</v>
      </c>
      <c r="G5020" s="560">
        <f t="shared" si="111"/>
        <v>-7</v>
      </c>
      <c r="H5020" s="362"/>
      <c r="I5020" s="362"/>
      <c r="J5020" s="362"/>
    </row>
    <row r="5021" spans="1:10" x14ac:dyDescent="0.25">
      <c r="A5021" s="362"/>
      <c r="B5021" s="609">
        <v>44413</v>
      </c>
      <c r="C5021" s="362" t="s">
        <v>82</v>
      </c>
      <c r="D5021" s="560">
        <v>80998840</v>
      </c>
      <c r="E5021" s="560">
        <v>3574280</v>
      </c>
      <c r="F5021" s="560">
        <v>84573200</v>
      </c>
      <c r="G5021" s="560">
        <f t="shared" si="111"/>
        <v>-80</v>
      </c>
      <c r="H5021" s="362"/>
      <c r="I5021" s="362"/>
      <c r="J5021" s="362"/>
    </row>
    <row r="5022" spans="1:10" x14ac:dyDescent="0.25">
      <c r="A5022" s="362"/>
      <c r="B5022" s="609">
        <v>44413</v>
      </c>
      <c r="C5022" s="362" t="s">
        <v>80</v>
      </c>
      <c r="D5022" s="560">
        <v>301035707</v>
      </c>
      <c r="E5022" s="560"/>
      <c r="F5022" s="560">
        <v>301048900</v>
      </c>
      <c r="G5022" s="560">
        <f t="shared" si="111"/>
        <v>-13193</v>
      </c>
      <c r="H5022" s="362"/>
      <c r="I5022" s="362"/>
      <c r="J5022" s="362"/>
    </row>
    <row r="5023" spans="1:10" x14ac:dyDescent="0.25">
      <c r="A5023" s="362"/>
      <c r="B5023" s="609">
        <v>44413</v>
      </c>
      <c r="C5023" s="362" t="s">
        <v>83</v>
      </c>
      <c r="D5023" s="560">
        <v>181408703</v>
      </c>
      <c r="E5023" s="560">
        <v>117981756</v>
      </c>
      <c r="F5023" s="560">
        <v>299390500</v>
      </c>
      <c r="G5023" s="560">
        <f t="shared" si="111"/>
        <v>-41</v>
      </c>
      <c r="H5023" s="362"/>
      <c r="I5023" s="362"/>
      <c r="J5023" s="362"/>
    </row>
    <row r="5024" spans="1:10" x14ac:dyDescent="0.25">
      <c r="A5024" s="362"/>
      <c r="B5024" s="609">
        <v>44413</v>
      </c>
      <c r="C5024" s="362" t="s">
        <v>78</v>
      </c>
      <c r="D5024" s="560">
        <v>83875716</v>
      </c>
      <c r="E5024" s="560">
        <v>608784</v>
      </c>
      <c r="F5024" s="560">
        <v>84484500</v>
      </c>
      <c r="G5024" s="560">
        <f t="shared" si="111"/>
        <v>0</v>
      </c>
      <c r="H5024" s="362"/>
      <c r="I5024" s="362"/>
      <c r="J5024" s="362"/>
    </row>
    <row r="5025" spans="1:10" x14ac:dyDescent="0.25">
      <c r="A5025" s="362"/>
      <c r="B5025" s="609">
        <v>44413</v>
      </c>
      <c r="C5025" s="362" t="s">
        <v>141</v>
      </c>
      <c r="D5025" s="560">
        <v>79933447</v>
      </c>
      <c r="E5025" s="560">
        <v>1632183</v>
      </c>
      <c r="F5025" s="560">
        <v>81565700</v>
      </c>
      <c r="G5025" s="560">
        <f t="shared" si="111"/>
        <v>-70</v>
      </c>
      <c r="H5025" s="362"/>
      <c r="I5025" s="362"/>
      <c r="J5025" s="362"/>
    </row>
    <row r="5026" spans="1:10" x14ac:dyDescent="0.25">
      <c r="A5026" s="362"/>
      <c r="B5026" s="609">
        <v>44413</v>
      </c>
      <c r="C5026" s="362" t="s">
        <v>89</v>
      </c>
      <c r="D5026" s="560">
        <v>167768726</v>
      </c>
      <c r="E5026" s="560">
        <v>6540074</v>
      </c>
      <c r="F5026" s="560">
        <v>174308800</v>
      </c>
      <c r="G5026" s="560">
        <f t="shared" si="111"/>
        <v>0</v>
      </c>
      <c r="H5026" s="362"/>
      <c r="I5026" s="362"/>
      <c r="J5026" s="362"/>
    </row>
    <row r="5027" spans="1:10" x14ac:dyDescent="0.25">
      <c r="A5027" s="362"/>
      <c r="B5027" s="609">
        <v>44413</v>
      </c>
      <c r="C5027" s="362" t="s">
        <v>81</v>
      </c>
      <c r="D5027" s="560">
        <v>152489418</v>
      </c>
      <c r="E5027" s="560">
        <v>14729556</v>
      </c>
      <c r="F5027" s="560">
        <v>167219000</v>
      </c>
      <c r="G5027" s="560">
        <f t="shared" si="111"/>
        <v>-26</v>
      </c>
      <c r="H5027" s="362"/>
      <c r="I5027" s="362"/>
      <c r="J5027" s="362"/>
    </row>
    <row r="5028" spans="1:10" x14ac:dyDescent="0.25">
      <c r="A5028" s="362"/>
      <c r="B5028" s="609">
        <v>44413</v>
      </c>
      <c r="C5028" s="362" t="s">
        <v>84</v>
      </c>
      <c r="D5028" s="560">
        <v>240403706</v>
      </c>
      <c r="E5028" s="560">
        <v>12123156</v>
      </c>
      <c r="F5028" s="560">
        <v>252526800</v>
      </c>
      <c r="G5028" s="560">
        <f t="shared" si="111"/>
        <v>62</v>
      </c>
      <c r="H5028" s="362"/>
      <c r="I5028" s="362"/>
      <c r="J5028" s="362"/>
    </row>
    <row r="5029" spans="1:10" x14ac:dyDescent="0.25">
      <c r="A5029" s="362"/>
      <c r="B5029" s="609">
        <v>44413</v>
      </c>
      <c r="C5029" s="362" t="s">
        <v>4751</v>
      </c>
      <c r="D5029" s="560">
        <v>209823426</v>
      </c>
      <c r="E5029" s="560">
        <v>7017974</v>
      </c>
      <c r="F5029" s="560">
        <v>216841400</v>
      </c>
      <c r="G5029" s="560">
        <f t="shared" si="111"/>
        <v>0</v>
      </c>
      <c r="H5029" s="362"/>
      <c r="I5029" s="362"/>
      <c r="J5029" s="362"/>
    </row>
    <row r="5030" spans="1:10" x14ac:dyDescent="0.25">
      <c r="A5030" s="362"/>
      <c r="B5030" s="609">
        <v>44413</v>
      </c>
      <c r="C5030" s="362" t="s">
        <v>166</v>
      </c>
      <c r="D5030" s="560">
        <v>99782936</v>
      </c>
      <c r="E5030" s="560"/>
      <c r="F5030" s="560">
        <v>99782900</v>
      </c>
      <c r="G5030" s="560">
        <f t="shared" si="111"/>
        <v>36</v>
      </c>
      <c r="H5030" s="362"/>
      <c r="I5030" s="362"/>
      <c r="J5030" s="362"/>
    </row>
    <row r="5031" spans="1:10" x14ac:dyDescent="0.25">
      <c r="A5031" s="362"/>
      <c r="B5031" s="609">
        <v>44413</v>
      </c>
      <c r="C5031" s="362" t="s">
        <v>3435</v>
      </c>
      <c r="D5031" s="560">
        <v>96489415</v>
      </c>
      <c r="E5031" s="560"/>
      <c r="F5031" s="560">
        <v>96489500</v>
      </c>
      <c r="G5031" s="560">
        <f t="shared" si="111"/>
        <v>-85</v>
      </c>
      <c r="H5031" s="362"/>
      <c r="I5031" s="362"/>
      <c r="J5031" s="362"/>
    </row>
    <row r="5032" spans="1:10" x14ac:dyDescent="0.25">
      <c r="A5032" s="362"/>
      <c r="B5032" s="609">
        <v>44413</v>
      </c>
      <c r="C5032" s="370" t="s">
        <v>85</v>
      </c>
      <c r="D5032" s="560">
        <v>19427100</v>
      </c>
      <c r="E5032" s="560"/>
      <c r="F5032" s="560">
        <v>19427100</v>
      </c>
      <c r="G5032" s="560">
        <f t="shared" si="111"/>
        <v>0</v>
      </c>
      <c r="H5032" s="362"/>
      <c r="I5032" s="362"/>
      <c r="J5032" s="362"/>
    </row>
    <row r="5033" spans="1:10" x14ac:dyDescent="0.25">
      <c r="A5033" s="530"/>
      <c r="B5033" s="530"/>
      <c r="C5033" s="530"/>
      <c r="D5033" s="562">
        <f>SUM(D5018:D5032)</f>
        <v>2066072069</v>
      </c>
      <c r="E5033" s="562">
        <f>SUM(E5018:E5032)</f>
        <v>459508055</v>
      </c>
      <c r="F5033" s="562">
        <f>SUM(F5018:F5032)</f>
        <v>2525593600</v>
      </c>
      <c r="G5033" s="562">
        <f>SUM(G5018:G5032)</f>
        <v>-13476</v>
      </c>
      <c r="H5033" s="530"/>
      <c r="I5033" s="530"/>
      <c r="J5033" s="530"/>
    </row>
    <row r="5034" spans="1:10" x14ac:dyDescent="0.25">
      <c r="A5034" s="362"/>
      <c r="B5034" s="609">
        <v>44414</v>
      </c>
      <c r="C5034" s="362" t="s">
        <v>86</v>
      </c>
      <c r="D5034" s="560">
        <v>114459712</v>
      </c>
      <c r="E5034" s="560">
        <v>27325849</v>
      </c>
      <c r="F5034" s="560">
        <v>141900000</v>
      </c>
      <c r="G5034" s="560">
        <f t="shared" si="111"/>
        <v>-114439</v>
      </c>
      <c r="H5034" s="362"/>
      <c r="I5034" s="362"/>
      <c r="J5034" s="362"/>
    </row>
    <row r="5035" spans="1:10" x14ac:dyDescent="0.25">
      <c r="A5035" s="362"/>
      <c r="B5035" s="609">
        <v>44414</v>
      </c>
      <c r="C5035" s="362" t="s">
        <v>87</v>
      </c>
      <c r="D5035" s="560">
        <v>133755318</v>
      </c>
      <c r="E5035" s="560">
        <v>18608323</v>
      </c>
      <c r="F5035" s="560">
        <v>152363700</v>
      </c>
      <c r="G5035" s="560">
        <f t="shared" si="111"/>
        <v>-59</v>
      </c>
      <c r="H5035" s="362"/>
      <c r="I5035" s="362"/>
      <c r="J5035" s="362"/>
    </row>
    <row r="5036" spans="1:10" x14ac:dyDescent="0.25">
      <c r="A5036" s="362"/>
      <c r="B5036" s="609">
        <v>44414</v>
      </c>
      <c r="C5036" s="362" t="s">
        <v>88</v>
      </c>
      <c r="D5036" s="560">
        <v>172755771</v>
      </c>
      <c r="E5036" s="560">
        <v>19075183</v>
      </c>
      <c r="F5036" s="560">
        <v>191831000</v>
      </c>
      <c r="G5036" s="560">
        <f t="shared" si="111"/>
        <v>-46</v>
      </c>
      <c r="H5036" s="362"/>
      <c r="I5036" s="362"/>
      <c r="J5036" s="362"/>
    </row>
    <row r="5037" spans="1:10" x14ac:dyDescent="0.25">
      <c r="A5037" s="362"/>
      <c r="B5037" s="609">
        <v>44414</v>
      </c>
      <c r="C5037" s="362" t="s">
        <v>82</v>
      </c>
      <c r="D5037" s="560">
        <v>81757500</v>
      </c>
      <c r="E5037" s="560">
        <v>2224560</v>
      </c>
      <c r="F5037" s="560">
        <v>83990100</v>
      </c>
      <c r="G5037" s="560">
        <f t="shared" si="111"/>
        <v>-8040</v>
      </c>
      <c r="H5037" s="362"/>
      <c r="I5037" s="362"/>
      <c r="J5037" s="362"/>
    </row>
    <row r="5038" spans="1:10" x14ac:dyDescent="0.25">
      <c r="A5038" s="362"/>
      <c r="B5038" s="609">
        <v>44414</v>
      </c>
      <c r="C5038" s="362" t="s">
        <v>80</v>
      </c>
      <c r="D5038" s="560">
        <v>217905819</v>
      </c>
      <c r="E5038" s="560">
        <v>68639046</v>
      </c>
      <c r="F5038" s="560">
        <v>286281100</v>
      </c>
      <c r="G5038" s="560">
        <f t="shared" si="111"/>
        <v>263765</v>
      </c>
      <c r="H5038" s="362"/>
      <c r="I5038" s="362"/>
      <c r="J5038" s="362"/>
    </row>
    <row r="5039" spans="1:10" x14ac:dyDescent="0.25">
      <c r="A5039" s="362"/>
      <c r="B5039" s="609">
        <v>44414</v>
      </c>
      <c r="C5039" s="362" t="s">
        <v>83</v>
      </c>
      <c r="D5039" s="560">
        <v>231591727</v>
      </c>
      <c r="E5039" s="560">
        <v>24711684</v>
      </c>
      <c r="F5039" s="560">
        <v>256303500</v>
      </c>
      <c r="G5039" s="560">
        <f t="shared" si="111"/>
        <v>-89</v>
      </c>
      <c r="H5039" s="362"/>
      <c r="I5039" s="362"/>
      <c r="J5039" s="362"/>
    </row>
    <row r="5040" spans="1:10" x14ac:dyDescent="0.25">
      <c r="A5040" s="362"/>
      <c r="B5040" s="609">
        <v>44414</v>
      </c>
      <c r="C5040" s="362" t="s">
        <v>78</v>
      </c>
      <c r="D5040" s="560">
        <v>96931585</v>
      </c>
      <c r="E5040" s="560">
        <v>956615</v>
      </c>
      <c r="F5040" s="560">
        <v>97888200</v>
      </c>
      <c r="G5040" s="560">
        <f t="shared" si="111"/>
        <v>0</v>
      </c>
      <c r="H5040" s="362"/>
      <c r="I5040" s="362"/>
      <c r="J5040" s="362"/>
    </row>
    <row r="5041" spans="1:10" x14ac:dyDescent="0.25">
      <c r="A5041" s="362"/>
      <c r="B5041" s="609">
        <v>44414</v>
      </c>
      <c r="C5041" s="362" t="s">
        <v>141</v>
      </c>
      <c r="D5041" s="560">
        <v>88743704</v>
      </c>
      <c r="E5041" s="560">
        <v>27772</v>
      </c>
      <c r="F5041" s="560">
        <v>88771500</v>
      </c>
      <c r="G5041" s="560">
        <f t="shared" si="111"/>
        <v>-24</v>
      </c>
      <c r="H5041" s="362"/>
      <c r="I5041" s="362"/>
      <c r="J5041" s="362"/>
    </row>
    <row r="5042" spans="1:10" x14ac:dyDescent="0.25">
      <c r="A5042" s="362"/>
      <c r="B5042" s="609">
        <v>44414</v>
      </c>
      <c r="C5042" s="362" t="s">
        <v>89</v>
      </c>
      <c r="D5042" s="560">
        <v>162573026</v>
      </c>
      <c r="E5042" s="560">
        <v>69920374</v>
      </c>
      <c r="F5042" s="560">
        <v>232493400</v>
      </c>
      <c r="G5042" s="560">
        <f t="shared" si="111"/>
        <v>0</v>
      </c>
      <c r="H5042" s="362"/>
      <c r="I5042" s="362"/>
      <c r="J5042" s="362"/>
    </row>
    <row r="5043" spans="1:10" x14ac:dyDescent="0.25">
      <c r="A5043" s="362"/>
      <c r="B5043" s="609">
        <v>44414</v>
      </c>
      <c r="C5043" s="362" t="s">
        <v>81</v>
      </c>
      <c r="D5043" s="560">
        <v>78715949</v>
      </c>
      <c r="E5043" s="560">
        <v>7067280</v>
      </c>
      <c r="F5043" s="560">
        <v>85783300</v>
      </c>
      <c r="G5043" s="560">
        <f t="shared" si="111"/>
        <v>-71</v>
      </c>
      <c r="H5043" s="362"/>
      <c r="I5043" s="362"/>
      <c r="J5043" s="362"/>
    </row>
    <row r="5044" spans="1:10" x14ac:dyDescent="0.25">
      <c r="A5044" s="362"/>
      <c r="B5044" s="609">
        <v>44414</v>
      </c>
      <c r="C5044" s="362" t="s">
        <v>84</v>
      </c>
      <c r="D5044" s="560">
        <v>207445715</v>
      </c>
      <c r="E5044" s="560">
        <v>7215325</v>
      </c>
      <c r="F5044" s="560">
        <v>214661100</v>
      </c>
      <c r="G5044" s="560">
        <f t="shared" si="111"/>
        <v>-60</v>
      </c>
      <c r="H5044" s="362"/>
      <c r="I5044" s="362"/>
      <c r="J5044" s="362"/>
    </row>
    <row r="5045" spans="1:10" x14ac:dyDescent="0.25">
      <c r="A5045" s="362"/>
      <c r="B5045" s="609">
        <v>44414</v>
      </c>
      <c r="C5045" s="362" t="s">
        <v>4751</v>
      </c>
      <c r="D5045" s="560">
        <v>240327920</v>
      </c>
      <c r="E5045" s="560">
        <v>13805380</v>
      </c>
      <c r="F5045" s="560">
        <v>254133300</v>
      </c>
      <c r="G5045" s="560">
        <f t="shared" si="111"/>
        <v>0</v>
      </c>
      <c r="H5045" s="362"/>
      <c r="I5045" s="362"/>
      <c r="J5045" s="362"/>
    </row>
    <row r="5046" spans="1:10" x14ac:dyDescent="0.25">
      <c r="A5046" s="362"/>
      <c r="B5046" s="609">
        <v>44414</v>
      </c>
      <c r="C5046" s="362" t="s">
        <v>166</v>
      </c>
      <c r="D5046" s="560">
        <v>54859009</v>
      </c>
      <c r="E5046" s="560"/>
      <c r="F5046" s="560">
        <v>54859000</v>
      </c>
      <c r="G5046" s="560">
        <f t="shared" si="111"/>
        <v>9</v>
      </c>
      <c r="H5046" s="362"/>
      <c r="I5046" s="362"/>
      <c r="J5046" s="362"/>
    </row>
    <row r="5047" spans="1:10" x14ac:dyDescent="0.25">
      <c r="A5047" s="362"/>
      <c r="B5047" s="609">
        <v>44414</v>
      </c>
      <c r="C5047" s="362" t="s">
        <v>3435</v>
      </c>
      <c r="D5047" s="560">
        <v>244169585</v>
      </c>
      <c r="E5047" s="560"/>
      <c r="F5047" s="560">
        <v>244169600</v>
      </c>
      <c r="G5047" s="560">
        <f t="shared" si="111"/>
        <v>-15</v>
      </c>
      <c r="H5047" s="362"/>
      <c r="I5047" s="362"/>
      <c r="J5047" s="362"/>
    </row>
    <row r="5048" spans="1:10" x14ac:dyDescent="0.25">
      <c r="A5048" s="362"/>
      <c r="B5048" s="609">
        <v>44414</v>
      </c>
      <c r="C5048" s="370" t="s">
        <v>85</v>
      </c>
      <c r="D5048" s="560">
        <v>18334100</v>
      </c>
      <c r="E5048" s="560"/>
      <c r="F5048" s="560">
        <v>18334100</v>
      </c>
      <c r="G5048" s="560">
        <f t="shared" si="111"/>
        <v>0</v>
      </c>
      <c r="H5048" s="362"/>
      <c r="I5048" s="362"/>
      <c r="J5048" s="362"/>
    </row>
    <row r="5049" spans="1:10" x14ac:dyDescent="0.25">
      <c r="A5049" s="530"/>
      <c r="B5049" s="530"/>
      <c r="C5049" s="530"/>
      <c r="D5049" s="562">
        <f>SUM(D5034:D5048)</f>
        <v>2144326440</v>
      </c>
      <c r="E5049" s="562">
        <f>SUM(E5034:E5048)</f>
        <v>259577391</v>
      </c>
      <c r="F5049" s="562">
        <f>SUM(F5034:F5048)</f>
        <v>2403762900</v>
      </c>
      <c r="G5049" s="562">
        <f>SUM(G5034:G5048)</f>
        <v>140931</v>
      </c>
      <c r="H5049" s="530"/>
      <c r="I5049" s="530"/>
      <c r="J5049" s="530"/>
    </row>
    <row r="5050" spans="1:10" x14ac:dyDescent="0.25">
      <c r="A5050" s="362"/>
      <c r="B5050" s="609">
        <v>44415</v>
      </c>
      <c r="C5050" s="362" t="s">
        <v>86</v>
      </c>
      <c r="D5050" s="560">
        <v>74202771</v>
      </c>
      <c r="E5050" s="560">
        <v>11161560</v>
      </c>
      <c r="F5050" s="560">
        <v>85420500</v>
      </c>
      <c r="G5050" s="560">
        <f t="shared" si="111"/>
        <v>-56169</v>
      </c>
      <c r="H5050" s="362"/>
      <c r="I5050" s="362"/>
      <c r="J5050" s="362"/>
    </row>
    <row r="5051" spans="1:10" x14ac:dyDescent="0.25">
      <c r="A5051" s="362"/>
      <c r="B5051" s="609">
        <v>44415</v>
      </c>
      <c r="C5051" s="362" t="s">
        <v>87</v>
      </c>
      <c r="D5051" s="560">
        <v>73821219</v>
      </c>
      <c r="E5051" s="560">
        <v>59194196</v>
      </c>
      <c r="F5051" s="560">
        <f>105640300+27375200</f>
        <v>133015500</v>
      </c>
      <c r="G5051" s="560">
        <f t="shared" si="111"/>
        <v>-85</v>
      </c>
      <c r="H5051" s="362"/>
      <c r="I5051" s="362"/>
      <c r="J5051" s="362"/>
    </row>
    <row r="5052" spans="1:10" x14ac:dyDescent="0.25">
      <c r="A5052" s="362"/>
      <c r="B5052" s="609">
        <v>44415</v>
      </c>
      <c r="C5052" s="362" t="s">
        <v>88</v>
      </c>
      <c r="D5052" s="560">
        <v>283930044</v>
      </c>
      <c r="E5052" s="560">
        <v>19990496</v>
      </c>
      <c r="F5052" s="560">
        <v>303920600</v>
      </c>
      <c r="G5052" s="560">
        <f t="shared" si="111"/>
        <v>-60</v>
      </c>
      <c r="H5052" s="362"/>
      <c r="I5052" s="362"/>
      <c r="J5052" s="362"/>
    </row>
    <row r="5053" spans="1:10" x14ac:dyDescent="0.25">
      <c r="A5053" s="362"/>
      <c r="B5053" s="609">
        <v>44415</v>
      </c>
      <c r="C5053" s="362" t="s">
        <v>82</v>
      </c>
      <c r="D5053" s="560">
        <v>86636617</v>
      </c>
      <c r="E5053" s="560">
        <v>10853225</v>
      </c>
      <c r="F5053" s="560">
        <v>97489900</v>
      </c>
      <c r="G5053" s="560">
        <f t="shared" si="111"/>
        <v>-58</v>
      </c>
      <c r="H5053" s="362"/>
      <c r="I5053" s="362"/>
      <c r="J5053" s="362"/>
    </row>
    <row r="5054" spans="1:10" x14ac:dyDescent="0.25">
      <c r="A5054" s="362"/>
      <c r="B5054" s="609">
        <v>44415</v>
      </c>
      <c r="C5054" s="362" t="s">
        <v>80</v>
      </c>
      <c r="D5054" s="560">
        <v>245427214</v>
      </c>
      <c r="E5054" s="560">
        <v>46512000</v>
      </c>
      <c r="F5054" s="560">
        <v>291929400</v>
      </c>
      <c r="G5054" s="560">
        <f t="shared" si="111"/>
        <v>9814</v>
      </c>
      <c r="H5054" s="362"/>
      <c r="I5054" s="362"/>
      <c r="J5054" s="362"/>
    </row>
    <row r="5055" spans="1:10" x14ac:dyDescent="0.25">
      <c r="A5055" s="362"/>
      <c r="B5055" s="609">
        <v>44415</v>
      </c>
      <c r="C5055" s="362" t="s">
        <v>83</v>
      </c>
      <c r="D5055" s="560">
        <v>247409016</v>
      </c>
      <c r="E5055" s="560">
        <v>128197986</v>
      </c>
      <c r="F5055" s="560">
        <v>375607000</v>
      </c>
      <c r="G5055" s="560">
        <f t="shared" si="111"/>
        <v>2</v>
      </c>
      <c r="H5055" s="362"/>
      <c r="I5055" s="362"/>
      <c r="J5055" s="362"/>
    </row>
    <row r="5056" spans="1:10" x14ac:dyDescent="0.25">
      <c r="A5056" s="362"/>
      <c r="B5056" s="609">
        <v>44415</v>
      </c>
      <c r="C5056" s="362" t="s">
        <v>78</v>
      </c>
      <c r="D5056" s="560">
        <v>152417400</v>
      </c>
      <c r="E5056" s="560">
        <v>17569200</v>
      </c>
      <c r="F5056" s="560">
        <v>169986600</v>
      </c>
      <c r="G5056" s="560">
        <f t="shared" si="111"/>
        <v>0</v>
      </c>
      <c r="H5056" s="362"/>
      <c r="I5056" s="362"/>
      <c r="J5056" s="362"/>
    </row>
    <row r="5057" spans="1:10" x14ac:dyDescent="0.25">
      <c r="A5057" s="362"/>
      <c r="B5057" s="609">
        <v>44415</v>
      </c>
      <c r="C5057" s="362" t="s">
        <v>141</v>
      </c>
      <c r="D5057" s="560">
        <v>43174443</v>
      </c>
      <c r="E5057" s="560">
        <v>2720811</v>
      </c>
      <c r="F5057" s="560">
        <v>45895300</v>
      </c>
      <c r="G5057" s="560">
        <f t="shared" si="111"/>
        <v>-46</v>
      </c>
      <c r="H5057" s="362"/>
      <c r="I5057" s="362"/>
      <c r="J5057" s="362"/>
    </row>
    <row r="5058" spans="1:10" x14ac:dyDescent="0.25">
      <c r="A5058" s="362"/>
      <c r="B5058" s="609">
        <v>44415</v>
      </c>
      <c r="C5058" s="362" t="s">
        <v>89</v>
      </c>
      <c r="D5058" s="560">
        <v>71730460</v>
      </c>
      <c r="E5058" s="560">
        <v>24201540</v>
      </c>
      <c r="F5058" s="560">
        <v>95932000</v>
      </c>
      <c r="G5058" s="560">
        <f t="shared" si="111"/>
        <v>0</v>
      </c>
      <c r="H5058" s="362"/>
      <c r="I5058" s="362"/>
      <c r="J5058" s="362"/>
    </row>
    <row r="5059" spans="1:10" x14ac:dyDescent="0.25">
      <c r="A5059" s="362"/>
      <c r="B5059" s="609">
        <v>44415</v>
      </c>
      <c r="C5059" s="362" t="s">
        <v>81</v>
      </c>
      <c r="D5059" s="560">
        <v>104494470</v>
      </c>
      <c r="E5059" s="560">
        <v>20289195</v>
      </c>
      <c r="F5059" s="362">
        <f>53641400+71142300</f>
        <v>124783700</v>
      </c>
      <c r="G5059" s="560">
        <f t="shared" si="111"/>
        <v>-35</v>
      </c>
      <c r="H5059" s="362"/>
      <c r="I5059" s="362"/>
      <c r="J5059" s="362"/>
    </row>
    <row r="5060" spans="1:10" x14ac:dyDescent="0.25">
      <c r="A5060" s="362"/>
      <c r="B5060" s="609">
        <v>44415</v>
      </c>
      <c r="C5060" s="362" t="s">
        <v>84</v>
      </c>
      <c r="D5060" s="560">
        <v>193997521</v>
      </c>
      <c r="E5060" s="560">
        <v>36377107</v>
      </c>
      <c r="F5060" s="560">
        <v>230374600</v>
      </c>
      <c r="G5060" s="560">
        <f t="shared" si="111"/>
        <v>28</v>
      </c>
      <c r="H5060" s="362"/>
      <c r="I5060" s="362"/>
      <c r="J5060" s="362"/>
    </row>
    <row r="5061" spans="1:10" x14ac:dyDescent="0.25">
      <c r="A5061" s="362"/>
      <c r="B5061" s="609">
        <v>44415</v>
      </c>
      <c r="C5061" s="362" t="s">
        <v>4751</v>
      </c>
      <c r="D5061" s="560">
        <v>215416333</v>
      </c>
      <c r="E5061" s="560">
        <v>7065267</v>
      </c>
      <c r="F5061" s="560">
        <v>222481600</v>
      </c>
      <c r="G5061" s="560">
        <f t="shared" si="111"/>
        <v>0</v>
      </c>
      <c r="H5061" s="362"/>
      <c r="I5061" s="362"/>
      <c r="J5061" s="362"/>
    </row>
    <row r="5062" spans="1:10" x14ac:dyDescent="0.25">
      <c r="A5062" s="362"/>
      <c r="B5062" s="609">
        <v>44415</v>
      </c>
      <c r="C5062" s="362" t="s">
        <v>166</v>
      </c>
      <c r="D5062" s="560"/>
      <c r="E5062" s="560"/>
      <c r="F5062" s="560"/>
      <c r="G5062" s="560">
        <f t="shared" si="111"/>
        <v>0</v>
      </c>
      <c r="H5062" s="362"/>
      <c r="I5062" s="362"/>
      <c r="J5062" s="362"/>
    </row>
    <row r="5063" spans="1:10" x14ac:dyDescent="0.25">
      <c r="A5063" s="362"/>
      <c r="B5063" s="609">
        <v>44415</v>
      </c>
      <c r="C5063" s="362" t="s">
        <v>3435</v>
      </c>
      <c r="D5063" s="560"/>
      <c r="E5063" s="560"/>
      <c r="F5063" s="560"/>
      <c r="G5063" s="560">
        <f t="shared" si="111"/>
        <v>0</v>
      </c>
      <c r="H5063" s="362"/>
      <c r="I5063" s="362"/>
      <c r="J5063" s="362"/>
    </row>
    <row r="5064" spans="1:10" x14ac:dyDescent="0.25">
      <c r="A5064" s="362"/>
      <c r="B5064" s="609">
        <v>44415</v>
      </c>
      <c r="C5064" s="370" t="s">
        <v>85</v>
      </c>
      <c r="D5064" s="560">
        <v>28515700</v>
      </c>
      <c r="E5064" s="560"/>
      <c r="F5064" s="560">
        <v>28717200</v>
      </c>
      <c r="G5064" s="560">
        <f t="shared" si="111"/>
        <v>-201500</v>
      </c>
      <c r="H5064" s="362"/>
      <c r="I5064" s="362"/>
      <c r="J5064" s="362"/>
    </row>
    <row r="5065" spans="1:10" x14ac:dyDescent="0.25">
      <c r="A5065" s="530"/>
      <c r="B5065" s="530"/>
      <c r="C5065" s="530"/>
      <c r="D5065" s="562">
        <f>SUM(D5050:D5064)</f>
        <v>1821173208</v>
      </c>
      <c r="E5065" s="562">
        <f>SUM(E5050:E5064)</f>
        <v>384132583</v>
      </c>
      <c r="F5065" s="562">
        <f>SUM(F5050:F5064)</f>
        <v>2205553900</v>
      </c>
      <c r="G5065" s="562">
        <f>SUM(G5050:G5064)</f>
        <v>-248109</v>
      </c>
      <c r="H5065" s="530"/>
      <c r="I5065" s="530"/>
      <c r="J5065" s="530"/>
    </row>
    <row r="5066" spans="1:10" x14ac:dyDescent="0.25">
      <c r="A5066" s="362"/>
      <c r="B5066" s="609">
        <v>44417</v>
      </c>
      <c r="C5066" s="362" t="s">
        <v>86</v>
      </c>
      <c r="D5066" s="560">
        <v>34139846</v>
      </c>
      <c r="E5066" s="560">
        <v>59923982</v>
      </c>
      <c r="F5066" s="560">
        <v>94063700</v>
      </c>
      <c r="G5066" s="560">
        <f t="shared" si="111"/>
        <v>128</v>
      </c>
      <c r="H5066" s="362"/>
      <c r="I5066" s="362"/>
      <c r="J5066" s="362"/>
    </row>
    <row r="5067" spans="1:10" x14ac:dyDescent="0.25">
      <c r="A5067" s="362"/>
      <c r="B5067" s="609">
        <v>44417</v>
      </c>
      <c r="C5067" s="362" t="s">
        <v>87</v>
      </c>
      <c r="D5067" s="560">
        <v>146762116</v>
      </c>
      <c r="E5067" s="560">
        <v>135112882</v>
      </c>
      <c r="F5067" s="560">
        <v>281875000</v>
      </c>
      <c r="G5067" s="560">
        <f t="shared" si="111"/>
        <v>-2</v>
      </c>
      <c r="H5067" s="362"/>
      <c r="I5067" s="362"/>
      <c r="J5067" s="362"/>
    </row>
    <row r="5068" spans="1:10" x14ac:dyDescent="0.25">
      <c r="A5068" s="362"/>
      <c r="B5068" s="609">
        <v>44417</v>
      </c>
      <c r="C5068" s="362" t="s">
        <v>88</v>
      </c>
      <c r="D5068" s="560">
        <v>196236691</v>
      </c>
      <c r="E5068" s="560">
        <v>126978044</v>
      </c>
      <c r="F5068" s="560">
        <v>323214800</v>
      </c>
      <c r="G5068" s="560">
        <f t="shared" ref="G5068:G5131" si="112">D5068+E5068-F5068</f>
        <v>-65</v>
      </c>
      <c r="H5068" s="362"/>
      <c r="I5068" s="362"/>
      <c r="J5068" s="362"/>
    </row>
    <row r="5069" spans="1:10" x14ac:dyDescent="0.25">
      <c r="A5069" s="362"/>
      <c r="B5069" s="609">
        <v>44417</v>
      </c>
      <c r="C5069" s="362" t="s">
        <v>82</v>
      </c>
      <c r="D5069" s="560">
        <v>42231372</v>
      </c>
      <c r="E5069" s="560">
        <v>3330832</v>
      </c>
      <c r="F5069" s="560">
        <v>45562300</v>
      </c>
      <c r="G5069" s="560">
        <f t="shared" si="112"/>
        <v>-96</v>
      </c>
      <c r="H5069" s="362"/>
      <c r="I5069" s="362"/>
      <c r="J5069" s="362"/>
    </row>
    <row r="5070" spans="1:10" x14ac:dyDescent="0.25">
      <c r="A5070" s="362"/>
      <c r="B5070" s="609">
        <v>44417</v>
      </c>
      <c r="C5070" s="362" t="s">
        <v>80</v>
      </c>
      <c r="D5070" s="560">
        <v>301021836</v>
      </c>
      <c r="E5070" s="560">
        <v>3725964</v>
      </c>
      <c r="F5070" s="560">
        <v>304747800</v>
      </c>
      <c r="G5070" s="560">
        <f t="shared" si="112"/>
        <v>0</v>
      </c>
      <c r="H5070" s="362"/>
      <c r="I5070" s="362"/>
      <c r="J5070" s="362"/>
    </row>
    <row r="5071" spans="1:10" x14ac:dyDescent="0.25">
      <c r="A5071" s="362"/>
      <c r="B5071" s="609">
        <v>44417</v>
      </c>
      <c r="C5071" s="362" t="s">
        <v>83</v>
      </c>
      <c r="D5071" s="560">
        <v>256539444</v>
      </c>
      <c r="E5071" s="560">
        <v>445679756</v>
      </c>
      <c r="F5071" s="560">
        <v>702219200</v>
      </c>
      <c r="G5071" s="560">
        <f t="shared" si="112"/>
        <v>0</v>
      </c>
      <c r="H5071" s="362"/>
      <c r="I5071" s="362"/>
      <c r="J5071" s="362"/>
    </row>
    <row r="5072" spans="1:10" x14ac:dyDescent="0.25">
      <c r="A5072" s="362"/>
      <c r="B5072" s="609">
        <v>44417</v>
      </c>
      <c r="C5072" s="362" t="s">
        <v>78</v>
      </c>
      <c r="D5072" s="560">
        <v>75039563</v>
      </c>
      <c r="E5072" s="560">
        <v>2063737</v>
      </c>
      <c r="F5072" s="560">
        <v>77103300</v>
      </c>
      <c r="G5072" s="560">
        <f t="shared" si="112"/>
        <v>0</v>
      </c>
      <c r="H5072" s="362"/>
      <c r="I5072" s="362"/>
      <c r="J5072" s="362"/>
    </row>
    <row r="5073" spans="1:10" x14ac:dyDescent="0.25">
      <c r="A5073" s="362"/>
      <c r="B5073" s="609">
        <v>44417</v>
      </c>
      <c r="C5073" s="362" t="s">
        <v>141</v>
      </c>
      <c r="D5073" s="560">
        <v>43148810</v>
      </c>
      <c r="E5073" s="560">
        <v>483615</v>
      </c>
      <c r="F5073" s="560">
        <v>43632300</v>
      </c>
      <c r="G5073" s="560">
        <f t="shared" si="112"/>
        <v>125</v>
      </c>
      <c r="H5073" s="362"/>
      <c r="I5073" s="362"/>
      <c r="J5073" s="362"/>
    </row>
    <row r="5074" spans="1:10" x14ac:dyDescent="0.25">
      <c r="A5074" s="362"/>
      <c r="B5074" s="609">
        <v>44417</v>
      </c>
      <c r="C5074" s="362" t="s">
        <v>89</v>
      </c>
      <c r="D5074" s="560">
        <v>133030099</v>
      </c>
      <c r="E5074" s="560">
        <v>64856001</v>
      </c>
      <c r="F5074" s="560">
        <v>197886100</v>
      </c>
      <c r="G5074" s="560">
        <f t="shared" si="112"/>
        <v>0</v>
      </c>
      <c r="H5074" s="362"/>
      <c r="I5074" s="362"/>
      <c r="J5074" s="362"/>
    </row>
    <row r="5075" spans="1:10" x14ac:dyDescent="0.25">
      <c r="A5075" s="362"/>
      <c r="B5075" s="609">
        <v>44417</v>
      </c>
      <c r="C5075" s="362" t="s">
        <v>81</v>
      </c>
      <c r="D5075" s="560">
        <v>132168833</v>
      </c>
      <c r="E5075" s="560">
        <v>32973966</v>
      </c>
      <c r="F5075" s="560">
        <v>165142800</v>
      </c>
      <c r="G5075" s="560">
        <f t="shared" si="112"/>
        <v>-1</v>
      </c>
      <c r="H5075" s="362"/>
      <c r="I5075" s="362"/>
      <c r="J5075" s="362"/>
    </row>
    <row r="5076" spans="1:10" x14ac:dyDescent="0.25">
      <c r="A5076" s="362"/>
      <c r="B5076" s="609">
        <v>44417</v>
      </c>
      <c r="C5076" s="362" t="s">
        <v>84</v>
      </c>
      <c r="D5076" s="560">
        <v>189593945</v>
      </c>
      <c r="E5076" s="560">
        <v>9368474</v>
      </c>
      <c r="F5076" s="560">
        <v>198962500</v>
      </c>
      <c r="G5076" s="560">
        <f t="shared" si="112"/>
        <v>-81</v>
      </c>
      <c r="H5076" s="362"/>
      <c r="I5076" s="362"/>
      <c r="J5076" s="362"/>
    </row>
    <row r="5077" spans="1:10" x14ac:dyDescent="0.25">
      <c r="A5077" s="362"/>
      <c r="B5077" s="609">
        <v>44417</v>
      </c>
      <c r="C5077" s="362" t="s">
        <v>4751</v>
      </c>
      <c r="D5077" s="560">
        <v>246938252</v>
      </c>
      <c r="E5077" s="560">
        <v>7578748</v>
      </c>
      <c r="F5077" s="560">
        <v>254517000</v>
      </c>
      <c r="G5077" s="560">
        <f t="shared" si="112"/>
        <v>0</v>
      </c>
      <c r="H5077" s="362"/>
      <c r="I5077" s="362"/>
      <c r="J5077" s="362"/>
    </row>
    <row r="5078" spans="1:10" x14ac:dyDescent="0.25">
      <c r="A5078" s="362"/>
      <c r="B5078" s="609">
        <v>44417</v>
      </c>
      <c r="C5078" s="362" t="s">
        <v>166</v>
      </c>
      <c r="D5078" s="560">
        <v>70476788</v>
      </c>
      <c r="E5078" s="560"/>
      <c r="F5078" s="560">
        <v>70476900</v>
      </c>
      <c r="G5078" s="560">
        <f t="shared" si="112"/>
        <v>-112</v>
      </c>
      <c r="H5078" s="362"/>
      <c r="I5078" s="362"/>
      <c r="J5078" s="362"/>
    </row>
    <row r="5079" spans="1:10" x14ac:dyDescent="0.25">
      <c r="A5079" s="362"/>
      <c r="B5079" s="609">
        <v>44417</v>
      </c>
      <c r="C5079" s="362" t="s">
        <v>3435</v>
      </c>
      <c r="D5079" s="560">
        <v>54346692</v>
      </c>
      <c r="E5079" s="560"/>
      <c r="F5079" s="560">
        <v>54346700</v>
      </c>
      <c r="G5079" s="560">
        <f t="shared" si="112"/>
        <v>-8</v>
      </c>
      <c r="H5079" s="362"/>
      <c r="I5079" s="362"/>
      <c r="J5079" s="362"/>
    </row>
    <row r="5080" spans="1:10" x14ac:dyDescent="0.25">
      <c r="A5080" s="362"/>
      <c r="B5080" s="609">
        <v>44417</v>
      </c>
      <c r="C5080" s="370" t="s">
        <v>85</v>
      </c>
      <c r="D5080" s="560">
        <v>43512300</v>
      </c>
      <c r="E5080" s="560"/>
      <c r="F5080" s="560">
        <v>43512300</v>
      </c>
      <c r="G5080" s="560">
        <f t="shared" si="112"/>
        <v>0</v>
      </c>
      <c r="H5080" s="362"/>
      <c r="I5080" s="362"/>
      <c r="J5080" s="362"/>
    </row>
    <row r="5081" spans="1:10" x14ac:dyDescent="0.25">
      <c r="A5081" s="530"/>
      <c r="B5081" s="530"/>
      <c r="C5081" s="530"/>
      <c r="D5081" s="562">
        <f>SUM(D5066:D5080)</f>
        <v>1965186587</v>
      </c>
      <c r="E5081" s="562">
        <f>SUM(E5066:E5080)</f>
        <v>892076001</v>
      </c>
      <c r="F5081" s="562">
        <f>SUM(F5066:F5080)</f>
        <v>2857262700</v>
      </c>
      <c r="G5081" s="562">
        <f>SUM(G5066:G5080)</f>
        <v>-112</v>
      </c>
      <c r="H5081" s="530"/>
      <c r="I5081" s="530"/>
      <c r="J5081" s="530"/>
    </row>
    <row r="5082" spans="1:10" x14ac:dyDescent="0.25">
      <c r="A5082" s="362"/>
      <c r="B5082" s="609">
        <v>44418</v>
      </c>
      <c r="C5082" s="362" t="s">
        <v>86</v>
      </c>
      <c r="D5082" s="560">
        <v>79258861</v>
      </c>
      <c r="E5082" s="560">
        <v>132116804</v>
      </c>
      <c r="F5082" s="560">
        <v>211375700</v>
      </c>
      <c r="G5082" s="560">
        <f t="shared" si="112"/>
        <v>-35</v>
      </c>
      <c r="H5082" s="362"/>
      <c r="I5082" s="362"/>
      <c r="J5082" s="362"/>
    </row>
    <row r="5083" spans="1:10" x14ac:dyDescent="0.25">
      <c r="A5083" s="362"/>
      <c r="B5083" s="609">
        <v>44418</v>
      </c>
      <c r="C5083" s="362" t="s">
        <v>87</v>
      </c>
      <c r="D5083" s="560">
        <v>64851263</v>
      </c>
      <c r="E5083" s="560">
        <v>57943676</v>
      </c>
      <c r="F5083" s="560">
        <v>122795000</v>
      </c>
      <c r="G5083" s="560">
        <f t="shared" si="112"/>
        <v>-61</v>
      </c>
      <c r="H5083" s="362"/>
      <c r="I5083" s="362"/>
      <c r="J5083" s="362"/>
    </row>
    <row r="5084" spans="1:10" x14ac:dyDescent="0.25">
      <c r="A5084" s="362"/>
      <c r="B5084" s="609">
        <v>44418</v>
      </c>
      <c r="C5084" s="362" t="s">
        <v>88</v>
      </c>
      <c r="D5084" s="560">
        <v>178046963</v>
      </c>
      <c r="E5084" s="560">
        <v>38945850</v>
      </c>
      <c r="F5084" s="560">
        <v>216992900</v>
      </c>
      <c r="G5084" s="560">
        <f t="shared" si="112"/>
        <v>-87</v>
      </c>
      <c r="H5084" s="362"/>
      <c r="I5084" s="362"/>
      <c r="J5084" s="362"/>
    </row>
    <row r="5085" spans="1:10" x14ac:dyDescent="0.25">
      <c r="A5085" s="362"/>
      <c r="B5085" s="609">
        <v>44418</v>
      </c>
      <c r="C5085" s="362" t="s">
        <v>82</v>
      </c>
      <c r="D5085" s="560">
        <v>71296771</v>
      </c>
      <c r="E5085" s="560">
        <v>9122572</v>
      </c>
      <c r="F5085" s="560">
        <v>80419400</v>
      </c>
      <c r="G5085" s="560">
        <f t="shared" si="112"/>
        <v>-57</v>
      </c>
      <c r="H5085" s="362"/>
      <c r="I5085" s="362"/>
      <c r="J5085" s="362"/>
    </row>
    <row r="5086" spans="1:10" x14ac:dyDescent="0.25">
      <c r="A5086" s="362"/>
      <c r="B5086" s="609">
        <v>44418</v>
      </c>
      <c r="C5086" s="362" t="s">
        <v>80</v>
      </c>
      <c r="D5086" s="560">
        <v>289348930</v>
      </c>
      <c r="E5086" s="560"/>
      <c r="F5086" s="560">
        <v>289349000</v>
      </c>
      <c r="G5086" s="560">
        <f t="shared" si="112"/>
        <v>-70</v>
      </c>
      <c r="H5086" s="362"/>
      <c r="I5086" s="362"/>
      <c r="J5086" s="362"/>
    </row>
    <row r="5087" spans="1:10" x14ac:dyDescent="0.25">
      <c r="A5087" s="362"/>
      <c r="B5087" s="609">
        <v>44418</v>
      </c>
      <c r="C5087" s="362" t="s">
        <v>83</v>
      </c>
      <c r="D5087" s="560">
        <v>330573497</v>
      </c>
      <c r="E5087" s="560">
        <v>14186240</v>
      </c>
      <c r="F5087" s="560">
        <v>344759800</v>
      </c>
      <c r="G5087" s="560">
        <f t="shared" si="112"/>
        <v>-63</v>
      </c>
      <c r="H5087" s="362"/>
      <c r="I5087" s="362"/>
      <c r="J5087" s="362"/>
    </row>
    <row r="5088" spans="1:10" x14ac:dyDescent="0.25">
      <c r="A5088" s="362"/>
      <c r="B5088" s="609">
        <v>44418</v>
      </c>
      <c r="C5088" s="362" t="s">
        <v>78</v>
      </c>
      <c r="D5088" s="560">
        <v>76913706</v>
      </c>
      <c r="E5088" s="560">
        <v>463694</v>
      </c>
      <c r="F5088" s="560">
        <v>77377400</v>
      </c>
      <c r="G5088" s="560">
        <f t="shared" si="112"/>
        <v>0</v>
      </c>
      <c r="H5088" s="362"/>
      <c r="I5088" s="362"/>
      <c r="J5088" s="362"/>
    </row>
    <row r="5089" spans="1:10" x14ac:dyDescent="0.25">
      <c r="A5089" s="362"/>
      <c r="B5089" s="609">
        <v>44418</v>
      </c>
      <c r="C5089" s="362" t="s">
        <v>141</v>
      </c>
      <c r="D5089" s="560">
        <v>91690801</v>
      </c>
      <c r="E5089" s="560">
        <v>6968519</v>
      </c>
      <c r="F5089" s="560">
        <v>98659400</v>
      </c>
      <c r="G5089" s="560">
        <f t="shared" si="112"/>
        <v>-80</v>
      </c>
      <c r="H5089" s="362"/>
      <c r="I5089" s="362"/>
      <c r="J5089" s="362"/>
    </row>
    <row r="5090" spans="1:10" x14ac:dyDescent="0.25">
      <c r="A5090" s="362"/>
      <c r="B5090" s="609">
        <v>44418</v>
      </c>
      <c r="C5090" s="362" t="s">
        <v>89</v>
      </c>
      <c r="D5090" s="560">
        <v>165721627</v>
      </c>
      <c r="E5090" s="560">
        <v>12036773</v>
      </c>
      <c r="F5090" s="560">
        <v>177758400</v>
      </c>
      <c r="G5090" s="560">
        <f t="shared" si="112"/>
        <v>0</v>
      </c>
      <c r="H5090" s="362"/>
      <c r="I5090" s="362"/>
      <c r="J5090" s="362"/>
    </row>
    <row r="5091" spans="1:10" x14ac:dyDescent="0.25">
      <c r="A5091" s="362"/>
      <c r="B5091" s="609">
        <v>44418</v>
      </c>
      <c r="C5091" s="362" t="s">
        <v>81</v>
      </c>
      <c r="D5091" s="560">
        <v>105353645</v>
      </c>
      <c r="E5091" s="560">
        <v>50354233</v>
      </c>
      <c r="F5091" s="560">
        <v>155707900</v>
      </c>
      <c r="G5091" s="560">
        <f t="shared" si="112"/>
        <v>-22</v>
      </c>
      <c r="H5091" s="362"/>
      <c r="I5091" s="362"/>
      <c r="J5091" s="362"/>
    </row>
    <row r="5092" spans="1:10" x14ac:dyDescent="0.25">
      <c r="A5092" s="362"/>
      <c r="B5092" s="609">
        <v>44418</v>
      </c>
      <c r="C5092" s="362" t="s">
        <v>84</v>
      </c>
      <c r="D5092" s="560">
        <v>243785526</v>
      </c>
      <c r="E5092" s="560">
        <v>64201581</v>
      </c>
      <c r="F5092" s="560">
        <v>307987100</v>
      </c>
      <c r="G5092" s="560">
        <f t="shared" si="112"/>
        <v>7</v>
      </c>
      <c r="H5092" s="362"/>
      <c r="I5092" s="362"/>
      <c r="J5092" s="362"/>
    </row>
    <row r="5093" spans="1:10" x14ac:dyDescent="0.25">
      <c r="A5093" s="362"/>
      <c r="B5093" s="609">
        <v>44418</v>
      </c>
      <c r="C5093" s="362" t="s">
        <v>4751</v>
      </c>
      <c r="D5093" s="560">
        <v>225057449</v>
      </c>
      <c r="E5093" s="560">
        <v>6040951</v>
      </c>
      <c r="F5093" s="560">
        <v>231098400</v>
      </c>
      <c r="G5093" s="560">
        <f t="shared" si="112"/>
        <v>0</v>
      </c>
      <c r="H5093" s="362"/>
      <c r="I5093" s="362"/>
      <c r="J5093" s="362"/>
    </row>
    <row r="5094" spans="1:10" x14ac:dyDescent="0.25">
      <c r="A5094" s="362"/>
      <c r="B5094" s="609">
        <v>44418</v>
      </c>
      <c r="C5094" s="362" t="s">
        <v>166</v>
      </c>
      <c r="D5094" s="560">
        <v>74761636</v>
      </c>
      <c r="E5094" s="560"/>
      <c r="F5094" s="560">
        <v>74762000</v>
      </c>
      <c r="G5094" s="560">
        <f t="shared" si="112"/>
        <v>-364</v>
      </c>
      <c r="H5094" s="362"/>
      <c r="I5094" s="362"/>
      <c r="J5094" s="362"/>
    </row>
    <row r="5095" spans="1:10" x14ac:dyDescent="0.25">
      <c r="A5095" s="362"/>
      <c r="B5095" s="609">
        <v>44418</v>
      </c>
      <c r="C5095" s="362" t="s">
        <v>3435</v>
      </c>
      <c r="D5095" s="560">
        <v>31989286</v>
      </c>
      <c r="E5095" s="560"/>
      <c r="F5095" s="560">
        <v>31989300</v>
      </c>
      <c r="G5095" s="560">
        <f t="shared" si="112"/>
        <v>-14</v>
      </c>
      <c r="H5095" s="362"/>
      <c r="I5095" s="362"/>
      <c r="J5095" s="362"/>
    </row>
    <row r="5096" spans="1:10" x14ac:dyDescent="0.25">
      <c r="A5096" s="362"/>
      <c r="B5096" s="609">
        <v>44418</v>
      </c>
      <c r="C5096" s="370" t="s">
        <v>85</v>
      </c>
      <c r="D5096" s="560">
        <v>33084700</v>
      </c>
      <c r="E5096" s="560"/>
      <c r="F5096" s="560">
        <v>33084700</v>
      </c>
      <c r="G5096" s="560">
        <f t="shared" si="112"/>
        <v>0</v>
      </c>
      <c r="H5096" s="362"/>
      <c r="I5096" s="362"/>
      <c r="J5096" s="362"/>
    </row>
    <row r="5097" spans="1:10" x14ac:dyDescent="0.25">
      <c r="A5097" s="530"/>
      <c r="B5097" s="530"/>
      <c r="C5097" s="530"/>
      <c r="D5097" s="562">
        <f>SUM(D5082:D5096)</f>
        <v>2061734661</v>
      </c>
      <c r="E5097" s="562">
        <f>SUM(E5082:E5096)</f>
        <v>392380893</v>
      </c>
      <c r="F5097" s="562">
        <f>SUM(F5082:F5096)</f>
        <v>2454116400</v>
      </c>
      <c r="G5097" s="562">
        <f>SUM(G5082:G5096)</f>
        <v>-846</v>
      </c>
      <c r="H5097" s="530"/>
      <c r="I5097" s="530"/>
      <c r="J5097" s="530"/>
    </row>
    <row r="5098" spans="1:10" x14ac:dyDescent="0.25">
      <c r="A5098" s="362"/>
      <c r="B5098" s="609">
        <v>44419</v>
      </c>
      <c r="C5098" s="362" t="s">
        <v>86</v>
      </c>
      <c r="D5098" s="560">
        <v>81197068</v>
      </c>
      <c r="E5098" s="560">
        <v>16758388</v>
      </c>
      <c r="F5098" s="560">
        <v>97955400</v>
      </c>
      <c r="G5098" s="560">
        <f t="shared" si="112"/>
        <v>56</v>
      </c>
      <c r="H5098" s="362"/>
      <c r="I5098" s="362"/>
      <c r="J5098" s="362"/>
    </row>
    <row r="5099" spans="1:10" x14ac:dyDescent="0.25">
      <c r="A5099" s="362"/>
      <c r="B5099" s="609">
        <v>44419</v>
      </c>
      <c r="C5099" s="362" t="s">
        <v>87</v>
      </c>
      <c r="D5099" s="560">
        <v>199594904</v>
      </c>
      <c r="E5099" s="560">
        <v>109281838</v>
      </c>
      <c r="F5099" s="560">
        <v>308876600</v>
      </c>
      <c r="G5099" s="560">
        <f t="shared" si="112"/>
        <v>142</v>
      </c>
      <c r="H5099" s="362"/>
      <c r="I5099" s="362"/>
      <c r="J5099" s="362"/>
    </row>
    <row r="5100" spans="1:10" x14ac:dyDescent="0.25">
      <c r="A5100" s="362"/>
      <c r="B5100" s="609">
        <v>44419</v>
      </c>
      <c r="C5100" s="362" t="s">
        <v>88</v>
      </c>
      <c r="D5100" s="560">
        <v>333412976</v>
      </c>
      <c r="E5100" s="560">
        <v>2298937</v>
      </c>
      <c r="F5100" s="560">
        <v>335712000</v>
      </c>
      <c r="G5100" s="560">
        <f t="shared" si="112"/>
        <v>-87</v>
      </c>
      <c r="H5100" s="362"/>
      <c r="I5100" s="362"/>
      <c r="J5100" s="362"/>
    </row>
    <row r="5101" spans="1:10" x14ac:dyDescent="0.25">
      <c r="A5101" s="362"/>
      <c r="B5101" s="609">
        <v>44419</v>
      </c>
      <c r="C5101" s="362" t="s">
        <v>82</v>
      </c>
      <c r="D5101" s="560">
        <v>97967770</v>
      </c>
      <c r="E5101" s="560">
        <v>460698</v>
      </c>
      <c r="F5101" s="560">
        <v>98428500</v>
      </c>
      <c r="G5101" s="560">
        <f t="shared" si="112"/>
        <v>-32</v>
      </c>
      <c r="H5101" s="362"/>
      <c r="I5101" s="362"/>
      <c r="J5101" s="362"/>
    </row>
    <row r="5102" spans="1:10" x14ac:dyDescent="0.25">
      <c r="A5102" s="362"/>
      <c r="B5102" s="609">
        <v>44419</v>
      </c>
      <c r="C5102" s="362" t="s">
        <v>80</v>
      </c>
      <c r="D5102" s="560">
        <v>291356287</v>
      </c>
      <c r="E5102" s="560"/>
      <c r="F5102" s="560">
        <v>291351300</v>
      </c>
      <c r="G5102" s="560">
        <f t="shared" si="112"/>
        <v>4987</v>
      </c>
      <c r="H5102" s="362"/>
      <c r="I5102" s="362"/>
      <c r="J5102" s="362"/>
    </row>
    <row r="5103" spans="1:10" x14ac:dyDescent="0.25">
      <c r="A5103" s="362"/>
      <c r="B5103" s="609">
        <v>44419</v>
      </c>
      <c r="C5103" s="362" t="s">
        <v>83</v>
      </c>
      <c r="D5103" s="560">
        <v>195926181</v>
      </c>
      <c r="E5103" s="560">
        <v>10754773</v>
      </c>
      <c r="F5103" s="560">
        <v>206681000</v>
      </c>
      <c r="G5103" s="560">
        <f t="shared" si="112"/>
        <v>-46</v>
      </c>
      <c r="H5103" s="362"/>
      <c r="I5103" s="362"/>
      <c r="J5103" s="362"/>
    </row>
    <row r="5104" spans="1:10" x14ac:dyDescent="0.25">
      <c r="A5104" s="362"/>
      <c r="B5104" s="609">
        <v>44419</v>
      </c>
      <c r="C5104" s="362" t="s">
        <v>78</v>
      </c>
      <c r="D5104" s="560">
        <v>115795196</v>
      </c>
      <c r="E5104" s="560">
        <v>2182604</v>
      </c>
      <c r="F5104" s="560">
        <v>117977800</v>
      </c>
      <c r="G5104" s="560">
        <f t="shared" si="112"/>
        <v>0</v>
      </c>
      <c r="H5104" s="362"/>
      <c r="I5104" s="362"/>
      <c r="J5104" s="362"/>
    </row>
    <row r="5105" spans="1:10" x14ac:dyDescent="0.25">
      <c r="A5105" s="362"/>
      <c r="B5105" s="609">
        <v>44419</v>
      </c>
      <c r="C5105" s="362" t="s">
        <v>141</v>
      </c>
      <c r="D5105" s="560">
        <v>85580800</v>
      </c>
      <c r="E5105" s="560"/>
      <c r="F5105" s="560">
        <v>85580800</v>
      </c>
      <c r="G5105" s="560">
        <f t="shared" si="112"/>
        <v>0</v>
      </c>
      <c r="H5105" s="362"/>
      <c r="I5105" s="362"/>
      <c r="J5105" s="362"/>
    </row>
    <row r="5106" spans="1:10" x14ac:dyDescent="0.25">
      <c r="A5106" s="362"/>
      <c r="B5106" s="609">
        <v>44419</v>
      </c>
      <c r="C5106" s="362" t="s">
        <v>89</v>
      </c>
      <c r="D5106" s="560">
        <v>143880979</v>
      </c>
      <c r="E5106" s="560">
        <v>49599621</v>
      </c>
      <c r="F5106" s="560">
        <v>193480600</v>
      </c>
      <c r="G5106" s="560">
        <f t="shared" si="112"/>
        <v>0</v>
      </c>
      <c r="H5106" s="362"/>
      <c r="I5106" s="362"/>
      <c r="J5106" s="362"/>
    </row>
    <row r="5107" spans="1:10" x14ac:dyDescent="0.25">
      <c r="A5107" s="362"/>
      <c r="B5107" s="609">
        <v>44419</v>
      </c>
      <c r="C5107" s="362" t="s">
        <v>81</v>
      </c>
      <c r="D5107" s="560">
        <v>129238329</v>
      </c>
      <c r="E5107" s="560">
        <v>40151814</v>
      </c>
      <c r="F5107" s="560">
        <v>169390200</v>
      </c>
      <c r="G5107" s="560">
        <f t="shared" si="112"/>
        <v>-57</v>
      </c>
      <c r="H5107" s="362"/>
      <c r="I5107" s="362"/>
      <c r="J5107" s="362"/>
    </row>
    <row r="5108" spans="1:10" x14ac:dyDescent="0.25">
      <c r="A5108" s="362"/>
      <c r="B5108" s="609">
        <v>44419</v>
      </c>
      <c r="C5108" s="362" t="s">
        <v>84</v>
      </c>
      <c r="D5108" s="560">
        <v>332128825</v>
      </c>
      <c r="E5108" s="560">
        <v>7248202</v>
      </c>
      <c r="F5108" s="560">
        <v>339377000</v>
      </c>
      <c r="G5108" s="560">
        <f t="shared" si="112"/>
        <v>27</v>
      </c>
      <c r="H5108" s="362"/>
      <c r="I5108" s="362"/>
      <c r="J5108" s="362"/>
    </row>
    <row r="5109" spans="1:10" x14ac:dyDescent="0.25">
      <c r="A5109" s="362"/>
      <c r="B5109" s="609">
        <v>44419</v>
      </c>
      <c r="C5109" s="362" t="s">
        <v>4751</v>
      </c>
      <c r="D5109" s="560">
        <v>203901655</v>
      </c>
      <c r="E5109" s="560">
        <v>5947245</v>
      </c>
      <c r="F5109" s="560">
        <v>209848900</v>
      </c>
      <c r="G5109" s="560">
        <f t="shared" si="112"/>
        <v>0</v>
      </c>
      <c r="H5109" s="362"/>
      <c r="I5109" s="362"/>
      <c r="J5109" s="362"/>
    </row>
    <row r="5110" spans="1:10" x14ac:dyDescent="0.25">
      <c r="A5110" s="362"/>
      <c r="B5110" s="609">
        <v>44419</v>
      </c>
      <c r="C5110" s="362" t="s">
        <v>166</v>
      </c>
      <c r="D5110" s="560">
        <v>66221974</v>
      </c>
      <c r="E5110" s="560"/>
      <c r="F5110" s="560">
        <v>66222000</v>
      </c>
      <c r="G5110" s="560">
        <f t="shared" si="112"/>
        <v>-26</v>
      </c>
      <c r="H5110" s="362"/>
      <c r="I5110" s="362"/>
      <c r="J5110" s="362"/>
    </row>
    <row r="5111" spans="1:10" x14ac:dyDescent="0.25">
      <c r="A5111" s="362"/>
      <c r="B5111" s="609">
        <v>44419</v>
      </c>
      <c r="C5111" s="362" t="s">
        <v>3435</v>
      </c>
      <c r="D5111" s="560">
        <v>249031265</v>
      </c>
      <c r="E5111" s="560"/>
      <c r="F5111" s="560">
        <v>249031300</v>
      </c>
      <c r="G5111" s="560">
        <f t="shared" si="112"/>
        <v>-35</v>
      </c>
      <c r="H5111" s="362"/>
      <c r="I5111" s="362"/>
      <c r="J5111" s="362"/>
    </row>
    <row r="5112" spans="1:10" x14ac:dyDescent="0.25">
      <c r="A5112" s="362"/>
      <c r="B5112" s="609">
        <v>44419</v>
      </c>
      <c r="C5112" s="370" t="s">
        <v>85</v>
      </c>
      <c r="D5112" s="560">
        <v>43260300</v>
      </c>
      <c r="E5112" s="560"/>
      <c r="F5112" s="560">
        <v>43260300</v>
      </c>
      <c r="G5112" s="560">
        <f t="shared" si="112"/>
        <v>0</v>
      </c>
      <c r="H5112" s="362"/>
      <c r="I5112" s="362"/>
      <c r="J5112" s="362"/>
    </row>
    <row r="5113" spans="1:10" x14ac:dyDescent="0.25">
      <c r="A5113" s="530"/>
      <c r="B5113" s="530"/>
      <c r="C5113" s="530"/>
      <c r="D5113" s="562">
        <f>SUM(D5098:D5112)</f>
        <v>2568494509</v>
      </c>
      <c r="E5113" s="562">
        <f>SUM(E5098:E5112)</f>
        <v>244684120</v>
      </c>
      <c r="F5113" s="562">
        <f>SUM(F5098:F5112)</f>
        <v>2813173700</v>
      </c>
      <c r="G5113" s="562">
        <f>SUM(G5098:G5112)</f>
        <v>4929</v>
      </c>
      <c r="H5113" s="530"/>
      <c r="I5113" s="530"/>
      <c r="J5113" s="530"/>
    </row>
    <row r="5114" spans="1:10" x14ac:dyDescent="0.25">
      <c r="A5114" s="362"/>
      <c r="B5114" s="609">
        <v>44420</v>
      </c>
      <c r="C5114" s="362" t="s">
        <v>86</v>
      </c>
      <c r="D5114" s="560">
        <v>72776856</v>
      </c>
      <c r="E5114" s="560">
        <v>71114830</v>
      </c>
      <c r="F5114" s="560">
        <v>143891500</v>
      </c>
      <c r="G5114" s="560">
        <f t="shared" si="112"/>
        <v>186</v>
      </c>
      <c r="H5114" s="362"/>
      <c r="I5114" s="362"/>
      <c r="J5114" s="362"/>
    </row>
    <row r="5115" spans="1:10" x14ac:dyDescent="0.25">
      <c r="A5115" s="362"/>
      <c r="B5115" s="609">
        <v>44420</v>
      </c>
      <c r="C5115" s="362" t="s">
        <v>87</v>
      </c>
      <c r="D5115" s="560">
        <v>78136931</v>
      </c>
      <c r="E5115" s="560">
        <v>141882696</v>
      </c>
      <c r="F5115" s="560">
        <v>220019700</v>
      </c>
      <c r="G5115" s="560">
        <f t="shared" si="112"/>
        <v>-73</v>
      </c>
      <c r="H5115" s="362"/>
      <c r="I5115" s="362"/>
      <c r="J5115" s="362"/>
    </row>
    <row r="5116" spans="1:10" x14ac:dyDescent="0.25">
      <c r="A5116" s="362"/>
      <c r="B5116" s="609">
        <v>44420</v>
      </c>
      <c r="C5116" s="362" t="s">
        <v>88</v>
      </c>
      <c r="D5116" s="560">
        <v>195146095</v>
      </c>
      <c r="E5116" s="560">
        <v>2480811</v>
      </c>
      <c r="F5116" s="560">
        <v>197627000</v>
      </c>
      <c r="G5116" s="560">
        <f t="shared" si="112"/>
        <v>-94</v>
      </c>
      <c r="H5116" s="362"/>
      <c r="I5116" s="362"/>
      <c r="J5116" s="362"/>
    </row>
    <row r="5117" spans="1:10" x14ac:dyDescent="0.25">
      <c r="A5117" s="362"/>
      <c r="B5117" s="609">
        <v>44420</v>
      </c>
      <c r="C5117" s="362" t="s">
        <v>82</v>
      </c>
      <c r="D5117" s="560">
        <v>249973805</v>
      </c>
      <c r="E5117" s="560">
        <v>10640600</v>
      </c>
      <c r="F5117" s="560">
        <v>260614500</v>
      </c>
      <c r="G5117" s="560">
        <f t="shared" si="112"/>
        <v>-95</v>
      </c>
      <c r="H5117" s="362"/>
      <c r="I5117" s="362"/>
      <c r="J5117" s="362"/>
    </row>
    <row r="5118" spans="1:10" x14ac:dyDescent="0.25">
      <c r="A5118" s="362"/>
      <c r="B5118" s="609">
        <v>44420</v>
      </c>
      <c r="C5118" s="362" t="s">
        <v>80</v>
      </c>
      <c r="D5118" s="560">
        <v>328437500</v>
      </c>
      <c r="E5118" s="560"/>
      <c r="F5118" s="560">
        <v>328437500</v>
      </c>
      <c r="G5118" s="560">
        <f t="shared" si="112"/>
        <v>0</v>
      </c>
      <c r="H5118" s="362"/>
      <c r="I5118" s="362"/>
      <c r="J5118" s="362"/>
    </row>
    <row r="5119" spans="1:10" x14ac:dyDescent="0.25">
      <c r="A5119" s="362"/>
      <c r="B5119" s="609">
        <v>44420</v>
      </c>
      <c r="C5119" s="362" t="s">
        <v>83</v>
      </c>
      <c r="D5119" s="560">
        <v>300831363</v>
      </c>
      <c r="E5119" s="560">
        <v>14631245</v>
      </c>
      <c r="F5119" s="560">
        <v>315462600</v>
      </c>
      <c r="G5119" s="560">
        <f t="shared" si="112"/>
        <v>8</v>
      </c>
      <c r="H5119" s="362"/>
      <c r="I5119" s="362"/>
      <c r="J5119" s="362"/>
    </row>
    <row r="5120" spans="1:10" x14ac:dyDescent="0.25">
      <c r="A5120" s="362"/>
      <c r="B5120" s="609">
        <v>44420</v>
      </c>
      <c r="C5120" s="362" t="s">
        <v>78</v>
      </c>
      <c r="D5120" s="560">
        <v>240720822</v>
      </c>
      <c r="E5120" s="560">
        <v>3033678</v>
      </c>
      <c r="F5120" s="560">
        <v>243754500</v>
      </c>
      <c r="G5120" s="560">
        <f t="shared" si="112"/>
        <v>0</v>
      </c>
      <c r="H5120" s="362"/>
      <c r="I5120" s="362"/>
      <c r="J5120" s="362"/>
    </row>
    <row r="5121" spans="1:10" x14ac:dyDescent="0.25">
      <c r="A5121" s="362"/>
      <c r="B5121" s="609">
        <v>44420</v>
      </c>
      <c r="C5121" s="362" t="s">
        <v>141</v>
      </c>
      <c r="D5121" s="560">
        <v>78549772</v>
      </c>
      <c r="E5121" s="560">
        <v>2411184</v>
      </c>
      <c r="F5121" s="560">
        <v>80961000</v>
      </c>
      <c r="G5121" s="560">
        <f t="shared" si="112"/>
        <v>-44</v>
      </c>
      <c r="H5121" s="362"/>
      <c r="I5121" s="362"/>
      <c r="J5121" s="362"/>
    </row>
    <row r="5122" spans="1:10" x14ac:dyDescent="0.25">
      <c r="A5122" s="362"/>
      <c r="B5122" s="609">
        <v>44420</v>
      </c>
      <c r="C5122" s="362" t="s">
        <v>89</v>
      </c>
      <c r="D5122" s="560">
        <v>199555276</v>
      </c>
      <c r="E5122" s="560">
        <v>16310924</v>
      </c>
      <c r="F5122" s="560">
        <v>215866200</v>
      </c>
      <c r="G5122" s="560">
        <f t="shared" si="112"/>
        <v>0</v>
      </c>
      <c r="H5122" s="362"/>
      <c r="I5122" s="362"/>
      <c r="J5122" s="362"/>
    </row>
    <row r="5123" spans="1:10" x14ac:dyDescent="0.25">
      <c r="A5123" s="362"/>
      <c r="B5123" s="609">
        <v>44420</v>
      </c>
      <c r="C5123" s="362" t="s">
        <v>81</v>
      </c>
      <c r="D5123" s="560">
        <v>85831005</v>
      </c>
      <c r="E5123" s="560">
        <v>26911046</v>
      </c>
      <c r="F5123" s="560">
        <v>112742100</v>
      </c>
      <c r="G5123" s="560">
        <f t="shared" si="112"/>
        <v>-49</v>
      </c>
      <c r="H5123" s="362"/>
      <c r="I5123" s="362"/>
      <c r="J5123" s="362"/>
    </row>
    <row r="5124" spans="1:10" x14ac:dyDescent="0.25">
      <c r="A5124" s="362"/>
      <c r="B5124" s="609">
        <v>44420</v>
      </c>
      <c r="C5124" s="362" t="s">
        <v>84</v>
      </c>
      <c r="D5124" s="560">
        <v>264750118</v>
      </c>
      <c r="E5124" s="560">
        <v>10982738</v>
      </c>
      <c r="F5124" s="560">
        <v>275733000</v>
      </c>
      <c r="G5124" s="560">
        <f t="shared" si="112"/>
        <v>-144</v>
      </c>
      <c r="H5124" s="362"/>
      <c r="I5124" s="362"/>
      <c r="J5124" s="362"/>
    </row>
    <row r="5125" spans="1:10" x14ac:dyDescent="0.25">
      <c r="A5125" s="362"/>
      <c r="B5125" s="609">
        <v>44420</v>
      </c>
      <c r="C5125" s="362" t="s">
        <v>4751</v>
      </c>
      <c r="D5125" s="560">
        <v>283277316</v>
      </c>
      <c r="E5125" s="560">
        <v>18257784</v>
      </c>
      <c r="F5125" s="560">
        <v>301535100</v>
      </c>
      <c r="G5125" s="560">
        <f t="shared" si="112"/>
        <v>0</v>
      </c>
      <c r="H5125" s="362"/>
      <c r="I5125" s="362"/>
      <c r="J5125" s="362"/>
    </row>
    <row r="5126" spans="1:10" x14ac:dyDescent="0.25">
      <c r="A5126" s="362"/>
      <c r="B5126" s="609">
        <v>44420</v>
      </c>
      <c r="C5126" s="362" t="s">
        <v>166</v>
      </c>
      <c r="D5126" s="560">
        <v>76900886</v>
      </c>
      <c r="E5126" s="560"/>
      <c r="F5126" s="560">
        <v>76900900</v>
      </c>
      <c r="G5126" s="560">
        <f t="shared" si="112"/>
        <v>-14</v>
      </c>
      <c r="H5126" s="362"/>
      <c r="I5126" s="362"/>
      <c r="J5126" s="362"/>
    </row>
    <row r="5127" spans="1:10" x14ac:dyDescent="0.25">
      <c r="A5127" s="362"/>
      <c r="B5127" s="609">
        <v>44420</v>
      </c>
      <c r="C5127" s="362" t="s">
        <v>3435</v>
      </c>
      <c r="D5127" s="560">
        <v>90637145</v>
      </c>
      <c r="E5127" s="560"/>
      <c r="F5127" s="560">
        <v>90637200</v>
      </c>
      <c r="G5127" s="560">
        <f t="shared" si="112"/>
        <v>-55</v>
      </c>
      <c r="H5127" s="362"/>
      <c r="I5127" s="362"/>
      <c r="J5127" s="362"/>
    </row>
    <row r="5128" spans="1:10" x14ac:dyDescent="0.25">
      <c r="A5128" s="362"/>
      <c r="B5128" s="609">
        <v>44420</v>
      </c>
      <c r="C5128" s="370" t="s">
        <v>85</v>
      </c>
      <c r="D5128" s="560">
        <v>30290500</v>
      </c>
      <c r="E5128" s="560"/>
      <c r="F5128" s="560">
        <v>30290500</v>
      </c>
      <c r="G5128" s="560">
        <f t="shared" si="112"/>
        <v>0</v>
      </c>
      <c r="H5128" s="362"/>
      <c r="I5128" s="362"/>
      <c r="J5128" s="362"/>
    </row>
    <row r="5129" spans="1:10" x14ac:dyDescent="0.25">
      <c r="A5129" s="530"/>
      <c r="B5129" s="530"/>
      <c r="C5129" s="530"/>
      <c r="D5129" s="562">
        <f>SUM(D5114:D5128)</f>
        <v>2575815390</v>
      </c>
      <c r="E5129" s="562">
        <f>SUM(E5114:E5128)</f>
        <v>318657536</v>
      </c>
      <c r="F5129" s="562">
        <f>SUM(F5114:F5128)</f>
        <v>2894473300</v>
      </c>
      <c r="G5129" s="562">
        <f>SUM(G5114:G5128)</f>
        <v>-374</v>
      </c>
      <c r="H5129" s="530"/>
      <c r="I5129" s="530"/>
      <c r="J5129" s="530"/>
    </row>
    <row r="5130" spans="1:10" x14ac:dyDescent="0.25">
      <c r="A5130" s="362"/>
      <c r="B5130" s="609">
        <v>44421</v>
      </c>
      <c r="C5130" s="362" t="s">
        <v>86</v>
      </c>
      <c r="D5130" s="560">
        <v>49371536</v>
      </c>
      <c r="E5130" s="560">
        <v>51122274</v>
      </c>
      <c r="F5130" s="560">
        <v>100493800</v>
      </c>
      <c r="G5130" s="560">
        <f t="shared" si="112"/>
        <v>10</v>
      </c>
      <c r="H5130" s="362"/>
      <c r="I5130" s="362"/>
      <c r="J5130" s="362"/>
    </row>
    <row r="5131" spans="1:10" x14ac:dyDescent="0.25">
      <c r="A5131" s="362"/>
      <c r="B5131" s="609">
        <v>44421</v>
      </c>
      <c r="C5131" s="362" t="s">
        <v>87</v>
      </c>
      <c r="D5131" s="560">
        <v>130049847</v>
      </c>
      <c r="E5131" s="560">
        <v>177864377</v>
      </c>
      <c r="F5131" s="560">
        <v>307914300</v>
      </c>
      <c r="G5131" s="560">
        <f t="shared" si="112"/>
        <v>-76</v>
      </c>
      <c r="H5131" s="362"/>
      <c r="I5131" s="362"/>
      <c r="J5131" s="362"/>
    </row>
    <row r="5132" spans="1:10" x14ac:dyDescent="0.25">
      <c r="A5132" s="362"/>
      <c r="B5132" s="609">
        <v>44421</v>
      </c>
      <c r="C5132" s="362" t="s">
        <v>88</v>
      </c>
      <c r="D5132" s="560">
        <v>201188986</v>
      </c>
      <c r="E5132" s="560">
        <v>94318586</v>
      </c>
      <c r="F5132" s="560">
        <v>295507600</v>
      </c>
      <c r="G5132" s="560">
        <f t="shared" ref="G5132:G5194" si="113">D5132+E5132-F5132</f>
        <v>-28</v>
      </c>
      <c r="H5132" s="362"/>
      <c r="I5132" s="362"/>
      <c r="J5132" s="362"/>
    </row>
    <row r="5133" spans="1:10" x14ac:dyDescent="0.25">
      <c r="A5133" s="362"/>
      <c r="B5133" s="609">
        <v>44421</v>
      </c>
      <c r="C5133" s="362" t="s">
        <v>82</v>
      </c>
      <c r="D5133" s="560">
        <v>79088161</v>
      </c>
      <c r="E5133" s="560">
        <v>6783020</v>
      </c>
      <c r="F5133" s="560">
        <v>85871200</v>
      </c>
      <c r="G5133" s="560">
        <f t="shared" si="113"/>
        <v>-19</v>
      </c>
      <c r="H5133" s="362"/>
      <c r="I5133" s="362"/>
      <c r="J5133" s="362"/>
    </row>
    <row r="5134" spans="1:10" x14ac:dyDescent="0.25">
      <c r="A5134" s="362"/>
      <c r="B5134" s="609">
        <v>44421</v>
      </c>
      <c r="C5134" s="362" t="s">
        <v>80</v>
      </c>
      <c r="D5134" s="560">
        <v>266963338</v>
      </c>
      <c r="E5134" s="560"/>
      <c r="F5134" s="560">
        <v>266958200</v>
      </c>
      <c r="G5134" s="560">
        <f t="shared" si="113"/>
        <v>5138</v>
      </c>
      <c r="H5134" s="362"/>
      <c r="I5134" s="362"/>
      <c r="J5134" s="362"/>
    </row>
    <row r="5135" spans="1:10" x14ac:dyDescent="0.25">
      <c r="A5135" s="362"/>
      <c r="B5135" s="609">
        <v>44421</v>
      </c>
      <c r="C5135" s="362" t="s">
        <v>83</v>
      </c>
      <c r="D5135" s="560">
        <v>221960149</v>
      </c>
      <c r="E5135" s="560">
        <v>38186418</v>
      </c>
      <c r="F5135" s="560">
        <v>260146600</v>
      </c>
      <c r="G5135" s="560">
        <f t="shared" si="113"/>
        <v>-33</v>
      </c>
      <c r="H5135" s="362"/>
      <c r="I5135" s="362"/>
      <c r="J5135" s="362"/>
    </row>
    <row r="5136" spans="1:10" x14ac:dyDescent="0.25">
      <c r="A5136" s="362"/>
      <c r="B5136" s="609">
        <v>44421</v>
      </c>
      <c r="C5136" s="362" t="s">
        <v>78</v>
      </c>
      <c r="D5136" s="560">
        <v>80890742</v>
      </c>
      <c r="E5136" s="560">
        <v>5493458</v>
      </c>
      <c r="F5136" s="560">
        <v>86384200</v>
      </c>
      <c r="G5136" s="560">
        <f t="shared" si="113"/>
        <v>0</v>
      </c>
      <c r="H5136" s="362"/>
      <c r="I5136" s="362"/>
      <c r="J5136" s="362"/>
    </row>
    <row r="5137" spans="1:10" x14ac:dyDescent="0.25">
      <c r="A5137" s="362"/>
      <c r="B5137" s="609">
        <v>44421</v>
      </c>
      <c r="C5137" s="362" t="s">
        <v>141</v>
      </c>
      <c r="D5137" s="560">
        <v>43557272</v>
      </c>
      <c r="E5137" s="560">
        <v>12297444</v>
      </c>
      <c r="F5137" s="560">
        <v>55854800</v>
      </c>
      <c r="G5137" s="560">
        <f t="shared" si="113"/>
        <v>-84</v>
      </c>
      <c r="H5137" s="362"/>
      <c r="I5137" s="362"/>
      <c r="J5137" s="362"/>
    </row>
    <row r="5138" spans="1:10" x14ac:dyDescent="0.25">
      <c r="A5138" s="362"/>
      <c r="B5138" s="609">
        <v>44421</v>
      </c>
      <c r="C5138" s="362" t="s">
        <v>89</v>
      </c>
      <c r="D5138" s="560">
        <v>168964578</v>
      </c>
      <c r="E5138" s="560">
        <v>25091122</v>
      </c>
      <c r="F5138" s="560">
        <v>194055500</v>
      </c>
      <c r="G5138" s="560">
        <f t="shared" si="113"/>
        <v>200</v>
      </c>
      <c r="H5138" s="362"/>
      <c r="I5138" s="362"/>
      <c r="J5138" s="362"/>
    </row>
    <row r="5139" spans="1:10" x14ac:dyDescent="0.25">
      <c r="A5139" s="362"/>
      <c r="B5139" s="609">
        <v>44421</v>
      </c>
      <c r="C5139" s="362" t="s">
        <v>81</v>
      </c>
      <c r="D5139" s="560">
        <v>47808255</v>
      </c>
      <c r="E5139" s="560">
        <v>61003591</v>
      </c>
      <c r="F5139" s="560">
        <v>108811900</v>
      </c>
      <c r="G5139" s="560">
        <f t="shared" si="113"/>
        <v>-54</v>
      </c>
      <c r="H5139" s="362"/>
      <c r="I5139" s="362"/>
      <c r="J5139" s="362"/>
    </row>
    <row r="5140" spans="1:10" x14ac:dyDescent="0.25">
      <c r="A5140" s="362"/>
      <c r="B5140" s="609">
        <v>44421</v>
      </c>
      <c r="C5140" s="362" t="s">
        <v>84</v>
      </c>
      <c r="D5140" s="560">
        <v>289551777</v>
      </c>
      <c r="E5140" s="560">
        <v>11053533</v>
      </c>
      <c r="F5140" s="560">
        <v>300605400</v>
      </c>
      <c r="G5140" s="560">
        <f t="shared" si="113"/>
        <v>-90</v>
      </c>
      <c r="H5140" s="362"/>
      <c r="I5140" s="362"/>
      <c r="J5140" s="362"/>
    </row>
    <row r="5141" spans="1:10" x14ac:dyDescent="0.25">
      <c r="A5141" s="362"/>
      <c r="B5141" s="609">
        <v>44421</v>
      </c>
      <c r="C5141" s="362" t="s">
        <v>4751</v>
      </c>
      <c r="D5141" s="560">
        <v>129369623</v>
      </c>
      <c r="E5141" s="560">
        <v>13148577</v>
      </c>
      <c r="F5141" s="560">
        <v>142518200</v>
      </c>
      <c r="G5141" s="560">
        <f t="shared" si="113"/>
        <v>0</v>
      </c>
      <c r="H5141" s="362"/>
      <c r="I5141" s="362"/>
      <c r="J5141" s="362"/>
    </row>
    <row r="5142" spans="1:10" x14ac:dyDescent="0.25">
      <c r="A5142" s="362"/>
      <c r="B5142" s="609">
        <v>44421</v>
      </c>
      <c r="C5142" s="362" t="s">
        <v>166</v>
      </c>
      <c r="D5142" s="560">
        <v>94697972</v>
      </c>
      <c r="E5142" s="560"/>
      <c r="F5142" s="560">
        <v>94697900</v>
      </c>
      <c r="G5142" s="560">
        <f t="shared" si="113"/>
        <v>72</v>
      </c>
      <c r="H5142" s="362"/>
      <c r="I5142" s="362"/>
      <c r="J5142" s="362"/>
    </row>
    <row r="5143" spans="1:10" x14ac:dyDescent="0.25">
      <c r="A5143" s="362"/>
      <c r="B5143" s="609">
        <v>44421</v>
      </c>
      <c r="C5143" s="362" t="s">
        <v>3435</v>
      </c>
      <c r="D5143" s="560">
        <v>38873135</v>
      </c>
      <c r="E5143" s="560"/>
      <c r="F5143" s="560">
        <v>38873200</v>
      </c>
      <c r="G5143" s="560">
        <f t="shared" si="113"/>
        <v>-65</v>
      </c>
      <c r="H5143" s="362"/>
      <c r="I5143" s="362"/>
      <c r="J5143" s="362"/>
    </row>
    <row r="5144" spans="1:10" x14ac:dyDescent="0.25">
      <c r="A5144" s="362"/>
      <c r="B5144" s="609">
        <v>44421</v>
      </c>
      <c r="C5144" s="370" t="s">
        <v>85</v>
      </c>
      <c r="D5144" s="560">
        <v>26589800</v>
      </c>
      <c r="E5144" s="560"/>
      <c r="F5144" s="560">
        <v>26589800</v>
      </c>
      <c r="G5144" s="560">
        <f t="shared" si="113"/>
        <v>0</v>
      </c>
      <c r="H5144" s="362"/>
      <c r="I5144" s="362"/>
      <c r="J5144" s="362"/>
    </row>
    <row r="5145" spans="1:10" x14ac:dyDescent="0.25">
      <c r="A5145" s="530"/>
      <c r="B5145" s="530"/>
      <c r="C5145" s="530"/>
      <c r="D5145" s="562">
        <f>SUM(D5130:D5144)</f>
        <v>1868925171</v>
      </c>
      <c r="E5145" s="562">
        <f>SUM(E5130:E5144)</f>
        <v>496362400</v>
      </c>
      <c r="F5145" s="562">
        <f>SUM(F5130:F5144)</f>
        <v>2365282600</v>
      </c>
      <c r="G5145" s="562">
        <f>SUM(G5130:G5144)</f>
        <v>4971</v>
      </c>
      <c r="H5145" s="530"/>
      <c r="I5145" s="530"/>
      <c r="J5145" s="530"/>
    </row>
    <row r="5146" spans="1:10" x14ac:dyDescent="0.25">
      <c r="A5146" s="362"/>
      <c r="B5146" s="609">
        <v>44422</v>
      </c>
      <c r="C5146" s="362" t="s">
        <v>86</v>
      </c>
      <c r="D5146" s="560">
        <v>57822544</v>
      </c>
      <c r="E5146" s="560">
        <v>107365651</v>
      </c>
      <c r="F5146" s="560">
        <v>165188200</v>
      </c>
      <c r="G5146" s="560">
        <f t="shared" si="113"/>
        <v>-5</v>
      </c>
      <c r="H5146" s="362"/>
      <c r="I5146" s="362"/>
      <c r="J5146" s="362"/>
    </row>
    <row r="5147" spans="1:10" x14ac:dyDescent="0.25">
      <c r="A5147" s="362"/>
      <c r="B5147" s="609">
        <v>44422</v>
      </c>
      <c r="C5147" s="362" t="s">
        <v>87</v>
      </c>
      <c r="D5147" s="560">
        <v>80931758</v>
      </c>
      <c r="E5147" s="560">
        <v>173224902</v>
      </c>
      <c r="F5147" s="560">
        <f>61712400+192444000</f>
        <v>254156400</v>
      </c>
      <c r="G5147" s="560">
        <f t="shared" si="113"/>
        <v>260</v>
      </c>
      <c r="H5147" s="362"/>
      <c r="I5147" s="362"/>
      <c r="J5147" s="362"/>
    </row>
    <row r="5148" spans="1:10" x14ac:dyDescent="0.25">
      <c r="A5148" s="362"/>
      <c r="B5148" s="609">
        <v>44422</v>
      </c>
      <c r="C5148" s="362" t="s">
        <v>88</v>
      </c>
      <c r="D5148" s="560">
        <v>101345082</v>
      </c>
      <c r="E5148" s="560">
        <v>4562660</v>
      </c>
      <c r="F5148" s="560">
        <v>105907800</v>
      </c>
      <c r="G5148" s="560">
        <f t="shared" si="113"/>
        <v>-58</v>
      </c>
      <c r="H5148" s="362"/>
      <c r="I5148" s="362"/>
      <c r="J5148" s="362"/>
    </row>
    <row r="5149" spans="1:10" x14ac:dyDescent="0.25">
      <c r="A5149" s="362"/>
      <c r="B5149" s="609">
        <v>44422</v>
      </c>
      <c r="C5149" s="362" t="s">
        <v>82</v>
      </c>
      <c r="D5149" s="560">
        <v>54438969</v>
      </c>
      <c r="E5149" s="560">
        <v>7553666</v>
      </c>
      <c r="F5149" s="560">
        <v>61992700</v>
      </c>
      <c r="G5149" s="560">
        <f t="shared" si="113"/>
        <v>-65</v>
      </c>
      <c r="H5149" s="362"/>
      <c r="I5149" s="362"/>
      <c r="J5149" s="362"/>
    </row>
    <row r="5150" spans="1:10" x14ac:dyDescent="0.25">
      <c r="A5150" s="362"/>
      <c r="B5150" s="609">
        <v>44422</v>
      </c>
      <c r="C5150" s="362" t="s">
        <v>80</v>
      </c>
      <c r="D5150" s="560">
        <v>283997800</v>
      </c>
      <c r="E5150" s="560"/>
      <c r="F5150" s="560">
        <v>283997800</v>
      </c>
      <c r="G5150" s="560">
        <f t="shared" si="113"/>
        <v>0</v>
      </c>
      <c r="H5150" s="362"/>
      <c r="I5150" s="362"/>
      <c r="J5150" s="362"/>
    </row>
    <row r="5151" spans="1:10" x14ac:dyDescent="0.25">
      <c r="A5151" s="362"/>
      <c r="B5151" s="609">
        <v>44422</v>
      </c>
      <c r="C5151" s="362" t="s">
        <v>83</v>
      </c>
      <c r="D5151" s="560">
        <v>214302303</v>
      </c>
      <c r="E5151" s="560">
        <v>330549133</v>
      </c>
      <c r="F5151" s="560">
        <v>544851500</v>
      </c>
      <c r="G5151" s="560">
        <f t="shared" si="113"/>
        <v>-64</v>
      </c>
      <c r="H5151" s="362"/>
      <c r="I5151" s="362"/>
      <c r="J5151" s="362"/>
    </row>
    <row r="5152" spans="1:10" x14ac:dyDescent="0.25">
      <c r="A5152" s="362"/>
      <c r="B5152" s="609">
        <v>44422</v>
      </c>
      <c r="C5152" s="362" t="s">
        <v>78</v>
      </c>
      <c r="D5152" s="560">
        <v>111733931</v>
      </c>
      <c r="E5152" s="560">
        <v>9097669</v>
      </c>
      <c r="F5152" s="560">
        <v>120831600</v>
      </c>
      <c r="G5152" s="560">
        <f t="shared" si="113"/>
        <v>0</v>
      </c>
      <c r="H5152" s="362"/>
      <c r="I5152" s="362"/>
      <c r="J5152" s="362"/>
    </row>
    <row r="5153" spans="1:10" x14ac:dyDescent="0.25">
      <c r="A5153" s="362"/>
      <c r="B5153" s="609">
        <v>44422</v>
      </c>
      <c r="C5153" s="362" t="s">
        <v>141</v>
      </c>
      <c r="D5153" s="560">
        <v>24686006</v>
      </c>
      <c r="E5153" s="560"/>
      <c r="F5153" s="560">
        <v>24686100</v>
      </c>
      <c r="G5153" s="560">
        <f t="shared" si="113"/>
        <v>-94</v>
      </c>
      <c r="H5153" s="362"/>
      <c r="I5153" s="362"/>
      <c r="J5153" s="362"/>
    </row>
    <row r="5154" spans="1:10" x14ac:dyDescent="0.25">
      <c r="A5154" s="362"/>
      <c r="B5154" s="609">
        <v>44422</v>
      </c>
      <c r="C5154" s="362" t="s">
        <v>89</v>
      </c>
      <c r="D5154" s="560">
        <v>132750993</v>
      </c>
      <c r="E5154" s="560">
        <v>57264207</v>
      </c>
      <c r="F5154" s="560">
        <v>190015200</v>
      </c>
      <c r="G5154" s="560">
        <f t="shared" si="113"/>
        <v>0</v>
      </c>
      <c r="H5154" s="362"/>
      <c r="I5154" s="362"/>
      <c r="J5154" s="362"/>
    </row>
    <row r="5155" spans="1:10" x14ac:dyDescent="0.25">
      <c r="A5155" s="362"/>
      <c r="B5155" s="609">
        <v>44422</v>
      </c>
      <c r="C5155" s="362" t="s">
        <v>81</v>
      </c>
      <c r="D5155" s="560">
        <v>112402881</v>
      </c>
      <c r="E5155" s="560">
        <v>32434814</v>
      </c>
      <c r="F5155" s="560">
        <f>54257800+90579900</f>
        <v>144837700</v>
      </c>
      <c r="G5155" s="560">
        <f t="shared" si="113"/>
        <v>-5</v>
      </c>
      <c r="H5155" s="362"/>
      <c r="I5155" s="362"/>
      <c r="J5155" s="362"/>
    </row>
    <row r="5156" spans="1:10" x14ac:dyDescent="0.25">
      <c r="A5156" s="362"/>
      <c r="B5156" s="609">
        <v>44422</v>
      </c>
      <c r="C5156" s="362" t="s">
        <v>84</v>
      </c>
      <c r="D5156" s="560">
        <v>272416511</v>
      </c>
      <c r="E5156" s="560">
        <v>24384396</v>
      </c>
      <c r="F5156" s="560">
        <v>296801800</v>
      </c>
      <c r="G5156" s="560">
        <f t="shared" si="113"/>
        <v>-893</v>
      </c>
      <c r="H5156" s="362"/>
      <c r="I5156" s="362"/>
      <c r="J5156" s="362"/>
    </row>
    <row r="5157" spans="1:10" x14ac:dyDescent="0.25">
      <c r="A5157" s="362"/>
      <c r="B5157" s="609">
        <v>44422</v>
      </c>
      <c r="C5157" s="362" t="s">
        <v>4751</v>
      </c>
      <c r="D5157" s="560">
        <v>316440250</v>
      </c>
      <c r="E5157" s="560">
        <v>11447750</v>
      </c>
      <c r="F5157" s="560">
        <v>327888000</v>
      </c>
      <c r="G5157" s="560">
        <f t="shared" si="113"/>
        <v>0</v>
      </c>
      <c r="H5157" s="362"/>
      <c r="I5157" s="362"/>
      <c r="J5157" s="362"/>
    </row>
    <row r="5158" spans="1:10" x14ac:dyDescent="0.25">
      <c r="A5158" s="362"/>
      <c r="B5158" s="609">
        <v>44422</v>
      </c>
      <c r="C5158" s="362" t="s">
        <v>166</v>
      </c>
      <c r="D5158" s="560"/>
      <c r="E5158" s="560"/>
      <c r="F5158" s="560"/>
      <c r="G5158" s="560">
        <f t="shared" si="113"/>
        <v>0</v>
      </c>
      <c r="H5158" s="362"/>
      <c r="I5158" s="362"/>
      <c r="J5158" s="362"/>
    </row>
    <row r="5159" spans="1:10" x14ac:dyDescent="0.25">
      <c r="A5159" s="362"/>
      <c r="B5159" s="609">
        <v>44422</v>
      </c>
      <c r="C5159" s="362" t="s">
        <v>3435</v>
      </c>
      <c r="D5159" s="560"/>
      <c r="E5159" s="560"/>
      <c r="F5159" s="560"/>
      <c r="G5159" s="560">
        <f t="shared" si="113"/>
        <v>0</v>
      </c>
      <c r="H5159" s="362"/>
      <c r="I5159" s="362"/>
      <c r="J5159" s="362"/>
    </row>
    <row r="5160" spans="1:10" x14ac:dyDescent="0.25">
      <c r="A5160" s="362"/>
      <c r="B5160" s="609">
        <v>44422</v>
      </c>
      <c r="C5160" s="370" t="s">
        <v>85</v>
      </c>
      <c r="D5160" s="560">
        <v>22954800</v>
      </c>
      <c r="E5160" s="560"/>
      <c r="F5160" s="560">
        <v>22954800</v>
      </c>
      <c r="G5160" s="560">
        <f t="shared" si="113"/>
        <v>0</v>
      </c>
      <c r="H5160" s="362"/>
      <c r="I5160" s="362"/>
      <c r="J5160" s="362"/>
    </row>
    <row r="5161" spans="1:10" x14ac:dyDescent="0.25">
      <c r="A5161" s="530"/>
      <c r="B5161" s="530"/>
      <c r="C5161" s="530"/>
      <c r="D5161" s="562">
        <f>SUM(D5146:D5160)</f>
        <v>1786223828</v>
      </c>
      <c r="E5161" s="562">
        <f>SUM(E5146:E5160)</f>
        <v>757884848</v>
      </c>
      <c r="F5161" s="562">
        <f>SUM(F5146:F5160)</f>
        <v>2544109600</v>
      </c>
      <c r="G5161" s="562">
        <f>SUM(G5146:G5160)</f>
        <v>-924</v>
      </c>
      <c r="H5161" s="530"/>
      <c r="I5161" s="530"/>
      <c r="J5161" s="530"/>
    </row>
    <row r="5162" spans="1:10" x14ac:dyDescent="0.25">
      <c r="A5162" s="362"/>
      <c r="B5162" s="609">
        <v>44424</v>
      </c>
      <c r="C5162" s="362" t="s">
        <v>86</v>
      </c>
      <c r="D5162" s="560">
        <v>73220779</v>
      </c>
      <c r="E5162" s="560">
        <v>83046708</v>
      </c>
      <c r="F5162" s="560">
        <v>156267100</v>
      </c>
      <c r="G5162" s="560">
        <f t="shared" si="113"/>
        <v>387</v>
      </c>
      <c r="H5162" s="362"/>
      <c r="I5162" s="362"/>
      <c r="J5162" s="362"/>
    </row>
    <row r="5163" spans="1:10" x14ac:dyDescent="0.25">
      <c r="A5163" s="362"/>
      <c r="B5163" s="609">
        <v>44424</v>
      </c>
      <c r="C5163" s="362" t="s">
        <v>87</v>
      </c>
      <c r="D5163" s="560">
        <v>165637604</v>
      </c>
      <c r="E5163" s="560">
        <v>63771608</v>
      </c>
      <c r="F5163" s="560">
        <v>229409300</v>
      </c>
      <c r="G5163" s="560">
        <f t="shared" si="113"/>
        <v>-88</v>
      </c>
      <c r="H5163" s="362"/>
      <c r="I5163" s="362"/>
      <c r="J5163" s="362"/>
    </row>
    <row r="5164" spans="1:10" x14ac:dyDescent="0.25">
      <c r="A5164" s="362"/>
      <c r="B5164" s="609">
        <v>44424</v>
      </c>
      <c r="C5164" s="362" t="s">
        <v>88</v>
      </c>
      <c r="D5164" s="560">
        <v>295379081</v>
      </c>
      <c r="E5164" s="560">
        <v>99793483</v>
      </c>
      <c r="F5164" s="560">
        <v>395172600</v>
      </c>
      <c r="G5164" s="560">
        <f t="shared" si="113"/>
        <v>-36</v>
      </c>
      <c r="H5164" s="362"/>
      <c r="I5164" s="362"/>
      <c r="J5164" s="362"/>
    </row>
    <row r="5165" spans="1:10" x14ac:dyDescent="0.25">
      <c r="A5165" s="362"/>
      <c r="B5165" s="609">
        <v>44424</v>
      </c>
      <c r="C5165" s="362" t="s">
        <v>82</v>
      </c>
      <c r="D5165" s="560">
        <v>82607542</v>
      </c>
      <c r="E5165" s="560">
        <v>3573460</v>
      </c>
      <c r="F5165" s="560">
        <v>86181100</v>
      </c>
      <c r="G5165" s="560">
        <f t="shared" si="113"/>
        <v>-98</v>
      </c>
      <c r="H5165" s="362"/>
      <c r="I5165" s="362"/>
      <c r="J5165" s="362"/>
    </row>
    <row r="5166" spans="1:10" x14ac:dyDescent="0.25">
      <c r="A5166" s="362"/>
      <c r="B5166" s="609">
        <v>44424</v>
      </c>
      <c r="C5166" s="362" t="s">
        <v>80</v>
      </c>
      <c r="D5166" s="560">
        <v>317162440</v>
      </c>
      <c r="E5166" s="560"/>
      <c r="F5166" s="560">
        <v>317163200</v>
      </c>
      <c r="G5166" s="560">
        <f t="shared" si="113"/>
        <v>-760</v>
      </c>
      <c r="H5166" s="362"/>
      <c r="I5166" s="362"/>
      <c r="J5166" s="362"/>
    </row>
    <row r="5167" spans="1:10" x14ac:dyDescent="0.25">
      <c r="A5167" s="362"/>
      <c r="B5167" s="609">
        <v>44424</v>
      </c>
      <c r="C5167" s="362" t="s">
        <v>83</v>
      </c>
      <c r="D5167" s="560">
        <v>472073630</v>
      </c>
      <c r="E5167" s="560">
        <v>31845420</v>
      </c>
      <c r="F5167" s="560">
        <v>503919000</v>
      </c>
      <c r="G5167" s="560">
        <f t="shared" si="113"/>
        <v>50</v>
      </c>
      <c r="H5167" s="362"/>
      <c r="I5167" s="362"/>
      <c r="J5167" s="362"/>
    </row>
    <row r="5168" spans="1:10" x14ac:dyDescent="0.25">
      <c r="A5168" s="362"/>
      <c r="B5168" s="609">
        <v>44424</v>
      </c>
      <c r="C5168" s="362" t="s">
        <v>78</v>
      </c>
      <c r="D5168" s="560">
        <v>122119867</v>
      </c>
      <c r="E5168" s="560">
        <v>2381733</v>
      </c>
      <c r="F5168" s="560">
        <v>124501600</v>
      </c>
      <c r="G5168" s="560">
        <f t="shared" si="113"/>
        <v>0</v>
      </c>
      <c r="H5168" s="362"/>
      <c r="I5168" s="362"/>
      <c r="J5168" s="362"/>
    </row>
    <row r="5169" spans="1:10" x14ac:dyDescent="0.25">
      <c r="A5169" s="362"/>
      <c r="B5169" s="609">
        <v>44424</v>
      </c>
      <c r="C5169" s="362" t="s">
        <v>141</v>
      </c>
      <c r="D5169" s="560">
        <v>101736540</v>
      </c>
      <c r="E5169" s="560">
        <v>4935126</v>
      </c>
      <c r="F5169" s="560">
        <v>106671700</v>
      </c>
      <c r="G5169" s="560">
        <f t="shared" si="113"/>
        <v>-34</v>
      </c>
      <c r="H5169" s="362"/>
      <c r="I5169" s="362"/>
      <c r="J5169" s="362"/>
    </row>
    <row r="5170" spans="1:10" x14ac:dyDescent="0.25">
      <c r="A5170" s="362"/>
      <c r="B5170" s="609">
        <v>44424</v>
      </c>
      <c r="C5170" s="362" t="s">
        <v>89</v>
      </c>
      <c r="D5170" s="560">
        <v>133280229</v>
      </c>
      <c r="E5170" s="560">
        <v>88593371</v>
      </c>
      <c r="F5170" s="560">
        <v>221873600</v>
      </c>
      <c r="G5170" s="560">
        <f t="shared" si="113"/>
        <v>0</v>
      </c>
      <c r="H5170" s="362"/>
      <c r="I5170" s="362"/>
      <c r="J5170" s="362"/>
    </row>
    <row r="5171" spans="1:10" x14ac:dyDescent="0.25">
      <c r="A5171" s="362"/>
      <c r="B5171" s="609">
        <v>44424</v>
      </c>
      <c r="C5171" s="362" t="s">
        <v>81</v>
      </c>
      <c r="D5171" s="560">
        <v>232489651</v>
      </c>
      <c r="E5171" s="560">
        <v>13519745</v>
      </c>
      <c r="F5171" s="560">
        <f>73770700+172238700</f>
        <v>246009400</v>
      </c>
      <c r="G5171" s="560">
        <f t="shared" si="113"/>
        <v>-4</v>
      </c>
      <c r="H5171" s="362"/>
      <c r="I5171" s="362"/>
      <c r="J5171" s="362"/>
    </row>
    <row r="5172" spans="1:10" x14ac:dyDescent="0.25">
      <c r="A5172" s="362"/>
      <c r="B5172" s="609">
        <v>44424</v>
      </c>
      <c r="C5172" s="362" t="s">
        <v>84</v>
      </c>
      <c r="D5172" s="560">
        <v>245922190</v>
      </c>
      <c r="E5172" s="560">
        <v>16823641</v>
      </c>
      <c r="F5172" s="560">
        <v>262895900</v>
      </c>
      <c r="G5172" s="560">
        <f t="shared" si="113"/>
        <v>-150069</v>
      </c>
      <c r="H5172" s="362"/>
      <c r="I5172" s="362"/>
      <c r="J5172" s="362"/>
    </row>
    <row r="5173" spans="1:10" x14ac:dyDescent="0.25">
      <c r="A5173" s="362"/>
      <c r="B5173" s="609">
        <v>44424</v>
      </c>
      <c r="C5173" s="362" t="s">
        <v>4751</v>
      </c>
      <c r="D5173" s="560">
        <v>286716288</v>
      </c>
      <c r="E5173" s="560">
        <v>11253612</v>
      </c>
      <c r="F5173" s="560">
        <v>297969900</v>
      </c>
      <c r="G5173" s="560">
        <f t="shared" si="113"/>
        <v>0</v>
      </c>
      <c r="H5173" s="362"/>
      <c r="I5173" s="362"/>
      <c r="J5173" s="362"/>
    </row>
    <row r="5174" spans="1:10" x14ac:dyDescent="0.25">
      <c r="A5174" s="362"/>
      <c r="B5174" s="609">
        <v>44424</v>
      </c>
      <c r="C5174" s="362" t="s">
        <v>166</v>
      </c>
      <c r="D5174" s="560"/>
      <c r="E5174" s="560"/>
      <c r="F5174" s="560"/>
      <c r="G5174" s="560">
        <f t="shared" si="113"/>
        <v>0</v>
      </c>
      <c r="H5174" s="362"/>
      <c r="I5174" s="362"/>
      <c r="J5174" s="362"/>
    </row>
    <row r="5175" spans="1:10" x14ac:dyDescent="0.25">
      <c r="A5175" s="362"/>
      <c r="B5175" s="609">
        <v>44424</v>
      </c>
      <c r="C5175" s="362" t="s">
        <v>3435</v>
      </c>
      <c r="D5175" s="560"/>
      <c r="E5175" s="560"/>
      <c r="F5175" s="560"/>
      <c r="G5175" s="560">
        <f t="shared" si="113"/>
        <v>0</v>
      </c>
      <c r="H5175" s="362"/>
      <c r="I5175" s="362"/>
      <c r="J5175" s="362"/>
    </row>
    <row r="5176" spans="1:10" x14ac:dyDescent="0.25">
      <c r="A5176" s="362"/>
      <c r="B5176" s="609">
        <v>44424</v>
      </c>
      <c r="C5176" s="370" t="s">
        <v>85</v>
      </c>
      <c r="D5176" s="560">
        <v>91516800</v>
      </c>
      <c r="E5176" s="560"/>
      <c r="F5176" s="560">
        <v>91516800</v>
      </c>
      <c r="G5176" s="560">
        <f t="shared" si="113"/>
        <v>0</v>
      </c>
      <c r="H5176" s="362"/>
      <c r="I5176" s="362"/>
      <c r="J5176" s="362"/>
    </row>
    <row r="5177" spans="1:10" x14ac:dyDescent="0.25">
      <c r="A5177" s="530"/>
      <c r="B5177" s="530"/>
      <c r="C5177" s="530"/>
      <c r="D5177" s="562">
        <f>SUM(D5162:D5176)</f>
        <v>2619862641</v>
      </c>
      <c r="E5177" s="562">
        <f>SUM(E5162:E5176)</f>
        <v>419537907</v>
      </c>
      <c r="F5177" s="562">
        <f>SUM(F5162:F5176)</f>
        <v>3039551200</v>
      </c>
      <c r="G5177" s="562">
        <f>SUM(G5162:G5176)</f>
        <v>-150652</v>
      </c>
      <c r="H5177" s="530"/>
      <c r="I5177" s="530"/>
      <c r="J5177" s="530"/>
    </row>
    <row r="5178" spans="1:10" x14ac:dyDescent="0.25">
      <c r="A5178" s="362"/>
      <c r="B5178" s="609">
        <v>44426</v>
      </c>
      <c r="C5178" s="362" t="s">
        <v>86</v>
      </c>
      <c r="D5178" s="560">
        <v>85656802</v>
      </c>
      <c r="E5178" s="560">
        <v>123442456</v>
      </c>
      <c r="F5178" s="560">
        <v>209099000</v>
      </c>
      <c r="G5178" s="560">
        <f t="shared" si="113"/>
        <v>258</v>
      </c>
      <c r="H5178" s="362"/>
      <c r="I5178" s="362"/>
      <c r="J5178" s="362"/>
    </row>
    <row r="5179" spans="1:10" x14ac:dyDescent="0.25">
      <c r="A5179" s="362"/>
      <c r="B5179" s="609">
        <v>44426</v>
      </c>
      <c r="C5179" s="362" t="s">
        <v>87</v>
      </c>
      <c r="D5179" s="560">
        <v>221013884</v>
      </c>
      <c r="E5179" s="560">
        <v>87233328</v>
      </c>
      <c r="F5179" s="560">
        <v>308247300</v>
      </c>
      <c r="G5179" s="560">
        <f t="shared" si="113"/>
        <v>-88</v>
      </c>
      <c r="H5179" s="362"/>
      <c r="I5179" s="362"/>
      <c r="J5179" s="362"/>
    </row>
    <row r="5180" spans="1:10" x14ac:dyDescent="0.25">
      <c r="A5180" s="362"/>
      <c r="B5180" s="609">
        <v>44426</v>
      </c>
      <c r="C5180" s="362" t="s">
        <v>88</v>
      </c>
      <c r="D5180" s="560">
        <v>629989961</v>
      </c>
      <c r="E5180" s="560">
        <v>17523047</v>
      </c>
      <c r="F5180" s="560">
        <v>647513100</v>
      </c>
      <c r="G5180" s="560">
        <f t="shared" si="113"/>
        <v>-92</v>
      </c>
      <c r="H5180" s="362"/>
      <c r="I5180" s="362"/>
      <c r="J5180" s="362"/>
    </row>
    <row r="5181" spans="1:10" x14ac:dyDescent="0.25">
      <c r="A5181" s="362"/>
      <c r="B5181" s="609">
        <v>44426</v>
      </c>
      <c r="C5181" s="362" t="s">
        <v>82</v>
      </c>
      <c r="D5181" s="560">
        <v>110505263</v>
      </c>
      <c r="E5181" s="560">
        <v>3172937</v>
      </c>
      <c r="F5181" s="560">
        <v>113678300</v>
      </c>
      <c r="G5181" s="560">
        <f t="shared" si="113"/>
        <v>-100</v>
      </c>
      <c r="H5181" s="362"/>
      <c r="I5181" s="362"/>
      <c r="J5181" s="362"/>
    </row>
    <row r="5182" spans="1:10" x14ac:dyDescent="0.25">
      <c r="A5182" s="362"/>
      <c r="B5182" s="609">
        <v>44426</v>
      </c>
      <c r="C5182" s="362" t="s">
        <v>80</v>
      </c>
      <c r="D5182" s="560">
        <v>449521080</v>
      </c>
      <c r="E5182" s="560">
        <v>53421320</v>
      </c>
      <c r="F5182" s="560">
        <v>502945400</v>
      </c>
      <c r="G5182" s="560">
        <f t="shared" si="113"/>
        <v>-3000</v>
      </c>
      <c r="H5182" s="362"/>
      <c r="I5182" s="362"/>
      <c r="J5182" s="362"/>
    </row>
    <row r="5183" spans="1:10" x14ac:dyDescent="0.25">
      <c r="A5183" s="362"/>
      <c r="B5183" s="609">
        <v>44426</v>
      </c>
      <c r="C5183" s="362" t="s">
        <v>83</v>
      </c>
      <c r="D5183" s="560">
        <v>306526271</v>
      </c>
      <c r="E5183" s="560">
        <v>23051437</v>
      </c>
      <c r="F5183" s="560">
        <v>329577700</v>
      </c>
      <c r="G5183" s="560">
        <f t="shared" si="113"/>
        <v>8</v>
      </c>
      <c r="H5183" s="362"/>
      <c r="I5183" s="362"/>
      <c r="J5183" s="362"/>
    </row>
    <row r="5184" spans="1:10" x14ac:dyDescent="0.25">
      <c r="A5184" s="362"/>
      <c r="B5184" s="609">
        <v>44426</v>
      </c>
      <c r="C5184" s="362" t="s">
        <v>78</v>
      </c>
      <c r="D5184" s="560">
        <v>138308787</v>
      </c>
      <c r="E5184" s="560">
        <v>2839913</v>
      </c>
      <c r="F5184" s="560">
        <v>141148700</v>
      </c>
      <c r="G5184" s="560">
        <f t="shared" si="113"/>
        <v>0</v>
      </c>
      <c r="H5184" s="362"/>
      <c r="I5184" s="362"/>
      <c r="J5184" s="362"/>
    </row>
    <row r="5185" spans="1:10" x14ac:dyDescent="0.25">
      <c r="A5185" s="362"/>
      <c r="B5185" s="609">
        <v>44426</v>
      </c>
      <c r="C5185" s="362" t="s">
        <v>141</v>
      </c>
      <c r="D5185" s="560">
        <v>115727528</v>
      </c>
      <c r="E5185" s="560">
        <v>767042</v>
      </c>
      <c r="F5185" s="560">
        <v>116494600</v>
      </c>
      <c r="G5185" s="560">
        <f t="shared" si="113"/>
        <v>-30</v>
      </c>
      <c r="H5185" s="362"/>
      <c r="I5185" s="362"/>
      <c r="J5185" s="362"/>
    </row>
    <row r="5186" spans="1:10" x14ac:dyDescent="0.25">
      <c r="A5186" s="362"/>
      <c r="B5186" s="609">
        <v>44426</v>
      </c>
      <c r="C5186" s="362" t="s">
        <v>89</v>
      </c>
      <c r="D5186" s="560">
        <v>186894114</v>
      </c>
      <c r="E5186" s="560">
        <v>9989986</v>
      </c>
      <c r="F5186" s="560">
        <v>196884100</v>
      </c>
      <c r="G5186" s="560">
        <f t="shared" si="113"/>
        <v>0</v>
      </c>
      <c r="H5186" s="362"/>
      <c r="I5186" s="362"/>
      <c r="J5186" s="362"/>
    </row>
    <row r="5187" spans="1:10" x14ac:dyDescent="0.25">
      <c r="A5187" s="362"/>
      <c r="B5187" s="609">
        <v>44426</v>
      </c>
      <c r="C5187" s="362" t="s">
        <v>81</v>
      </c>
      <c r="D5187" s="560">
        <v>98152791</v>
      </c>
      <c r="E5187" s="560">
        <v>23046607</v>
      </c>
      <c r="F5187" s="560">
        <v>121199400</v>
      </c>
      <c r="G5187" s="560">
        <f t="shared" si="113"/>
        <v>-2</v>
      </c>
      <c r="H5187" s="362"/>
      <c r="I5187" s="362"/>
      <c r="J5187" s="362"/>
    </row>
    <row r="5188" spans="1:10" x14ac:dyDescent="0.25">
      <c r="A5188" s="362"/>
      <c r="B5188" s="609">
        <v>44426</v>
      </c>
      <c r="C5188" s="362" t="s">
        <v>84</v>
      </c>
      <c r="D5188" s="560">
        <v>582811070</v>
      </c>
      <c r="E5188" s="560">
        <v>10177240</v>
      </c>
      <c r="F5188" s="560">
        <v>592988000</v>
      </c>
      <c r="G5188" s="560">
        <f t="shared" si="113"/>
        <v>310</v>
      </c>
      <c r="H5188" s="362"/>
      <c r="I5188" s="362"/>
      <c r="J5188" s="362"/>
    </row>
    <row r="5189" spans="1:10" x14ac:dyDescent="0.25">
      <c r="A5189" s="362"/>
      <c r="B5189" s="609">
        <v>44426</v>
      </c>
      <c r="C5189" s="362" t="s">
        <v>4751</v>
      </c>
      <c r="D5189" s="560">
        <v>288869269</v>
      </c>
      <c r="E5189" s="560">
        <v>12943331</v>
      </c>
      <c r="F5189" s="560">
        <v>301812600</v>
      </c>
      <c r="G5189" s="560">
        <f t="shared" si="113"/>
        <v>0</v>
      </c>
      <c r="H5189" s="362"/>
      <c r="I5189" s="362"/>
      <c r="J5189" s="362"/>
    </row>
    <row r="5190" spans="1:10" x14ac:dyDescent="0.25">
      <c r="A5190" s="362"/>
      <c r="B5190" s="609">
        <v>44426</v>
      </c>
      <c r="C5190" s="362" t="s">
        <v>166</v>
      </c>
      <c r="D5190" s="560">
        <v>112663943</v>
      </c>
      <c r="E5190" s="560"/>
      <c r="F5190" s="560">
        <v>112664000</v>
      </c>
      <c r="G5190" s="560">
        <f t="shared" si="113"/>
        <v>-57</v>
      </c>
      <c r="H5190" s="362"/>
      <c r="I5190" s="362"/>
      <c r="J5190" s="362"/>
    </row>
    <row r="5191" spans="1:10" x14ac:dyDescent="0.25">
      <c r="A5191" s="362"/>
      <c r="B5191" s="609">
        <v>44426</v>
      </c>
      <c r="C5191" s="362" t="s">
        <v>3435</v>
      </c>
      <c r="D5191" s="560">
        <v>40663452</v>
      </c>
      <c r="E5191" s="560"/>
      <c r="F5191" s="560">
        <v>40663500</v>
      </c>
      <c r="G5191" s="560">
        <f t="shared" si="113"/>
        <v>-48</v>
      </c>
      <c r="H5191" s="362"/>
      <c r="I5191" s="362"/>
      <c r="J5191" s="362"/>
    </row>
    <row r="5192" spans="1:10" x14ac:dyDescent="0.25">
      <c r="A5192" s="362"/>
      <c r="B5192" s="609">
        <v>44426</v>
      </c>
      <c r="C5192" s="370" t="s">
        <v>85</v>
      </c>
      <c r="D5192" s="560">
        <v>42110200</v>
      </c>
      <c r="E5192" s="560"/>
      <c r="F5192" s="560">
        <v>42110200</v>
      </c>
      <c r="G5192" s="560">
        <f t="shared" si="113"/>
        <v>0</v>
      </c>
      <c r="H5192" s="362"/>
      <c r="I5192" s="362"/>
      <c r="J5192" s="362"/>
    </row>
    <row r="5193" spans="1:10" x14ac:dyDescent="0.25">
      <c r="A5193" s="530"/>
      <c r="B5193" s="530"/>
      <c r="C5193" s="530"/>
      <c r="D5193" s="562">
        <f>SUM(D5178:D5192)</f>
        <v>3409414415</v>
      </c>
      <c r="E5193" s="562">
        <f>SUM(E5178:E5192)</f>
        <v>367608644</v>
      </c>
      <c r="F5193" s="562">
        <f>SUM(F5178:F5192)</f>
        <v>3777025900</v>
      </c>
      <c r="G5193" s="562">
        <f>SUM(G5178:G5192)</f>
        <v>-2841</v>
      </c>
      <c r="H5193" s="530"/>
      <c r="I5193" s="530"/>
      <c r="J5193" s="530"/>
    </row>
    <row r="5194" spans="1:10" x14ac:dyDescent="0.25">
      <c r="A5194" s="362"/>
      <c r="B5194" s="609">
        <v>44427</v>
      </c>
      <c r="C5194" s="362" t="s">
        <v>86</v>
      </c>
      <c r="D5194" s="560">
        <v>191570909</v>
      </c>
      <c r="E5194" s="560">
        <v>210678521</v>
      </c>
      <c r="F5194" s="560"/>
      <c r="G5194" s="560">
        <f t="shared" si="113"/>
        <v>402249430</v>
      </c>
      <c r="H5194" s="362"/>
      <c r="I5194" s="362"/>
      <c r="J5194" s="362"/>
    </row>
    <row r="5195" spans="1:10" x14ac:dyDescent="0.25">
      <c r="A5195" s="362"/>
      <c r="B5195" s="609">
        <v>44427</v>
      </c>
      <c r="C5195" s="362" t="s">
        <v>87</v>
      </c>
      <c r="D5195" s="463">
        <v>124582590</v>
      </c>
      <c r="E5195" s="560">
        <v>110229656</v>
      </c>
      <c r="F5195" s="560"/>
      <c r="G5195" s="560">
        <f>D5194+E5195-F5195</f>
        <v>301800565</v>
      </c>
      <c r="H5195" s="362"/>
      <c r="I5195" s="362"/>
      <c r="J5195" s="362"/>
    </row>
    <row r="5196" spans="1:10" x14ac:dyDescent="0.25">
      <c r="A5196" s="362"/>
      <c r="B5196" s="609">
        <v>44427</v>
      </c>
      <c r="C5196" s="362" t="s">
        <v>88</v>
      </c>
      <c r="D5196" s="560">
        <v>410811611</v>
      </c>
      <c r="E5196" s="560">
        <v>97682991</v>
      </c>
      <c r="F5196" s="560"/>
      <c r="G5196" s="560">
        <f t="shared" ref="G5196:G5259" si="114">D5196+E5196-F5196</f>
        <v>508494602</v>
      </c>
      <c r="H5196" s="362"/>
      <c r="I5196" s="362"/>
      <c r="J5196" s="362"/>
    </row>
    <row r="5197" spans="1:10" x14ac:dyDescent="0.25">
      <c r="A5197" s="362"/>
      <c r="B5197" s="609">
        <v>44427</v>
      </c>
      <c r="C5197" s="362" t="s">
        <v>82</v>
      </c>
      <c r="D5197" s="560">
        <v>124062140</v>
      </c>
      <c r="E5197" s="560">
        <v>3349190</v>
      </c>
      <c r="F5197" s="560"/>
      <c r="G5197" s="560">
        <f t="shared" si="114"/>
        <v>127411330</v>
      </c>
      <c r="H5197" s="362"/>
      <c r="I5197" s="362"/>
      <c r="J5197" s="362"/>
    </row>
    <row r="5198" spans="1:10" x14ac:dyDescent="0.25">
      <c r="A5198" s="362"/>
      <c r="B5198" s="609">
        <v>44427</v>
      </c>
      <c r="C5198" s="362" t="s">
        <v>80</v>
      </c>
      <c r="D5198" s="560">
        <v>374792693</v>
      </c>
      <c r="E5198" s="560"/>
      <c r="F5198" s="560"/>
      <c r="G5198" s="560">
        <f t="shared" si="114"/>
        <v>374792693</v>
      </c>
      <c r="H5198" s="362"/>
      <c r="I5198" s="362"/>
      <c r="J5198" s="362"/>
    </row>
    <row r="5199" spans="1:10" x14ac:dyDescent="0.25">
      <c r="A5199" s="362"/>
      <c r="B5199" s="609">
        <v>44427</v>
      </c>
      <c r="C5199" s="362" t="s">
        <v>83</v>
      </c>
      <c r="D5199" s="560">
        <v>291670830</v>
      </c>
      <c r="E5199" s="560">
        <v>135644758</v>
      </c>
      <c r="F5199" s="560"/>
      <c r="G5199" s="560">
        <f t="shared" si="114"/>
        <v>427315588</v>
      </c>
      <c r="H5199" s="362"/>
      <c r="I5199" s="362"/>
      <c r="J5199" s="362"/>
    </row>
    <row r="5200" spans="1:10" x14ac:dyDescent="0.25">
      <c r="A5200" s="362"/>
      <c r="B5200" s="609">
        <v>44427</v>
      </c>
      <c r="C5200" s="362" t="s">
        <v>78</v>
      </c>
      <c r="D5200" s="560">
        <v>176805479</v>
      </c>
      <c r="E5200" s="560">
        <v>917921</v>
      </c>
      <c r="F5200" s="560"/>
      <c r="G5200" s="560">
        <f t="shared" si="114"/>
        <v>177723400</v>
      </c>
      <c r="H5200" s="362"/>
      <c r="I5200" s="362"/>
      <c r="J5200" s="362"/>
    </row>
    <row r="5201" spans="1:10" x14ac:dyDescent="0.25">
      <c r="A5201" s="362"/>
      <c r="B5201" s="609">
        <v>44427</v>
      </c>
      <c r="C5201" s="362" t="s">
        <v>141</v>
      </c>
      <c r="D5201" s="560">
        <v>67708560</v>
      </c>
      <c r="E5201" s="560">
        <v>3579782</v>
      </c>
      <c r="F5201" s="560"/>
      <c r="G5201" s="560">
        <f t="shared" si="114"/>
        <v>71288342</v>
      </c>
      <c r="H5201" s="362"/>
      <c r="I5201" s="362"/>
      <c r="J5201" s="362"/>
    </row>
    <row r="5202" spans="1:10" x14ac:dyDescent="0.25">
      <c r="A5202" s="362"/>
      <c r="B5202" s="609">
        <v>44427</v>
      </c>
      <c r="C5202" s="362" t="s">
        <v>89</v>
      </c>
      <c r="D5202" s="560">
        <v>136933190</v>
      </c>
      <c r="E5202" s="560">
        <v>74077410</v>
      </c>
      <c r="F5202" s="560"/>
      <c r="G5202" s="560">
        <f t="shared" si="114"/>
        <v>211010600</v>
      </c>
      <c r="H5202" s="362"/>
      <c r="I5202" s="362"/>
      <c r="J5202" s="362"/>
    </row>
    <row r="5203" spans="1:10" x14ac:dyDescent="0.25">
      <c r="A5203" s="362"/>
      <c r="B5203" s="609">
        <v>44427</v>
      </c>
      <c r="C5203" s="362" t="s">
        <v>81</v>
      </c>
      <c r="D5203" s="560">
        <v>160680401</v>
      </c>
      <c r="E5203" s="560">
        <v>8286146</v>
      </c>
      <c r="F5203" s="560"/>
      <c r="G5203" s="560">
        <f t="shared" si="114"/>
        <v>168966547</v>
      </c>
      <c r="H5203" s="362"/>
      <c r="I5203" s="362"/>
      <c r="J5203" s="362"/>
    </row>
    <row r="5204" spans="1:10" x14ac:dyDescent="0.25">
      <c r="A5204" s="362"/>
      <c r="B5204" s="609">
        <v>44427</v>
      </c>
      <c r="C5204" s="362" t="s">
        <v>84</v>
      </c>
      <c r="D5204" s="560">
        <v>169427782</v>
      </c>
      <c r="E5204" s="560">
        <v>19282614</v>
      </c>
      <c r="F5204" s="560"/>
      <c r="G5204" s="560">
        <f t="shared" si="114"/>
        <v>188710396</v>
      </c>
      <c r="H5204" s="362"/>
      <c r="I5204" s="362"/>
      <c r="J5204" s="362"/>
    </row>
    <row r="5205" spans="1:10" x14ac:dyDescent="0.25">
      <c r="A5205" s="362"/>
      <c r="B5205" s="609">
        <v>44427</v>
      </c>
      <c r="C5205" s="362" t="s">
        <v>4751</v>
      </c>
      <c r="D5205" s="560">
        <v>238346691</v>
      </c>
      <c r="E5205" s="560">
        <v>20101709</v>
      </c>
      <c r="F5205" s="560"/>
      <c r="G5205" s="560">
        <f t="shared" si="114"/>
        <v>258448400</v>
      </c>
      <c r="H5205" s="362"/>
      <c r="I5205" s="362"/>
      <c r="J5205" s="362"/>
    </row>
    <row r="5206" spans="1:10" x14ac:dyDescent="0.25">
      <c r="A5206" s="362"/>
      <c r="B5206" s="609">
        <v>44427</v>
      </c>
      <c r="C5206" s="362" t="s">
        <v>166</v>
      </c>
      <c r="D5206" s="560">
        <v>114709308</v>
      </c>
      <c r="E5206" s="560"/>
      <c r="F5206" s="560"/>
      <c r="G5206" s="560">
        <f t="shared" si="114"/>
        <v>114709308</v>
      </c>
      <c r="H5206" s="362"/>
      <c r="I5206" s="362"/>
      <c r="J5206" s="362"/>
    </row>
    <row r="5207" spans="1:10" x14ac:dyDescent="0.25">
      <c r="A5207" s="362"/>
      <c r="B5207" s="609">
        <v>44427</v>
      </c>
      <c r="C5207" s="362" t="s">
        <v>3435</v>
      </c>
      <c r="D5207" s="560">
        <v>110895675</v>
      </c>
      <c r="E5207" s="560"/>
      <c r="F5207" s="560"/>
      <c r="G5207" s="560">
        <f t="shared" si="114"/>
        <v>110895675</v>
      </c>
      <c r="H5207" s="362"/>
      <c r="I5207" s="362"/>
      <c r="J5207" s="362"/>
    </row>
    <row r="5208" spans="1:10" x14ac:dyDescent="0.25">
      <c r="A5208" s="362"/>
      <c r="B5208" s="609">
        <v>44427</v>
      </c>
      <c r="C5208" s="370" t="s">
        <v>85</v>
      </c>
      <c r="D5208" s="560">
        <v>22038600</v>
      </c>
      <c r="E5208" s="560"/>
      <c r="F5208" s="560"/>
      <c r="G5208" s="560">
        <f t="shared" si="114"/>
        <v>22038600</v>
      </c>
      <c r="H5208" s="362"/>
      <c r="I5208" s="362"/>
      <c r="J5208" s="362"/>
    </row>
    <row r="5209" spans="1:10" x14ac:dyDescent="0.25">
      <c r="A5209" s="530"/>
      <c r="B5209" s="530"/>
      <c r="C5209" s="530"/>
      <c r="D5209" s="562">
        <f>SUM(D5194:D5208)</f>
        <v>2715036459</v>
      </c>
      <c r="E5209" s="562">
        <f>SUM(E5194:E5208)</f>
        <v>683830698</v>
      </c>
      <c r="F5209" s="562">
        <f>SUM(F5194:F5208)</f>
        <v>0</v>
      </c>
      <c r="G5209" s="562">
        <f>SUM(G5194:G5208)</f>
        <v>3465855476</v>
      </c>
      <c r="H5209" s="530"/>
      <c r="I5209" s="530"/>
      <c r="J5209" s="530"/>
    </row>
    <row r="5210" spans="1:10" x14ac:dyDescent="0.25">
      <c r="A5210" s="362"/>
      <c r="B5210" s="609">
        <v>44428</v>
      </c>
      <c r="C5210" s="362" t="s">
        <v>86</v>
      </c>
      <c r="D5210" s="560">
        <v>55531656</v>
      </c>
      <c r="E5210" s="560">
        <v>39584996</v>
      </c>
      <c r="F5210" s="560">
        <v>95116600</v>
      </c>
      <c r="G5210" s="560">
        <f t="shared" si="114"/>
        <v>52</v>
      </c>
      <c r="H5210" s="362"/>
      <c r="I5210" s="362"/>
      <c r="J5210" s="362"/>
    </row>
    <row r="5211" spans="1:10" x14ac:dyDescent="0.25">
      <c r="A5211" s="362"/>
      <c r="B5211" s="609">
        <v>44428</v>
      </c>
      <c r="C5211" s="362" t="s">
        <v>87</v>
      </c>
      <c r="D5211" s="560">
        <v>90762595</v>
      </c>
      <c r="E5211" s="560">
        <v>121619712</v>
      </c>
      <c r="F5211" s="560">
        <v>212382500</v>
      </c>
      <c r="G5211" s="560">
        <f t="shared" si="114"/>
        <v>-193</v>
      </c>
      <c r="H5211" s="362"/>
      <c r="I5211" s="362"/>
      <c r="J5211" s="362"/>
    </row>
    <row r="5212" spans="1:10" x14ac:dyDescent="0.25">
      <c r="A5212" s="362"/>
      <c r="B5212" s="609">
        <v>44428</v>
      </c>
      <c r="C5212" s="362" t="s">
        <v>88</v>
      </c>
      <c r="D5212" s="560">
        <v>125552944</v>
      </c>
      <c r="E5212" s="560">
        <v>80706971</v>
      </c>
      <c r="F5212" s="560">
        <v>206259900</v>
      </c>
      <c r="G5212" s="560">
        <f t="shared" si="114"/>
        <v>15</v>
      </c>
      <c r="H5212" s="362"/>
      <c r="I5212" s="362"/>
      <c r="J5212" s="362"/>
    </row>
    <row r="5213" spans="1:10" x14ac:dyDescent="0.25">
      <c r="A5213" s="362"/>
      <c r="B5213" s="609">
        <v>44428</v>
      </c>
      <c r="C5213" s="362" t="s">
        <v>82</v>
      </c>
      <c r="D5213" s="560">
        <v>76557062</v>
      </c>
      <c r="E5213" s="560">
        <v>2865419</v>
      </c>
      <c r="F5213" s="560">
        <v>79422500</v>
      </c>
      <c r="G5213" s="560">
        <f t="shared" si="114"/>
        <v>-19</v>
      </c>
      <c r="H5213" s="362"/>
      <c r="I5213" s="362"/>
      <c r="J5213" s="362"/>
    </row>
    <row r="5214" spans="1:10" x14ac:dyDescent="0.25">
      <c r="A5214" s="362"/>
      <c r="B5214" s="609">
        <v>44428</v>
      </c>
      <c r="C5214" s="362" t="s">
        <v>80</v>
      </c>
      <c r="D5214" s="560">
        <v>199203000</v>
      </c>
      <c r="E5214" s="560"/>
      <c r="F5214" s="560">
        <v>199203000</v>
      </c>
      <c r="G5214" s="560">
        <f t="shared" si="114"/>
        <v>0</v>
      </c>
      <c r="H5214" s="362"/>
      <c r="I5214" s="362"/>
      <c r="J5214" s="362"/>
    </row>
    <row r="5215" spans="1:10" x14ac:dyDescent="0.25">
      <c r="A5215" s="362"/>
      <c r="B5215" s="609">
        <v>44428</v>
      </c>
      <c r="C5215" s="362" t="s">
        <v>83</v>
      </c>
      <c r="D5215" s="560">
        <v>223495851</v>
      </c>
      <c r="E5215" s="560">
        <v>40534649</v>
      </c>
      <c r="F5215" s="560">
        <v>264030500</v>
      </c>
      <c r="G5215" s="560">
        <f t="shared" si="114"/>
        <v>0</v>
      </c>
      <c r="H5215" s="362"/>
      <c r="I5215" s="362"/>
      <c r="J5215" s="362"/>
    </row>
    <row r="5216" spans="1:10" x14ac:dyDescent="0.25">
      <c r="A5216" s="362"/>
      <c r="B5216" s="609">
        <v>44428</v>
      </c>
      <c r="C5216" s="362" t="s">
        <v>78</v>
      </c>
      <c r="D5216" s="560">
        <v>122062867</v>
      </c>
      <c r="E5216" s="560">
        <v>1857833</v>
      </c>
      <c r="F5216" s="560">
        <v>123920700</v>
      </c>
      <c r="G5216" s="560">
        <f t="shared" si="114"/>
        <v>0</v>
      </c>
      <c r="H5216" s="362"/>
      <c r="I5216" s="362"/>
      <c r="J5216" s="362"/>
    </row>
    <row r="5217" spans="1:10" x14ac:dyDescent="0.25">
      <c r="A5217" s="362"/>
      <c r="B5217" s="609">
        <v>44428</v>
      </c>
      <c r="C5217" s="362" t="s">
        <v>141</v>
      </c>
      <c r="D5217" s="560">
        <v>83499942</v>
      </c>
      <c r="E5217" s="560">
        <v>1482313</v>
      </c>
      <c r="F5217" s="560">
        <v>84937300</v>
      </c>
      <c r="G5217" s="560">
        <f t="shared" si="114"/>
        <v>44955</v>
      </c>
      <c r="H5217" s="362"/>
      <c r="I5217" s="362"/>
      <c r="J5217" s="362"/>
    </row>
    <row r="5218" spans="1:10" x14ac:dyDescent="0.25">
      <c r="A5218" s="362"/>
      <c r="B5218" s="609">
        <v>44428</v>
      </c>
      <c r="C5218" s="362" t="s">
        <v>89</v>
      </c>
      <c r="D5218" s="560">
        <v>182482722</v>
      </c>
      <c r="E5218" s="560">
        <v>150796378</v>
      </c>
      <c r="F5218" s="560">
        <v>333279000</v>
      </c>
      <c r="G5218" s="560">
        <f t="shared" si="114"/>
        <v>100</v>
      </c>
      <c r="H5218" s="362"/>
      <c r="I5218" s="362"/>
      <c r="J5218" s="362"/>
    </row>
    <row r="5219" spans="1:10" x14ac:dyDescent="0.25">
      <c r="A5219" s="362"/>
      <c r="B5219" s="609">
        <v>44428</v>
      </c>
      <c r="C5219" s="362" t="s">
        <v>81</v>
      </c>
      <c r="D5219" s="560">
        <v>84542923</v>
      </c>
      <c r="E5219" s="560">
        <v>23840574</v>
      </c>
      <c r="F5219" s="560">
        <v>108383500</v>
      </c>
      <c r="G5219" s="560">
        <f t="shared" si="114"/>
        <v>-3</v>
      </c>
      <c r="H5219" s="362"/>
      <c r="I5219" s="362"/>
      <c r="J5219" s="362"/>
    </row>
    <row r="5220" spans="1:10" x14ac:dyDescent="0.25">
      <c r="A5220" s="362"/>
      <c r="B5220" s="609">
        <v>44428</v>
      </c>
      <c r="C5220" s="362" t="s">
        <v>84</v>
      </c>
      <c r="D5220" s="560">
        <v>227700402</v>
      </c>
      <c r="E5220" s="560">
        <v>6821642</v>
      </c>
      <c r="F5220" s="560">
        <v>234520000</v>
      </c>
      <c r="G5220" s="560">
        <f t="shared" si="114"/>
        <v>2044</v>
      </c>
      <c r="H5220" s="362"/>
      <c r="I5220" s="362"/>
      <c r="J5220" s="362"/>
    </row>
    <row r="5221" spans="1:10" x14ac:dyDescent="0.25">
      <c r="A5221" s="362"/>
      <c r="B5221" s="609">
        <v>44428</v>
      </c>
      <c r="C5221" s="362" t="s">
        <v>4751</v>
      </c>
      <c r="D5221" s="560">
        <v>310368725</v>
      </c>
      <c r="E5221" s="560">
        <v>17465175</v>
      </c>
      <c r="F5221" s="560">
        <v>327833900</v>
      </c>
      <c r="G5221" s="560">
        <f t="shared" si="114"/>
        <v>0</v>
      </c>
      <c r="H5221" s="362"/>
      <c r="I5221" s="362"/>
      <c r="J5221" s="362"/>
    </row>
    <row r="5222" spans="1:10" x14ac:dyDescent="0.25">
      <c r="A5222" s="362"/>
      <c r="B5222" s="609">
        <v>44428</v>
      </c>
      <c r="C5222" s="362" t="s">
        <v>166</v>
      </c>
      <c r="D5222" s="560">
        <v>45753341</v>
      </c>
      <c r="E5222" s="560"/>
      <c r="F5222" s="560">
        <v>45753400</v>
      </c>
      <c r="G5222" s="560">
        <f t="shared" si="114"/>
        <v>-59</v>
      </c>
      <c r="H5222" s="362"/>
      <c r="I5222" s="362"/>
      <c r="J5222" s="362"/>
    </row>
    <row r="5223" spans="1:10" x14ac:dyDescent="0.25">
      <c r="A5223" s="362"/>
      <c r="B5223" s="609">
        <v>44428</v>
      </c>
      <c r="C5223" s="362" t="s">
        <v>3435</v>
      </c>
      <c r="D5223" s="560">
        <v>103633125</v>
      </c>
      <c r="E5223" s="560"/>
      <c r="F5223" s="560">
        <v>103633200</v>
      </c>
      <c r="G5223" s="560">
        <f t="shared" si="114"/>
        <v>-75</v>
      </c>
      <c r="H5223" s="362"/>
      <c r="I5223" s="362"/>
      <c r="J5223" s="362"/>
    </row>
    <row r="5224" spans="1:10" x14ac:dyDescent="0.25">
      <c r="A5224" s="362"/>
      <c r="B5224" s="609">
        <v>44428</v>
      </c>
      <c r="C5224" s="370" t="s">
        <v>85</v>
      </c>
      <c r="D5224" s="560">
        <v>24459800</v>
      </c>
      <c r="E5224" s="560"/>
      <c r="F5224" s="560">
        <v>24459800</v>
      </c>
      <c r="G5224" s="560">
        <f t="shared" si="114"/>
        <v>0</v>
      </c>
      <c r="H5224" s="362"/>
      <c r="I5224" s="362"/>
      <c r="J5224" s="362"/>
    </row>
    <row r="5225" spans="1:10" x14ac:dyDescent="0.25">
      <c r="A5225" s="530"/>
      <c r="B5225" s="530"/>
      <c r="C5225" s="530"/>
      <c r="D5225" s="562">
        <f>SUM(D5210:D5224)</f>
        <v>1955606955</v>
      </c>
      <c r="E5225" s="562">
        <f>SUM(E5210:E5224)</f>
        <v>487575662</v>
      </c>
      <c r="F5225" s="562">
        <f>SUM(F5210:F5224)</f>
        <v>2443135800</v>
      </c>
      <c r="G5225" s="562">
        <f>SUM(G5210:G5224)</f>
        <v>46817</v>
      </c>
      <c r="H5225" s="530"/>
      <c r="I5225" s="530"/>
      <c r="J5225" s="530"/>
    </row>
    <row r="5226" spans="1:10" x14ac:dyDescent="0.25">
      <c r="A5226" s="362"/>
      <c r="B5226" s="609">
        <v>44429</v>
      </c>
      <c r="C5226" s="362" t="s">
        <v>86</v>
      </c>
      <c r="D5226" s="560">
        <v>59921267</v>
      </c>
      <c r="E5226" s="560">
        <v>162470305</v>
      </c>
      <c r="F5226" s="560"/>
      <c r="G5226" s="560">
        <f t="shared" si="114"/>
        <v>222391572</v>
      </c>
      <c r="H5226" s="362"/>
      <c r="I5226" s="362"/>
      <c r="J5226" s="362"/>
    </row>
    <row r="5227" spans="1:10" x14ac:dyDescent="0.25">
      <c r="A5227" s="362"/>
      <c r="B5227" s="609">
        <v>44429</v>
      </c>
      <c r="C5227" s="362" t="s">
        <v>87</v>
      </c>
      <c r="D5227" s="560">
        <v>77469323</v>
      </c>
      <c r="E5227" s="560">
        <v>128373287</v>
      </c>
      <c r="F5227" s="560"/>
      <c r="G5227" s="560">
        <f t="shared" si="114"/>
        <v>205842610</v>
      </c>
      <c r="H5227" s="362"/>
      <c r="I5227" s="362"/>
      <c r="J5227" s="362"/>
    </row>
    <row r="5228" spans="1:10" x14ac:dyDescent="0.25">
      <c r="A5228" s="362"/>
      <c r="B5228" s="609">
        <v>44429</v>
      </c>
      <c r="C5228" s="362" t="s">
        <v>88</v>
      </c>
      <c r="D5228" s="560">
        <v>170711885</v>
      </c>
      <c r="E5228" s="560">
        <v>98965586</v>
      </c>
      <c r="F5228" s="560"/>
      <c r="G5228" s="560">
        <f t="shared" si="114"/>
        <v>269677471</v>
      </c>
      <c r="H5228" s="362"/>
      <c r="I5228" s="362"/>
      <c r="J5228" s="362"/>
    </row>
    <row r="5229" spans="1:10" x14ac:dyDescent="0.25">
      <c r="A5229" s="362"/>
      <c r="B5229" s="609">
        <v>44429</v>
      </c>
      <c r="C5229" s="362" t="s">
        <v>82</v>
      </c>
      <c r="D5229" s="560">
        <v>72238744</v>
      </c>
      <c r="E5229" s="560">
        <v>14406075</v>
      </c>
      <c r="F5229" s="560"/>
      <c r="G5229" s="560">
        <f t="shared" si="114"/>
        <v>86644819</v>
      </c>
      <c r="H5229" s="362"/>
      <c r="I5229" s="362"/>
      <c r="J5229" s="362"/>
    </row>
    <row r="5230" spans="1:10" x14ac:dyDescent="0.25">
      <c r="A5230" s="362"/>
      <c r="B5230" s="609">
        <v>44429</v>
      </c>
      <c r="C5230" s="362" t="s">
        <v>80</v>
      </c>
      <c r="D5230" s="560">
        <v>300851373</v>
      </c>
      <c r="E5230" s="560"/>
      <c r="F5230" s="560"/>
      <c r="G5230" s="560">
        <f t="shared" si="114"/>
        <v>300851373</v>
      </c>
      <c r="H5230" s="362"/>
      <c r="I5230" s="362"/>
      <c r="J5230" s="362"/>
    </row>
    <row r="5231" spans="1:10" x14ac:dyDescent="0.25">
      <c r="A5231" s="362"/>
      <c r="B5231" s="609">
        <v>44429</v>
      </c>
      <c r="C5231" s="362" t="s">
        <v>83</v>
      </c>
      <c r="D5231" s="560">
        <v>213802406</v>
      </c>
      <c r="E5231" s="560">
        <v>260364791</v>
      </c>
      <c r="F5231" s="560"/>
      <c r="G5231" s="560">
        <f t="shared" si="114"/>
        <v>474167197</v>
      </c>
      <c r="H5231" s="362"/>
      <c r="I5231" s="362"/>
      <c r="J5231" s="362"/>
    </row>
    <row r="5232" spans="1:10" x14ac:dyDescent="0.25">
      <c r="A5232" s="362"/>
      <c r="B5232" s="609">
        <v>44429</v>
      </c>
      <c r="C5232" s="362" t="s">
        <v>78</v>
      </c>
      <c r="D5232" s="560">
        <v>224687183</v>
      </c>
      <c r="E5232" s="560">
        <v>8606417</v>
      </c>
      <c r="F5232" s="560"/>
      <c r="G5232" s="560">
        <f t="shared" si="114"/>
        <v>233293600</v>
      </c>
      <c r="H5232" s="362"/>
      <c r="I5232" s="362"/>
      <c r="J5232" s="362"/>
    </row>
    <row r="5233" spans="1:10" x14ac:dyDescent="0.25">
      <c r="A5233" s="362"/>
      <c r="B5233" s="609">
        <v>44429</v>
      </c>
      <c r="C5233" s="362" t="s">
        <v>141</v>
      </c>
      <c r="D5233" s="560">
        <v>35205084</v>
      </c>
      <c r="E5233" s="560">
        <v>642930</v>
      </c>
      <c r="F5233" s="560"/>
      <c r="G5233" s="560">
        <f t="shared" si="114"/>
        <v>35848014</v>
      </c>
      <c r="H5233" s="362"/>
      <c r="I5233" s="362"/>
      <c r="J5233" s="362"/>
    </row>
    <row r="5234" spans="1:10" x14ac:dyDescent="0.25">
      <c r="A5234" s="362"/>
      <c r="B5234" s="609">
        <v>44429</v>
      </c>
      <c r="C5234" s="362" t="s">
        <v>89</v>
      </c>
      <c r="D5234" s="560">
        <v>87977794</v>
      </c>
      <c r="E5234" s="560">
        <v>35172806</v>
      </c>
      <c r="F5234" s="560"/>
      <c r="G5234" s="560">
        <f t="shared" si="114"/>
        <v>123150600</v>
      </c>
      <c r="H5234" s="362"/>
      <c r="I5234" s="362"/>
      <c r="J5234" s="362"/>
    </row>
    <row r="5235" spans="1:10" x14ac:dyDescent="0.25">
      <c r="A5235" s="362"/>
      <c r="B5235" s="609">
        <v>44429</v>
      </c>
      <c r="C5235" s="362" t="s">
        <v>81</v>
      </c>
      <c r="D5235" s="560">
        <v>90507116</v>
      </c>
      <c r="E5235" s="560">
        <v>15882318</v>
      </c>
      <c r="F5235" s="560"/>
      <c r="G5235" s="560">
        <f t="shared" si="114"/>
        <v>106389434</v>
      </c>
      <c r="H5235" s="362"/>
      <c r="I5235" s="362"/>
      <c r="J5235" s="362"/>
    </row>
    <row r="5236" spans="1:10" x14ac:dyDescent="0.25">
      <c r="A5236" s="362"/>
      <c r="B5236" s="609">
        <v>44429</v>
      </c>
      <c r="C5236" s="362" t="s">
        <v>84</v>
      </c>
      <c r="D5236" s="560">
        <v>124236606</v>
      </c>
      <c r="E5236" s="560">
        <v>12038229</v>
      </c>
      <c r="F5236" s="560"/>
      <c r="G5236" s="560">
        <f t="shared" si="114"/>
        <v>136274835</v>
      </c>
      <c r="H5236" s="362"/>
      <c r="I5236" s="362"/>
      <c r="J5236" s="362"/>
    </row>
    <row r="5237" spans="1:10" x14ac:dyDescent="0.25">
      <c r="A5237" s="362"/>
      <c r="B5237" s="609">
        <v>44429</v>
      </c>
      <c r="C5237" s="362" t="s">
        <v>4751</v>
      </c>
      <c r="D5237" s="560">
        <v>216283747</v>
      </c>
      <c r="E5237" s="560">
        <v>12917353</v>
      </c>
      <c r="F5237" s="560"/>
      <c r="G5237" s="560">
        <f t="shared" si="114"/>
        <v>229201100</v>
      </c>
      <c r="H5237" s="362"/>
      <c r="I5237" s="362"/>
      <c r="J5237" s="362"/>
    </row>
    <row r="5238" spans="1:10" x14ac:dyDescent="0.25">
      <c r="A5238" s="362"/>
      <c r="B5238" s="609">
        <v>44429</v>
      </c>
      <c r="C5238" s="362" t="s">
        <v>166</v>
      </c>
      <c r="D5238" s="560"/>
      <c r="E5238" s="560"/>
      <c r="F5238" s="560"/>
      <c r="G5238" s="560">
        <f t="shared" si="114"/>
        <v>0</v>
      </c>
      <c r="H5238" s="362"/>
      <c r="I5238" s="362"/>
      <c r="J5238" s="362"/>
    </row>
    <row r="5239" spans="1:10" x14ac:dyDescent="0.25">
      <c r="A5239" s="362"/>
      <c r="B5239" s="609">
        <v>44429</v>
      </c>
      <c r="C5239" s="362" t="s">
        <v>3435</v>
      </c>
      <c r="D5239" s="560"/>
      <c r="E5239" s="560"/>
      <c r="F5239" s="560"/>
      <c r="G5239" s="560">
        <f t="shared" si="114"/>
        <v>0</v>
      </c>
      <c r="H5239" s="362"/>
      <c r="I5239" s="362"/>
      <c r="J5239" s="362"/>
    </row>
    <row r="5240" spans="1:10" x14ac:dyDescent="0.25">
      <c r="A5240" s="362"/>
      <c r="B5240" s="609">
        <v>44429</v>
      </c>
      <c r="C5240" s="370" t="s">
        <v>85</v>
      </c>
      <c r="D5240" s="560">
        <v>26965200</v>
      </c>
      <c r="E5240" s="560"/>
      <c r="F5240" s="560"/>
      <c r="G5240" s="560">
        <f t="shared" si="114"/>
        <v>26965200</v>
      </c>
      <c r="H5240" s="362"/>
      <c r="I5240" s="362"/>
      <c r="J5240" s="362"/>
    </row>
    <row r="5241" spans="1:10" x14ac:dyDescent="0.25">
      <c r="A5241" s="530"/>
      <c r="B5241" s="530"/>
      <c r="C5241" s="530"/>
      <c r="D5241" s="562">
        <f>SUM(D5226:D5240)</f>
        <v>1700857728</v>
      </c>
      <c r="E5241" s="562">
        <f>SUM(E5226:E5240)</f>
        <v>749840097</v>
      </c>
      <c r="F5241" s="562">
        <f>SUM(F5226:F5240)</f>
        <v>0</v>
      </c>
      <c r="G5241" s="562">
        <f>SUM(G5226:G5240)</f>
        <v>2450697825</v>
      </c>
      <c r="H5241" s="530"/>
      <c r="I5241" s="530"/>
      <c r="J5241" s="530"/>
    </row>
    <row r="5242" spans="1:10" x14ac:dyDescent="0.25">
      <c r="A5242" s="362"/>
      <c r="B5242" s="609">
        <v>44431</v>
      </c>
      <c r="C5242" s="362" t="s">
        <v>86</v>
      </c>
      <c r="D5242" s="560">
        <v>35334744</v>
      </c>
      <c r="E5242" s="560">
        <v>73291703</v>
      </c>
      <c r="F5242" s="560">
        <v>108626500</v>
      </c>
      <c r="G5242" s="560">
        <f t="shared" si="114"/>
        <v>-53</v>
      </c>
      <c r="H5242" s="362"/>
      <c r="I5242" s="362"/>
      <c r="J5242" s="362"/>
    </row>
    <row r="5243" spans="1:10" x14ac:dyDescent="0.25">
      <c r="A5243" s="362"/>
      <c r="B5243" s="609">
        <v>44431</v>
      </c>
      <c r="C5243" s="362" t="s">
        <v>87</v>
      </c>
      <c r="D5243" s="560">
        <v>88975299</v>
      </c>
      <c r="E5243" s="560">
        <v>139094479</v>
      </c>
      <c r="F5243" s="560">
        <v>228069900</v>
      </c>
      <c r="G5243" s="560">
        <f t="shared" si="114"/>
        <v>-122</v>
      </c>
      <c r="H5243" s="362"/>
      <c r="I5243" s="362"/>
      <c r="J5243" s="362"/>
    </row>
    <row r="5244" spans="1:10" x14ac:dyDescent="0.25">
      <c r="A5244" s="362"/>
      <c r="B5244" s="609">
        <v>44431</v>
      </c>
      <c r="C5244" s="362" t="s">
        <v>88</v>
      </c>
      <c r="D5244" s="560">
        <v>171840330</v>
      </c>
      <c r="E5244" s="560">
        <v>26075953</v>
      </c>
      <c r="F5244" s="560">
        <v>197916800</v>
      </c>
      <c r="G5244" s="560">
        <f t="shared" si="114"/>
        <v>-517</v>
      </c>
      <c r="H5244" s="362"/>
      <c r="I5244" s="362"/>
      <c r="J5244" s="362"/>
    </row>
    <row r="5245" spans="1:10" x14ac:dyDescent="0.25">
      <c r="A5245" s="362"/>
      <c r="B5245" s="609">
        <v>44431</v>
      </c>
      <c r="C5245" s="362" t="s">
        <v>82</v>
      </c>
      <c r="D5245" s="560">
        <v>34623981</v>
      </c>
      <c r="E5245" s="560">
        <v>22567582</v>
      </c>
      <c r="F5245" s="560">
        <v>57191600</v>
      </c>
      <c r="G5245" s="560">
        <f t="shared" si="114"/>
        <v>-37</v>
      </c>
      <c r="H5245" s="362"/>
      <c r="I5245" s="362"/>
      <c r="J5245" s="362"/>
    </row>
    <row r="5246" spans="1:10" x14ac:dyDescent="0.25">
      <c r="A5246" s="362"/>
      <c r="B5246" s="609">
        <v>44431</v>
      </c>
      <c r="C5246" s="362" t="s">
        <v>80</v>
      </c>
      <c r="D5246" s="560">
        <v>292849412</v>
      </c>
      <c r="E5246" s="560">
        <v>124295688</v>
      </c>
      <c r="F5246" s="560">
        <v>417145100</v>
      </c>
      <c r="G5246" s="560">
        <f t="shared" si="114"/>
        <v>0</v>
      </c>
      <c r="H5246" s="362"/>
      <c r="I5246" s="362"/>
      <c r="J5246" s="362"/>
    </row>
    <row r="5247" spans="1:10" x14ac:dyDescent="0.25">
      <c r="A5247" s="362"/>
      <c r="B5247" s="609">
        <v>44431</v>
      </c>
      <c r="C5247" s="362" t="s">
        <v>83</v>
      </c>
      <c r="D5247" s="560">
        <v>322392782</v>
      </c>
      <c r="E5247" s="560">
        <v>220713227</v>
      </c>
      <c r="F5247" s="560">
        <v>543106000</v>
      </c>
      <c r="G5247" s="560">
        <f t="shared" si="114"/>
        <v>9</v>
      </c>
      <c r="H5247" s="362"/>
      <c r="I5247" s="362"/>
      <c r="J5247" s="362"/>
    </row>
    <row r="5248" spans="1:10" x14ac:dyDescent="0.25">
      <c r="A5248" s="362"/>
      <c r="B5248" s="609">
        <v>44431</v>
      </c>
      <c r="C5248" s="362" t="s">
        <v>78</v>
      </c>
      <c r="D5248" s="560">
        <v>69998244</v>
      </c>
      <c r="E5248" s="560">
        <v>2364656</v>
      </c>
      <c r="F5248" s="560">
        <v>72362900</v>
      </c>
      <c r="G5248" s="560">
        <f t="shared" si="114"/>
        <v>0</v>
      </c>
      <c r="H5248" s="362"/>
      <c r="I5248" s="362"/>
      <c r="J5248" s="362"/>
    </row>
    <row r="5249" spans="1:10" x14ac:dyDescent="0.25">
      <c r="A5249" s="362"/>
      <c r="B5249" s="609">
        <v>44431</v>
      </c>
      <c r="C5249" s="362" t="s">
        <v>141</v>
      </c>
      <c r="D5249" s="560">
        <v>51880119</v>
      </c>
      <c r="E5249" s="560">
        <v>5726849</v>
      </c>
      <c r="F5249" s="560">
        <v>57445500</v>
      </c>
      <c r="G5249" s="560">
        <f t="shared" si="114"/>
        <v>161468</v>
      </c>
      <c r="H5249" s="362"/>
      <c r="I5249" s="362"/>
      <c r="J5249" s="362"/>
    </row>
    <row r="5250" spans="1:10" x14ac:dyDescent="0.25">
      <c r="A5250" s="362"/>
      <c r="B5250" s="609">
        <v>44431</v>
      </c>
      <c r="C5250" s="362" t="s">
        <v>89</v>
      </c>
      <c r="D5250" s="560">
        <v>181205386</v>
      </c>
      <c r="E5250" s="560">
        <v>41913914</v>
      </c>
      <c r="F5250" s="560">
        <v>223119300</v>
      </c>
      <c r="G5250" s="560">
        <f t="shared" si="114"/>
        <v>0</v>
      </c>
      <c r="H5250" s="362"/>
      <c r="I5250" s="362"/>
      <c r="J5250" s="362"/>
    </row>
    <row r="5251" spans="1:10" x14ac:dyDescent="0.25">
      <c r="A5251" s="362"/>
      <c r="B5251" s="609">
        <v>44431</v>
      </c>
      <c r="C5251" s="362" t="s">
        <v>81</v>
      </c>
      <c r="D5251" s="560">
        <v>125567644</v>
      </c>
      <c r="E5251" s="560">
        <v>48141340</v>
      </c>
      <c r="F5251" s="560">
        <v>173709000</v>
      </c>
      <c r="G5251" s="560">
        <f t="shared" si="114"/>
        <v>-16</v>
      </c>
      <c r="H5251" s="362"/>
      <c r="I5251" s="362"/>
      <c r="J5251" s="362"/>
    </row>
    <row r="5252" spans="1:10" x14ac:dyDescent="0.25">
      <c r="A5252" s="362"/>
      <c r="B5252" s="609">
        <v>44431</v>
      </c>
      <c r="C5252" s="362" t="s">
        <v>84</v>
      </c>
      <c r="D5252" s="560">
        <v>254315195</v>
      </c>
      <c r="E5252" s="560">
        <v>11430828</v>
      </c>
      <c r="F5252" s="560">
        <v>265746100</v>
      </c>
      <c r="G5252" s="560">
        <f t="shared" si="114"/>
        <v>-77</v>
      </c>
      <c r="H5252" s="362"/>
      <c r="I5252" s="362"/>
      <c r="J5252" s="362"/>
    </row>
    <row r="5253" spans="1:10" x14ac:dyDescent="0.25">
      <c r="A5253" s="362"/>
      <c r="B5253" s="609">
        <v>44431</v>
      </c>
      <c r="C5253" s="362" t="s">
        <v>4751</v>
      </c>
      <c r="D5253" s="560">
        <v>241722087</v>
      </c>
      <c r="E5253" s="560">
        <v>23793613</v>
      </c>
      <c r="F5253" s="560">
        <v>265515700</v>
      </c>
      <c r="G5253" s="560">
        <f t="shared" si="114"/>
        <v>0</v>
      </c>
      <c r="H5253" s="362"/>
      <c r="I5253" s="362"/>
      <c r="J5253" s="362"/>
    </row>
    <row r="5254" spans="1:10" x14ac:dyDescent="0.25">
      <c r="A5254" s="362"/>
      <c r="B5254" s="609">
        <v>44431</v>
      </c>
      <c r="C5254" s="362" t="s">
        <v>166</v>
      </c>
      <c r="D5254" s="560">
        <v>56439866</v>
      </c>
      <c r="E5254" s="560"/>
      <c r="F5254" s="560">
        <v>56439900</v>
      </c>
      <c r="G5254" s="560">
        <f t="shared" si="114"/>
        <v>-34</v>
      </c>
      <c r="H5254" s="362"/>
      <c r="I5254" s="362"/>
      <c r="J5254" s="362"/>
    </row>
    <row r="5255" spans="1:10" x14ac:dyDescent="0.25">
      <c r="A5255" s="362"/>
      <c r="B5255" s="609">
        <v>44431</v>
      </c>
      <c r="C5255" s="362" t="s">
        <v>3435</v>
      </c>
      <c r="D5255" s="560">
        <v>43366504</v>
      </c>
      <c r="E5255" s="560"/>
      <c r="F5255" s="560">
        <v>43366600</v>
      </c>
      <c r="G5255" s="560">
        <f t="shared" si="114"/>
        <v>-96</v>
      </c>
      <c r="H5255" s="362"/>
      <c r="I5255" s="362"/>
      <c r="J5255" s="362"/>
    </row>
    <row r="5256" spans="1:10" x14ac:dyDescent="0.25">
      <c r="A5256" s="362"/>
      <c r="B5256" s="609">
        <v>44431</v>
      </c>
      <c r="C5256" s="370" t="s">
        <v>85</v>
      </c>
      <c r="D5256" s="560">
        <v>52070800</v>
      </c>
      <c r="E5256" s="560"/>
      <c r="F5256" s="560">
        <v>52070800</v>
      </c>
      <c r="G5256" s="560">
        <f t="shared" si="114"/>
        <v>0</v>
      </c>
      <c r="H5256" s="362"/>
      <c r="I5256" s="362"/>
      <c r="J5256" s="362"/>
    </row>
    <row r="5257" spans="1:10" x14ac:dyDescent="0.25">
      <c r="A5257" s="530"/>
      <c r="B5257" s="530"/>
      <c r="C5257" s="530"/>
      <c r="D5257" s="562">
        <f>SUM(D5242:D5256)</f>
        <v>2022582393</v>
      </c>
      <c r="E5257" s="562">
        <f>SUM(E5242:E5256)</f>
        <v>739409832</v>
      </c>
      <c r="F5257" s="562">
        <f>SUM(F5242:F5256)</f>
        <v>2761831700</v>
      </c>
      <c r="G5257" s="562">
        <f>SUM(G5242:G5256)</f>
        <v>160525</v>
      </c>
      <c r="H5257" s="530"/>
      <c r="I5257" s="530"/>
      <c r="J5257" s="530"/>
    </row>
    <row r="5258" spans="1:10" x14ac:dyDescent="0.25">
      <c r="A5258" s="362"/>
      <c r="B5258" s="609">
        <v>44432</v>
      </c>
      <c r="C5258" s="362" t="s">
        <v>86</v>
      </c>
      <c r="D5258" s="560">
        <v>98297201</v>
      </c>
      <c r="E5258" s="560">
        <v>35295953</v>
      </c>
      <c r="F5258" s="560"/>
      <c r="G5258" s="560">
        <f t="shared" si="114"/>
        <v>133593154</v>
      </c>
      <c r="H5258" s="362"/>
      <c r="I5258" s="362"/>
      <c r="J5258" s="362"/>
    </row>
    <row r="5259" spans="1:10" x14ac:dyDescent="0.25">
      <c r="A5259" s="362"/>
      <c r="B5259" s="609">
        <v>44432</v>
      </c>
      <c r="C5259" s="362" t="s">
        <v>87</v>
      </c>
      <c r="D5259" s="560">
        <v>112226241</v>
      </c>
      <c r="E5259" s="560">
        <v>186956632</v>
      </c>
      <c r="F5259" s="560"/>
      <c r="G5259" s="560">
        <f t="shared" si="114"/>
        <v>299182873</v>
      </c>
      <c r="H5259" s="362"/>
      <c r="I5259" s="362"/>
      <c r="J5259" s="362"/>
    </row>
    <row r="5260" spans="1:10" x14ac:dyDescent="0.25">
      <c r="A5260" s="362"/>
      <c r="B5260" s="609">
        <v>44432</v>
      </c>
      <c r="C5260" s="362" t="s">
        <v>88</v>
      </c>
      <c r="D5260" s="560">
        <v>263900274</v>
      </c>
      <c r="E5260" s="560">
        <v>9838935</v>
      </c>
      <c r="F5260" s="560"/>
      <c r="G5260" s="560">
        <f t="shared" ref="G5260:G5323" si="115">D5260+E5260-F5260</f>
        <v>273739209</v>
      </c>
      <c r="H5260" s="362"/>
      <c r="I5260" s="362"/>
      <c r="J5260" s="362"/>
    </row>
    <row r="5261" spans="1:10" x14ac:dyDescent="0.25">
      <c r="A5261" s="362"/>
      <c r="B5261" s="609">
        <v>44432</v>
      </c>
      <c r="C5261" s="362" t="s">
        <v>82</v>
      </c>
      <c r="D5261" s="560">
        <v>159821932</v>
      </c>
      <c r="E5261" s="560">
        <v>4796437</v>
      </c>
      <c r="F5261" s="560"/>
      <c r="G5261" s="560">
        <f t="shared" si="115"/>
        <v>164618369</v>
      </c>
      <c r="H5261" s="362"/>
      <c r="I5261" s="362"/>
      <c r="J5261" s="362"/>
    </row>
    <row r="5262" spans="1:10" x14ac:dyDescent="0.25">
      <c r="A5262" s="362"/>
      <c r="B5262" s="609">
        <v>44432</v>
      </c>
      <c r="C5262" s="362" t="s">
        <v>80</v>
      </c>
      <c r="D5262" s="560">
        <v>261489326</v>
      </c>
      <c r="E5262" s="560"/>
      <c r="F5262" s="560"/>
      <c r="G5262" s="560">
        <f t="shared" si="115"/>
        <v>261489326</v>
      </c>
      <c r="H5262" s="362"/>
      <c r="I5262" s="362"/>
      <c r="J5262" s="362"/>
    </row>
    <row r="5263" spans="1:10" x14ac:dyDescent="0.25">
      <c r="A5263" s="362"/>
      <c r="B5263" s="609">
        <v>44432</v>
      </c>
      <c r="C5263" s="362" t="s">
        <v>83</v>
      </c>
      <c r="D5263" s="560">
        <v>273005840</v>
      </c>
      <c r="E5263" s="560">
        <v>109796865</v>
      </c>
      <c r="F5263" s="560"/>
      <c r="G5263" s="560">
        <f t="shared" si="115"/>
        <v>382802705</v>
      </c>
      <c r="H5263" s="362"/>
      <c r="I5263" s="362"/>
      <c r="J5263" s="362"/>
    </row>
    <row r="5264" spans="1:10" x14ac:dyDescent="0.25">
      <c r="A5264" s="362"/>
      <c r="B5264" s="609">
        <v>44432</v>
      </c>
      <c r="C5264" s="362" t="s">
        <v>78</v>
      </c>
      <c r="D5264" s="560">
        <v>132281896</v>
      </c>
      <c r="E5264" s="560">
        <v>7089204</v>
      </c>
      <c r="F5264" s="560"/>
      <c r="G5264" s="560">
        <f t="shared" si="115"/>
        <v>139371100</v>
      </c>
      <c r="H5264" s="362"/>
      <c r="I5264" s="362"/>
      <c r="J5264" s="362"/>
    </row>
    <row r="5265" spans="1:10" x14ac:dyDescent="0.25">
      <c r="A5265" s="362"/>
      <c r="B5265" s="609">
        <v>44432</v>
      </c>
      <c r="C5265" s="362" t="s">
        <v>141</v>
      </c>
      <c r="D5265" s="560">
        <v>94337363</v>
      </c>
      <c r="E5265" s="560">
        <v>15000</v>
      </c>
      <c r="F5265" s="560"/>
      <c r="G5265" s="560">
        <f t="shared" si="115"/>
        <v>94352363</v>
      </c>
      <c r="H5265" s="362"/>
      <c r="I5265" s="362"/>
      <c r="J5265" s="362"/>
    </row>
    <row r="5266" spans="1:10" x14ac:dyDescent="0.25">
      <c r="A5266" s="362"/>
      <c r="B5266" s="609">
        <v>44432</v>
      </c>
      <c r="C5266" s="362" t="s">
        <v>89</v>
      </c>
      <c r="D5266" s="560">
        <v>243064637</v>
      </c>
      <c r="E5266" s="560">
        <v>18287763</v>
      </c>
      <c r="F5266" s="560"/>
      <c r="G5266" s="560">
        <f t="shared" si="115"/>
        <v>261352400</v>
      </c>
      <c r="H5266" s="362"/>
      <c r="I5266" s="362"/>
      <c r="J5266" s="362"/>
    </row>
    <row r="5267" spans="1:10" x14ac:dyDescent="0.25">
      <c r="A5267" s="362"/>
      <c r="B5267" s="609">
        <v>44432</v>
      </c>
      <c r="C5267" s="362" t="s">
        <v>81</v>
      </c>
      <c r="D5267" s="560">
        <v>99379812</v>
      </c>
      <c r="E5267" s="560">
        <v>9695142</v>
      </c>
      <c r="F5267" s="560"/>
      <c r="G5267" s="560">
        <f t="shared" si="115"/>
        <v>109074954</v>
      </c>
      <c r="H5267" s="362"/>
      <c r="I5267" s="362"/>
      <c r="J5267" s="362"/>
    </row>
    <row r="5268" spans="1:10" x14ac:dyDescent="0.25">
      <c r="A5268" s="362"/>
      <c r="B5268" s="609">
        <v>44432</v>
      </c>
      <c r="C5268" s="362" t="s">
        <v>84</v>
      </c>
      <c r="D5268" s="560">
        <v>200291648</v>
      </c>
      <c r="E5268" s="560">
        <v>12643106</v>
      </c>
      <c r="F5268" s="560"/>
      <c r="G5268" s="560">
        <f t="shared" si="115"/>
        <v>212934754</v>
      </c>
      <c r="H5268" s="362"/>
      <c r="I5268" s="362"/>
      <c r="J5268" s="362"/>
    </row>
    <row r="5269" spans="1:10" x14ac:dyDescent="0.25">
      <c r="A5269" s="362"/>
      <c r="B5269" s="609">
        <v>44432</v>
      </c>
      <c r="C5269" s="362" t="s">
        <v>4751</v>
      </c>
      <c r="D5269" s="560">
        <v>303059932</v>
      </c>
      <c r="E5269" s="560">
        <v>13145868</v>
      </c>
      <c r="F5269" s="560"/>
      <c r="G5269" s="560">
        <f t="shared" si="115"/>
        <v>316205800</v>
      </c>
      <c r="H5269" s="362"/>
      <c r="I5269" s="362"/>
      <c r="J5269" s="362"/>
    </row>
    <row r="5270" spans="1:10" x14ac:dyDescent="0.25">
      <c r="A5270" s="362"/>
      <c r="B5270" s="609">
        <v>44432</v>
      </c>
      <c r="C5270" s="362" t="s">
        <v>166</v>
      </c>
      <c r="D5270" s="560">
        <v>85473314</v>
      </c>
      <c r="E5270" s="560"/>
      <c r="F5270" s="560"/>
      <c r="G5270" s="560">
        <f t="shared" si="115"/>
        <v>85473314</v>
      </c>
      <c r="H5270" s="362"/>
      <c r="I5270" s="362"/>
      <c r="J5270" s="362"/>
    </row>
    <row r="5271" spans="1:10" x14ac:dyDescent="0.25">
      <c r="A5271" s="362"/>
      <c r="B5271" s="609">
        <v>44432</v>
      </c>
      <c r="C5271" s="362" t="s">
        <v>3435</v>
      </c>
      <c r="D5271" s="560">
        <v>49543266</v>
      </c>
      <c r="E5271" s="560"/>
      <c r="F5271" s="560"/>
      <c r="G5271" s="560">
        <f t="shared" si="115"/>
        <v>49543266</v>
      </c>
      <c r="H5271" s="362"/>
      <c r="I5271" s="362"/>
      <c r="J5271" s="362"/>
    </row>
    <row r="5272" spans="1:10" x14ac:dyDescent="0.25">
      <c r="A5272" s="362"/>
      <c r="B5272" s="609">
        <v>44432</v>
      </c>
      <c r="C5272" s="370" t="s">
        <v>85</v>
      </c>
      <c r="D5272" s="560">
        <v>36945700</v>
      </c>
      <c r="E5272" s="560"/>
      <c r="F5272" s="560"/>
      <c r="G5272" s="560">
        <f t="shared" si="115"/>
        <v>36945700</v>
      </c>
      <c r="H5272" s="362"/>
      <c r="I5272" s="362"/>
      <c r="J5272" s="362"/>
    </row>
    <row r="5273" spans="1:10" x14ac:dyDescent="0.25">
      <c r="A5273" s="530"/>
      <c r="B5273" s="530"/>
      <c r="C5273" s="530"/>
      <c r="D5273" s="562">
        <f>SUM(D5258:D5272)</f>
        <v>2413118382</v>
      </c>
      <c r="E5273" s="562">
        <f>SUM(E5258:E5272)</f>
        <v>407560905</v>
      </c>
      <c r="F5273" s="562">
        <f>SUM(F5258:F5272)</f>
        <v>0</v>
      </c>
      <c r="G5273" s="562">
        <f>SUM(G5258:G5272)</f>
        <v>2820679287</v>
      </c>
      <c r="H5273" s="530"/>
      <c r="I5273" s="530"/>
      <c r="J5273" s="530"/>
    </row>
    <row r="5274" spans="1:10" x14ac:dyDescent="0.25">
      <c r="A5274" s="362"/>
      <c r="B5274" s="609">
        <v>44433</v>
      </c>
      <c r="C5274" s="362" t="s">
        <v>86</v>
      </c>
      <c r="D5274" s="560">
        <v>96008486</v>
      </c>
      <c r="E5274" s="560">
        <v>75374754</v>
      </c>
      <c r="F5274" s="560">
        <v>171383200</v>
      </c>
      <c r="G5274" s="560">
        <f t="shared" si="115"/>
        <v>40</v>
      </c>
      <c r="H5274" s="362"/>
      <c r="I5274" s="362"/>
      <c r="J5274" s="362"/>
    </row>
    <row r="5275" spans="1:10" x14ac:dyDescent="0.25">
      <c r="A5275" s="362"/>
      <c r="B5275" s="609">
        <v>44433</v>
      </c>
      <c r="C5275" s="362" t="s">
        <v>87</v>
      </c>
      <c r="D5275" s="560">
        <v>75617451</v>
      </c>
      <c r="E5275" s="560">
        <v>156964702</v>
      </c>
      <c r="F5275" s="560">
        <v>232582100</v>
      </c>
      <c r="G5275" s="560">
        <f t="shared" si="115"/>
        <v>53</v>
      </c>
      <c r="H5275" s="362"/>
      <c r="I5275" s="362"/>
      <c r="J5275" s="362"/>
    </row>
    <row r="5276" spans="1:10" x14ac:dyDescent="0.25">
      <c r="A5276" s="362"/>
      <c r="B5276" s="609">
        <v>44433</v>
      </c>
      <c r="C5276" s="362" t="s">
        <v>88</v>
      </c>
      <c r="D5276" s="560">
        <v>229229941</v>
      </c>
      <c r="E5276" s="560">
        <v>4579361</v>
      </c>
      <c r="F5276" s="560">
        <v>233809400</v>
      </c>
      <c r="G5276" s="560">
        <f t="shared" si="115"/>
        <v>-98</v>
      </c>
      <c r="H5276" s="362"/>
      <c r="I5276" s="362"/>
      <c r="J5276" s="362"/>
    </row>
    <row r="5277" spans="1:10" x14ac:dyDescent="0.25">
      <c r="A5277" s="362"/>
      <c r="B5277" s="609">
        <v>44433</v>
      </c>
      <c r="C5277" s="362" t="s">
        <v>82</v>
      </c>
      <c r="D5277" s="560">
        <v>67205968</v>
      </c>
      <c r="E5277" s="560">
        <v>4776228</v>
      </c>
      <c r="F5277" s="560">
        <v>71982200</v>
      </c>
      <c r="G5277" s="560">
        <f t="shared" si="115"/>
        <v>-4</v>
      </c>
      <c r="H5277" s="362"/>
      <c r="I5277" s="362"/>
      <c r="J5277" s="362"/>
    </row>
    <row r="5278" spans="1:10" x14ac:dyDescent="0.25">
      <c r="A5278" s="362"/>
      <c r="B5278" s="609">
        <v>44433</v>
      </c>
      <c r="C5278" s="362" t="s">
        <v>80</v>
      </c>
      <c r="D5278" s="560">
        <v>241176000</v>
      </c>
      <c r="E5278" s="560"/>
      <c r="F5278" s="560">
        <v>241176000</v>
      </c>
      <c r="G5278" s="560">
        <f t="shared" si="115"/>
        <v>0</v>
      </c>
      <c r="H5278" s="362"/>
      <c r="I5278" s="362"/>
      <c r="J5278" s="362"/>
    </row>
    <row r="5279" spans="1:10" x14ac:dyDescent="0.25">
      <c r="A5279" s="362"/>
      <c r="B5279" s="609">
        <v>44433</v>
      </c>
      <c r="C5279" s="362" t="s">
        <v>83</v>
      </c>
      <c r="D5279" s="560">
        <v>210288787</v>
      </c>
      <c r="E5279" s="560">
        <v>30551108</v>
      </c>
      <c r="F5279" s="560">
        <v>240839900</v>
      </c>
      <c r="G5279" s="560">
        <f t="shared" si="115"/>
        <v>-5</v>
      </c>
      <c r="H5279" s="362"/>
      <c r="I5279" s="362"/>
      <c r="J5279" s="362"/>
    </row>
    <row r="5280" spans="1:10" x14ac:dyDescent="0.25">
      <c r="A5280" s="362"/>
      <c r="B5280" s="609">
        <v>44433</v>
      </c>
      <c r="C5280" s="362" t="s">
        <v>78</v>
      </c>
      <c r="D5280" s="560">
        <v>236728377</v>
      </c>
      <c r="E5280" s="560">
        <v>2007723</v>
      </c>
      <c r="F5280" s="560">
        <v>238736100</v>
      </c>
      <c r="G5280" s="560">
        <f t="shared" si="115"/>
        <v>0</v>
      </c>
      <c r="H5280" s="362"/>
      <c r="I5280" s="362"/>
      <c r="J5280" s="362"/>
    </row>
    <row r="5281" spans="1:10" x14ac:dyDescent="0.25">
      <c r="A5281" s="362"/>
      <c r="B5281" s="609">
        <v>44433</v>
      </c>
      <c r="C5281" s="362" t="s">
        <v>141</v>
      </c>
      <c r="D5281" s="560">
        <v>138110570</v>
      </c>
      <c r="E5281" s="560">
        <v>589406</v>
      </c>
      <c r="F5281" s="560">
        <v>138700000</v>
      </c>
      <c r="G5281" s="560">
        <f t="shared" si="115"/>
        <v>-24</v>
      </c>
      <c r="H5281" s="362"/>
      <c r="I5281" s="362"/>
      <c r="J5281" s="362"/>
    </row>
    <row r="5282" spans="1:10" x14ac:dyDescent="0.25">
      <c r="A5282" s="362"/>
      <c r="B5282" s="609">
        <v>44433</v>
      </c>
      <c r="C5282" s="362" t="s">
        <v>89</v>
      </c>
      <c r="D5282" s="560">
        <v>116027713</v>
      </c>
      <c r="E5282" s="560">
        <v>36744787</v>
      </c>
      <c r="F5282" s="560">
        <v>152772500</v>
      </c>
      <c r="G5282" s="560">
        <f t="shared" si="115"/>
        <v>0</v>
      </c>
      <c r="H5282" s="362"/>
      <c r="I5282" s="362"/>
      <c r="J5282" s="362"/>
    </row>
    <row r="5283" spans="1:10" x14ac:dyDescent="0.25">
      <c r="A5283" s="362"/>
      <c r="B5283" s="609">
        <v>44433</v>
      </c>
      <c r="C5283" s="362" t="s">
        <v>81</v>
      </c>
      <c r="D5283" s="560">
        <v>149333291</v>
      </c>
      <c r="E5283" s="560">
        <v>17321330</v>
      </c>
      <c r="F5283" s="560">
        <v>166654700</v>
      </c>
      <c r="G5283" s="560">
        <f t="shared" si="115"/>
        <v>-79</v>
      </c>
      <c r="H5283" s="362"/>
      <c r="I5283" s="362"/>
      <c r="J5283" s="362"/>
    </row>
    <row r="5284" spans="1:10" x14ac:dyDescent="0.25">
      <c r="A5284" s="362"/>
      <c r="B5284" s="609">
        <v>44433</v>
      </c>
      <c r="C5284" s="362" t="s">
        <v>84</v>
      </c>
      <c r="D5284" s="560">
        <v>293629739</v>
      </c>
      <c r="E5284" s="560">
        <v>12024010</v>
      </c>
      <c r="F5284" s="560">
        <v>305653800</v>
      </c>
      <c r="G5284" s="560">
        <f t="shared" si="115"/>
        <v>-51</v>
      </c>
      <c r="H5284" s="362"/>
      <c r="I5284" s="362"/>
      <c r="J5284" s="362"/>
    </row>
    <row r="5285" spans="1:10" x14ac:dyDescent="0.25">
      <c r="A5285" s="362"/>
      <c r="B5285" s="609">
        <v>44433</v>
      </c>
      <c r="C5285" s="362" t="s">
        <v>4751</v>
      </c>
      <c r="D5285" s="560">
        <v>330458004</v>
      </c>
      <c r="E5285" s="560">
        <v>11190496</v>
      </c>
      <c r="F5285" s="560">
        <v>341648500</v>
      </c>
      <c r="G5285" s="560">
        <f t="shared" si="115"/>
        <v>0</v>
      </c>
      <c r="H5285" s="362"/>
      <c r="I5285" s="362"/>
      <c r="J5285" s="362"/>
    </row>
    <row r="5286" spans="1:10" x14ac:dyDescent="0.25">
      <c r="A5286" s="362"/>
      <c r="B5286" s="609">
        <v>44433</v>
      </c>
      <c r="C5286" s="362" t="s">
        <v>166</v>
      </c>
      <c r="D5286" s="560">
        <v>74135087</v>
      </c>
      <c r="E5286" s="560"/>
      <c r="F5286" s="560">
        <v>74135000</v>
      </c>
      <c r="G5286" s="560">
        <f t="shared" si="115"/>
        <v>87</v>
      </c>
      <c r="H5286" s="362"/>
      <c r="I5286" s="362"/>
      <c r="J5286" s="362"/>
    </row>
    <row r="5287" spans="1:10" x14ac:dyDescent="0.25">
      <c r="A5287" s="362"/>
      <c r="B5287" s="609">
        <v>44433</v>
      </c>
      <c r="C5287" s="362" t="s">
        <v>3435</v>
      </c>
      <c r="D5287" s="560">
        <v>111445786</v>
      </c>
      <c r="E5287" s="560"/>
      <c r="F5287" s="560">
        <v>111445800</v>
      </c>
      <c r="G5287" s="560">
        <f t="shared" si="115"/>
        <v>-14</v>
      </c>
      <c r="H5287" s="362"/>
      <c r="I5287" s="362"/>
      <c r="J5287" s="362"/>
    </row>
    <row r="5288" spans="1:10" x14ac:dyDescent="0.25">
      <c r="A5288" s="362"/>
      <c r="B5288" s="609">
        <v>44433</v>
      </c>
      <c r="C5288" s="370" t="s">
        <v>85</v>
      </c>
      <c r="D5288" s="560">
        <v>35157100</v>
      </c>
      <c r="E5288" s="560"/>
      <c r="F5288" s="560">
        <v>35157100</v>
      </c>
      <c r="G5288" s="560">
        <f t="shared" si="115"/>
        <v>0</v>
      </c>
      <c r="H5288" s="362"/>
      <c r="I5288" s="362"/>
      <c r="J5288" s="362"/>
    </row>
    <row r="5289" spans="1:10" x14ac:dyDescent="0.25">
      <c r="A5289" s="530"/>
      <c r="B5289" s="530"/>
      <c r="C5289" s="530"/>
      <c r="D5289" s="562">
        <f>SUM(D5274:D5288)</f>
        <v>2404552300</v>
      </c>
      <c r="E5289" s="562">
        <f>SUM(E5274:E5288)</f>
        <v>352123905</v>
      </c>
      <c r="F5289" s="562">
        <f>SUM(F5274:F5288)</f>
        <v>2756676300</v>
      </c>
      <c r="G5289" s="562">
        <f>SUM(G5274:G5288)</f>
        <v>-95</v>
      </c>
      <c r="H5289" s="530"/>
      <c r="I5289" s="530"/>
      <c r="J5289" s="530"/>
    </row>
    <row r="5290" spans="1:10" x14ac:dyDescent="0.25">
      <c r="A5290" s="362"/>
      <c r="B5290" s="609">
        <v>44434</v>
      </c>
      <c r="C5290" s="362" t="s">
        <v>86</v>
      </c>
      <c r="D5290" s="560">
        <v>107992837</v>
      </c>
      <c r="E5290" s="560">
        <v>83308466</v>
      </c>
      <c r="F5290" s="560">
        <v>191301300</v>
      </c>
      <c r="G5290" s="560">
        <f t="shared" si="115"/>
        <v>3</v>
      </c>
      <c r="H5290" s="362"/>
      <c r="I5290" s="362"/>
      <c r="J5290" s="362"/>
    </row>
    <row r="5291" spans="1:10" x14ac:dyDescent="0.25">
      <c r="A5291" s="362"/>
      <c r="B5291" s="609">
        <v>44434</v>
      </c>
      <c r="C5291" s="362" t="s">
        <v>87</v>
      </c>
      <c r="D5291" s="560">
        <v>75551418</v>
      </c>
      <c r="E5291" s="560">
        <v>28453150</v>
      </c>
      <c r="F5291" s="560">
        <v>104004600</v>
      </c>
      <c r="G5291" s="560">
        <f t="shared" si="115"/>
        <v>-32</v>
      </c>
      <c r="H5291" s="362"/>
      <c r="I5291" s="362"/>
      <c r="J5291" s="362"/>
    </row>
    <row r="5292" spans="1:10" x14ac:dyDescent="0.25">
      <c r="A5292" s="362"/>
      <c r="B5292" s="609">
        <v>44434</v>
      </c>
      <c r="C5292" s="362" t="s">
        <v>88</v>
      </c>
      <c r="D5292" s="560">
        <v>230673551</v>
      </c>
      <c r="E5292" s="560">
        <v>146564519</v>
      </c>
      <c r="F5292" s="560">
        <v>377238600</v>
      </c>
      <c r="G5292" s="560">
        <f t="shared" si="115"/>
        <v>-530</v>
      </c>
      <c r="H5292" s="362"/>
      <c r="I5292" s="362"/>
      <c r="J5292" s="362"/>
    </row>
    <row r="5293" spans="1:10" x14ac:dyDescent="0.25">
      <c r="A5293" s="362"/>
      <c r="B5293" s="609">
        <v>44434</v>
      </c>
      <c r="C5293" s="362" t="s">
        <v>82</v>
      </c>
      <c r="D5293" s="560">
        <v>185264068</v>
      </c>
      <c r="E5293" s="560">
        <v>3075260</v>
      </c>
      <c r="F5293" s="560">
        <v>188339500</v>
      </c>
      <c r="G5293" s="560">
        <f t="shared" si="115"/>
        <v>-172</v>
      </c>
      <c r="H5293" s="362"/>
      <c r="I5293" s="362"/>
      <c r="J5293" s="362"/>
    </row>
    <row r="5294" spans="1:10" x14ac:dyDescent="0.25">
      <c r="A5294" s="362"/>
      <c r="B5294" s="609">
        <v>44434</v>
      </c>
      <c r="C5294" s="362" t="s">
        <v>80</v>
      </c>
      <c r="D5294" s="560">
        <v>192120701</v>
      </c>
      <c r="E5294" s="560">
        <v>1217660</v>
      </c>
      <c r="F5294" s="560">
        <v>193337900</v>
      </c>
      <c r="G5294" s="560">
        <f t="shared" si="115"/>
        <v>461</v>
      </c>
      <c r="H5294" s="362"/>
      <c r="I5294" s="362"/>
      <c r="J5294" s="362"/>
    </row>
    <row r="5295" spans="1:10" x14ac:dyDescent="0.25">
      <c r="A5295" s="362"/>
      <c r="B5295" s="609">
        <v>44434</v>
      </c>
      <c r="C5295" s="362" t="s">
        <v>83</v>
      </c>
      <c r="D5295" s="560">
        <v>299386727</v>
      </c>
      <c r="E5295" s="560">
        <v>190143673</v>
      </c>
      <c r="F5295" s="560">
        <v>489530400</v>
      </c>
      <c r="G5295" s="560">
        <f t="shared" si="115"/>
        <v>0</v>
      </c>
      <c r="H5295" s="362"/>
      <c r="I5295" s="362"/>
      <c r="J5295" s="362"/>
    </row>
    <row r="5296" spans="1:10" x14ac:dyDescent="0.25">
      <c r="A5296" s="362"/>
      <c r="B5296" s="609">
        <v>44434</v>
      </c>
      <c r="C5296" s="362" t="s">
        <v>78</v>
      </c>
      <c r="D5296" s="560">
        <v>122283193</v>
      </c>
      <c r="E5296" s="560">
        <v>1888807</v>
      </c>
      <c r="F5296" s="560">
        <v>124172000</v>
      </c>
      <c r="G5296" s="560">
        <f t="shared" si="115"/>
        <v>0</v>
      </c>
      <c r="H5296" s="362"/>
      <c r="I5296" s="362"/>
      <c r="J5296" s="362"/>
    </row>
    <row r="5297" spans="1:10" x14ac:dyDescent="0.25">
      <c r="A5297" s="362"/>
      <c r="B5297" s="609">
        <v>44434</v>
      </c>
      <c r="C5297" s="362" t="s">
        <v>141</v>
      </c>
      <c r="D5297" s="560">
        <v>84563678</v>
      </c>
      <c r="E5297" s="560">
        <v>1194370</v>
      </c>
      <c r="F5297" s="560">
        <v>85758100</v>
      </c>
      <c r="G5297" s="560">
        <f t="shared" si="115"/>
        <v>-52</v>
      </c>
      <c r="H5297" s="362"/>
      <c r="I5297" s="362"/>
      <c r="J5297" s="362"/>
    </row>
    <row r="5298" spans="1:10" x14ac:dyDescent="0.25">
      <c r="A5298" s="362"/>
      <c r="B5298" s="609">
        <v>44434</v>
      </c>
      <c r="C5298" s="362" t="s">
        <v>89</v>
      </c>
      <c r="D5298" s="560">
        <v>184381303</v>
      </c>
      <c r="E5298" s="560">
        <v>11934697</v>
      </c>
      <c r="F5298" s="560">
        <v>196316100</v>
      </c>
      <c r="G5298" s="560">
        <f t="shared" si="115"/>
        <v>-100</v>
      </c>
      <c r="H5298" s="362"/>
      <c r="I5298" s="362"/>
      <c r="J5298" s="362"/>
    </row>
    <row r="5299" spans="1:10" x14ac:dyDescent="0.25">
      <c r="A5299" s="362"/>
      <c r="B5299" s="609">
        <v>44434</v>
      </c>
      <c r="C5299" s="362" t="s">
        <v>81</v>
      </c>
      <c r="D5299" s="560">
        <v>47473409</v>
      </c>
      <c r="E5299" s="560">
        <v>9474695</v>
      </c>
      <c r="F5299" s="560">
        <v>56948100</v>
      </c>
      <c r="G5299" s="560">
        <f t="shared" si="115"/>
        <v>4</v>
      </c>
      <c r="H5299" s="362"/>
      <c r="I5299" s="362"/>
      <c r="J5299" s="362"/>
    </row>
    <row r="5300" spans="1:10" x14ac:dyDescent="0.25">
      <c r="A5300" s="362"/>
      <c r="B5300" s="609">
        <v>44434</v>
      </c>
      <c r="C5300" s="362" t="s">
        <v>84</v>
      </c>
      <c r="D5300" s="560">
        <v>248648798</v>
      </c>
      <c r="E5300" s="560">
        <v>8776551</v>
      </c>
      <c r="F5300" s="560">
        <v>257375600</v>
      </c>
      <c r="G5300" s="560">
        <f t="shared" si="115"/>
        <v>49749</v>
      </c>
      <c r="H5300" s="362"/>
      <c r="I5300" s="362"/>
      <c r="J5300" s="362"/>
    </row>
    <row r="5301" spans="1:10" x14ac:dyDescent="0.25">
      <c r="A5301" s="362"/>
      <c r="B5301" s="609">
        <v>44434</v>
      </c>
      <c r="C5301" s="362" t="s">
        <v>4751</v>
      </c>
      <c r="D5301" s="560">
        <v>284767061</v>
      </c>
      <c r="E5301" s="560">
        <v>16343239</v>
      </c>
      <c r="F5301" s="560">
        <v>301110200</v>
      </c>
      <c r="G5301" s="560">
        <f t="shared" si="115"/>
        <v>100</v>
      </c>
      <c r="H5301" s="362"/>
      <c r="I5301" s="362"/>
      <c r="J5301" s="362"/>
    </row>
    <row r="5302" spans="1:10" x14ac:dyDescent="0.25">
      <c r="A5302" s="362"/>
      <c r="B5302" s="609">
        <v>44434</v>
      </c>
      <c r="C5302" s="362" t="s">
        <v>166</v>
      </c>
      <c r="D5302" s="560">
        <v>96990676</v>
      </c>
      <c r="E5302" s="560"/>
      <c r="F5302" s="560">
        <v>96990600</v>
      </c>
      <c r="G5302" s="560">
        <f t="shared" si="115"/>
        <v>76</v>
      </c>
      <c r="H5302" s="362"/>
      <c r="I5302" s="362"/>
      <c r="J5302" s="362"/>
    </row>
    <row r="5303" spans="1:10" x14ac:dyDescent="0.25">
      <c r="A5303" s="362"/>
      <c r="B5303" s="609">
        <v>44434</v>
      </c>
      <c r="C5303" s="362" t="s">
        <v>3435</v>
      </c>
      <c r="D5303" s="560">
        <v>65808386</v>
      </c>
      <c r="E5303" s="560"/>
      <c r="F5303" s="560">
        <v>65808400</v>
      </c>
      <c r="G5303" s="560">
        <f t="shared" si="115"/>
        <v>-14</v>
      </c>
      <c r="H5303" s="362"/>
      <c r="I5303" s="362"/>
      <c r="J5303" s="362"/>
    </row>
    <row r="5304" spans="1:10" x14ac:dyDescent="0.25">
      <c r="A5304" s="362"/>
      <c r="B5304" s="609">
        <v>44434</v>
      </c>
      <c r="C5304" s="370" t="s">
        <v>85</v>
      </c>
      <c r="D5304" s="560">
        <v>26115400</v>
      </c>
      <c r="E5304" s="560"/>
      <c r="F5304" s="560">
        <v>26115400</v>
      </c>
      <c r="G5304" s="560">
        <f t="shared" si="115"/>
        <v>0</v>
      </c>
      <c r="H5304" s="362"/>
      <c r="I5304" s="362"/>
      <c r="J5304" s="362"/>
    </row>
    <row r="5305" spans="1:10" x14ac:dyDescent="0.25">
      <c r="A5305" s="530"/>
      <c r="B5305" s="530"/>
      <c r="C5305" s="530"/>
      <c r="D5305" s="562">
        <f>SUM(D5290:D5304)</f>
        <v>2252021206</v>
      </c>
      <c r="E5305" s="562">
        <f>SUM(E5290:E5304)</f>
        <v>502375087</v>
      </c>
      <c r="F5305" s="562">
        <f>SUM(F5290:F5304)</f>
        <v>2754346800</v>
      </c>
      <c r="G5305" s="562">
        <f>SUM(G5290:G5304)</f>
        <v>49493</v>
      </c>
      <c r="H5305" s="530"/>
      <c r="I5305" s="530"/>
      <c r="J5305" s="530"/>
    </row>
    <row r="5306" spans="1:10" x14ac:dyDescent="0.25">
      <c r="A5306" s="362"/>
      <c r="B5306" s="609">
        <v>44435</v>
      </c>
      <c r="C5306" s="362" t="s">
        <v>86</v>
      </c>
      <c r="D5306" s="560">
        <v>59385984</v>
      </c>
      <c r="E5306" s="560">
        <v>214201176</v>
      </c>
      <c r="F5306" s="560">
        <v>273587200</v>
      </c>
      <c r="G5306" s="560">
        <f t="shared" si="115"/>
        <v>-40</v>
      </c>
      <c r="H5306" s="362"/>
      <c r="I5306" s="362"/>
      <c r="J5306" s="362"/>
    </row>
    <row r="5307" spans="1:10" x14ac:dyDescent="0.25">
      <c r="A5307" s="362"/>
      <c r="B5307" s="609">
        <v>44435</v>
      </c>
      <c r="C5307" s="362" t="s">
        <v>87</v>
      </c>
      <c r="D5307" s="560">
        <v>155525295</v>
      </c>
      <c r="E5307" s="560">
        <v>17020607</v>
      </c>
      <c r="F5307" s="560">
        <v>172545900</v>
      </c>
      <c r="G5307" s="560">
        <f t="shared" si="115"/>
        <v>2</v>
      </c>
      <c r="H5307" s="362"/>
      <c r="I5307" s="362"/>
      <c r="J5307" s="362"/>
    </row>
    <row r="5308" spans="1:10" x14ac:dyDescent="0.25">
      <c r="A5308" s="362"/>
      <c r="B5308" s="609">
        <v>44435</v>
      </c>
      <c r="C5308" s="362" t="s">
        <v>88</v>
      </c>
      <c r="D5308" s="560">
        <v>106456954</v>
      </c>
      <c r="E5308" s="560">
        <v>36928778</v>
      </c>
      <c r="F5308" s="560">
        <v>143385800</v>
      </c>
      <c r="G5308" s="560">
        <f t="shared" si="115"/>
        <v>-68</v>
      </c>
      <c r="H5308" s="362"/>
      <c r="I5308" s="362"/>
      <c r="J5308" s="362"/>
    </row>
    <row r="5309" spans="1:10" x14ac:dyDescent="0.25">
      <c r="A5309" s="362"/>
      <c r="B5309" s="609">
        <v>44435</v>
      </c>
      <c r="C5309" s="362" t="s">
        <v>82</v>
      </c>
      <c r="D5309" s="560">
        <v>66716088</v>
      </c>
      <c r="E5309" s="560">
        <v>11845425</v>
      </c>
      <c r="F5309" s="560">
        <v>78561600</v>
      </c>
      <c r="G5309" s="560">
        <f t="shared" si="115"/>
        <v>-87</v>
      </c>
      <c r="H5309" s="362"/>
      <c r="I5309" s="362"/>
      <c r="J5309" s="362"/>
    </row>
    <row r="5310" spans="1:10" x14ac:dyDescent="0.25">
      <c r="A5310" s="362"/>
      <c r="B5310" s="609">
        <v>44435</v>
      </c>
      <c r="C5310" s="362" t="s">
        <v>80</v>
      </c>
      <c r="D5310" s="560">
        <v>223947132</v>
      </c>
      <c r="E5310" s="560"/>
      <c r="F5310" s="560">
        <v>223947100</v>
      </c>
      <c r="G5310" s="560">
        <f t="shared" si="115"/>
        <v>32</v>
      </c>
      <c r="H5310" s="362"/>
      <c r="I5310" s="362"/>
      <c r="J5310" s="362"/>
    </row>
    <row r="5311" spans="1:10" x14ac:dyDescent="0.25">
      <c r="A5311" s="362"/>
      <c r="B5311" s="609">
        <v>44435</v>
      </c>
      <c r="C5311" s="362" t="s">
        <v>83</v>
      </c>
      <c r="D5311" s="560">
        <v>197472188</v>
      </c>
      <c r="E5311" s="560">
        <v>17205414</v>
      </c>
      <c r="F5311" s="560">
        <v>214677600</v>
      </c>
      <c r="G5311" s="560">
        <f t="shared" si="115"/>
        <v>2</v>
      </c>
      <c r="H5311" s="362"/>
      <c r="I5311" s="362"/>
      <c r="J5311" s="362"/>
    </row>
    <row r="5312" spans="1:10" x14ac:dyDescent="0.25">
      <c r="A5312" s="362"/>
      <c r="B5312" s="609">
        <v>44435</v>
      </c>
      <c r="C5312" s="362" t="s">
        <v>78</v>
      </c>
      <c r="D5312" s="560">
        <v>87694034</v>
      </c>
      <c r="E5312" s="560">
        <v>7419966</v>
      </c>
      <c r="F5312" s="560">
        <v>95114000</v>
      </c>
      <c r="G5312" s="560">
        <f t="shared" si="115"/>
        <v>0</v>
      </c>
      <c r="H5312" s="362"/>
      <c r="I5312" s="362"/>
      <c r="J5312" s="362"/>
    </row>
    <row r="5313" spans="1:10" x14ac:dyDescent="0.25">
      <c r="A5313" s="362"/>
      <c r="B5313" s="609">
        <v>44435</v>
      </c>
      <c r="C5313" s="362" t="s">
        <v>141</v>
      </c>
      <c r="D5313" s="560">
        <v>60286753</v>
      </c>
      <c r="E5313" s="560">
        <v>308305</v>
      </c>
      <c r="F5313" s="560">
        <v>60595100</v>
      </c>
      <c r="G5313" s="560">
        <f t="shared" si="115"/>
        <v>-42</v>
      </c>
      <c r="H5313" s="362"/>
      <c r="I5313" s="362"/>
      <c r="J5313" s="362"/>
    </row>
    <row r="5314" spans="1:10" x14ac:dyDescent="0.25">
      <c r="A5314" s="362"/>
      <c r="B5314" s="609">
        <v>44435</v>
      </c>
      <c r="C5314" s="362" t="s">
        <v>89</v>
      </c>
      <c r="D5314" s="560">
        <v>151085763</v>
      </c>
      <c r="E5314" s="560">
        <v>64853617</v>
      </c>
      <c r="F5314" s="560">
        <v>215939500</v>
      </c>
      <c r="G5314" s="560">
        <f t="shared" si="115"/>
        <v>-120</v>
      </c>
      <c r="H5314" s="362"/>
      <c r="I5314" s="362"/>
      <c r="J5314" s="362"/>
    </row>
    <row r="5315" spans="1:10" x14ac:dyDescent="0.25">
      <c r="A5315" s="362"/>
      <c r="B5315" s="609">
        <v>44435</v>
      </c>
      <c r="C5315" s="362" t="s">
        <v>81</v>
      </c>
      <c r="D5315" s="560">
        <v>48903044</v>
      </c>
      <c r="E5315" s="560">
        <v>14539257</v>
      </c>
      <c r="F5315" s="560">
        <v>63422300</v>
      </c>
      <c r="G5315" s="560">
        <f t="shared" si="115"/>
        <v>20001</v>
      </c>
      <c r="H5315" s="362"/>
      <c r="I5315" s="362"/>
      <c r="J5315" s="362"/>
    </row>
    <row r="5316" spans="1:10" x14ac:dyDescent="0.25">
      <c r="A5316" s="362"/>
      <c r="B5316" s="609">
        <v>44435</v>
      </c>
      <c r="C5316" s="362" t="s">
        <v>84</v>
      </c>
      <c r="D5316" s="560">
        <v>283106908</v>
      </c>
      <c r="E5316" s="560">
        <v>23342290</v>
      </c>
      <c r="F5316" s="560">
        <v>306448200</v>
      </c>
      <c r="G5316" s="560">
        <f t="shared" si="115"/>
        <v>998</v>
      </c>
      <c r="H5316" s="362"/>
      <c r="I5316" s="362"/>
      <c r="J5316" s="362"/>
    </row>
    <row r="5317" spans="1:10" x14ac:dyDescent="0.25">
      <c r="A5317" s="362"/>
      <c r="B5317" s="609">
        <v>44435</v>
      </c>
      <c r="C5317" s="362" t="s">
        <v>4751</v>
      </c>
      <c r="D5317" s="560">
        <v>212477737</v>
      </c>
      <c r="E5317" s="560">
        <v>7479763</v>
      </c>
      <c r="F5317" s="560">
        <v>219957500</v>
      </c>
      <c r="G5317" s="560">
        <f t="shared" si="115"/>
        <v>0</v>
      </c>
      <c r="H5317" s="362"/>
      <c r="I5317" s="362"/>
      <c r="J5317" s="362"/>
    </row>
    <row r="5318" spans="1:10" x14ac:dyDescent="0.25">
      <c r="A5318" s="362"/>
      <c r="B5318" s="609">
        <v>44435</v>
      </c>
      <c r="C5318" s="362" t="s">
        <v>166</v>
      </c>
      <c r="D5318" s="560">
        <v>61229114</v>
      </c>
      <c r="E5318" s="560"/>
      <c r="F5318" s="560">
        <v>61229200</v>
      </c>
      <c r="G5318" s="560">
        <f t="shared" si="115"/>
        <v>-86</v>
      </c>
      <c r="H5318" s="362"/>
      <c r="I5318" s="362"/>
      <c r="J5318" s="362"/>
    </row>
    <row r="5319" spans="1:10" x14ac:dyDescent="0.25">
      <c r="A5319" s="362"/>
      <c r="B5319" s="609">
        <v>44435</v>
      </c>
      <c r="C5319" s="362" t="s">
        <v>3435</v>
      </c>
      <c r="D5319" s="560">
        <v>25415876</v>
      </c>
      <c r="E5319" s="560"/>
      <c r="F5319" s="560">
        <v>25415900</v>
      </c>
      <c r="G5319" s="560">
        <f t="shared" si="115"/>
        <v>-24</v>
      </c>
      <c r="H5319" s="362"/>
      <c r="I5319" s="362"/>
      <c r="J5319" s="362"/>
    </row>
    <row r="5320" spans="1:10" x14ac:dyDescent="0.25">
      <c r="A5320" s="362"/>
      <c r="B5320" s="609">
        <v>44435</v>
      </c>
      <c r="C5320" s="370" t="s">
        <v>85</v>
      </c>
      <c r="D5320" s="560">
        <v>20981500</v>
      </c>
      <c r="E5320" s="560"/>
      <c r="F5320" s="560">
        <v>20981500</v>
      </c>
      <c r="G5320" s="560">
        <f t="shared" si="115"/>
        <v>0</v>
      </c>
      <c r="H5320" s="362"/>
      <c r="I5320" s="362"/>
      <c r="J5320" s="362"/>
    </row>
    <row r="5321" spans="1:10" x14ac:dyDescent="0.25">
      <c r="A5321" s="530"/>
      <c r="B5321" s="530"/>
      <c r="C5321" s="530"/>
      <c r="D5321" s="562">
        <f>SUM(D5306:D5320)</f>
        <v>1760684370</v>
      </c>
      <c r="E5321" s="562">
        <f>SUM(E5306:E5320)</f>
        <v>415144598</v>
      </c>
      <c r="F5321" s="562">
        <f>SUM(F5306:F5320)</f>
        <v>2175808400</v>
      </c>
      <c r="G5321" s="562">
        <f>SUM(G5306:G5320)</f>
        <v>20568</v>
      </c>
      <c r="H5321" s="530"/>
      <c r="I5321" s="530"/>
      <c r="J5321" s="530"/>
    </row>
    <row r="5322" spans="1:10" x14ac:dyDescent="0.25">
      <c r="A5322" s="362"/>
      <c r="B5322" s="609">
        <v>44436</v>
      </c>
      <c r="C5322" s="362" t="s">
        <v>86</v>
      </c>
      <c r="D5322" s="560">
        <v>75506608</v>
      </c>
      <c r="E5322" s="560">
        <v>133317098</v>
      </c>
      <c r="F5322" s="560">
        <v>208823800</v>
      </c>
      <c r="G5322" s="560">
        <f t="shared" si="115"/>
        <v>-94</v>
      </c>
      <c r="H5322" s="362"/>
      <c r="I5322" s="362"/>
      <c r="J5322" s="362"/>
    </row>
    <row r="5323" spans="1:10" x14ac:dyDescent="0.25">
      <c r="A5323" s="362"/>
      <c r="B5323" s="609">
        <v>44436</v>
      </c>
      <c r="C5323" s="362" t="s">
        <v>87</v>
      </c>
      <c r="D5323" s="560">
        <v>38655618</v>
      </c>
      <c r="E5323" s="560">
        <v>86279150</v>
      </c>
      <c r="F5323" s="560">
        <v>124948900</v>
      </c>
      <c r="G5323" s="560">
        <f t="shared" si="115"/>
        <v>-14132</v>
      </c>
      <c r="H5323" s="362"/>
      <c r="I5323" s="362"/>
      <c r="J5323" s="362"/>
    </row>
    <row r="5324" spans="1:10" x14ac:dyDescent="0.25">
      <c r="A5324" s="362"/>
      <c r="B5324" s="609">
        <v>44436</v>
      </c>
      <c r="C5324" s="362" t="s">
        <v>88</v>
      </c>
      <c r="D5324" s="560">
        <v>207553439</v>
      </c>
      <c r="E5324" s="560">
        <v>22420551</v>
      </c>
      <c r="F5324" s="560">
        <v>229974000</v>
      </c>
      <c r="G5324" s="560">
        <f t="shared" ref="G5324:G5387" si="116">D5324+E5324-F5324</f>
        <v>-10</v>
      </c>
      <c r="H5324" s="362"/>
      <c r="I5324" s="362"/>
      <c r="J5324" s="362"/>
    </row>
    <row r="5325" spans="1:10" x14ac:dyDescent="0.25">
      <c r="A5325" s="362"/>
      <c r="B5325" s="609">
        <v>44436</v>
      </c>
      <c r="C5325" s="362" t="s">
        <v>82</v>
      </c>
      <c r="D5325" s="560">
        <v>117718237</v>
      </c>
      <c r="E5325" s="560">
        <v>8101918</v>
      </c>
      <c r="F5325" s="560">
        <v>125822700</v>
      </c>
      <c r="G5325" s="560">
        <f t="shared" si="116"/>
        <v>-2545</v>
      </c>
      <c r="H5325" s="362"/>
      <c r="I5325" s="362"/>
      <c r="J5325" s="362"/>
    </row>
    <row r="5326" spans="1:10" x14ac:dyDescent="0.25">
      <c r="A5326" s="362"/>
      <c r="B5326" s="609">
        <v>44436</v>
      </c>
      <c r="C5326" s="362" t="s">
        <v>80</v>
      </c>
      <c r="D5326" s="560">
        <v>255741800</v>
      </c>
      <c r="E5326" s="560"/>
      <c r="F5326" s="560">
        <v>255741800</v>
      </c>
      <c r="G5326" s="560">
        <f t="shared" si="116"/>
        <v>0</v>
      </c>
      <c r="H5326" s="362"/>
      <c r="I5326" s="362"/>
      <c r="J5326" s="362"/>
    </row>
    <row r="5327" spans="1:10" x14ac:dyDescent="0.25">
      <c r="A5327" s="362"/>
      <c r="B5327" s="609">
        <v>44436</v>
      </c>
      <c r="C5327" s="362" t="s">
        <v>83</v>
      </c>
      <c r="D5327" s="560">
        <v>263026562</v>
      </c>
      <c r="E5327" s="560">
        <v>281603238</v>
      </c>
      <c r="F5327" s="560">
        <v>544629800</v>
      </c>
      <c r="G5327" s="560">
        <f t="shared" si="116"/>
        <v>0</v>
      </c>
      <c r="H5327" s="362"/>
      <c r="I5327" s="362"/>
      <c r="J5327" s="362"/>
    </row>
    <row r="5328" spans="1:10" x14ac:dyDescent="0.25">
      <c r="A5328" s="362"/>
      <c r="B5328" s="609">
        <v>44436</v>
      </c>
      <c r="C5328" s="362" t="s">
        <v>78</v>
      </c>
      <c r="D5328" s="560">
        <v>105511599</v>
      </c>
      <c r="E5328" s="560">
        <v>5174901</v>
      </c>
      <c r="F5328" s="560">
        <v>110686500</v>
      </c>
      <c r="G5328" s="560">
        <f t="shared" si="116"/>
        <v>0</v>
      </c>
      <c r="H5328" s="362"/>
      <c r="I5328" s="362"/>
      <c r="J5328" s="362"/>
    </row>
    <row r="5329" spans="1:10" x14ac:dyDescent="0.25">
      <c r="A5329" s="362"/>
      <c r="B5329" s="609">
        <v>44436</v>
      </c>
      <c r="C5329" s="362" t="s">
        <v>141</v>
      </c>
      <c r="D5329" s="560">
        <v>48682537</v>
      </c>
      <c r="E5329" s="560">
        <v>2432476</v>
      </c>
      <c r="F5329" s="560">
        <v>51115100</v>
      </c>
      <c r="G5329" s="560">
        <f t="shared" si="116"/>
        <v>-87</v>
      </c>
      <c r="H5329" s="362"/>
      <c r="I5329" s="362"/>
      <c r="J5329" s="362"/>
    </row>
    <row r="5330" spans="1:10" x14ac:dyDescent="0.25">
      <c r="A5330" s="362"/>
      <c r="B5330" s="609">
        <v>44436</v>
      </c>
      <c r="C5330" s="362" t="s">
        <v>89</v>
      </c>
      <c r="D5330" s="560">
        <v>152125489</v>
      </c>
      <c r="E5330" s="560">
        <v>35607711</v>
      </c>
      <c r="F5330" s="560">
        <v>187733200</v>
      </c>
      <c r="G5330" s="560">
        <f t="shared" si="116"/>
        <v>0</v>
      </c>
      <c r="H5330" s="362"/>
      <c r="I5330" s="362"/>
      <c r="J5330" s="362"/>
    </row>
    <row r="5331" spans="1:10" x14ac:dyDescent="0.25">
      <c r="A5331" s="362"/>
      <c r="B5331" s="609">
        <v>44436</v>
      </c>
      <c r="C5331" s="362" t="s">
        <v>81</v>
      </c>
      <c r="D5331" s="560">
        <v>105388194</v>
      </c>
      <c r="E5331" s="560">
        <v>11092694</v>
      </c>
      <c r="F5331" s="560">
        <f>89825000+26655900</f>
        <v>116480900</v>
      </c>
      <c r="G5331" s="560">
        <f t="shared" si="116"/>
        <v>-12</v>
      </c>
      <c r="H5331" s="362"/>
      <c r="I5331" s="362"/>
      <c r="J5331" s="362"/>
    </row>
    <row r="5332" spans="1:10" x14ac:dyDescent="0.25">
      <c r="A5332" s="362"/>
      <c r="B5332" s="609">
        <v>44436</v>
      </c>
      <c r="C5332" s="362" t="s">
        <v>84</v>
      </c>
      <c r="D5332" s="560">
        <v>221659518</v>
      </c>
      <c r="E5332" s="560">
        <v>18071324</v>
      </c>
      <c r="F5332" s="560">
        <v>239730800</v>
      </c>
      <c r="G5332" s="560">
        <f t="shared" si="116"/>
        <v>42</v>
      </c>
      <c r="H5332" s="362"/>
      <c r="I5332" s="362"/>
      <c r="J5332" s="362"/>
    </row>
    <row r="5333" spans="1:10" x14ac:dyDescent="0.25">
      <c r="A5333" s="362"/>
      <c r="B5333" s="609">
        <v>44436</v>
      </c>
      <c r="C5333" s="362" t="s">
        <v>4751</v>
      </c>
      <c r="D5333" s="560">
        <v>233572889</v>
      </c>
      <c r="E5333" s="560">
        <v>25746211</v>
      </c>
      <c r="F5333" s="560">
        <v>259319100</v>
      </c>
      <c r="G5333" s="560">
        <f t="shared" si="116"/>
        <v>0</v>
      </c>
      <c r="H5333" s="362"/>
      <c r="I5333" s="362"/>
      <c r="J5333" s="362"/>
    </row>
    <row r="5334" spans="1:10" x14ac:dyDescent="0.25">
      <c r="A5334" s="362"/>
      <c r="B5334" s="609">
        <v>44436</v>
      </c>
      <c r="C5334" s="362" t="s">
        <v>166</v>
      </c>
      <c r="D5334" s="560"/>
      <c r="E5334" s="560"/>
      <c r="F5334" s="560"/>
      <c r="G5334" s="560">
        <f t="shared" si="116"/>
        <v>0</v>
      </c>
      <c r="H5334" s="362"/>
      <c r="I5334" s="362"/>
      <c r="J5334" s="362"/>
    </row>
    <row r="5335" spans="1:10" x14ac:dyDescent="0.25">
      <c r="A5335" s="362"/>
      <c r="B5335" s="609">
        <v>44436</v>
      </c>
      <c r="C5335" s="362" t="s">
        <v>3435</v>
      </c>
      <c r="D5335" s="560"/>
      <c r="E5335" s="560"/>
      <c r="F5335" s="560"/>
      <c r="G5335" s="560">
        <f t="shared" si="116"/>
        <v>0</v>
      </c>
      <c r="H5335" s="362"/>
      <c r="I5335" s="362"/>
      <c r="J5335" s="362"/>
    </row>
    <row r="5336" spans="1:10" x14ac:dyDescent="0.25">
      <c r="A5336" s="362"/>
      <c r="B5336" s="609">
        <v>44436</v>
      </c>
      <c r="C5336" s="370" t="s">
        <v>85</v>
      </c>
      <c r="D5336" s="560">
        <v>22175800</v>
      </c>
      <c r="E5336" s="560"/>
      <c r="F5336" s="560">
        <v>22175800</v>
      </c>
      <c r="G5336" s="560">
        <f t="shared" si="116"/>
        <v>0</v>
      </c>
      <c r="H5336" s="362"/>
      <c r="I5336" s="362"/>
      <c r="J5336" s="362"/>
    </row>
    <row r="5337" spans="1:10" x14ac:dyDescent="0.25">
      <c r="A5337" s="530"/>
      <c r="B5337" s="530"/>
      <c r="C5337" s="530"/>
      <c r="D5337" s="562">
        <f>SUM(D5322:D5336)</f>
        <v>1847318290</v>
      </c>
      <c r="E5337" s="562">
        <f>SUM(E5322:E5336)</f>
        <v>629847272</v>
      </c>
      <c r="F5337" s="562">
        <f>SUM(F5322:F5336)</f>
        <v>2477182400</v>
      </c>
      <c r="G5337" s="562">
        <f>SUM(G5322:G5336)</f>
        <v>-16838</v>
      </c>
      <c r="H5337" s="530"/>
      <c r="I5337" s="530"/>
      <c r="J5337" s="530"/>
    </row>
    <row r="5338" spans="1:10" x14ac:dyDescent="0.25">
      <c r="A5338" s="362"/>
      <c r="B5338" s="609">
        <v>44438</v>
      </c>
      <c r="C5338" s="362" t="s">
        <v>86</v>
      </c>
      <c r="D5338" s="560">
        <v>74501669</v>
      </c>
      <c r="E5338" s="560">
        <v>23882173</v>
      </c>
      <c r="F5338" s="560"/>
      <c r="G5338" s="560">
        <f t="shared" si="116"/>
        <v>98383842</v>
      </c>
      <c r="H5338" s="362"/>
      <c r="I5338" s="362"/>
      <c r="J5338" s="362"/>
    </row>
    <row r="5339" spans="1:10" x14ac:dyDescent="0.25">
      <c r="A5339" s="362"/>
      <c r="B5339" s="609">
        <v>44438</v>
      </c>
      <c r="C5339" s="362" t="s">
        <v>87</v>
      </c>
      <c r="D5339" s="560">
        <v>72149543</v>
      </c>
      <c r="E5339" s="560">
        <v>39239560</v>
      </c>
      <c r="F5339" s="560"/>
      <c r="G5339" s="560">
        <f t="shared" si="116"/>
        <v>111389103</v>
      </c>
      <c r="H5339" s="362"/>
      <c r="I5339" s="362"/>
      <c r="J5339" s="362"/>
    </row>
    <row r="5340" spans="1:10" x14ac:dyDescent="0.25">
      <c r="A5340" s="362"/>
      <c r="B5340" s="609">
        <v>44438</v>
      </c>
      <c r="C5340" s="362" t="s">
        <v>88</v>
      </c>
      <c r="D5340" s="560">
        <v>258887469</v>
      </c>
      <c r="E5340" s="560">
        <v>138174406</v>
      </c>
      <c r="F5340" s="560"/>
      <c r="G5340" s="560">
        <f t="shared" si="116"/>
        <v>397061875</v>
      </c>
      <c r="H5340" s="362"/>
      <c r="I5340" s="362"/>
      <c r="J5340" s="362"/>
    </row>
    <row r="5341" spans="1:10" x14ac:dyDescent="0.25">
      <c r="A5341" s="362"/>
      <c r="B5341" s="609">
        <v>44438</v>
      </c>
      <c r="C5341" s="362" t="s">
        <v>82</v>
      </c>
      <c r="D5341" s="560">
        <v>58932346</v>
      </c>
      <c r="E5341" s="560">
        <v>14446946</v>
      </c>
      <c r="F5341" s="560"/>
      <c r="G5341" s="560">
        <f t="shared" si="116"/>
        <v>73379292</v>
      </c>
      <c r="H5341" s="362"/>
      <c r="I5341" s="362"/>
      <c r="J5341" s="362"/>
    </row>
    <row r="5342" spans="1:10" x14ac:dyDescent="0.25">
      <c r="A5342" s="362"/>
      <c r="B5342" s="609">
        <v>44438</v>
      </c>
      <c r="C5342" s="362" t="s">
        <v>80</v>
      </c>
      <c r="D5342" s="560">
        <v>317774548</v>
      </c>
      <c r="E5342" s="560"/>
      <c r="F5342" s="560">
        <v>317805200</v>
      </c>
      <c r="G5342" s="560">
        <f t="shared" si="116"/>
        <v>-30652</v>
      </c>
      <c r="H5342" s="362"/>
      <c r="I5342" s="362"/>
      <c r="J5342" s="362"/>
    </row>
    <row r="5343" spans="1:10" x14ac:dyDescent="0.25">
      <c r="A5343" s="362"/>
      <c r="B5343" s="609">
        <v>44438</v>
      </c>
      <c r="C5343" s="362" t="s">
        <v>83</v>
      </c>
      <c r="D5343" s="560">
        <v>345680688</v>
      </c>
      <c r="E5343" s="560">
        <v>123069113</v>
      </c>
      <c r="F5343" s="560"/>
      <c r="G5343" s="560">
        <f t="shared" si="116"/>
        <v>468749801</v>
      </c>
      <c r="H5343" s="362"/>
      <c r="I5343" s="362"/>
      <c r="J5343" s="362"/>
    </row>
    <row r="5344" spans="1:10" x14ac:dyDescent="0.25">
      <c r="A5344" s="362"/>
      <c r="B5344" s="609">
        <v>44438</v>
      </c>
      <c r="C5344" s="362" t="s">
        <v>78</v>
      </c>
      <c r="D5344" s="560">
        <v>145377883</v>
      </c>
      <c r="E5344" s="560">
        <v>1744217</v>
      </c>
      <c r="F5344" s="560">
        <v>147112100</v>
      </c>
      <c r="G5344" s="560">
        <f t="shared" si="116"/>
        <v>10000</v>
      </c>
      <c r="H5344" s="362"/>
      <c r="I5344" s="362"/>
      <c r="J5344" s="362"/>
    </row>
    <row r="5345" spans="1:10" x14ac:dyDescent="0.25">
      <c r="A5345" s="362"/>
      <c r="B5345" s="609">
        <v>44438</v>
      </c>
      <c r="C5345" s="362" t="s">
        <v>141</v>
      </c>
      <c r="D5345" s="560">
        <v>144569527</v>
      </c>
      <c r="E5345" s="560">
        <v>562202</v>
      </c>
      <c r="F5345" s="560"/>
      <c r="G5345" s="560">
        <f t="shared" si="116"/>
        <v>145131729</v>
      </c>
      <c r="H5345" s="362"/>
      <c r="I5345" s="362"/>
      <c r="J5345" s="362"/>
    </row>
    <row r="5346" spans="1:10" x14ac:dyDescent="0.25">
      <c r="A5346" s="362"/>
      <c r="B5346" s="609">
        <v>44438</v>
      </c>
      <c r="C5346" s="362" t="s">
        <v>89</v>
      </c>
      <c r="D5346" s="560">
        <v>162964712</v>
      </c>
      <c r="E5346" s="560">
        <v>29539588</v>
      </c>
      <c r="F5346" s="560">
        <v>192504300</v>
      </c>
      <c r="G5346" s="560">
        <f t="shared" si="116"/>
        <v>0</v>
      </c>
      <c r="H5346" s="362"/>
      <c r="I5346" s="362"/>
      <c r="J5346" s="362"/>
    </row>
    <row r="5347" spans="1:10" x14ac:dyDescent="0.25">
      <c r="A5347" s="362"/>
      <c r="B5347" s="609">
        <v>44438</v>
      </c>
      <c r="C5347" s="362" t="s">
        <v>81</v>
      </c>
      <c r="D5347" s="560">
        <v>96335089</v>
      </c>
      <c r="E5347" s="560">
        <v>12793075</v>
      </c>
      <c r="F5347" s="560">
        <v>109128200</v>
      </c>
      <c r="G5347" s="560">
        <f t="shared" si="116"/>
        <v>-36</v>
      </c>
      <c r="H5347" s="362"/>
      <c r="I5347" s="362"/>
      <c r="J5347" s="362"/>
    </row>
    <row r="5348" spans="1:10" x14ac:dyDescent="0.25">
      <c r="A5348" s="362"/>
      <c r="B5348" s="609">
        <v>44438</v>
      </c>
      <c r="C5348" s="362" t="s">
        <v>84</v>
      </c>
      <c r="D5348" s="560">
        <v>189742571</v>
      </c>
      <c r="E5348" s="560">
        <v>5283212</v>
      </c>
      <c r="F5348" s="560"/>
      <c r="G5348" s="560">
        <f t="shared" si="116"/>
        <v>195025783</v>
      </c>
      <c r="H5348" s="362"/>
      <c r="I5348" s="362"/>
      <c r="J5348" s="362"/>
    </row>
    <row r="5349" spans="1:10" x14ac:dyDescent="0.25">
      <c r="A5349" s="362"/>
      <c r="B5349" s="609">
        <v>44438</v>
      </c>
      <c r="C5349" s="362" t="s">
        <v>4751</v>
      </c>
      <c r="D5349" s="560">
        <v>229124071</v>
      </c>
      <c r="E5349" s="560">
        <v>8653129</v>
      </c>
      <c r="F5349" s="560"/>
      <c r="G5349" s="560">
        <f t="shared" si="116"/>
        <v>237777200</v>
      </c>
      <c r="H5349" s="362"/>
      <c r="I5349" s="362"/>
      <c r="J5349" s="362"/>
    </row>
    <row r="5350" spans="1:10" x14ac:dyDescent="0.25">
      <c r="A5350" s="362"/>
      <c r="B5350" s="609">
        <v>44438</v>
      </c>
      <c r="C5350" s="362" t="s">
        <v>166</v>
      </c>
      <c r="D5350" s="560">
        <v>61474365</v>
      </c>
      <c r="E5350" s="560"/>
      <c r="F5350" s="560"/>
      <c r="G5350" s="560">
        <f t="shared" si="116"/>
        <v>61474365</v>
      </c>
      <c r="H5350" s="362"/>
      <c r="I5350" s="362"/>
      <c r="J5350" s="362"/>
    </row>
    <row r="5351" spans="1:10" x14ac:dyDescent="0.25">
      <c r="A5351" s="362"/>
      <c r="B5351" s="609">
        <v>44438</v>
      </c>
      <c r="C5351" s="362" t="s">
        <v>3435</v>
      </c>
      <c r="D5351" s="560">
        <v>39228617</v>
      </c>
      <c r="E5351" s="560"/>
      <c r="F5351" s="560">
        <v>39228700</v>
      </c>
      <c r="G5351" s="560">
        <f t="shared" si="116"/>
        <v>-83</v>
      </c>
      <c r="H5351" s="362"/>
      <c r="I5351" s="362"/>
      <c r="J5351" s="362"/>
    </row>
    <row r="5352" spans="1:10" x14ac:dyDescent="0.25">
      <c r="A5352" s="362"/>
      <c r="B5352" s="609">
        <v>44438</v>
      </c>
      <c r="C5352" s="370" t="s">
        <v>85</v>
      </c>
      <c r="D5352" s="560">
        <v>44856100</v>
      </c>
      <c r="E5352" s="560"/>
      <c r="F5352" s="560"/>
      <c r="G5352" s="560">
        <f t="shared" si="116"/>
        <v>44856100</v>
      </c>
      <c r="H5352" s="362"/>
      <c r="I5352" s="362"/>
      <c r="J5352" s="362"/>
    </row>
    <row r="5353" spans="1:10" x14ac:dyDescent="0.25">
      <c r="A5353" s="530"/>
      <c r="B5353" s="530"/>
      <c r="C5353" s="530"/>
      <c r="D5353" s="562">
        <f>SUM(D5338:D5352)</f>
        <v>2241599198</v>
      </c>
      <c r="E5353" s="562">
        <f>SUM(E5338:E5352)</f>
        <v>397387621</v>
      </c>
      <c r="F5353" s="562">
        <f>SUM(F5338:F5352)</f>
        <v>805778500</v>
      </c>
      <c r="G5353" s="562">
        <f>SUM(G5338:G5352)</f>
        <v>1833208319</v>
      </c>
      <c r="H5353" s="530"/>
      <c r="I5353" s="530"/>
      <c r="J5353" s="530"/>
    </row>
    <row r="5354" spans="1:10" x14ac:dyDescent="0.25">
      <c r="A5354" s="362"/>
      <c r="B5354" s="609">
        <v>44439</v>
      </c>
      <c r="C5354" s="362" t="s">
        <v>86</v>
      </c>
      <c r="D5354" s="560">
        <v>73965076</v>
      </c>
      <c r="E5354" s="560">
        <v>16315104</v>
      </c>
      <c r="F5354" s="560">
        <v>90280000</v>
      </c>
      <c r="G5354" s="560">
        <f t="shared" si="116"/>
        <v>180</v>
      </c>
      <c r="H5354" s="362"/>
      <c r="I5354" s="362"/>
      <c r="J5354" s="362"/>
    </row>
    <row r="5355" spans="1:10" x14ac:dyDescent="0.25">
      <c r="A5355" s="362"/>
      <c r="B5355" s="609">
        <v>44439</v>
      </c>
      <c r="C5355" s="362" t="s">
        <v>87</v>
      </c>
      <c r="D5355" s="560">
        <v>65582317</v>
      </c>
      <c r="E5355" s="560">
        <v>95004046</v>
      </c>
      <c r="F5355" s="560">
        <v>160586600</v>
      </c>
      <c r="G5355" s="560">
        <f t="shared" si="116"/>
        <v>-237</v>
      </c>
      <c r="H5355" s="362"/>
      <c r="I5355" s="362"/>
      <c r="J5355" s="362"/>
    </row>
    <row r="5356" spans="1:10" x14ac:dyDescent="0.25">
      <c r="A5356" s="362"/>
      <c r="B5356" s="609">
        <v>44439</v>
      </c>
      <c r="C5356" s="362" t="s">
        <v>88</v>
      </c>
      <c r="D5356" s="560">
        <v>195277318</v>
      </c>
      <c r="E5356" s="560">
        <v>132942579</v>
      </c>
      <c r="F5356" s="560">
        <v>328219900</v>
      </c>
      <c r="G5356" s="560">
        <f t="shared" si="116"/>
        <v>-3</v>
      </c>
      <c r="H5356" s="362"/>
      <c r="I5356" s="362"/>
      <c r="J5356" s="362"/>
    </row>
    <row r="5357" spans="1:10" x14ac:dyDescent="0.25">
      <c r="A5357" s="362"/>
      <c r="B5357" s="609">
        <v>44439</v>
      </c>
      <c r="C5357" s="362" t="s">
        <v>82</v>
      </c>
      <c r="D5357" s="560">
        <v>46528857</v>
      </c>
      <c r="E5357" s="560">
        <v>3369604</v>
      </c>
      <c r="F5357" s="560">
        <v>49898500</v>
      </c>
      <c r="G5357" s="560">
        <f t="shared" si="116"/>
        <v>-39</v>
      </c>
      <c r="H5357" s="362"/>
      <c r="I5357" s="362"/>
      <c r="J5357" s="362"/>
    </row>
    <row r="5358" spans="1:10" x14ac:dyDescent="0.25">
      <c r="A5358" s="362"/>
      <c r="B5358" s="609">
        <v>44439</v>
      </c>
      <c r="C5358" s="362" t="s">
        <v>80</v>
      </c>
      <c r="D5358" s="560">
        <v>172405329</v>
      </c>
      <c r="E5358" s="560"/>
      <c r="F5358" s="560">
        <v>172404500</v>
      </c>
      <c r="G5358" s="560">
        <f t="shared" si="116"/>
        <v>829</v>
      </c>
      <c r="H5358" s="362"/>
      <c r="I5358" s="362"/>
      <c r="J5358" s="362"/>
    </row>
    <row r="5359" spans="1:10" x14ac:dyDescent="0.25">
      <c r="A5359" s="362"/>
      <c r="B5359" s="609">
        <v>44439</v>
      </c>
      <c r="C5359" s="362" t="s">
        <v>83</v>
      </c>
      <c r="D5359" s="560">
        <v>205710958</v>
      </c>
      <c r="E5359" s="560">
        <v>143694252</v>
      </c>
      <c r="F5359" s="560">
        <v>349405200</v>
      </c>
      <c r="G5359" s="560">
        <f t="shared" si="116"/>
        <v>10</v>
      </c>
      <c r="H5359" s="362"/>
      <c r="I5359" s="362"/>
      <c r="J5359" s="362"/>
    </row>
    <row r="5360" spans="1:10" x14ac:dyDescent="0.25">
      <c r="A5360" s="362"/>
      <c r="B5360" s="609">
        <v>44439</v>
      </c>
      <c r="C5360" s="362" t="s">
        <v>78</v>
      </c>
      <c r="D5360" s="560">
        <v>93908297</v>
      </c>
      <c r="E5360" s="560">
        <v>394003</v>
      </c>
      <c r="F5360" s="560">
        <v>94302300</v>
      </c>
      <c r="G5360" s="560">
        <f t="shared" si="116"/>
        <v>0</v>
      </c>
      <c r="H5360" s="362"/>
      <c r="I5360" s="362"/>
      <c r="J5360" s="362"/>
    </row>
    <row r="5361" spans="1:10" x14ac:dyDescent="0.25">
      <c r="A5361" s="362"/>
      <c r="B5361" s="609">
        <v>44439</v>
      </c>
      <c r="C5361" s="362" t="s">
        <v>141</v>
      </c>
      <c r="D5361" s="560">
        <v>44650816</v>
      </c>
      <c r="E5361" s="560">
        <v>114253</v>
      </c>
      <c r="F5361" s="560">
        <v>44765100</v>
      </c>
      <c r="G5361" s="560">
        <f t="shared" si="116"/>
        <v>-31</v>
      </c>
      <c r="H5361" s="362"/>
      <c r="I5361" s="362"/>
      <c r="J5361" s="362"/>
    </row>
    <row r="5362" spans="1:10" x14ac:dyDescent="0.25">
      <c r="A5362" s="362"/>
      <c r="B5362" s="609">
        <v>44439</v>
      </c>
      <c r="C5362" s="362" t="s">
        <v>89</v>
      </c>
      <c r="D5362" s="560">
        <v>66434042</v>
      </c>
      <c r="E5362" s="560">
        <v>7868858</v>
      </c>
      <c r="F5362" s="560">
        <v>74302900</v>
      </c>
      <c r="G5362" s="560">
        <f t="shared" si="116"/>
        <v>0</v>
      </c>
      <c r="H5362" s="362"/>
      <c r="I5362" s="362"/>
      <c r="J5362" s="362"/>
    </row>
    <row r="5363" spans="1:10" x14ac:dyDescent="0.25">
      <c r="A5363" s="362"/>
      <c r="B5363" s="609">
        <v>44439</v>
      </c>
      <c r="C5363" s="362" t="s">
        <v>81</v>
      </c>
      <c r="D5363" s="560">
        <v>43001308</v>
      </c>
      <c r="E5363" s="560">
        <v>53001835</v>
      </c>
      <c r="F5363" s="560">
        <v>96003200</v>
      </c>
      <c r="G5363" s="560">
        <f t="shared" si="116"/>
        <v>-57</v>
      </c>
      <c r="H5363" s="362"/>
      <c r="I5363" s="362"/>
      <c r="J5363" s="362"/>
    </row>
    <row r="5364" spans="1:10" x14ac:dyDescent="0.25">
      <c r="A5364" s="362"/>
      <c r="B5364" s="609">
        <v>44439</v>
      </c>
      <c r="C5364" s="362" t="s">
        <v>84</v>
      </c>
      <c r="D5364" s="560">
        <v>119908515</v>
      </c>
      <c r="E5364" s="560">
        <v>16809549</v>
      </c>
      <c r="F5364" s="560">
        <v>136718100</v>
      </c>
      <c r="G5364" s="560">
        <f t="shared" si="116"/>
        <v>-36</v>
      </c>
      <c r="H5364" s="362"/>
      <c r="I5364" s="362"/>
      <c r="J5364" s="362"/>
    </row>
    <row r="5365" spans="1:10" x14ac:dyDescent="0.25">
      <c r="A5365" s="362"/>
      <c r="B5365" s="609">
        <v>44439</v>
      </c>
      <c r="C5365" s="362" t="s">
        <v>4751</v>
      </c>
      <c r="D5365" s="560">
        <v>150832166</v>
      </c>
      <c r="E5365" s="560">
        <v>20086534</v>
      </c>
      <c r="F5365" s="560">
        <v>170918700</v>
      </c>
      <c r="G5365" s="560">
        <f t="shared" si="116"/>
        <v>0</v>
      </c>
      <c r="H5365" s="362"/>
      <c r="I5365" s="362"/>
      <c r="J5365" s="362"/>
    </row>
    <row r="5366" spans="1:10" x14ac:dyDescent="0.25">
      <c r="A5366" s="362"/>
      <c r="B5366" s="609">
        <v>44439</v>
      </c>
      <c r="C5366" s="362" t="s">
        <v>166</v>
      </c>
      <c r="D5366" s="560">
        <v>96664571</v>
      </c>
      <c r="E5366" s="560"/>
      <c r="F5366" s="560">
        <v>96664600</v>
      </c>
      <c r="G5366" s="560">
        <f t="shared" si="116"/>
        <v>-29</v>
      </c>
      <c r="H5366" s="362"/>
      <c r="I5366" s="362"/>
      <c r="J5366" s="362"/>
    </row>
    <row r="5367" spans="1:10" x14ac:dyDescent="0.25">
      <c r="A5367" s="362"/>
      <c r="B5367" s="609">
        <v>44439</v>
      </c>
      <c r="C5367" s="362" t="s">
        <v>3435</v>
      </c>
      <c r="D5367" s="560">
        <v>4398158</v>
      </c>
      <c r="E5367" s="560"/>
      <c r="F5367" s="560">
        <v>4398200</v>
      </c>
      <c r="G5367" s="560">
        <f t="shared" si="116"/>
        <v>-42</v>
      </c>
      <c r="H5367" s="362"/>
      <c r="I5367" s="362"/>
      <c r="J5367" s="362"/>
    </row>
    <row r="5368" spans="1:10" x14ac:dyDescent="0.25">
      <c r="A5368" s="362"/>
      <c r="B5368" s="609">
        <v>44439</v>
      </c>
      <c r="C5368" s="370" t="s">
        <v>85</v>
      </c>
      <c r="D5368" s="560">
        <v>24984500</v>
      </c>
      <c r="E5368" s="560"/>
      <c r="F5368" s="560">
        <v>24984500</v>
      </c>
      <c r="G5368" s="560">
        <f t="shared" si="116"/>
        <v>0</v>
      </c>
      <c r="H5368" s="362"/>
      <c r="I5368" s="362"/>
      <c r="J5368" s="362"/>
    </row>
    <row r="5369" spans="1:10" x14ac:dyDescent="0.25">
      <c r="A5369" s="530"/>
      <c r="B5369" s="530"/>
      <c r="C5369" s="530"/>
      <c r="D5369" s="562">
        <f>SUM(D5354:D5368)</f>
        <v>1404252228</v>
      </c>
      <c r="E5369" s="562">
        <f>SUM(E5354:E5368)</f>
        <v>489600617</v>
      </c>
      <c r="F5369" s="562">
        <f>SUM(F5354:F5368)</f>
        <v>1893852300</v>
      </c>
      <c r="G5369" s="562">
        <f>SUM(G5354:G5368)</f>
        <v>545</v>
      </c>
      <c r="H5369" s="530"/>
      <c r="I5369" s="530"/>
      <c r="J5369" s="530"/>
    </row>
    <row r="5370" spans="1:10" x14ac:dyDescent="0.25">
      <c r="A5370" s="362"/>
      <c r="B5370" s="609">
        <v>44440</v>
      </c>
      <c r="C5370" s="362" t="s">
        <v>86</v>
      </c>
      <c r="D5370" s="560">
        <v>61531534</v>
      </c>
      <c r="E5370" s="560">
        <v>45003363</v>
      </c>
      <c r="F5370" s="560">
        <v>106535000</v>
      </c>
      <c r="G5370" s="560">
        <f t="shared" si="116"/>
        <v>-103</v>
      </c>
      <c r="H5370" s="362"/>
      <c r="I5370" s="362"/>
      <c r="J5370" s="362"/>
    </row>
    <row r="5371" spans="1:10" x14ac:dyDescent="0.25">
      <c r="A5371" s="362"/>
      <c r="B5371" s="609">
        <v>44440</v>
      </c>
      <c r="C5371" s="362" t="s">
        <v>87</v>
      </c>
      <c r="D5371" s="560">
        <v>155559049</v>
      </c>
      <c r="E5371" s="560">
        <v>52700005</v>
      </c>
      <c r="F5371" s="560">
        <v>208259100</v>
      </c>
      <c r="G5371" s="560">
        <f t="shared" si="116"/>
        <v>-46</v>
      </c>
      <c r="H5371" s="362"/>
      <c r="I5371" s="362"/>
      <c r="J5371" s="362"/>
    </row>
    <row r="5372" spans="1:10" x14ac:dyDescent="0.25">
      <c r="A5372" s="362"/>
      <c r="B5372" s="609">
        <v>44440</v>
      </c>
      <c r="C5372" s="362" t="s">
        <v>88</v>
      </c>
      <c r="D5372" s="560">
        <v>278555221</v>
      </c>
      <c r="E5372" s="560">
        <v>3250785</v>
      </c>
      <c r="F5372" s="560">
        <v>281806100</v>
      </c>
      <c r="G5372" s="560">
        <f t="shared" si="116"/>
        <v>-94</v>
      </c>
      <c r="H5372" s="362"/>
      <c r="I5372" s="362"/>
      <c r="J5372" s="362"/>
    </row>
    <row r="5373" spans="1:10" x14ac:dyDescent="0.25">
      <c r="A5373" s="362"/>
      <c r="B5373" s="609">
        <v>44440</v>
      </c>
      <c r="C5373" s="362" t="s">
        <v>82</v>
      </c>
      <c r="D5373" s="560">
        <v>95398374</v>
      </c>
      <c r="E5373" s="560">
        <v>3430120</v>
      </c>
      <c r="F5373" s="560">
        <v>98828600</v>
      </c>
      <c r="G5373" s="560">
        <f t="shared" si="116"/>
        <v>-106</v>
      </c>
      <c r="H5373" s="362"/>
      <c r="I5373" s="362"/>
      <c r="J5373" s="362"/>
    </row>
    <row r="5374" spans="1:10" x14ac:dyDescent="0.25">
      <c r="A5374" s="362"/>
      <c r="B5374" s="609">
        <v>44440</v>
      </c>
      <c r="C5374" s="362" t="s">
        <v>80</v>
      </c>
      <c r="D5374" s="560">
        <v>255108548</v>
      </c>
      <c r="E5374" s="560"/>
      <c r="F5374" s="560">
        <v>255098300</v>
      </c>
      <c r="G5374" s="560">
        <f t="shared" si="116"/>
        <v>10248</v>
      </c>
      <c r="H5374" s="362"/>
      <c r="I5374" s="362"/>
      <c r="J5374" s="362"/>
    </row>
    <row r="5375" spans="1:10" x14ac:dyDescent="0.25">
      <c r="A5375" s="362"/>
      <c r="B5375" s="609">
        <v>44440</v>
      </c>
      <c r="C5375" s="362" t="s">
        <v>83</v>
      </c>
      <c r="D5375" s="560">
        <v>226696627</v>
      </c>
      <c r="E5375" s="560">
        <v>44218165</v>
      </c>
      <c r="F5375" s="560">
        <v>270914800</v>
      </c>
      <c r="G5375" s="560">
        <f t="shared" si="116"/>
        <v>-8</v>
      </c>
      <c r="H5375" s="362"/>
      <c r="I5375" s="362"/>
      <c r="J5375" s="362"/>
    </row>
    <row r="5376" spans="1:10" x14ac:dyDescent="0.25">
      <c r="A5376" s="362"/>
      <c r="B5376" s="609">
        <v>44440</v>
      </c>
      <c r="C5376" s="362" t="s">
        <v>78</v>
      </c>
      <c r="D5376" s="560">
        <v>124314546</v>
      </c>
      <c r="E5376" s="560">
        <v>5915654</v>
      </c>
      <c r="F5376" s="560">
        <v>130230200</v>
      </c>
      <c r="G5376" s="560">
        <f t="shared" si="116"/>
        <v>0</v>
      </c>
      <c r="H5376" s="362"/>
      <c r="I5376" s="362"/>
      <c r="J5376" s="362"/>
    </row>
    <row r="5377" spans="1:10" x14ac:dyDescent="0.25">
      <c r="A5377" s="362"/>
      <c r="B5377" s="609">
        <v>44440</v>
      </c>
      <c r="C5377" s="362" t="s">
        <v>141</v>
      </c>
      <c r="D5377" s="560">
        <v>102323714</v>
      </c>
      <c r="E5377" s="560"/>
      <c r="F5377" s="560">
        <v>102323800</v>
      </c>
      <c r="G5377" s="560">
        <f t="shared" si="116"/>
        <v>-86</v>
      </c>
      <c r="H5377" s="362"/>
      <c r="I5377" s="362"/>
      <c r="J5377" s="362"/>
    </row>
    <row r="5378" spans="1:10" x14ac:dyDescent="0.25">
      <c r="A5378" s="362"/>
      <c r="B5378" s="609">
        <v>44440</v>
      </c>
      <c r="C5378" s="362" t="s">
        <v>89</v>
      </c>
      <c r="D5378" s="560">
        <v>145719079</v>
      </c>
      <c r="E5378" s="560">
        <v>40881621</v>
      </c>
      <c r="F5378" s="560">
        <v>186600700</v>
      </c>
      <c r="G5378" s="560">
        <f t="shared" si="116"/>
        <v>0</v>
      </c>
      <c r="H5378" s="362"/>
      <c r="I5378" s="362"/>
      <c r="J5378" s="362"/>
    </row>
    <row r="5379" spans="1:10" x14ac:dyDescent="0.25">
      <c r="A5379" s="362"/>
      <c r="B5379" s="609">
        <v>44440</v>
      </c>
      <c r="C5379" s="362" t="s">
        <v>81</v>
      </c>
      <c r="D5379" s="560">
        <v>73542459</v>
      </c>
      <c r="E5379" s="560">
        <v>18928251</v>
      </c>
      <c r="F5379" s="560">
        <v>92470700</v>
      </c>
      <c r="G5379" s="560">
        <f t="shared" si="116"/>
        <v>10</v>
      </c>
      <c r="H5379" s="362"/>
      <c r="I5379" s="362"/>
      <c r="J5379" s="362"/>
    </row>
    <row r="5380" spans="1:10" x14ac:dyDescent="0.25">
      <c r="A5380" s="362"/>
      <c r="B5380" s="609">
        <v>44440</v>
      </c>
      <c r="C5380" s="362" t="s">
        <v>84</v>
      </c>
      <c r="D5380" s="560">
        <v>211851763</v>
      </c>
      <c r="E5380" s="560">
        <v>14720917</v>
      </c>
      <c r="F5380" s="560">
        <v>226572700</v>
      </c>
      <c r="G5380" s="560">
        <f t="shared" si="116"/>
        <v>-20</v>
      </c>
      <c r="H5380" s="362"/>
      <c r="I5380" s="362"/>
      <c r="J5380" s="362"/>
    </row>
    <row r="5381" spans="1:10" x14ac:dyDescent="0.25">
      <c r="A5381" s="362"/>
      <c r="B5381" s="609">
        <v>44440</v>
      </c>
      <c r="C5381" s="362" t="s">
        <v>4751</v>
      </c>
      <c r="D5381" s="560">
        <v>144637601</v>
      </c>
      <c r="E5381" s="560">
        <v>12358799</v>
      </c>
      <c r="F5381" s="560">
        <v>156996400</v>
      </c>
      <c r="G5381" s="560">
        <f t="shared" si="116"/>
        <v>0</v>
      </c>
      <c r="H5381" s="362"/>
      <c r="I5381" s="362"/>
      <c r="J5381" s="362"/>
    </row>
    <row r="5382" spans="1:10" x14ac:dyDescent="0.25">
      <c r="A5382" s="362"/>
      <c r="B5382" s="609">
        <v>44440</v>
      </c>
      <c r="C5382" s="362" t="s">
        <v>166</v>
      </c>
      <c r="D5382" s="560">
        <v>39792300</v>
      </c>
      <c r="E5382" s="560"/>
      <c r="F5382" s="560">
        <v>39792300</v>
      </c>
      <c r="G5382" s="560">
        <f t="shared" si="116"/>
        <v>0</v>
      </c>
      <c r="H5382" s="362"/>
      <c r="I5382" s="362"/>
      <c r="J5382" s="362"/>
    </row>
    <row r="5383" spans="1:10" x14ac:dyDescent="0.25">
      <c r="A5383" s="362"/>
      <c r="B5383" s="609">
        <v>44440</v>
      </c>
      <c r="C5383" s="362" t="s">
        <v>3435</v>
      </c>
      <c r="D5383" s="560">
        <v>30691414</v>
      </c>
      <c r="E5383" s="560"/>
      <c r="F5383" s="560">
        <v>30691500</v>
      </c>
      <c r="G5383" s="560">
        <f t="shared" si="116"/>
        <v>-86</v>
      </c>
      <c r="H5383" s="362"/>
      <c r="I5383" s="362"/>
      <c r="J5383" s="362"/>
    </row>
    <row r="5384" spans="1:10" x14ac:dyDescent="0.25">
      <c r="A5384" s="362"/>
      <c r="B5384" s="609">
        <v>44440</v>
      </c>
      <c r="C5384" s="370" t="s">
        <v>85</v>
      </c>
      <c r="D5384" s="560">
        <v>25626700</v>
      </c>
      <c r="E5384" s="560"/>
      <c r="F5384" s="560">
        <v>25626700</v>
      </c>
      <c r="G5384" s="560">
        <f t="shared" si="116"/>
        <v>0</v>
      </c>
      <c r="H5384" s="362"/>
      <c r="I5384" s="362"/>
      <c r="J5384" s="362"/>
    </row>
    <row r="5385" spans="1:10" x14ac:dyDescent="0.25">
      <c r="A5385" s="530"/>
      <c r="B5385" s="530"/>
      <c r="C5385" s="530"/>
      <c r="D5385" s="562">
        <f>SUM(D5370:D5384)</f>
        <v>1971348929</v>
      </c>
      <c r="E5385" s="562">
        <f>SUM(E5370:E5384)</f>
        <v>241407680</v>
      </c>
      <c r="F5385" s="562">
        <f>SUM(F5370:F5384)</f>
        <v>2212746900</v>
      </c>
      <c r="G5385" s="562">
        <f>SUM(G5370:G5384)</f>
        <v>9709</v>
      </c>
      <c r="H5385" s="530"/>
      <c r="I5385" s="530"/>
      <c r="J5385" s="530"/>
    </row>
    <row r="5386" spans="1:10" x14ac:dyDescent="0.25">
      <c r="A5386" s="362"/>
      <c r="B5386" s="609">
        <v>44441</v>
      </c>
      <c r="C5386" s="362" t="s">
        <v>86</v>
      </c>
      <c r="D5386" s="560">
        <v>79649143</v>
      </c>
      <c r="E5386" s="560">
        <v>20055240</v>
      </c>
      <c r="F5386" s="560">
        <v>99704400</v>
      </c>
      <c r="G5386" s="560">
        <f t="shared" si="116"/>
        <v>-17</v>
      </c>
      <c r="H5386" s="362"/>
      <c r="I5386" s="362"/>
      <c r="J5386" s="362"/>
    </row>
    <row r="5387" spans="1:10" x14ac:dyDescent="0.25">
      <c r="A5387" s="362"/>
      <c r="B5387" s="609">
        <v>44441</v>
      </c>
      <c r="C5387" s="362" t="s">
        <v>87</v>
      </c>
      <c r="D5387" s="560">
        <v>53767134</v>
      </c>
      <c r="E5387" s="560">
        <v>176951298</v>
      </c>
      <c r="F5387" s="560">
        <v>230719000</v>
      </c>
      <c r="G5387" s="560">
        <f t="shared" si="116"/>
        <v>-568</v>
      </c>
      <c r="H5387" s="362"/>
      <c r="I5387" s="362"/>
      <c r="J5387" s="362"/>
    </row>
    <row r="5388" spans="1:10" x14ac:dyDescent="0.25">
      <c r="A5388" s="362"/>
      <c r="B5388" s="609">
        <v>44441</v>
      </c>
      <c r="C5388" s="362" t="s">
        <v>88</v>
      </c>
      <c r="D5388" s="560">
        <v>194761260</v>
      </c>
      <c r="E5388" s="560">
        <v>13351439</v>
      </c>
      <c r="F5388" s="560">
        <v>208112700</v>
      </c>
      <c r="G5388" s="560">
        <f t="shared" ref="G5388:G5451" si="117">D5388+E5388-F5388</f>
        <v>-1</v>
      </c>
      <c r="H5388" s="362"/>
      <c r="I5388" s="362"/>
      <c r="J5388" s="362"/>
    </row>
    <row r="5389" spans="1:10" x14ac:dyDescent="0.25">
      <c r="A5389" s="362"/>
      <c r="B5389" s="609">
        <v>44441</v>
      </c>
      <c r="C5389" s="362" t="s">
        <v>82</v>
      </c>
      <c r="D5389" s="560">
        <v>164099499</v>
      </c>
      <c r="E5389" s="560">
        <v>2212920</v>
      </c>
      <c r="F5389" s="560">
        <v>166312500</v>
      </c>
      <c r="G5389" s="560">
        <f t="shared" si="117"/>
        <v>-81</v>
      </c>
      <c r="H5389" s="362"/>
      <c r="I5389" s="362"/>
      <c r="J5389" s="362"/>
    </row>
    <row r="5390" spans="1:10" x14ac:dyDescent="0.25">
      <c r="A5390" s="362"/>
      <c r="B5390" s="609">
        <v>44441</v>
      </c>
      <c r="C5390" s="362" t="s">
        <v>80</v>
      </c>
      <c r="D5390" s="560">
        <v>402364646</v>
      </c>
      <c r="E5390" s="560"/>
      <c r="F5390" s="560">
        <v>402363100</v>
      </c>
      <c r="G5390" s="560">
        <f t="shared" si="117"/>
        <v>1546</v>
      </c>
      <c r="H5390" s="362"/>
      <c r="I5390" s="362"/>
      <c r="J5390" s="362"/>
    </row>
    <row r="5391" spans="1:10" x14ac:dyDescent="0.25">
      <c r="A5391" s="362"/>
      <c r="B5391" s="609">
        <v>44441</v>
      </c>
      <c r="C5391" s="362" t="s">
        <v>83</v>
      </c>
      <c r="D5391" s="560">
        <v>257066006</v>
      </c>
      <c r="E5391" s="560">
        <v>15604078</v>
      </c>
      <c r="F5391" s="560">
        <v>272670100</v>
      </c>
      <c r="G5391" s="560">
        <f t="shared" si="117"/>
        <v>-16</v>
      </c>
      <c r="H5391" s="362"/>
      <c r="I5391" s="362"/>
      <c r="J5391" s="362"/>
    </row>
    <row r="5392" spans="1:10" x14ac:dyDescent="0.25">
      <c r="A5392" s="362"/>
      <c r="B5392" s="609">
        <v>44441</v>
      </c>
      <c r="C5392" s="362" t="s">
        <v>78</v>
      </c>
      <c r="D5392" s="560">
        <v>93347716</v>
      </c>
      <c r="E5392" s="560">
        <v>774184</v>
      </c>
      <c r="F5392" s="560">
        <v>94121900</v>
      </c>
      <c r="G5392" s="560">
        <f t="shared" si="117"/>
        <v>0</v>
      </c>
      <c r="H5392" s="362"/>
      <c r="I5392" s="362"/>
      <c r="J5392" s="362"/>
    </row>
    <row r="5393" spans="1:10" x14ac:dyDescent="0.25">
      <c r="A5393" s="362"/>
      <c r="B5393" s="609">
        <v>44441</v>
      </c>
      <c r="C5393" s="362" t="s">
        <v>141</v>
      </c>
      <c r="D5393" s="560">
        <v>75301892</v>
      </c>
      <c r="E5393" s="560">
        <v>706878</v>
      </c>
      <c r="F5393" s="560">
        <v>76008700</v>
      </c>
      <c r="G5393" s="560">
        <f t="shared" si="117"/>
        <v>70</v>
      </c>
      <c r="H5393" s="362"/>
      <c r="I5393" s="362"/>
      <c r="J5393" s="362"/>
    </row>
    <row r="5394" spans="1:10" x14ac:dyDescent="0.25">
      <c r="A5394" s="362"/>
      <c r="B5394" s="609">
        <v>44441</v>
      </c>
      <c r="C5394" s="362" t="s">
        <v>89</v>
      </c>
      <c r="D5394" s="560">
        <v>162388382</v>
      </c>
      <c r="E5394" s="560">
        <v>27167018</v>
      </c>
      <c r="F5394" s="560">
        <v>189555400</v>
      </c>
      <c r="G5394" s="560">
        <f t="shared" si="117"/>
        <v>0</v>
      </c>
      <c r="H5394" s="362"/>
      <c r="I5394" s="362"/>
      <c r="J5394" s="362"/>
    </row>
    <row r="5395" spans="1:10" x14ac:dyDescent="0.25">
      <c r="A5395" s="362"/>
      <c r="B5395" s="609">
        <v>44441</v>
      </c>
      <c r="C5395" s="362" t="s">
        <v>81</v>
      </c>
      <c r="D5395" s="560">
        <v>172452080</v>
      </c>
      <c r="E5395" s="560">
        <v>14058107</v>
      </c>
      <c r="F5395" s="560">
        <v>186510200</v>
      </c>
      <c r="G5395" s="560">
        <f t="shared" si="117"/>
        <v>-13</v>
      </c>
      <c r="H5395" s="362"/>
      <c r="I5395" s="362"/>
      <c r="J5395" s="362"/>
    </row>
    <row r="5396" spans="1:10" x14ac:dyDescent="0.25">
      <c r="A5396" s="362"/>
      <c r="B5396" s="609">
        <v>44441</v>
      </c>
      <c r="C5396" s="362" t="s">
        <v>84</v>
      </c>
      <c r="D5396" s="560">
        <v>148384800</v>
      </c>
      <c r="E5396" s="560">
        <v>15378640</v>
      </c>
      <c r="F5396" s="560">
        <v>163763500</v>
      </c>
      <c r="G5396" s="560">
        <f t="shared" si="117"/>
        <v>-60</v>
      </c>
      <c r="H5396" s="362"/>
      <c r="I5396" s="362"/>
      <c r="J5396" s="362"/>
    </row>
    <row r="5397" spans="1:10" x14ac:dyDescent="0.25">
      <c r="A5397" s="362"/>
      <c r="B5397" s="609">
        <v>44441</v>
      </c>
      <c r="C5397" s="362" t="s">
        <v>4751</v>
      </c>
      <c r="D5397" s="560">
        <v>197207221</v>
      </c>
      <c r="E5397" s="560">
        <v>8579379</v>
      </c>
      <c r="F5397" s="560">
        <v>205786600</v>
      </c>
      <c r="G5397" s="560">
        <f t="shared" si="117"/>
        <v>0</v>
      </c>
      <c r="H5397" s="362"/>
      <c r="I5397" s="362"/>
      <c r="J5397" s="362"/>
    </row>
    <row r="5398" spans="1:10" x14ac:dyDescent="0.25">
      <c r="A5398" s="362"/>
      <c r="B5398" s="609">
        <v>44441</v>
      </c>
      <c r="C5398" s="362" t="s">
        <v>166</v>
      </c>
      <c r="D5398" s="560">
        <v>95647321</v>
      </c>
      <c r="E5398" s="560"/>
      <c r="F5398" s="560">
        <v>95647300</v>
      </c>
      <c r="G5398" s="560">
        <f t="shared" si="117"/>
        <v>21</v>
      </c>
      <c r="H5398" s="362"/>
      <c r="I5398" s="362"/>
      <c r="J5398" s="362"/>
    </row>
    <row r="5399" spans="1:10" x14ac:dyDescent="0.25">
      <c r="A5399" s="362"/>
      <c r="B5399" s="609">
        <v>44441</v>
      </c>
      <c r="C5399" s="362" t="s">
        <v>3435</v>
      </c>
      <c r="D5399" s="560">
        <v>49390645</v>
      </c>
      <c r="E5399" s="560"/>
      <c r="F5399" s="560">
        <v>49390700</v>
      </c>
      <c r="G5399" s="560">
        <f t="shared" si="117"/>
        <v>-55</v>
      </c>
      <c r="H5399" s="362"/>
      <c r="I5399" s="362"/>
      <c r="J5399" s="362"/>
    </row>
    <row r="5400" spans="1:10" x14ac:dyDescent="0.25">
      <c r="A5400" s="362"/>
      <c r="B5400" s="609">
        <v>44441</v>
      </c>
      <c r="C5400" s="370" t="s">
        <v>85</v>
      </c>
      <c r="D5400" s="560">
        <v>21262200</v>
      </c>
      <c r="E5400" s="560"/>
      <c r="F5400" s="560">
        <v>21262200</v>
      </c>
      <c r="G5400" s="560">
        <f t="shared" si="117"/>
        <v>0</v>
      </c>
      <c r="H5400" s="362"/>
      <c r="I5400" s="362"/>
      <c r="J5400" s="362"/>
    </row>
    <row r="5401" spans="1:10" x14ac:dyDescent="0.25">
      <c r="A5401" s="530"/>
      <c r="B5401" s="530"/>
      <c r="C5401" s="530"/>
      <c r="D5401" s="562">
        <f>SUM(D5386:D5400)</f>
        <v>2167089945</v>
      </c>
      <c r="E5401" s="562">
        <f>SUM(E5386:E5400)</f>
        <v>294839181</v>
      </c>
      <c r="F5401" s="562">
        <f>SUM(F5386:F5400)</f>
        <v>2461928300</v>
      </c>
      <c r="G5401" s="562">
        <f>SUM(G5386:G5400)</f>
        <v>826</v>
      </c>
      <c r="H5401" s="530"/>
      <c r="I5401" s="530"/>
      <c r="J5401" s="530"/>
    </row>
    <row r="5402" spans="1:10" x14ac:dyDescent="0.25">
      <c r="A5402" s="362"/>
      <c r="B5402" s="609">
        <v>44442</v>
      </c>
      <c r="C5402" s="362" t="s">
        <v>86</v>
      </c>
      <c r="D5402" s="560">
        <v>34797163</v>
      </c>
      <c r="E5402" s="560">
        <v>93722868</v>
      </c>
      <c r="F5402" s="560">
        <v>128520000</v>
      </c>
      <c r="G5402" s="560">
        <f t="shared" si="117"/>
        <v>31</v>
      </c>
      <c r="H5402" s="362"/>
      <c r="I5402" s="362"/>
      <c r="J5402" s="362"/>
    </row>
    <row r="5403" spans="1:10" x14ac:dyDescent="0.25">
      <c r="A5403" s="362"/>
      <c r="B5403" s="609">
        <v>44442</v>
      </c>
      <c r="C5403" s="362" t="s">
        <v>87</v>
      </c>
      <c r="D5403" s="560">
        <v>44361503</v>
      </c>
      <c r="E5403" s="560">
        <v>38825907</v>
      </c>
      <c r="F5403" s="560">
        <v>83187400</v>
      </c>
      <c r="G5403" s="560">
        <f t="shared" si="117"/>
        <v>10</v>
      </c>
      <c r="H5403" s="362"/>
      <c r="I5403" s="362"/>
      <c r="J5403" s="362"/>
    </row>
    <row r="5404" spans="1:10" x14ac:dyDescent="0.25">
      <c r="A5404" s="362"/>
      <c r="B5404" s="609">
        <v>44442</v>
      </c>
      <c r="C5404" s="362" t="s">
        <v>88</v>
      </c>
      <c r="D5404" s="560">
        <v>98030062</v>
      </c>
      <c r="E5404" s="560">
        <v>45132629</v>
      </c>
      <c r="F5404" s="560">
        <v>143162700</v>
      </c>
      <c r="G5404" s="560">
        <f t="shared" si="117"/>
        <v>-9</v>
      </c>
      <c r="H5404" s="362"/>
      <c r="I5404" s="362"/>
      <c r="J5404" s="362"/>
    </row>
    <row r="5405" spans="1:10" x14ac:dyDescent="0.25">
      <c r="A5405" s="362"/>
      <c r="B5405" s="609">
        <v>44442</v>
      </c>
      <c r="C5405" s="362" t="s">
        <v>82</v>
      </c>
      <c r="D5405" s="560">
        <v>78278188</v>
      </c>
      <c r="E5405" s="560">
        <v>2140976</v>
      </c>
      <c r="F5405" s="560">
        <v>80419200</v>
      </c>
      <c r="G5405" s="560">
        <f t="shared" si="117"/>
        <v>-36</v>
      </c>
      <c r="H5405" s="362"/>
      <c r="I5405" s="362"/>
      <c r="J5405" s="362"/>
    </row>
    <row r="5406" spans="1:10" x14ac:dyDescent="0.25">
      <c r="A5406" s="362"/>
      <c r="B5406" s="609">
        <v>44442</v>
      </c>
      <c r="C5406" s="362" t="s">
        <v>80</v>
      </c>
      <c r="D5406" s="560">
        <v>214358400</v>
      </c>
      <c r="E5406" s="560"/>
      <c r="F5406" s="560">
        <v>214358400</v>
      </c>
      <c r="G5406" s="560">
        <f t="shared" si="117"/>
        <v>0</v>
      </c>
      <c r="H5406" s="362"/>
      <c r="I5406" s="362"/>
      <c r="J5406" s="362"/>
    </row>
    <row r="5407" spans="1:10" x14ac:dyDescent="0.25">
      <c r="A5407" s="362"/>
      <c r="B5407" s="609">
        <v>44442</v>
      </c>
      <c r="C5407" s="362" t="s">
        <v>83</v>
      </c>
      <c r="D5407" s="560">
        <v>231283106</v>
      </c>
      <c r="E5407" s="560">
        <v>14977594</v>
      </c>
      <c r="F5407" s="560">
        <v>246260700</v>
      </c>
      <c r="G5407" s="560">
        <f t="shared" si="117"/>
        <v>0</v>
      </c>
      <c r="H5407" s="362"/>
      <c r="I5407" s="362"/>
      <c r="J5407" s="362"/>
    </row>
    <row r="5408" spans="1:10" x14ac:dyDescent="0.25">
      <c r="A5408" s="362"/>
      <c r="B5408" s="609">
        <v>44442</v>
      </c>
      <c r="C5408" s="362" t="s">
        <v>78</v>
      </c>
      <c r="D5408" s="560">
        <v>143929752</v>
      </c>
      <c r="E5408" s="560">
        <v>880348</v>
      </c>
      <c r="F5408" s="560">
        <v>144810100</v>
      </c>
      <c r="G5408" s="560">
        <f t="shared" si="117"/>
        <v>0</v>
      </c>
      <c r="H5408" s="362"/>
      <c r="I5408" s="362"/>
      <c r="J5408" s="362"/>
    </row>
    <row r="5409" spans="1:10" x14ac:dyDescent="0.25">
      <c r="A5409" s="362"/>
      <c r="B5409" s="609">
        <v>44442</v>
      </c>
      <c r="C5409" s="362" t="s">
        <v>141</v>
      </c>
      <c r="D5409" s="560">
        <v>73384167</v>
      </c>
      <c r="E5409" s="560"/>
      <c r="F5409" s="560">
        <v>73384200</v>
      </c>
      <c r="G5409" s="560">
        <f t="shared" si="117"/>
        <v>-33</v>
      </c>
      <c r="H5409" s="362"/>
      <c r="I5409" s="362"/>
      <c r="J5409" s="362"/>
    </row>
    <row r="5410" spans="1:10" x14ac:dyDescent="0.25">
      <c r="A5410" s="362"/>
      <c r="B5410" s="609">
        <v>44442</v>
      </c>
      <c r="C5410" s="362" t="s">
        <v>89</v>
      </c>
      <c r="D5410" s="560">
        <v>151870773</v>
      </c>
      <c r="E5410" s="560">
        <v>61111427</v>
      </c>
      <c r="F5410" s="560">
        <v>212982200</v>
      </c>
      <c r="G5410" s="560">
        <f t="shared" si="117"/>
        <v>0</v>
      </c>
      <c r="H5410" s="362"/>
      <c r="I5410" s="362"/>
      <c r="J5410" s="362"/>
    </row>
    <row r="5411" spans="1:10" x14ac:dyDescent="0.25">
      <c r="A5411" s="362"/>
      <c r="B5411" s="609">
        <v>44442</v>
      </c>
      <c r="C5411" s="362" t="s">
        <v>81</v>
      </c>
      <c r="D5411" s="560">
        <v>66525842</v>
      </c>
      <c r="E5411" s="560">
        <v>7731017</v>
      </c>
      <c r="F5411" s="560">
        <v>74256900</v>
      </c>
      <c r="G5411" s="560">
        <f t="shared" si="117"/>
        <v>-41</v>
      </c>
      <c r="H5411" s="362"/>
      <c r="I5411" s="362"/>
      <c r="J5411" s="362"/>
    </row>
    <row r="5412" spans="1:10" x14ac:dyDescent="0.25">
      <c r="A5412" s="362"/>
      <c r="B5412" s="609">
        <v>44442</v>
      </c>
      <c r="C5412" s="362" t="s">
        <v>84</v>
      </c>
      <c r="D5412" s="560">
        <v>230817422</v>
      </c>
      <c r="E5412" s="560">
        <v>7473063</v>
      </c>
      <c r="F5412" s="560">
        <v>238290500</v>
      </c>
      <c r="G5412" s="560">
        <f t="shared" si="117"/>
        <v>-15</v>
      </c>
      <c r="H5412" s="362"/>
      <c r="I5412" s="362"/>
      <c r="J5412" s="362"/>
    </row>
    <row r="5413" spans="1:10" x14ac:dyDescent="0.25">
      <c r="A5413" s="362"/>
      <c r="B5413" s="609">
        <v>44442</v>
      </c>
      <c r="C5413" s="362" t="s">
        <v>4751</v>
      </c>
      <c r="D5413" s="560">
        <v>275760903</v>
      </c>
      <c r="E5413" s="560">
        <v>141583097</v>
      </c>
      <c r="F5413" s="560">
        <v>417343500</v>
      </c>
      <c r="G5413" s="560">
        <f t="shared" si="117"/>
        <v>500</v>
      </c>
      <c r="H5413" s="362"/>
      <c r="I5413" s="362"/>
      <c r="J5413" s="362"/>
    </row>
    <row r="5414" spans="1:10" x14ac:dyDescent="0.25">
      <c r="A5414" s="362"/>
      <c r="B5414" s="609">
        <v>44442</v>
      </c>
      <c r="C5414" s="362" t="s">
        <v>166</v>
      </c>
      <c r="D5414" s="560">
        <v>35456559</v>
      </c>
      <c r="E5414" s="560"/>
      <c r="F5414" s="560">
        <v>35456500</v>
      </c>
      <c r="G5414" s="560">
        <f t="shared" si="117"/>
        <v>59</v>
      </c>
      <c r="H5414" s="362"/>
      <c r="I5414" s="362"/>
      <c r="J5414" s="362"/>
    </row>
    <row r="5415" spans="1:10" x14ac:dyDescent="0.25">
      <c r="A5415" s="362"/>
      <c r="B5415" s="609">
        <v>44442</v>
      </c>
      <c r="C5415" s="362" t="s">
        <v>3435</v>
      </c>
      <c r="D5415" s="560">
        <v>71693726</v>
      </c>
      <c r="E5415" s="560"/>
      <c r="F5415" s="560">
        <v>71693800</v>
      </c>
      <c r="G5415" s="560">
        <f t="shared" si="117"/>
        <v>-74</v>
      </c>
      <c r="H5415" s="362"/>
      <c r="I5415" s="362"/>
      <c r="J5415" s="362"/>
    </row>
    <row r="5416" spans="1:10" x14ac:dyDescent="0.25">
      <c r="A5416" s="362"/>
      <c r="B5416" s="609">
        <v>44442</v>
      </c>
      <c r="C5416" s="370" t="s">
        <v>85</v>
      </c>
      <c r="D5416" s="560">
        <v>19807700</v>
      </c>
      <c r="E5416" s="560"/>
      <c r="F5416" s="560">
        <v>19807700</v>
      </c>
      <c r="G5416" s="560">
        <f t="shared" si="117"/>
        <v>0</v>
      </c>
      <c r="H5416" s="362"/>
      <c r="I5416" s="362"/>
      <c r="J5416" s="362"/>
    </row>
    <row r="5417" spans="1:10" x14ac:dyDescent="0.25">
      <c r="A5417" s="530"/>
      <c r="B5417" s="530"/>
      <c r="C5417" s="530"/>
      <c r="D5417" s="562">
        <f>SUM(D5402:D5416)</f>
        <v>1770355266</v>
      </c>
      <c r="E5417" s="562">
        <f>SUM(E5402:E5416)</f>
        <v>413578926</v>
      </c>
      <c r="F5417" s="562">
        <f>SUM(F5402:F5416)</f>
        <v>2183933800</v>
      </c>
      <c r="G5417" s="562">
        <f>SUM(G5402:G5416)</f>
        <v>392</v>
      </c>
      <c r="H5417" s="530"/>
      <c r="I5417" s="530"/>
      <c r="J5417" s="530"/>
    </row>
    <row r="5418" spans="1:10" x14ac:dyDescent="0.25">
      <c r="A5418" s="362"/>
      <c r="B5418" s="609">
        <v>44443</v>
      </c>
      <c r="C5418" s="362" t="s">
        <v>86</v>
      </c>
      <c r="D5418" s="560">
        <v>110653426</v>
      </c>
      <c r="E5418" s="560">
        <v>34390931</v>
      </c>
      <c r="F5418" s="560">
        <v>145044400</v>
      </c>
      <c r="G5418" s="560">
        <f t="shared" si="117"/>
        <v>-43</v>
      </c>
      <c r="H5418" s="362"/>
      <c r="I5418" s="362"/>
      <c r="J5418" s="362"/>
    </row>
    <row r="5419" spans="1:10" x14ac:dyDescent="0.25">
      <c r="A5419" s="362"/>
      <c r="B5419" s="609">
        <v>44443</v>
      </c>
      <c r="C5419" s="362" t="s">
        <v>87</v>
      </c>
      <c r="D5419" s="560">
        <v>99105468</v>
      </c>
      <c r="E5419" s="560">
        <v>243001096</v>
      </c>
      <c r="F5419" s="560">
        <f>198348600+143758000</f>
        <v>342106600</v>
      </c>
      <c r="G5419" s="560">
        <f t="shared" si="117"/>
        <v>-36</v>
      </c>
      <c r="H5419" s="362"/>
      <c r="I5419" s="362"/>
      <c r="J5419" s="362"/>
    </row>
    <row r="5420" spans="1:10" x14ac:dyDescent="0.25">
      <c r="A5420" s="362"/>
      <c r="B5420" s="609">
        <v>44443</v>
      </c>
      <c r="C5420" s="362" t="s">
        <v>88</v>
      </c>
      <c r="D5420" s="560">
        <v>266567207</v>
      </c>
      <c r="E5420" s="560">
        <v>8105592</v>
      </c>
      <c r="F5420" s="560">
        <v>274672900</v>
      </c>
      <c r="G5420" s="560">
        <f t="shared" si="117"/>
        <v>-101</v>
      </c>
      <c r="H5420" s="362"/>
      <c r="I5420" s="362"/>
      <c r="J5420" s="362"/>
    </row>
    <row r="5421" spans="1:10" x14ac:dyDescent="0.25">
      <c r="A5421" s="362"/>
      <c r="B5421" s="609">
        <v>44443</v>
      </c>
      <c r="C5421" s="362" t="s">
        <v>82</v>
      </c>
      <c r="D5421" s="560">
        <v>43346913</v>
      </c>
      <c r="E5421" s="560">
        <v>4121573</v>
      </c>
      <c r="F5421" s="560">
        <v>47468500</v>
      </c>
      <c r="G5421" s="560">
        <f t="shared" si="117"/>
        <v>-14</v>
      </c>
      <c r="H5421" s="362"/>
      <c r="I5421" s="362"/>
      <c r="J5421" s="362"/>
    </row>
    <row r="5422" spans="1:10" x14ac:dyDescent="0.25">
      <c r="A5422" s="362"/>
      <c r="B5422" s="609">
        <v>44443</v>
      </c>
      <c r="C5422" s="362" t="s">
        <v>80</v>
      </c>
      <c r="D5422" s="560">
        <v>285325440</v>
      </c>
      <c r="E5422" s="560">
        <v>5498560</v>
      </c>
      <c r="F5422" s="560">
        <v>290824000</v>
      </c>
      <c r="G5422" s="560">
        <f t="shared" si="117"/>
        <v>0</v>
      </c>
      <c r="H5422" s="362"/>
      <c r="I5422" s="362"/>
      <c r="J5422" s="362"/>
    </row>
    <row r="5423" spans="1:10" x14ac:dyDescent="0.25">
      <c r="A5423" s="362"/>
      <c r="B5423" s="609">
        <v>44443</v>
      </c>
      <c r="C5423" s="362" t="s">
        <v>83</v>
      </c>
      <c r="D5423" s="560">
        <v>250584922</v>
      </c>
      <c r="E5423" s="560">
        <v>46060188</v>
      </c>
      <c r="F5423" s="560">
        <v>296645100</v>
      </c>
      <c r="G5423" s="560">
        <f t="shared" si="117"/>
        <v>10</v>
      </c>
      <c r="H5423" s="362"/>
      <c r="I5423" s="362"/>
      <c r="J5423" s="362"/>
    </row>
    <row r="5424" spans="1:10" x14ac:dyDescent="0.25">
      <c r="A5424" s="362"/>
      <c r="B5424" s="609">
        <v>44443</v>
      </c>
      <c r="C5424" s="362" t="s">
        <v>78</v>
      </c>
      <c r="D5424" s="560">
        <v>176132735</v>
      </c>
      <c r="E5424" s="560">
        <v>8028465</v>
      </c>
      <c r="F5424" s="560">
        <v>184158200</v>
      </c>
      <c r="G5424" s="560">
        <f t="shared" si="117"/>
        <v>3000</v>
      </c>
      <c r="H5424" s="362"/>
      <c r="I5424" s="362"/>
      <c r="J5424" s="362"/>
    </row>
    <row r="5425" spans="1:10" x14ac:dyDescent="0.25">
      <c r="A5425" s="362"/>
      <c r="B5425" s="609">
        <v>44443</v>
      </c>
      <c r="C5425" s="362" t="s">
        <v>141</v>
      </c>
      <c r="D5425" s="560">
        <v>38977436</v>
      </c>
      <c r="E5425" s="560">
        <v>210977</v>
      </c>
      <c r="F5425" s="560">
        <v>39188500</v>
      </c>
      <c r="G5425" s="560">
        <f t="shared" si="117"/>
        <v>-87</v>
      </c>
      <c r="H5425" s="362"/>
      <c r="I5425" s="362"/>
      <c r="J5425" s="362"/>
    </row>
    <row r="5426" spans="1:10" x14ac:dyDescent="0.25">
      <c r="A5426" s="362"/>
      <c r="B5426" s="609">
        <v>44443</v>
      </c>
      <c r="C5426" s="362" t="s">
        <v>89</v>
      </c>
      <c r="D5426" s="560">
        <v>84806025</v>
      </c>
      <c r="E5426" s="560">
        <v>17691075</v>
      </c>
      <c r="F5426" s="560">
        <v>102497100</v>
      </c>
      <c r="G5426" s="560">
        <f t="shared" si="117"/>
        <v>0</v>
      </c>
      <c r="H5426" s="362"/>
      <c r="I5426" s="362"/>
      <c r="J5426" s="362"/>
    </row>
    <row r="5427" spans="1:10" x14ac:dyDescent="0.25">
      <c r="A5427" s="362"/>
      <c r="B5427" s="609">
        <v>44443</v>
      </c>
      <c r="C5427" s="362" t="s">
        <v>81</v>
      </c>
      <c r="D5427" s="560">
        <v>101188576</v>
      </c>
      <c r="E5427" s="560">
        <v>26905948</v>
      </c>
      <c r="F5427" s="560">
        <f>68948800+59145800</f>
        <v>128094600</v>
      </c>
      <c r="G5427" s="560">
        <f t="shared" si="117"/>
        <v>-76</v>
      </c>
      <c r="H5427" s="362"/>
      <c r="I5427" s="362"/>
      <c r="J5427" s="362"/>
    </row>
    <row r="5428" spans="1:10" x14ac:dyDescent="0.25">
      <c r="A5428" s="362"/>
      <c r="B5428" s="609">
        <v>44443</v>
      </c>
      <c r="C5428" s="362" t="s">
        <v>84</v>
      </c>
      <c r="D5428" s="560">
        <v>263481934</v>
      </c>
      <c r="E5428" s="560">
        <v>9164221</v>
      </c>
      <c r="F5428" s="560">
        <v>272646200</v>
      </c>
      <c r="G5428" s="560">
        <f t="shared" si="117"/>
        <v>-45</v>
      </c>
      <c r="H5428" s="362"/>
      <c r="I5428" s="362"/>
      <c r="J5428" s="362"/>
    </row>
    <row r="5429" spans="1:10" x14ac:dyDescent="0.25">
      <c r="A5429" s="362"/>
      <c r="B5429" s="609">
        <v>44443</v>
      </c>
      <c r="C5429" s="362" t="s">
        <v>4751</v>
      </c>
      <c r="D5429" s="560">
        <v>175123402</v>
      </c>
      <c r="E5429" s="560">
        <v>18076698</v>
      </c>
      <c r="F5429" s="560">
        <v>193200100</v>
      </c>
      <c r="G5429" s="560">
        <f t="shared" si="117"/>
        <v>0</v>
      </c>
      <c r="H5429" s="362"/>
      <c r="I5429" s="362"/>
      <c r="J5429" s="362"/>
    </row>
    <row r="5430" spans="1:10" x14ac:dyDescent="0.25">
      <c r="A5430" s="362"/>
      <c r="B5430" s="609">
        <v>44443</v>
      </c>
      <c r="C5430" s="362" t="s">
        <v>166</v>
      </c>
      <c r="D5430" s="560"/>
      <c r="E5430" s="560"/>
      <c r="F5430" s="560"/>
      <c r="G5430" s="560">
        <f t="shared" si="117"/>
        <v>0</v>
      </c>
      <c r="H5430" s="362"/>
      <c r="I5430" s="362"/>
      <c r="J5430" s="362"/>
    </row>
    <row r="5431" spans="1:10" x14ac:dyDescent="0.25">
      <c r="A5431" s="362"/>
      <c r="B5431" s="609">
        <v>44443</v>
      </c>
      <c r="C5431" s="362" t="s">
        <v>3435</v>
      </c>
      <c r="D5431" s="560"/>
      <c r="E5431" s="560"/>
      <c r="F5431" s="560"/>
      <c r="G5431" s="560">
        <f t="shared" si="117"/>
        <v>0</v>
      </c>
      <c r="H5431" s="362"/>
      <c r="I5431" s="362"/>
      <c r="J5431" s="362"/>
    </row>
    <row r="5432" spans="1:10" x14ac:dyDescent="0.25">
      <c r="A5432" s="362"/>
      <c r="B5432" s="609">
        <v>44443</v>
      </c>
      <c r="C5432" s="370" t="s">
        <v>85</v>
      </c>
      <c r="D5432" s="560">
        <v>32720100</v>
      </c>
      <c r="E5432" s="560"/>
      <c r="F5432" s="560">
        <v>32720100</v>
      </c>
      <c r="G5432" s="560">
        <f t="shared" si="117"/>
        <v>0</v>
      </c>
      <c r="H5432" s="362"/>
      <c r="I5432" s="362"/>
      <c r="J5432" s="362"/>
    </row>
    <row r="5433" spans="1:10" x14ac:dyDescent="0.25">
      <c r="A5433" s="530"/>
      <c r="B5433" s="530"/>
      <c r="C5433" s="530"/>
      <c r="D5433" s="562">
        <f>SUM(D5418:D5432)</f>
        <v>1928013584</v>
      </c>
      <c r="E5433" s="562">
        <f>SUM(E5418:E5432)</f>
        <v>421255324</v>
      </c>
      <c r="F5433" s="562">
        <f>SUM(F5418:F5432)</f>
        <v>2349266300</v>
      </c>
      <c r="G5433" s="562">
        <f>SUM(G5418:G5432)</f>
        <v>2608</v>
      </c>
      <c r="H5433" s="530"/>
      <c r="I5433" s="530"/>
      <c r="J5433" s="530"/>
    </row>
    <row r="5434" spans="1:10" x14ac:dyDescent="0.25">
      <c r="A5434" s="362"/>
      <c r="B5434" s="609">
        <v>44445</v>
      </c>
      <c r="C5434" s="362" t="s">
        <v>86</v>
      </c>
      <c r="D5434" s="560">
        <v>50495597</v>
      </c>
      <c r="E5434" s="560">
        <v>29077907</v>
      </c>
      <c r="F5434" s="560">
        <v>79573200</v>
      </c>
      <c r="G5434" s="560">
        <f t="shared" si="117"/>
        <v>304</v>
      </c>
      <c r="H5434" s="362"/>
      <c r="I5434" s="362"/>
      <c r="J5434" s="362"/>
    </row>
    <row r="5435" spans="1:10" x14ac:dyDescent="0.25">
      <c r="A5435" s="362"/>
      <c r="B5435" s="609">
        <v>44445</v>
      </c>
      <c r="C5435" s="362" t="s">
        <v>87</v>
      </c>
      <c r="D5435" s="560">
        <v>85974252</v>
      </c>
      <c r="E5435" s="560">
        <v>69571847</v>
      </c>
      <c r="F5435" s="560">
        <v>155547000</v>
      </c>
      <c r="G5435" s="560">
        <f t="shared" si="117"/>
        <v>-901</v>
      </c>
      <c r="H5435" s="362"/>
      <c r="I5435" s="362"/>
      <c r="J5435" s="362"/>
    </row>
    <row r="5436" spans="1:10" x14ac:dyDescent="0.25">
      <c r="A5436" s="362"/>
      <c r="B5436" s="609">
        <v>44445</v>
      </c>
      <c r="C5436" s="362" t="s">
        <v>88</v>
      </c>
      <c r="D5436" s="560">
        <v>241154135</v>
      </c>
      <c r="E5436" s="560">
        <v>29962100</v>
      </c>
      <c r="F5436" s="560">
        <v>271116300</v>
      </c>
      <c r="G5436" s="560">
        <f t="shared" si="117"/>
        <v>-65</v>
      </c>
      <c r="H5436" s="362"/>
      <c r="I5436" s="362"/>
      <c r="J5436" s="362"/>
    </row>
    <row r="5437" spans="1:10" x14ac:dyDescent="0.25">
      <c r="A5437" s="362"/>
      <c r="B5437" s="609">
        <v>44445</v>
      </c>
      <c r="C5437" s="362" t="s">
        <v>82</v>
      </c>
      <c r="D5437" s="560">
        <v>42537032</v>
      </c>
      <c r="E5437" s="560">
        <v>7495700</v>
      </c>
      <c r="F5437" s="560">
        <v>50032800</v>
      </c>
      <c r="G5437" s="560">
        <f t="shared" si="117"/>
        <v>-68</v>
      </c>
      <c r="H5437" s="362"/>
      <c r="I5437" s="362"/>
      <c r="J5437" s="362"/>
    </row>
    <row r="5438" spans="1:10" x14ac:dyDescent="0.25">
      <c r="A5438" s="362"/>
      <c r="B5438" s="609">
        <v>44445</v>
      </c>
      <c r="C5438" s="362" t="s">
        <v>80</v>
      </c>
      <c r="D5438" s="560">
        <v>392086692</v>
      </c>
      <c r="E5438" s="560"/>
      <c r="F5438" s="560">
        <v>392044600</v>
      </c>
      <c r="G5438" s="560">
        <f t="shared" si="117"/>
        <v>42092</v>
      </c>
      <c r="H5438" s="362"/>
      <c r="I5438" s="362"/>
      <c r="J5438" s="362"/>
    </row>
    <row r="5439" spans="1:10" x14ac:dyDescent="0.25">
      <c r="A5439" s="362"/>
      <c r="B5439" s="609">
        <v>44445</v>
      </c>
      <c r="C5439" s="362" t="s">
        <v>83</v>
      </c>
      <c r="D5439" s="560">
        <v>365314820</v>
      </c>
      <c r="E5439" s="560">
        <v>19938855</v>
      </c>
      <c r="F5439" s="560">
        <v>385253700</v>
      </c>
      <c r="G5439" s="560">
        <f t="shared" si="117"/>
        <v>-25</v>
      </c>
      <c r="H5439" s="362"/>
      <c r="I5439" s="362"/>
      <c r="J5439" s="362"/>
    </row>
    <row r="5440" spans="1:10" x14ac:dyDescent="0.25">
      <c r="A5440" s="362"/>
      <c r="B5440" s="609">
        <v>44445</v>
      </c>
      <c r="C5440" s="362" t="s">
        <v>78</v>
      </c>
      <c r="D5440" s="560">
        <v>104914149</v>
      </c>
      <c r="E5440" s="560">
        <v>7716151</v>
      </c>
      <c r="F5440" s="560">
        <v>112630300</v>
      </c>
      <c r="G5440" s="560">
        <f t="shared" si="117"/>
        <v>0</v>
      </c>
      <c r="H5440" s="362"/>
      <c r="I5440" s="362"/>
      <c r="J5440" s="362"/>
    </row>
    <row r="5441" spans="1:10" x14ac:dyDescent="0.25">
      <c r="A5441" s="362"/>
      <c r="B5441" s="609">
        <v>44445</v>
      </c>
      <c r="C5441" s="362" t="s">
        <v>141</v>
      </c>
      <c r="D5441" s="560">
        <v>43691097</v>
      </c>
      <c r="E5441" s="560">
        <v>139098</v>
      </c>
      <c r="F5441" s="560">
        <v>43831100</v>
      </c>
      <c r="G5441" s="560">
        <f t="shared" si="117"/>
        <v>-905</v>
      </c>
      <c r="H5441" s="362"/>
      <c r="I5441" s="362"/>
      <c r="J5441" s="362"/>
    </row>
    <row r="5442" spans="1:10" x14ac:dyDescent="0.25">
      <c r="A5442" s="362"/>
      <c r="B5442" s="609">
        <v>44445</v>
      </c>
      <c r="C5442" s="362" t="s">
        <v>89</v>
      </c>
      <c r="D5442" s="560">
        <v>142053236</v>
      </c>
      <c r="E5442" s="560">
        <v>35948464</v>
      </c>
      <c r="F5442" s="560">
        <v>178001700</v>
      </c>
      <c r="G5442" s="560">
        <f t="shared" si="117"/>
        <v>0</v>
      </c>
      <c r="H5442" s="362"/>
      <c r="I5442" s="362"/>
      <c r="J5442" s="362"/>
    </row>
    <row r="5443" spans="1:10" x14ac:dyDescent="0.25">
      <c r="A5443" s="362"/>
      <c r="B5443" s="609">
        <v>44445</v>
      </c>
      <c r="C5443" s="362" t="s">
        <v>81</v>
      </c>
      <c r="D5443" s="560">
        <v>146672506</v>
      </c>
      <c r="E5443" s="560">
        <v>10791159</v>
      </c>
      <c r="F5443" s="560">
        <v>157463700</v>
      </c>
      <c r="G5443" s="560">
        <f t="shared" si="117"/>
        <v>-35</v>
      </c>
      <c r="H5443" s="362"/>
      <c r="I5443" s="362"/>
      <c r="J5443" s="362"/>
    </row>
    <row r="5444" spans="1:10" x14ac:dyDescent="0.25">
      <c r="A5444" s="362"/>
      <c r="B5444" s="609">
        <v>44445</v>
      </c>
      <c r="C5444" s="362" t="s">
        <v>84</v>
      </c>
      <c r="D5444" s="560">
        <v>385044241</v>
      </c>
      <c r="E5444" s="560">
        <v>18816992</v>
      </c>
      <c r="F5444" s="560">
        <v>403861600</v>
      </c>
      <c r="G5444" s="560">
        <f t="shared" si="117"/>
        <v>-367</v>
      </c>
      <c r="H5444" s="362"/>
      <c r="I5444" s="362"/>
      <c r="J5444" s="362"/>
    </row>
    <row r="5445" spans="1:10" x14ac:dyDescent="0.25">
      <c r="A5445" s="362"/>
      <c r="B5445" s="609">
        <v>44445</v>
      </c>
      <c r="C5445" s="362" t="s">
        <v>4751</v>
      </c>
      <c r="D5445" s="560">
        <v>240632047</v>
      </c>
      <c r="E5445" s="560">
        <v>8001953</v>
      </c>
      <c r="F5445" s="560">
        <v>248634000</v>
      </c>
      <c r="G5445" s="560">
        <f t="shared" si="117"/>
        <v>0</v>
      </c>
      <c r="H5445" s="362"/>
      <c r="I5445" s="362"/>
      <c r="J5445" s="362"/>
    </row>
    <row r="5446" spans="1:10" x14ac:dyDescent="0.25">
      <c r="A5446" s="362"/>
      <c r="B5446" s="609">
        <v>44445</v>
      </c>
      <c r="C5446" s="362" t="s">
        <v>166</v>
      </c>
      <c r="D5446" s="560">
        <v>50423149</v>
      </c>
      <c r="E5446" s="560"/>
      <c r="F5446" s="560">
        <v>50423300</v>
      </c>
      <c r="G5446" s="560">
        <f t="shared" si="117"/>
        <v>-151</v>
      </c>
      <c r="H5446" s="362"/>
      <c r="I5446" s="362"/>
      <c r="J5446" s="362"/>
    </row>
    <row r="5447" spans="1:10" x14ac:dyDescent="0.25">
      <c r="A5447" s="362"/>
      <c r="B5447" s="609">
        <v>44445</v>
      </c>
      <c r="C5447" s="362" t="s">
        <v>3435</v>
      </c>
      <c r="D5447" s="560">
        <v>51113638</v>
      </c>
      <c r="E5447" s="560"/>
      <c r="F5447" s="560">
        <v>51113700</v>
      </c>
      <c r="G5447" s="560">
        <f t="shared" si="117"/>
        <v>-62</v>
      </c>
      <c r="H5447" s="362"/>
      <c r="I5447" s="362"/>
      <c r="J5447" s="362"/>
    </row>
    <row r="5448" spans="1:10" x14ac:dyDescent="0.25">
      <c r="A5448" s="362"/>
      <c r="B5448" s="609">
        <v>44445</v>
      </c>
      <c r="C5448" s="370" t="s">
        <v>85</v>
      </c>
      <c r="D5448" s="560">
        <v>49933800</v>
      </c>
      <c r="E5448" s="560"/>
      <c r="F5448" s="560">
        <v>49933800</v>
      </c>
      <c r="G5448" s="560">
        <f t="shared" si="117"/>
        <v>0</v>
      </c>
      <c r="H5448" s="362"/>
      <c r="I5448" s="362"/>
      <c r="J5448" s="362"/>
    </row>
    <row r="5449" spans="1:10" x14ac:dyDescent="0.25">
      <c r="A5449" s="530"/>
      <c r="B5449" s="530"/>
      <c r="C5449" s="530"/>
      <c r="D5449" s="562">
        <f>SUM(D5434:D5448)</f>
        <v>2392040391</v>
      </c>
      <c r="E5449" s="562">
        <f>SUM(E5434:E5448)</f>
        <v>237460226</v>
      </c>
      <c r="F5449" s="562">
        <f>SUM(F5434:F5448)</f>
        <v>2629460800</v>
      </c>
      <c r="G5449" s="562">
        <f>SUM(G5434:G5448)</f>
        <v>39817</v>
      </c>
      <c r="H5449" s="530"/>
      <c r="I5449" s="530"/>
      <c r="J5449" s="530"/>
    </row>
    <row r="5450" spans="1:10" x14ac:dyDescent="0.25">
      <c r="A5450" s="362"/>
      <c r="B5450" s="609">
        <v>44446</v>
      </c>
      <c r="C5450" s="362" t="s">
        <v>86</v>
      </c>
      <c r="D5450" s="560">
        <v>138273221</v>
      </c>
      <c r="E5450" s="560">
        <v>19880407</v>
      </c>
      <c r="F5450" s="560">
        <v>158154800</v>
      </c>
      <c r="G5450" s="560">
        <f t="shared" si="117"/>
        <v>-1172</v>
      </c>
      <c r="H5450" s="362"/>
      <c r="I5450" s="362"/>
      <c r="J5450" s="362"/>
    </row>
    <row r="5451" spans="1:10" x14ac:dyDescent="0.25">
      <c r="A5451" s="362"/>
      <c r="B5451" s="609">
        <v>44446</v>
      </c>
      <c r="C5451" s="362" t="s">
        <v>87</v>
      </c>
      <c r="D5451" s="560">
        <v>146806456</v>
      </c>
      <c r="E5451" s="560">
        <v>32822096</v>
      </c>
      <c r="F5451" s="560">
        <v>179628600</v>
      </c>
      <c r="G5451" s="560">
        <f t="shared" si="117"/>
        <v>-48</v>
      </c>
      <c r="H5451" s="362"/>
      <c r="I5451" s="362"/>
      <c r="J5451" s="362"/>
    </row>
    <row r="5452" spans="1:10" x14ac:dyDescent="0.25">
      <c r="A5452" s="362"/>
      <c r="B5452" s="609">
        <v>44446</v>
      </c>
      <c r="C5452" s="362" t="s">
        <v>88</v>
      </c>
      <c r="D5452" s="560">
        <v>267227885</v>
      </c>
      <c r="E5452" s="560">
        <v>284522813</v>
      </c>
      <c r="F5452" s="560">
        <v>551750700</v>
      </c>
      <c r="G5452" s="560">
        <f t="shared" ref="G5452:G5515" si="118">D5452+E5452-F5452</f>
        <v>-2</v>
      </c>
      <c r="H5452" s="362"/>
      <c r="I5452" s="362"/>
      <c r="J5452" s="362"/>
    </row>
    <row r="5453" spans="1:10" x14ac:dyDescent="0.25">
      <c r="A5453" s="362"/>
      <c r="B5453" s="609">
        <v>44446</v>
      </c>
      <c r="C5453" s="362" t="s">
        <v>82</v>
      </c>
      <c r="D5453" s="560">
        <v>89608621</v>
      </c>
      <c r="E5453" s="560">
        <v>2657882</v>
      </c>
      <c r="F5453" s="560">
        <v>92266600</v>
      </c>
      <c r="G5453" s="560">
        <f t="shared" si="118"/>
        <v>-97</v>
      </c>
      <c r="H5453" s="362"/>
      <c r="I5453" s="362"/>
      <c r="J5453" s="362"/>
    </row>
    <row r="5454" spans="1:10" x14ac:dyDescent="0.25">
      <c r="A5454" s="362"/>
      <c r="B5454" s="609">
        <v>44446</v>
      </c>
      <c r="C5454" s="362" t="s">
        <v>80</v>
      </c>
      <c r="D5454" s="560">
        <v>287272900</v>
      </c>
      <c r="E5454" s="560"/>
      <c r="F5454" s="560">
        <v>287272900</v>
      </c>
      <c r="G5454" s="560">
        <f t="shared" si="118"/>
        <v>0</v>
      </c>
      <c r="H5454" s="362"/>
      <c r="I5454" s="362"/>
      <c r="J5454" s="362"/>
    </row>
    <row r="5455" spans="1:10" x14ac:dyDescent="0.25">
      <c r="A5455" s="362"/>
      <c r="B5455" s="609">
        <v>44446</v>
      </c>
      <c r="C5455" s="362" t="s">
        <v>83</v>
      </c>
      <c r="D5455" s="560">
        <v>313779995</v>
      </c>
      <c r="E5455" s="560">
        <v>97714896</v>
      </c>
      <c r="F5455" s="560">
        <v>411494900</v>
      </c>
      <c r="G5455" s="560">
        <f t="shared" si="118"/>
        <v>-9</v>
      </c>
      <c r="H5455" s="362"/>
      <c r="I5455" s="362"/>
      <c r="J5455" s="362"/>
    </row>
    <row r="5456" spans="1:10" x14ac:dyDescent="0.25">
      <c r="A5456" s="362"/>
      <c r="B5456" s="609">
        <v>44446</v>
      </c>
      <c r="C5456" s="362" t="s">
        <v>78</v>
      </c>
      <c r="D5456" s="560">
        <v>72188763</v>
      </c>
      <c r="E5456" s="560">
        <v>2788937</v>
      </c>
      <c r="F5456" s="560">
        <v>74977700</v>
      </c>
      <c r="G5456" s="560">
        <f t="shared" si="118"/>
        <v>0</v>
      </c>
      <c r="H5456" s="362"/>
      <c r="I5456" s="362"/>
      <c r="J5456" s="362"/>
    </row>
    <row r="5457" spans="1:10" x14ac:dyDescent="0.25">
      <c r="A5457" s="362"/>
      <c r="B5457" s="609">
        <v>44446</v>
      </c>
      <c r="C5457" s="362" t="s">
        <v>141</v>
      </c>
      <c r="D5457" s="560">
        <v>101521882</v>
      </c>
      <c r="E5457" s="560">
        <v>5926920</v>
      </c>
      <c r="F5457" s="560">
        <v>107448900</v>
      </c>
      <c r="G5457" s="560">
        <f t="shared" si="118"/>
        <v>-98</v>
      </c>
      <c r="H5457" s="362"/>
      <c r="I5457" s="362"/>
      <c r="J5457" s="362"/>
    </row>
    <row r="5458" spans="1:10" x14ac:dyDescent="0.25">
      <c r="A5458" s="362"/>
      <c r="B5458" s="609">
        <v>44446</v>
      </c>
      <c r="C5458" s="362" t="s">
        <v>89</v>
      </c>
      <c r="D5458" s="560">
        <v>182328846</v>
      </c>
      <c r="E5458" s="560">
        <v>4391754</v>
      </c>
      <c r="F5458" s="560">
        <v>186720600</v>
      </c>
      <c r="G5458" s="560">
        <f t="shared" si="118"/>
        <v>0</v>
      </c>
      <c r="H5458" s="362"/>
      <c r="I5458" s="362"/>
      <c r="J5458" s="362"/>
    </row>
    <row r="5459" spans="1:10" x14ac:dyDescent="0.25">
      <c r="A5459" s="362"/>
      <c r="B5459" s="609">
        <v>44446</v>
      </c>
      <c r="C5459" s="362" t="s">
        <v>81</v>
      </c>
      <c r="D5459" s="560">
        <v>88705200</v>
      </c>
      <c r="E5459" s="560">
        <v>23220719</v>
      </c>
      <c r="F5459" s="560">
        <v>111925900</v>
      </c>
      <c r="G5459" s="560">
        <f t="shared" si="118"/>
        <v>19</v>
      </c>
      <c r="H5459" s="362"/>
      <c r="I5459" s="362"/>
      <c r="J5459" s="362"/>
    </row>
    <row r="5460" spans="1:10" x14ac:dyDescent="0.25">
      <c r="A5460" s="362"/>
      <c r="B5460" s="609">
        <v>44446</v>
      </c>
      <c r="C5460" s="362" t="s">
        <v>84</v>
      </c>
      <c r="D5460" s="560">
        <v>119537075</v>
      </c>
      <c r="E5460" s="560">
        <v>13678751</v>
      </c>
      <c r="F5460" s="560">
        <v>133215900</v>
      </c>
      <c r="G5460" s="560">
        <f t="shared" si="118"/>
        <v>-74</v>
      </c>
      <c r="H5460" s="362"/>
      <c r="I5460" s="362"/>
      <c r="J5460" s="362"/>
    </row>
    <row r="5461" spans="1:10" x14ac:dyDescent="0.25">
      <c r="A5461" s="362"/>
      <c r="B5461" s="609">
        <v>44446</v>
      </c>
      <c r="C5461" s="362" t="s">
        <v>4751</v>
      </c>
      <c r="D5461" s="560">
        <v>333494158</v>
      </c>
      <c r="E5461" s="560">
        <v>11988142</v>
      </c>
      <c r="F5461" s="560">
        <v>345482300</v>
      </c>
      <c r="G5461" s="560">
        <f t="shared" si="118"/>
        <v>0</v>
      </c>
      <c r="H5461" s="362"/>
      <c r="I5461" s="362"/>
      <c r="J5461" s="362"/>
    </row>
    <row r="5462" spans="1:10" x14ac:dyDescent="0.25">
      <c r="A5462" s="362"/>
      <c r="B5462" s="609">
        <v>44446</v>
      </c>
      <c r="C5462" s="362" t="s">
        <v>166</v>
      </c>
      <c r="D5462" s="560">
        <v>65277544</v>
      </c>
      <c r="E5462" s="560"/>
      <c r="F5462" s="560">
        <v>65277500</v>
      </c>
      <c r="G5462" s="560">
        <f t="shared" si="118"/>
        <v>44</v>
      </c>
      <c r="H5462" s="362"/>
      <c r="I5462" s="362"/>
      <c r="J5462" s="362"/>
    </row>
    <row r="5463" spans="1:10" x14ac:dyDescent="0.25">
      <c r="A5463" s="362"/>
      <c r="B5463" s="609">
        <v>44446</v>
      </c>
      <c r="C5463" s="362" t="s">
        <v>3435</v>
      </c>
      <c r="D5463" s="560">
        <v>139235246</v>
      </c>
      <c r="E5463" s="560"/>
      <c r="F5463" s="560">
        <v>139235300</v>
      </c>
      <c r="G5463" s="560">
        <f t="shared" si="118"/>
        <v>-54</v>
      </c>
      <c r="H5463" s="362"/>
      <c r="I5463" s="362"/>
      <c r="J5463" s="362"/>
    </row>
    <row r="5464" spans="1:10" x14ac:dyDescent="0.25">
      <c r="A5464" s="362"/>
      <c r="B5464" s="609">
        <v>44446</v>
      </c>
      <c r="C5464" s="370" t="s">
        <v>85</v>
      </c>
      <c r="D5464" s="560">
        <v>28018800</v>
      </c>
      <c r="E5464" s="560"/>
      <c r="F5464" s="560">
        <v>28018800</v>
      </c>
      <c r="G5464" s="560">
        <f t="shared" si="118"/>
        <v>0</v>
      </c>
      <c r="H5464" s="362"/>
      <c r="I5464" s="362"/>
      <c r="J5464" s="362"/>
    </row>
    <row r="5465" spans="1:10" x14ac:dyDescent="0.25">
      <c r="A5465" s="530"/>
      <c r="B5465" s="530"/>
      <c r="C5465" s="530"/>
      <c r="D5465" s="562">
        <f>SUM(D5450:D5464)</f>
        <v>2373276592</v>
      </c>
      <c r="E5465" s="562">
        <f>SUM(E5450:E5464)</f>
        <v>499593317</v>
      </c>
      <c r="F5465" s="562">
        <f>SUM(F5450:F5464)</f>
        <v>2872871400</v>
      </c>
      <c r="G5465" s="562">
        <f>SUM(G5450:G5464)</f>
        <v>-1491</v>
      </c>
      <c r="H5465" s="530"/>
      <c r="I5465" s="530"/>
      <c r="J5465" s="530"/>
    </row>
    <row r="5466" spans="1:10" x14ac:dyDescent="0.25">
      <c r="A5466" s="362"/>
      <c r="B5466" s="609">
        <v>44447</v>
      </c>
      <c r="C5466" s="362" t="s">
        <v>86</v>
      </c>
      <c r="D5466" s="560">
        <v>55798020</v>
      </c>
      <c r="E5466" s="560">
        <v>154139207</v>
      </c>
      <c r="F5466" s="560">
        <v>209937000</v>
      </c>
      <c r="G5466" s="560">
        <f t="shared" si="118"/>
        <v>227</v>
      </c>
      <c r="H5466" s="362"/>
      <c r="I5466" s="362"/>
      <c r="J5466" s="362"/>
    </row>
    <row r="5467" spans="1:10" x14ac:dyDescent="0.25">
      <c r="A5467" s="362"/>
      <c r="B5467" s="609">
        <v>44447</v>
      </c>
      <c r="C5467" s="362" t="s">
        <v>87</v>
      </c>
      <c r="D5467" s="560">
        <v>151167017</v>
      </c>
      <c r="E5467" s="560">
        <v>83741821</v>
      </c>
      <c r="F5467" s="560">
        <v>234910700</v>
      </c>
      <c r="G5467" s="560">
        <f t="shared" si="118"/>
        <v>-1862</v>
      </c>
      <c r="H5467" s="362"/>
      <c r="I5467" s="362"/>
      <c r="J5467" s="362"/>
    </row>
    <row r="5468" spans="1:10" x14ac:dyDescent="0.25">
      <c r="A5468" s="362"/>
      <c r="B5468" s="609">
        <v>44447</v>
      </c>
      <c r="C5468" s="362" t="s">
        <v>88</v>
      </c>
      <c r="D5468" s="560">
        <v>159889213</v>
      </c>
      <c r="E5468" s="560">
        <v>7936319</v>
      </c>
      <c r="F5468" s="560">
        <v>167825600</v>
      </c>
      <c r="G5468" s="560">
        <f t="shared" si="118"/>
        <v>-68</v>
      </c>
      <c r="H5468" s="362"/>
      <c r="I5468" s="362"/>
      <c r="J5468" s="362"/>
    </row>
    <row r="5469" spans="1:10" x14ac:dyDescent="0.25">
      <c r="A5469" s="362"/>
      <c r="B5469" s="609">
        <v>44447</v>
      </c>
      <c r="C5469" s="362" t="s">
        <v>82</v>
      </c>
      <c r="D5469" s="560">
        <v>59554067</v>
      </c>
      <c r="E5469" s="560">
        <v>6065588</v>
      </c>
      <c r="F5469" s="560">
        <v>65619700</v>
      </c>
      <c r="G5469" s="560">
        <f t="shared" si="118"/>
        <v>-45</v>
      </c>
      <c r="H5469" s="362"/>
      <c r="I5469" s="362"/>
      <c r="J5469" s="362"/>
    </row>
    <row r="5470" spans="1:10" x14ac:dyDescent="0.25">
      <c r="A5470" s="362"/>
      <c r="B5470" s="609">
        <v>44447</v>
      </c>
      <c r="C5470" s="362" t="s">
        <v>80</v>
      </c>
      <c r="D5470" s="560">
        <v>251640473</v>
      </c>
      <c r="E5470" s="560">
        <v>46223340</v>
      </c>
      <c r="F5470" s="560">
        <v>297864000</v>
      </c>
      <c r="G5470" s="560">
        <f t="shared" si="118"/>
        <v>-187</v>
      </c>
      <c r="H5470" s="362"/>
      <c r="I5470" s="362"/>
      <c r="J5470" s="362"/>
    </row>
    <row r="5471" spans="1:10" x14ac:dyDescent="0.25">
      <c r="A5471" s="362"/>
      <c r="B5471" s="609">
        <v>44447</v>
      </c>
      <c r="C5471" s="362" t="s">
        <v>83</v>
      </c>
      <c r="D5471" s="560">
        <v>217058931</v>
      </c>
      <c r="E5471" s="560">
        <v>115383711</v>
      </c>
      <c r="F5471" s="560">
        <v>332442700</v>
      </c>
      <c r="G5471" s="560">
        <f t="shared" si="118"/>
        <v>-58</v>
      </c>
      <c r="H5471" s="362"/>
      <c r="I5471" s="362"/>
      <c r="J5471" s="362"/>
    </row>
    <row r="5472" spans="1:10" x14ac:dyDescent="0.25">
      <c r="A5472" s="362"/>
      <c r="B5472" s="609">
        <v>44447</v>
      </c>
      <c r="C5472" s="362" t="s">
        <v>78</v>
      </c>
      <c r="D5472" s="560">
        <v>150133150</v>
      </c>
      <c r="E5472" s="560">
        <v>15845450</v>
      </c>
      <c r="F5472" s="560">
        <v>165978600</v>
      </c>
      <c r="G5472" s="560">
        <f t="shared" si="118"/>
        <v>0</v>
      </c>
      <c r="H5472" s="362"/>
      <c r="I5472" s="362"/>
      <c r="J5472" s="362"/>
    </row>
    <row r="5473" spans="1:10" x14ac:dyDescent="0.25">
      <c r="A5473" s="362"/>
      <c r="B5473" s="609">
        <v>44447</v>
      </c>
      <c r="C5473" s="362" t="s">
        <v>141</v>
      </c>
      <c r="D5473" s="560">
        <v>102433768</v>
      </c>
      <c r="E5473" s="560">
        <v>385287</v>
      </c>
      <c r="F5473" s="560">
        <v>102819200</v>
      </c>
      <c r="G5473" s="560">
        <f t="shared" si="118"/>
        <v>-145</v>
      </c>
      <c r="H5473" s="362"/>
      <c r="I5473" s="362"/>
      <c r="J5473" s="362"/>
    </row>
    <row r="5474" spans="1:10" x14ac:dyDescent="0.25">
      <c r="A5474" s="362"/>
      <c r="B5474" s="609">
        <v>44447</v>
      </c>
      <c r="C5474" s="362" t="s">
        <v>89</v>
      </c>
      <c r="D5474" s="560">
        <v>120784532</v>
      </c>
      <c r="E5474" s="560">
        <v>28039368</v>
      </c>
      <c r="F5474" s="560">
        <v>148823800</v>
      </c>
      <c r="G5474" s="560">
        <f t="shared" si="118"/>
        <v>100</v>
      </c>
      <c r="H5474" s="362"/>
      <c r="I5474" s="362"/>
      <c r="J5474" s="362"/>
    </row>
    <row r="5475" spans="1:10" x14ac:dyDescent="0.25">
      <c r="A5475" s="362"/>
      <c r="B5475" s="609">
        <v>44447</v>
      </c>
      <c r="C5475" s="362" t="s">
        <v>81</v>
      </c>
      <c r="D5475" s="560">
        <v>142382219</v>
      </c>
      <c r="E5475" s="560">
        <v>7312669</v>
      </c>
      <c r="F5475" s="560">
        <v>149694900</v>
      </c>
      <c r="G5475" s="560">
        <f t="shared" si="118"/>
        <v>-12</v>
      </c>
      <c r="H5475" s="362"/>
      <c r="I5475" s="362"/>
      <c r="J5475" s="362"/>
    </row>
    <row r="5476" spans="1:10" x14ac:dyDescent="0.25">
      <c r="A5476" s="362"/>
      <c r="B5476" s="609">
        <v>44447</v>
      </c>
      <c r="C5476" s="362" t="s">
        <v>84</v>
      </c>
      <c r="D5476" s="560">
        <v>361559942</v>
      </c>
      <c r="E5476" s="560">
        <v>9361670</v>
      </c>
      <c r="F5476" s="560">
        <v>370922600</v>
      </c>
      <c r="G5476" s="560">
        <f t="shared" si="118"/>
        <v>-988</v>
      </c>
      <c r="H5476" s="362"/>
      <c r="I5476" s="362"/>
      <c r="J5476" s="362"/>
    </row>
    <row r="5477" spans="1:10" x14ac:dyDescent="0.25">
      <c r="A5477" s="362"/>
      <c r="B5477" s="609">
        <v>44447</v>
      </c>
      <c r="C5477" s="362" t="s">
        <v>4751</v>
      </c>
      <c r="D5477" s="560">
        <v>242299217</v>
      </c>
      <c r="E5477" s="560">
        <v>13003183</v>
      </c>
      <c r="F5477" s="560">
        <v>255302400</v>
      </c>
      <c r="G5477" s="560">
        <f t="shared" si="118"/>
        <v>0</v>
      </c>
      <c r="H5477" s="362"/>
      <c r="I5477" s="362"/>
      <c r="J5477" s="362"/>
    </row>
    <row r="5478" spans="1:10" x14ac:dyDescent="0.25">
      <c r="A5478" s="362"/>
      <c r="B5478" s="609">
        <v>44447</v>
      </c>
      <c r="C5478" s="362" t="s">
        <v>166</v>
      </c>
      <c r="D5478" s="560">
        <v>46757946</v>
      </c>
      <c r="E5478" s="560"/>
      <c r="F5478" s="560">
        <v>46758000</v>
      </c>
      <c r="G5478" s="560">
        <f t="shared" si="118"/>
        <v>-54</v>
      </c>
      <c r="H5478" s="362"/>
      <c r="I5478" s="362"/>
      <c r="J5478" s="362"/>
    </row>
    <row r="5479" spans="1:10" x14ac:dyDescent="0.25">
      <c r="A5479" s="362"/>
      <c r="B5479" s="609">
        <v>44447</v>
      </c>
      <c r="C5479" s="362" t="s">
        <v>3435</v>
      </c>
      <c r="D5479" s="560">
        <v>59773756</v>
      </c>
      <c r="E5479" s="560"/>
      <c r="F5479" s="560">
        <v>59773800</v>
      </c>
      <c r="G5479" s="560">
        <f t="shared" si="118"/>
        <v>-44</v>
      </c>
      <c r="H5479" s="362"/>
      <c r="I5479" s="362"/>
      <c r="J5479" s="362"/>
    </row>
    <row r="5480" spans="1:10" x14ac:dyDescent="0.25">
      <c r="A5480" s="362"/>
      <c r="B5480" s="609">
        <v>44447</v>
      </c>
      <c r="C5480" s="370" t="s">
        <v>85</v>
      </c>
      <c r="D5480" s="560">
        <v>34561200</v>
      </c>
      <c r="E5480" s="560"/>
      <c r="F5480" s="560">
        <v>34561200</v>
      </c>
      <c r="G5480" s="560">
        <f t="shared" si="118"/>
        <v>0</v>
      </c>
      <c r="H5480" s="362"/>
      <c r="I5480" s="362"/>
      <c r="J5480" s="362"/>
    </row>
    <row r="5481" spans="1:10" x14ac:dyDescent="0.25">
      <c r="A5481" s="530"/>
      <c r="B5481" s="530"/>
      <c r="C5481" s="530"/>
      <c r="D5481" s="562">
        <f>SUM(D5466:D5480)</f>
        <v>2155793451</v>
      </c>
      <c r="E5481" s="562">
        <f>SUM(E5466:E5480)</f>
        <v>487437613</v>
      </c>
      <c r="F5481" s="562">
        <f>SUM(F5466:F5480)</f>
        <v>2643234200</v>
      </c>
      <c r="G5481" s="562">
        <f>SUM(G5466:G5480)</f>
        <v>-3136</v>
      </c>
      <c r="H5481" s="530"/>
      <c r="I5481" s="530"/>
      <c r="J5481" s="530"/>
    </row>
    <row r="5482" spans="1:10" x14ac:dyDescent="0.25">
      <c r="A5482" s="362"/>
      <c r="B5482" s="609">
        <v>44448</v>
      </c>
      <c r="C5482" s="362" t="s">
        <v>86</v>
      </c>
      <c r="D5482" s="560">
        <v>97085480</v>
      </c>
      <c r="E5482" s="560">
        <v>127745443</v>
      </c>
      <c r="F5482" s="560">
        <v>224831400</v>
      </c>
      <c r="G5482" s="560">
        <f t="shared" si="118"/>
        <v>-477</v>
      </c>
      <c r="H5482" s="362"/>
      <c r="I5482" s="362"/>
      <c r="J5482" s="362"/>
    </row>
    <row r="5483" spans="1:10" x14ac:dyDescent="0.25">
      <c r="A5483" s="362"/>
      <c r="B5483" s="609">
        <v>44448</v>
      </c>
      <c r="C5483" s="362" t="s">
        <v>87</v>
      </c>
      <c r="D5483" s="560">
        <v>88318338</v>
      </c>
      <c r="E5483" s="560">
        <v>89254478</v>
      </c>
      <c r="F5483" s="560">
        <v>177572800</v>
      </c>
      <c r="G5483" s="560">
        <f t="shared" si="118"/>
        <v>16</v>
      </c>
      <c r="H5483" s="362"/>
      <c r="I5483" s="362"/>
      <c r="J5483" s="362"/>
    </row>
    <row r="5484" spans="1:10" x14ac:dyDescent="0.25">
      <c r="A5484" s="362"/>
      <c r="B5484" s="609">
        <v>44448</v>
      </c>
      <c r="C5484" s="362" t="s">
        <v>88</v>
      </c>
      <c r="D5484" s="560">
        <v>335479397</v>
      </c>
      <c r="E5484" s="560">
        <v>4039044</v>
      </c>
      <c r="F5484" s="560">
        <v>339518500</v>
      </c>
      <c r="G5484" s="560">
        <f t="shared" si="118"/>
        <v>-59</v>
      </c>
      <c r="H5484" s="362"/>
      <c r="I5484" s="362"/>
      <c r="J5484" s="362"/>
    </row>
    <row r="5485" spans="1:10" x14ac:dyDescent="0.25">
      <c r="A5485" s="362"/>
      <c r="B5485" s="609">
        <v>44448</v>
      </c>
      <c r="C5485" s="362" t="s">
        <v>82</v>
      </c>
      <c r="D5485" s="560">
        <v>79522284</v>
      </c>
      <c r="E5485" s="560">
        <v>5341646</v>
      </c>
      <c r="F5485" s="560">
        <v>84864000</v>
      </c>
      <c r="G5485" s="560">
        <f t="shared" si="118"/>
        <v>-70</v>
      </c>
      <c r="H5485" s="362"/>
      <c r="I5485" s="362"/>
      <c r="J5485" s="362"/>
    </row>
    <row r="5486" spans="1:10" x14ac:dyDescent="0.25">
      <c r="A5486" s="362"/>
      <c r="B5486" s="609">
        <v>44448</v>
      </c>
      <c r="C5486" s="362" t="s">
        <v>80</v>
      </c>
      <c r="D5486" s="560">
        <v>246038749</v>
      </c>
      <c r="E5486" s="560"/>
      <c r="F5486" s="560">
        <v>246038700</v>
      </c>
      <c r="G5486" s="560">
        <f t="shared" si="118"/>
        <v>49</v>
      </c>
      <c r="H5486" s="362"/>
      <c r="I5486" s="362"/>
      <c r="J5486" s="362"/>
    </row>
    <row r="5487" spans="1:10" x14ac:dyDescent="0.25">
      <c r="A5487" s="362"/>
      <c r="B5487" s="609">
        <v>44448</v>
      </c>
      <c r="C5487" s="362" t="s">
        <v>83</v>
      </c>
      <c r="D5487" s="560">
        <v>232815038</v>
      </c>
      <c r="E5487" s="560">
        <v>176529658</v>
      </c>
      <c r="F5487" s="560">
        <v>409344700</v>
      </c>
      <c r="G5487" s="560">
        <f t="shared" si="118"/>
        <v>-4</v>
      </c>
      <c r="H5487" s="362"/>
      <c r="I5487" s="362"/>
      <c r="J5487" s="362"/>
    </row>
    <row r="5488" spans="1:10" x14ac:dyDescent="0.25">
      <c r="A5488" s="362"/>
      <c r="B5488" s="609">
        <v>44448</v>
      </c>
      <c r="C5488" s="362" t="s">
        <v>78</v>
      </c>
      <c r="D5488" s="560">
        <v>90483766</v>
      </c>
      <c r="E5488" s="560">
        <v>4742434</v>
      </c>
      <c r="F5488" s="560">
        <v>95226200</v>
      </c>
      <c r="G5488" s="560">
        <f t="shared" si="118"/>
        <v>0</v>
      </c>
      <c r="H5488" s="362"/>
      <c r="I5488" s="362"/>
      <c r="J5488" s="362"/>
    </row>
    <row r="5489" spans="1:10" x14ac:dyDescent="0.25">
      <c r="A5489" s="362"/>
      <c r="B5489" s="609">
        <v>44448</v>
      </c>
      <c r="C5489" s="362" t="s">
        <v>141</v>
      </c>
      <c r="D5489" s="560">
        <v>104371503</v>
      </c>
      <c r="E5489" s="560">
        <v>29544</v>
      </c>
      <c r="F5489" s="560">
        <v>104401100</v>
      </c>
      <c r="G5489" s="560">
        <f t="shared" si="118"/>
        <v>-53</v>
      </c>
      <c r="H5489" s="362"/>
      <c r="I5489" s="362"/>
      <c r="J5489" s="362"/>
    </row>
    <row r="5490" spans="1:10" x14ac:dyDescent="0.25">
      <c r="A5490" s="362"/>
      <c r="B5490" s="609">
        <v>44448</v>
      </c>
      <c r="C5490" s="362" t="s">
        <v>89</v>
      </c>
      <c r="D5490" s="560">
        <v>199157758</v>
      </c>
      <c r="E5490" s="560">
        <v>6548542</v>
      </c>
      <c r="F5490" s="560">
        <v>205706300</v>
      </c>
      <c r="G5490" s="560">
        <f t="shared" si="118"/>
        <v>0</v>
      </c>
      <c r="H5490" s="362"/>
      <c r="I5490" s="362"/>
      <c r="J5490" s="362"/>
    </row>
    <row r="5491" spans="1:10" x14ac:dyDescent="0.25">
      <c r="A5491" s="362"/>
      <c r="B5491" s="609">
        <v>44448</v>
      </c>
      <c r="C5491" s="362" t="s">
        <v>81</v>
      </c>
      <c r="D5491" s="560">
        <v>35819683</v>
      </c>
      <c r="E5491" s="560">
        <v>7272725</v>
      </c>
      <c r="F5491" s="560">
        <v>43092400</v>
      </c>
      <c r="G5491" s="560">
        <f t="shared" si="118"/>
        <v>8</v>
      </c>
      <c r="H5491" s="362"/>
      <c r="I5491" s="362"/>
      <c r="J5491" s="362"/>
    </row>
    <row r="5492" spans="1:10" x14ac:dyDescent="0.25">
      <c r="A5492" s="362"/>
      <c r="B5492" s="609">
        <v>44448</v>
      </c>
      <c r="C5492" s="362" t="s">
        <v>84</v>
      </c>
      <c r="D5492" s="560">
        <v>304937518</v>
      </c>
      <c r="E5492" s="560">
        <v>12697308</v>
      </c>
      <c r="F5492" s="560">
        <v>317634900</v>
      </c>
      <c r="G5492" s="560">
        <f t="shared" si="118"/>
        <v>-74</v>
      </c>
      <c r="H5492" s="362"/>
      <c r="I5492" s="362"/>
      <c r="J5492" s="362"/>
    </row>
    <row r="5493" spans="1:10" x14ac:dyDescent="0.25">
      <c r="A5493" s="362"/>
      <c r="B5493" s="609">
        <v>44448</v>
      </c>
      <c r="C5493" s="362" t="s">
        <v>4751</v>
      </c>
      <c r="D5493" s="560">
        <v>347807002</v>
      </c>
      <c r="E5493" s="560">
        <v>13096198</v>
      </c>
      <c r="F5493" s="560">
        <v>360903200</v>
      </c>
      <c r="G5493" s="560">
        <f t="shared" si="118"/>
        <v>0</v>
      </c>
      <c r="H5493" s="362"/>
      <c r="I5493" s="362"/>
      <c r="J5493" s="362"/>
    </row>
    <row r="5494" spans="1:10" x14ac:dyDescent="0.25">
      <c r="A5494" s="362"/>
      <c r="B5494" s="609">
        <v>44448</v>
      </c>
      <c r="C5494" s="362" t="s">
        <v>166</v>
      </c>
      <c r="D5494" s="560">
        <v>88695173</v>
      </c>
      <c r="E5494" s="560"/>
      <c r="F5494" s="560">
        <v>88695300</v>
      </c>
      <c r="G5494" s="560">
        <f t="shared" si="118"/>
        <v>-127</v>
      </c>
      <c r="H5494" s="362"/>
      <c r="I5494" s="362"/>
      <c r="J5494" s="362"/>
    </row>
    <row r="5495" spans="1:10" x14ac:dyDescent="0.25">
      <c r="A5495" s="362"/>
      <c r="B5495" s="609">
        <v>44448</v>
      </c>
      <c r="C5495" s="362" t="s">
        <v>3435</v>
      </c>
      <c r="D5495" s="560">
        <v>44268801</v>
      </c>
      <c r="E5495" s="560"/>
      <c r="F5495" s="560">
        <v>44268800</v>
      </c>
      <c r="G5495" s="560">
        <f t="shared" si="118"/>
        <v>1</v>
      </c>
      <c r="H5495" s="362"/>
      <c r="I5495" s="362"/>
      <c r="J5495" s="362"/>
    </row>
    <row r="5496" spans="1:10" x14ac:dyDescent="0.25">
      <c r="A5496" s="362"/>
      <c r="B5496" s="609">
        <v>44448</v>
      </c>
      <c r="C5496" s="370" t="s">
        <v>85</v>
      </c>
      <c r="D5496" s="560">
        <v>25896200</v>
      </c>
      <c r="E5496" s="560"/>
      <c r="F5496" s="560">
        <v>25896200</v>
      </c>
      <c r="G5496" s="560">
        <f t="shared" si="118"/>
        <v>0</v>
      </c>
      <c r="H5496" s="362"/>
      <c r="I5496" s="362"/>
      <c r="J5496" s="362"/>
    </row>
    <row r="5497" spans="1:10" x14ac:dyDescent="0.25">
      <c r="A5497" s="530"/>
      <c r="B5497" s="530"/>
      <c r="C5497" s="530"/>
      <c r="D5497" s="562">
        <f>SUM(D5482:D5496)</f>
        <v>2320696690</v>
      </c>
      <c r="E5497" s="562">
        <f>SUM(E5482:E5496)</f>
        <v>447297020</v>
      </c>
      <c r="F5497" s="562">
        <f>SUM(F5482:F5496)</f>
        <v>2767994500</v>
      </c>
      <c r="G5497" s="562">
        <f>SUM(G5482:G5496)</f>
        <v>-790</v>
      </c>
      <c r="H5497" s="530"/>
      <c r="I5497" s="530"/>
      <c r="J5497" s="530"/>
    </row>
    <row r="5498" spans="1:10" x14ac:dyDescent="0.25">
      <c r="A5498" s="362"/>
      <c r="B5498" s="609">
        <v>44449</v>
      </c>
      <c r="C5498" s="362" t="s">
        <v>86</v>
      </c>
      <c r="D5498" s="560">
        <v>50530096</v>
      </c>
      <c r="E5498" s="560">
        <v>16162559</v>
      </c>
      <c r="F5498" s="560">
        <v>66692600</v>
      </c>
      <c r="G5498" s="560">
        <f t="shared" si="118"/>
        <v>55</v>
      </c>
      <c r="H5498" s="362"/>
      <c r="I5498" s="362"/>
      <c r="J5498" s="362"/>
    </row>
    <row r="5499" spans="1:10" x14ac:dyDescent="0.25">
      <c r="A5499" s="362"/>
      <c r="B5499" s="609">
        <v>44449</v>
      </c>
      <c r="C5499" s="362" t="s">
        <v>87</v>
      </c>
      <c r="D5499" s="560">
        <v>136858010</v>
      </c>
      <c r="E5499" s="560">
        <v>79396697</v>
      </c>
      <c r="F5499" s="560">
        <v>216254800</v>
      </c>
      <c r="G5499" s="560">
        <f t="shared" si="118"/>
        <v>-93</v>
      </c>
      <c r="H5499" s="362"/>
      <c r="I5499" s="362"/>
      <c r="J5499" s="362"/>
    </row>
    <row r="5500" spans="1:10" x14ac:dyDescent="0.25">
      <c r="A5500" s="362"/>
      <c r="B5500" s="609">
        <v>44449</v>
      </c>
      <c r="C5500" s="362" t="s">
        <v>88</v>
      </c>
      <c r="D5500" s="560">
        <v>164053997</v>
      </c>
      <c r="E5500" s="560">
        <v>147118921</v>
      </c>
      <c r="F5500" s="560">
        <v>311173000</v>
      </c>
      <c r="G5500" s="560">
        <f t="shared" si="118"/>
        <v>-82</v>
      </c>
      <c r="H5500" s="362"/>
      <c r="I5500" s="362"/>
      <c r="J5500" s="362"/>
    </row>
    <row r="5501" spans="1:10" x14ac:dyDescent="0.25">
      <c r="A5501" s="362"/>
      <c r="B5501" s="609">
        <v>44449</v>
      </c>
      <c r="C5501" s="362" t="s">
        <v>82</v>
      </c>
      <c r="D5501" s="560">
        <v>74925792</v>
      </c>
      <c r="E5501" s="560">
        <v>8369520</v>
      </c>
      <c r="F5501" s="560">
        <v>83295400</v>
      </c>
      <c r="G5501" s="560">
        <f t="shared" si="118"/>
        <v>-88</v>
      </c>
      <c r="H5501" s="362"/>
      <c r="I5501" s="362"/>
      <c r="J5501" s="362"/>
    </row>
    <row r="5502" spans="1:10" x14ac:dyDescent="0.25">
      <c r="A5502" s="362"/>
      <c r="B5502" s="609">
        <v>44449</v>
      </c>
      <c r="C5502" s="362" t="s">
        <v>80</v>
      </c>
      <c r="D5502" s="560">
        <v>223203004</v>
      </c>
      <c r="E5502" s="560"/>
      <c r="F5502" s="560">
        <v>223203500</v>
      </c>
      <c r="G5502" s="560">
        <f t="shared" si="118"/>
        <v>-496</v>
      </c>
      <c r="H5502" s="362"/>
      <c r="I5502" s="362"/>
      <c r="J5502" s="362"/>
    </row>
    <row r="5503" spans="1:10" x14ac:dyDescent="0.25">
      <c r="A5503" s="362"/>
      <c r="B5503" s="609">
        <v>44449</v>
      </c>
      <c r="C5503" s="362" t="s">
        <v>83</v>
      </c>
      <c r="D5503" s="560">
        <v>188473760</v>
      </c>
      <c r="E5503" s="560">
        <v>15716049</v>
      </c>
      <c r="F5503" s="560">
        <v>204189800</v>
      </c>
      <c r="G5503" s="560">
        <f t="shared" si="118"/>
        <v>9</v>
      </c>
      <c r="H5503" s="362"/>
      <c r="I5503" s="362"/>
      <c r="J5503" s="362"/>
    </row>
    <row r="5504" spans="1:10" x14ac:dyDescent="0.25">
      <c r="A5504" s="362"/>
      <c r="B5504" s="609">
        <v>44449</v>
      </c>
      <c r="C5504" s="362" t="s">
        <v>78</v>
      </c>
      <c r="D5504" s="560">
        <v>77723533</v>
      </c>
      <c r="E5504" s="560">
        <v>6328467</v>
      </c>
      <c r="F5504" s="560">
        <v>84052000</v>
      </c>
      <c r="G5504" s="560">
        <f t="shared" si="118"/>
        <v>0</v>
      </c>
      <c r="H5504" s="362"/>
      <c r="I5504" s="362"/>
      <c r="J5504" s="362"/>
    </row>
    <row r="5505" spans="1:10" x14ac:dyDescent="0.25">
      <c r="A5505" s="362"/>
      <c r="B5505" s="609">
        <v>44449</v>
      </c>
      <c r="C5505" s="362" t="s">
        <v>141</v>
      </c>
      <c r="D5505" s="560">
        <v>54305790</v>
      </c>
      <c r="E5505" s="560"/>
      <c r="F5505" s="560">
        <v>54305800</v>
      </c>
      <c r="G5505" s="560">
        <f t="shared" si="118"/>
        <v>-10</v>
      </c>
      <c r="H5505" s="362"/>
      <c r="I5505" s="362"/>
      <c r="J5505" s="362"/>
    </row>
    <row r="5506" spans="1:10" x14ac:dyDescent="0.25">
      <c r="A5506" s="362"/>
      <c r="B5506" s="609">
        <v>44449</v>
      </c>
      <c r="C5506" s="362" t="s">
        <v>89</v>
      </c>
      <c r="D5506" s="560">
        <v>183894178</v>
      </c>
      <c r="E5506" s="560">
        <v>53043122</v>
      </c>
      <c r="F5506" s="560">
        <v>236937300</v>
      </c>
      <c r="G5506" s="560">
        <f t="shared" si="118"/>
        <v>0</v>
      </c>
      <c r="H5506" s="362"/>
      <c r="I5506" s="362"/>
      <c r="J5506" s="362"/>
    </row>
    <row r="5507" spans="1:10" x14ac:dyDescent="0.25">
      <c r="A5507" s="362"/>
      <c r="B5507" s="609">
        <v>44449</v>
      </c>
      <c r="C5507" s="362" t="s">
        <v>81</v>
      </c>
      <c r="D5507" s="560">
        <v>76159211</v>
      </c>
      <c r="E5507" s="560">
        <v>11027630</v>
      </c>
      <c r="F5507" s="560">
        <v>87186900</v>
      </c>
      <c r="G5507" s="560">
        <f t="shared" si="118"/>
        <v>-59</v>
      </c>
      <c r="H5507" s="362"/>
      <c r="I5507" s="362"/>
      <c r="J5507" s="362"/>
    </row>
    <row r="5508" spans="1:10" x14ac:dyDescent="0.25">
      <c r="A5508" s="362"/>
      <c r="B5508" s="609">
        <v>44449</v>
      </c>
      <c r="C5508" s="362" t="s">
        <v>84</v>
      </c>
      <c r="D5508" s="560">
        <v>336761391</v>
      </c>
      <c r="E5508" s="560">
        <v>8911674</v>
      </c>
      <c r="F5508" s="560">
        <v>345673200</v>
      </c>
      <c r="G5508" s="560">
        <f t="shared" si="118"/>
        <v>-135</v>
      </c>
      <c r="H5508" s="362"/>
      <c r="I5508" s="362"/>
      <c r="J5508" s="362"/>
    </row>
    <row r="5509" spans="1:10" x14ac:dyDescent="0.25">
      <c r="A5509" s="362"/>
      <c r="B5509" s="609">
        <v>44449</v>
      </c>
      <c r="C5509" s="362" t="s">
        <v>4751</v>
      </c>
      <c r="D5509" s="560">
        <v>192505941</v>
      </c>
      <c r="E5509" s="560">
        <v>11777459</v>
      </c>
      <c r="F5509" s="560">
        <v>204283400</v>
      </c>
      <c r="G5509" s="560">
        <f t="shared" si="118"/>
        <v>0</v>
      </c>
      <c r="H5509" s="362"/>
      <c r="I5509" s="362"/>
      <c r="J5509" s="362"/>
    </row>
    <row r="5510" spans="1:10" x14ac:dyDescent="0.25">
      <c r="A5510" s="362"/>
      <c r="B5510" s="609">
        <v>44449</v>
      </c>
      <c r="C5510" s="362" t="s">
        <v>166</v>
      </c>
      <c r="D5510" s="560">
        <v>62755565</v>
      </c>
      <c r="E5510" s="560"/>
      <c r="F5510" s="560">
        <v>62755500</v>
      </c>
      <c r="G5510" s="560">
        <f t="shared" si="118"/>
        <v>65</v>
      </c>
      <c r="H5510" s="362"/>
      <c r="I5510" s="362"/>
      <c r="J5510" s="362"/>
    </row>
    <row r="5511" spans="1:10" x14ac:dyDescent="0.25">
      <c r="A5511" s="362"/>
      <c r="B5511" s="609">
        <v>44449</v>
      </c>
      <c r="C5511" s="362" t="s">
        <v>3435</v>
      </c>
      <c r="D5511" s="560">
        <v>23727110</v>
      </c>
      <c r="E5511" s="560"/>
      <c r="F5511" s="560">
        <v>23727200</v>
      </c>
      <c r="G5511" s="560">
        <f t="shared" si="118"/>
        <v>-90</v>
      </c>
      <c r="H5511" s="362"/>
      <c r="I5511" s="362"/>
      <c r="J5511" s="362"/>
    </row>
    <row r="5512" spans="1:10" x14ac:dyDescent="0.25">
      <c r="A5512" s="362"/>
      <c r="B5512" s="609">
        <v>44449</v>
      </c>
      <c r="C5512" s="370" t="s">
        <v>85</v>
      </c>
      <c r="D5512" s="560">
        <v>289525800</v>
      </c>
      <c r="E5512" s="560"/>
      <c r="F5512" s="560">
        <v>289525800</v>
      </c>
      <c r="G5512" s="560">
        <f t="shared" si="118"/>
        <v>0</v>
      </c>
      <c r="H5512" s="362"/>
      <c r="I5512" s="362"/>
      <c r="J5512" s="362"/>
    </row>
    <row r="5513" spans="1:10" x14ac:dyDescent="0.25">
      <c r="A5513" s="530"/>
      <c r="B5513" s="530"/>
      <c r="C5513" s="530"/>
      <c r="D5513" s="562">
        <f>SUM(D5498:D5512)</f>
        <v>2135403178</v>
      </c>
      <c r="E5513" s="562">
        <f>SUM(E5498:E5512)</f>
        <v>357852098</v>
      </c>
      <c r="F5513" s="562">
        <f>SUM(F5498:F5512)</f>
        <v>2493256200</v>
      </c>
      <c r="G5513" s="562">
        <f>SUM(G5498:G5512)</f>
        <v>-924</v>
      </c>
      <c r="H5513" s="530"/>
      <c r="I5513" s="530"/>
      <c r="J5513" s="530"/>
    </row>
    <row r="5514" spans="1:10" x14ac:dyDescent="0.25">
      <c r="A5514" s="362"/>
      <c r="B5514" s="609">
        <v>44450</v>
      </c>
      <c r="C5514" s="362" t="s">
        <v>86</v>
      </c>
      <c r="D5514" s="560">
        <v>57695857</v>
      </c>
      <c r="E5514" s="560">
        <v>30763298</v>
      </c>
      <c r="F5514" s="560">
        <v>88459100</v>
      </c>
      <c r="G5514" s="560">
        <f t="shared" si="118"/>
        <v>55</v>
      </c>
      <c r="H5514" s="362"/>
      <c r="I5514" s="362"/>
      <c r="J5514" s="362"/>
    </row>
    <row r="5515" spans="1:10" x14ac:dyDescent="0.25">
      <c r="A5515" s="362"/>
      <c r="B5515" s="609">
        <v>44450</v>
      </c>
      <c r="C5515" s="362" t="s">
        <v>87</v>
      </c>
      <c r="D5515" s="560">
        <v>58801512</v>
      </c>
      <c r="E5515" s="560">
        <v>268872297</v>
      </c>
      <c r="F5515" s="560">
        <f>171141800+156533100</f>
        <v>327674900</v>
      </c>
      <c r="G5515" s="560">
        <f t="shared" si="118"/>
        <v>-1091</v>
      </c>
      <c r="H5515" s="362"/>
      <c r="I5515" s="362"/>
      <c r="J5515" s="362"/>
    </row>
    <row r="5516" spans="1:10" x14ac:dyDescent="0.25">
      <c r="A5516" s="362"/>
      <c r="B5516" s="609">
        <v>44450</v>
      </c>
      <c r="C5516" s="362" t="s">
        <v>88</v>
      </c>
      <c r="D5516" s="560">
        <v>213195118</v>
      </c>
      <c r="E5516" s="560">
        <v>19056453</v>
      </c>
      <c r="F5516" s="560">
        <v>232252100</v>
      </c>
      <c r="G5516" s="560">
        <f t="shared" ref="G5516:G5579" si="119">D5516+E5516-F5516</f>
        <v>-529</v>
      </c>
      <c r="H5516" s="362"/>
      <c r="I5516" s="362"/>
      <c r="J5516" s="362"/>
    </row>
    <row r="5517" spans="1:10" x14ac:dyDescent="0.25">
      <c r="A5517" s="362"/>
      <c r="B5517" s="609">
        <v>44450</v>
      </c>
      <c r="C5517" s="362" t="s">
        <v>82</v>
      </c>
      <c r="D5517" s="560">
        <v>41088858</v>
      </c>
      <c r="E5517" s="560">
        <v>2308920</v>
      </c>
      <c r="F5517" s="560">
        <v>43397900</v>
      </c>
      <c r="G5517" s="560">
        <f t="shared" si="119"/>
        <v>-122</v>
      </c>
      <c r="H5517" s="362"/>
      <c r="I5517" s="362"/>
      <c r="J5517" s="362"/>
    </row>
    <row r="5518" spans="1:10" x14ac:dyDescent="0.25">
      <c r="A5518" s="362"/>
      <c r="B5518" s="609">
        <v>44450</v>
      </c>
      <c r="C5518" s="362" t="s">
        <v>80</v>
      </c>
      <c r="D5518" s="560">
        <v>241199300</v>
      </c>
      <c r="E5518" s="560"/>
      <c r="F5518" s="560">
        <v>241199300</v>
      </c>
      <c r="G5518" s="560">
        <f t="shared" si="119"/>
        <v>0</v>
      </c>
      <c r="H5518" s="362"/>
      <c r="I5518" s="362"/>
      <c r="J5518" s="362"/>
    </row>
    <row r="5519" spans="1:10" x14ac:dyDescent="0.25">
      <c r="A5519" s="362"/>
      <c r="B5519" s="609">
        <v>44450</v>
      </c>
      <c r="C5519" s="362" t="s">
        <v>83</v>
      </c>
      <c r="D5519" s="560">
        <v>176348756</v>
      </c>
      <c r="E5519" s="560">
        <v>12781918</v>
      </c>
      <c r="F5519" s="560">
        <v>189130700</v>
      </c>
      <c r="G5519" s="560">
        <f t="shared" si="119"/>
        <v>-26</v>
      </c>
      <c r="H5519" s="362"/>
      <c r="I5519" s="362"/>
      <c r="J5519" s="362"/>
    </row>
    <row r="5520" spans="1:10" x14ac:dyDescent="0.25">
      <c r="A5520" s="362"/>
      <c r="B5520" s="609">
        <v>44450</v>
      </c>
      <c r="C5520" s="362" t="s">
        <v>78</v>
      </c>
      <c r="D5520" s="560">
        <v>126270825</v>
      </c>
      <c r="E5520" s="560">
        <v>9308575</v>
      </c>
      <c r="F5520" s="560">
        <v>135579400</v>
      </c>
      <c r="G5520" s="560">
        <f t="shared" si="119"/>
        <v>0</v>
      </c>
      <c r="H5520" s="362"/>
      <c r="I5520" s="362"/>
      <c r="J5520" s="362"/>
    </row>
    <row r="5521" spans="1:10" x14ac:dyDescent="0.25">
      <c r="A5521" s="362"/>
      <c r="B5521" s="609">
        <v>44450</v>
      </c>
      <c r="C5521" s="362" t="s">
        <v>141</v>
      </c>
      <c r="D5521" s="560">
        <v>38768250</v>
      </c>
      <c r="E5521" s="560">
        <v>240032</v>
      </c>
      <c r="F5521" s="560">
        <v>39007800</v>
      </c>
      <c r="G5521" s="560">
        <f t="shared" si="119"/>
        <v>482</v>
      </c>
      <c r="H5521" s="362"/>
      <c r="I5521" s="362"/>
      <c r="J5521" s="362"/>
    </row>
    <row r="5522" spans="1:10" x14ac:dyDescent="0.25">
      <c r="A5522" s="362"/>
      <c r="B5522" s="609">
        <v>44450</v>
      </c>
      <c r="C5522" s="362" t="s">
        <v>89</v>
      </c>
      <c r="D5522" s="560">
        <v>119258905</v>
      </c>
      <c r="E5522" s="560">
        <v>42195695</v>
      </c>
      <c r="F5522" s="560">
        <v>161454500</v>
      </c>
      <c r="G5522" s="560">
        <f t="shared" si="119"/>
        <v>100</v>
      </c>
      <c r="H5522" s="362"/>
      <c r="I5522" s="362"/>
      <c r="J5522" s="362"/>
    </row>
    <row r="5523" spans="1:10" x14ac:dyDescent="0.25">
      <c r="A5523" s="362"/>
      <c r="B5523" s="609">
        <v>44450</v>
      </c>
      <c r="C5523" s="362" t="s">
        <v>81</v>
      </c>
      <c r="D5523" s="560">
        <v>118632425</v>
      </c>
      <c r="E5523" s="560">
        <v>57327514</v>
      </c>
      <c r="F5523" s="560">
        <f>108456100+67503900</f>
        <v>175960000</v>
      </c>
      <c r="G5523" s="560">
        <f t="shared" si="119"/>
        <v>-61</v>
      </c>
      <c r="H5523" s="362"/>
      <c r="I5523" s="362"/>
      <c r="J5523" s="362"/>
    </row>
    <row r="5524" spans="1:10" x14ac:dyDescent="0.25">
      <c r="A5524" s="362"/>
      <c r="B5524" s="609">
        <v>44450</v>
      </c>
      <c r="C5524" s="362" t="s">
        <v>84</v>
      </c>
      <c r="D5524" s="560">
        <v>195392086</v>
      </c>
      <c r="E5524" s="560">
        <v>10791146</v>
      </c>
      <c r="F5524" s="560">
        <v>206183300</v>
      </c>
      <c r="G5524" s="560">
        <f t="shared" si="119"/>
        <v>-68</v>
      </c>
      <c r="H5524" s="362"/>
      <c r="I5524" s="362"/>
      <c r="J5524" s="362"/>
    </row>
    <row r="5525" spans="1:10" x14ac:dyDescent="0.25">
      <c r="A5525" s="362"/>
      <c r="B5525" s="609">
        <v>44450</v>
      </c>
      <c r="C5525" s="362" t="s">
        <v>4751</v>
      </c>
      <c r="D5525" s="560">
        <v>260902685</v>
      </c>
      <c r="E5525" s="560">
        <v>9457515</v>
      </c>
      <c r="F5525" s="560">
        <v>270360200</v>
      </c>
      <c r="G5525" s="560">
        <f t="shared" si="119"/>
        <v>0</v>
      </c>
      <c r="H5525" s="362"/>
      <c r="I5525" s="362"/>
      <c r="J5525" s="362"/>
    </row>
    <row r="5526" spans="1:10" x14ac:dyDescent="0.25">
      <c r="A5526" s="362"/>
      <c r="B5526" s="609">
        <v>44450</v>
      </c>
      <c r="C5526" s="362" t="s">
        <v>166</v>
      </c>
      <c r="D5526" s="560"/>
      <c r="E5526" s="560"/>
      <c r="F5526" s="560"/>
      <c r="G5526" s="560">
        <f t="shared" si="119"/>
        <v>0</v>
      </c>
      <c r="H5526" s="362"/>
      <c r="I5526" s="362"/>
      <c r="J5526" s="362"/>
    </row>
    <row r="5527" spans="1:10" x14ac:dyDescent="0.25">
      <c r="A5527" s="362"/>
      <c r="B5527" s="609">
        <v>44450</v>
      </c>
      <c r="C5527" s="362" t="s">
        <v>3435</v>
      </c>
      <c r="D5527" s="560"/>
      <c r="E5527" s="560"/>
      <c r="F5527" s="560"/>
      <c r="G5527" s="560">
        <f t="shared" si="119"/>
        <v>0</v>
      </c>
      <c r="H5527" s="362"/>
      <c r="I5527" s="362"/>
      <c r="J5527" s="362"/>
    </row>
    <row r="5528" spans="1:10" x14ac:dyDescent="0.25">
      <c r="A5528" s="362"/>
      <c r="B5528" s="609">
        <v>44450</v>
      </c>
      <c r="C5528" s="370" t="s">
        <v>85</v>
      </c>
      <c r="D5528" s="560">
        <v>22914100</v>
      </c>
      <c r="E5528" s="560"/>
      <c r="F5528" s="560">
        <v>22914100</v>
      </c>
      <c r="G5528" s="560">
        <f t="shared" si="119"/>
        <v>0</v>
      </c>
      <c r="H5528" s="362"/>
      <c r="I5528" s="362"/>
      <c r="J5528" s="362"/>
    </row>
    <row r="5529" spans="1:10" x14ac:dyDescent="0.25">
      <c r="A5529" s="530"/>
      <c r="B5529" s="530"/>
      <c r="C5529" s="530"/>
      <c r="D5529" s="562">
        <f>SUM(D5514:D5528)</f>
        <v>1670468677</v>
      </c>
      <c r="E5529" s="562">
        <f>SUM(E5514:E5528)</f>
        <v>463103363</v>
      </c>
      <c r="F5529" s="562">
        <f>SUM(F5514:F5528)</f>
        <v>2133573300</v>
      </c>
      <c r="G5529" s="562">
        <f>SUM(G5514:G5528)</f>
        <v>-1260</v>
      </c>
      <c r="H5529" s="530"/>
      <c r="I5529" s="530"/>
      <c r="J5529" s="530"/>
    </row>
    <row r="5530" spans="1:10" x14ac:dyDescent="0.25">
      <c r="A5530" s="362"/>
      <c r="B5530" s="609">
        <v>44452</v>
      </c>
      <c r="C5530" s="362" t="s">
        <v>86</v>
      </c>
      <c r="D5530" s="560">
        <v>104359374</v>
      </c>
      <c r="E5530" s="560">
        <v>22128820</v>
      </c>
      <c r="F5530" s="560">
        <v>126488200</v>
      </c>
      <c r="G5530" s="560">
        <f t="shared" si="119"/>
        <v>-6</v>
      </c>
      <c r="H5530" s="362"/>
      <c r="I5530" s="362"/>
      <c r="J5530" s="362"/>
    </row>
    <row r="5531" spans="1:10" x14ac:dyDescent="0.25">
      <c r="A5531" s="362"/>
      <c r="B5531" s="609">
        <v>44452</v>
      </c>
      <c r="C5531" s="362" t="s">
        <v>87</v>
      </c>
      <c r="D5531" s="560">
        <v>98271733</v>
      </c>
      <c r="E5531" s="560">
        <v>122752924</v>
      </c>
      <c r="F5531" s="560">
        <v>221024700</v>
      </c>
      <c r="G5531" s="560">
        <f t="shared" si="119"/>
        <v>-43</v>
      </c>
      <c r="H5531" s="362"/>
      <c r="I5531" s="362"/>
      <c r="J5531" s="362"/>
    </row>
    <row r="5532" spans="1:10" x14ac:dyDescent="0.25">
      <c r="A5532" s="362"/>
      <c r="B5532" s="609">
        <v>44452</v>
      </c>
      <c r="C5532" s="362" t="s">
        <v>88</v>
      </c>
      <c r="D5532" s="560">
        <v>277206259</v>
      </c>
      <c r="E5532" s="560">
        <v>35718267</v>
      </c>
      <c r="F5532" s="560">
        <v>312924600</v>
      </c>
      <c r="G5532" s="560">
        <f t="shared" si="119"/>
        <v>-74</v>
      </c>
      <c r="H5532" s="362"/>
      <c r="I5532" s="362"/>
      <c r="J5532" s="362"/>
    </row>
    <row r="5533" spans="1:10" x14ac:dyDescent="0.25">
      <c r="A5533" s="362"/>
      <c r="B5533" s="609">
        <v>44452</v>
      </c>
      <c r="C5533" s="362" t="s">
        <v>82</v>
      </c>
      <c r="D5533" s="560">
        <v>54744485</v>
      </c>
      <c r="E5533" s="560"/>
      <c r="F5533" s="560">
        <v>54744500</v>
      </c>
      <c r="G5533" s="560">
        <f t="shared" si="119"/>
        <v>-15</v>
      </c>
      <c r="H5533" s="362"/>
      <c r="I5533" s="362"/>
      <c r="J5533" s="362"/>
    </row>
    <row r="5534" spans="1:10" x14ac:dyDescent="0.25">
      <c r="A5534" s="362"/>
      <c r="B5534" s="609">
        <v>44452</v>
      </c>
      <c r="C5534" s="362" t="s">
        <v>80</v>
      </c>
      <c r="D5534" s="560">
        <v>264807700</v>
      </c>
      <c r="E5534" s="560"/>
      <c r="F5534" s="560">
        <v>264807700</v>
      </c>
      <c r="G5534" s="560">
        <f t="shared" si="119"/>
        <v>0</v>
      </c>
      <c r="H5534" s="362"/>
      <c r="I5534" s="362"/>
      <c r="J5534" s="362"/>
    </row>
    <row r="5535" spans="1:10" x14ac:dyDescent="0.25">
      <c r="A5535" s="362"/>
      <c r="B5535" s="609">
        <v>44452</v>
      </c>
      <c r="C5535" s="362" t="s">
        <v>83</v>
      </c>
      <c r="D5535" s="560">
        <v>258319054</v>
      </c>
      <c r="E5535" s="560">
        <v>39013942</v>
      </c>
      <c r="F5535" s="560">
        <v>297333000</v>
      </c>
      <c r="G5535" s="560">
        <f t="shared" si="119"/>
        <v>-4</v>
      </c>
      <c r="H5535" s="362"/>
      <c r="I5535" s="362"/>
      <c r="J5535" s="362"/>
    </row>
    <row r="5536" spans="1:10" x14ac:dyDescent="0.25">
      <c r="A5536" s="362"/>
      <c r="B5536" s="609">
        <v>44452</v>
      </c>
      <c r="C5536" s="362" t="s">
        <v>78</v>
      </c>
      <c r="D5536" s="560">
        <v>99119235</v>
      </c>
      <c r="E5536" s="560">
        <v>2145165</v>
      </c>
      <c r="F5536" s="560">
        <v>101264400</v>
      </c>
      <c r="G5536" s="560">
        <f t="shared" si="119"/>
        <v>0</v>
      </c>
      <c r="H5536" s="362"/>
      <c r="I5536" s="362"/>
      <c r="J5536" s="362"/>
    </row>
    <row r="5537" spans="1:10" x14ac:dyDescent="0.25">
      <c r="A5537" s="362"/>
      <c r="B5537" s="609">
        <v>44452</v>
      </c>
      <c r="C5537" s="362" t="s">
        <v>141</v>
      </c>
      <c r="D5537" s="560">
        <v>89300577</v>
      </c>
      <c r="E5537" s="560"/>
      <c r="F5537" s="560">
        <v>89300700</v>
      </c>
      <c r="G5537" s="560">
        <f t="shared" si="119"/>
        <v>-123</v>
      </c>
      <c r="H5537" s="362"/>
      <c r="I5537" s="362"/>
      <c r="J5537" s="362"/>
    </row>
    <row r="5538" spans="1:10" x14ac:dyDescent="0.25">
      <c r="A5538" s="362"/>
      <c r="B5538" s="609">
        <v>44452</v>
      </c>
      <c r="C5538" s="362" t="s">
        <v>89</v>
      </c>
      <c r="D5538" s="560">
        <v>143701351</v>
      </c>
      <c r="E5538" s="560">
        <v>69288849</v>
      </c>
      <c r="F5538" s="560">
        <v>212990200</v>
      </c>
      <c r="G5538" s="560">
        <f t="shared" si="119"/>
        <v>0</v>
      </c>
      <c r="H5538" s="362"/>
      <c r="I5538" s="362"/>
      <c r="J5538" s="362"/>
    </row>
    <row r="5539" spans="1:10" x14ac:dyDescent="0.25">
      <c r="A5539" s="362"/>
      <c r="B5539" s="609">
        <v>44452</v>
      </c>
      <c r="C5539" s="362" t="s">
        <v>81</v>
      </c>
      <c r="D5539" s="560">
        <v>61404940</v>
      </c>
      <c r="E5539" s="560">
        <v>14566706</v>
      </c>
      <c r="F5539" s="560">
        <v>75971700</v>
      </c>
      <c r="G5539" s="560">
        <f t="shared" si="119"/>
        <v>-54</v>
      </c>
      <c r="H5539" s="362"/>
      <c r="I5539" s="362"/>
      <c r="J5539" s="362"/>
    </row>
    <row r="5540" spans="1:10" x14ac:dyDescent="0.25">
      <c r="A5540" s="362"/>
      <c r="B5540" s="609">
        <v>44452</v>
      </c>
      <c r="C5540" s="362" t="s">
        <v>84</v>
      </c>
      <c r="D5540" s="560">
        <v>187149533</v>
      </c>
      <c r="E5540" s="560">
        <v>11671457</v>
      </c>
      <c r="F5540" s="560">
        <v>198821000</v>
      </c>
      <c r="G5540" s="560">
        <f t="shared" si="119"/>
        <v>-10</v>
      </c>
      <c r="H5540" s="362"/>
      <c r="I5540" s="362"/>
      <c r="J5540" s="362"/>
    </row>
    <row r="5541" spans="1:10" x14ac:dyDescent="0.25">
      <c r="A5541" s="362"/>
      <c r="B5541" s="609">
        <v>44452</v>
      </c>
      <c r="C5541" s="362" t="s">
        <v>4751</v>
      </c>
      <c r="D5541" s="560">
        <v>211422699</v>
      </c>
      <c r="E5541" s="560">
        <v>9893601</v>
      </c>
      <c r="F5541" s="560">
        <v>221316300</v>
      </c>
      <c r="G5541" s="560">
        <f t="shared" si="119"/>
        <v>0</v>
      </c>
      <c r="H5541" s="362"/>
      <c r="I5541" s="362"/>
      <c r="J5541" s="362"/>
    </row>
    <row r="5542" spans="1:10" x14ac:dyDescent="0.25">
      <c r="A5542" s="362"/>
      <c r="B5542" s="609">
        <v>44452</v>
      </c>
      <c r="C5542" s="362" t="s">
        <v>166</v>
      </c>
      <c r="D5542" s="560">
        <v>76541583</v>
      </c>
      <c r="E5542" s="560"/>
      <c r="F5542" s="560">
        <v>76541500</v>
      </c>
      <c r="G5542" s="560">
        <f t="shared" si="119"/>
        <v>83</v>
      </c>
      <c r="H5542" s="362"/>
      <c r="I5542" s="362"/>
      <c r="J5542" s="362"/>
    </row>
    <row r="5543" spans="1:10" x14ac:dyDescent="0.25">
      <c r="A5543" s="362"/>
      <c r="B5543" s="609">
        <v>44452</v>
      </c>
      <c r="C5543" s="362" t="s">
        <v>3435</v>
      </c>
      <c r="D5543" s="560">
        <v>27172429</v>
      </c>
      <c r="E5543" s="560"/>
      <c r="F5543" s="560">
        <v>27172500</v>
      </c>
      <c r="G5543" s="560">
        <f t="shared" si="119"/>
        <v>-71</v>
      </c>
      <c r="H5543" s="362"/>
      <c r="I5543" s="362"/>
      <c r="J5543" s="362"/>
    </row>
    <row r="5544" spans="1:10" x14ac:dyDescent="0.25">
      <c r="A5544" s="362"/>
      <c r="B5544" s="609">
        <v>44452</v>
      </c>
      <c r="C5544" s="370" t="s">
        <v>85</v>
      </c>
      <c r="D5544" s="560">
        <v>56129700</v>
      </c>
      <c r="E5544" s="560"/>
      <c r="F5544" s="560">
        <v>56129700</v>
      </c>
      <c r="G5544" s="560">
        <f t="shared" si="119"/>
        <v>0</v>
      </c>
      <c r="H5544" s="362"/>
      <c r="I5544" s="362"/>
      <c r="J5544" s="362"/>
    </row>
    <row r="5545" spans="1:10" x14ac:dyDescent="0.25">
      <c r="A5545" s="530"/>
      <c r="B5545" s="530"/>
      <c r="C5545" s="530"/>
      <c r="D5545" s="562">
        <f>SUM(D5530:D5544)</f>
        <v>2009650652</v>
      </c>
      <c r="E5545" s="562">
        <f>SUM(E5530:E5544)</f>
        <v>327179731</v>
      </c>
      <c r="F5545" s="562">
        <f>SUM(F5530:F5544)</f>
        <v>2336830700</v>
      </c>
      <c r="G5545" s="562">
        <f>SUM(G5530:G5544)</f>
        <v>-317</v>
      </c>
      <c r="H5545" s="530"/>
      <c r="I5545" s="530"/>
      <c r="J5545" s="530"/>
    </row>
    <row r="5546" spans="1:10" x14ac:dyDescent="0.25">
      <c r="A5546" s="362"/>
      <c r="B5546" s="609">
        <v>44453</v>
      </c>
      <c r="C5546" s="362" t="s">
        <v>86</v>
      </c>
      <c r="D5546" s="560">
        <v>132159518</v>
      </c>
      <c r="E5546" s="560">
        <v>38596963</v>
      </c>
      <c r="F5546" s="560">
        <v>170756400</v>
      </c>
      <c r="G5546" s="560">
        <f t="shared" si="119"/>
        <v>81</v>
      </c>
      <c r="H5546" s="362"/>
      <c r="I5546" s="362"/>
      <c r="J5546" s="362"/>
    </row>
    <row r="5547" spans="1:10" x14ac:dyDescent="0.25">
      <c r="A5547" s="362"/>
      <c r="B5547" s="609">
        <v>44453</v>
      </c>
      <c r="C5547" s="362" t="s">
        <v>87</v>
      </c>
      <c r="D5547" s="560">
        <v>162018417</v>
      </c>
      <c r="E5547" s="560">
        <v>89687548</v>
      </c>
      <c r="F5547" s="560">
        <v>251706000</v>
      </c>
      <c r="G5547" s="560">
        <f t="shared" si="119"/>
        <v>-35</v>
      </c>
      <c r="H5547" s="362"/>
      <c r="I5547" s="362"/>
      <c r="J5547" s="362"/>
    </row>
    <row r="5548" spans="1:10" x14ac:dyDescent="0.25">
      <c r="A5548" s="362"/>
      <c r="B5548" s="609">
        <v>44453</v>
      </c>
      <c r="C5548" s="362" t="s">
        <v>88</v>
      </c>
      <c r="D5548" s="560">
        <v>170895000</v>
      </c>
      <c r="E5548" s="560">
        <v>124158582</v>
      </c>
      <c r="F5548" s="560">
        <v>295053600</v>
      </c>
      <c r="G5548" s="560">
        <f t="shared" si="119"/>
        <v>-18</v>
      </c>
      <c r="H5548" s="362"/>
      <c r="I5548" s="362"/>
      <c r="J5548" s="362"/>
    </row>
    <row r="5549" spans="1:10" x14ac:dyDescent="0.25">
      <c r="A5549" s="362"/>
      <c r="B5549" s="609">
        <v>44453</v>
      </c>
      <c r="C5549" s="362" t="s">
        <v>82</v>
      </c>
      <c r="D5549" s="560">
        <v>72535001</v>
      </c>
      <c r="E5549" s="560"/>
      <c r="F5549" s="560">
        <v>72535000</v>
      </c>
      <c r="G5549" s="560">
        <f t="shared" si="119"/>
        <v>1</v>
      </c>
      <c r="H5549" s="362"/>
      <c r="I5549" s="362"/>
      <c r="J5549" s="362"/>
    </row>
    <row r="5550" spans="1:10" x14ac:dyDescent="0.25">
      <c r="A5550" s="362"/>
      <c r="B5550" s="609">
        <v>44453</v>
      </c>
      <c r="C5550" s="362" t="s">
        <v>80</v>
      </c>
      <c r="D5550" s="560">
        <v>256899903</v>
      </c>
      <c r="E5550" s="560"/>
      <c r="F5550" s="560">
        <v>256899900</v>
      </c>
      <c r="G5550" s="560">
        <f t="shared" si="119"/>
        <v>3</v>
      </c>
      <c r="H5550" s="362"/>
      <c r="I5550" s="362"/>
      <c r="J5550" s="362"/>
    </row>
    <row r="5551" spans="1:10" x14ac:dyDescent="0.25">
      <c r="A5551" s="362"/>
      <c r="B5551" s="609">
        <v>44453</v>
      </c>
      <c r="C5551" s="362" t="s">
        <v>83</v>
      </c>
      <c r="D5551" s="560">
        <v>214289754</v>
      </c>
      <c r="E5551" s="560">
        <v>57505476</v>
      </c>
      <c r="F5551" s="560">
        <v>271795300</v>
      </c>
      <c r="G5551" s="560">
        <f t="shared" si="119"/>
        <v>-70</v>
      </c>
      <c r="H5551" s="362"/>
      <c r="I5551" s="362"/>
      <c r="J5551" s="362"/>
    </row>
    <row r="5552" spans="1:10" x14ac:dyDescent="0.25">
      <c r="A5552" s="362"/>
      <c r="B5552" s="609">
        <v>44453</v>
      </c>
      <c r="C5552" s="362" t="s">
        <v>78</v>
      </c>
      <c r="D5552" s="560">
        <v>160739624</v>
      </c>
      <c r="E5552" s="560">
        <v>6049773</v>
      </c>
      <c r="F5552" s="560">
        <v>166789400</v>
      </c>
      <c r="G5552" s="560">
        <f t="shared" si="119"/>
        <v>-3</v>
      </c>
      <c r="H5552" s="362"/>
      <c r="I5552" s="362"/>
      <c r="J5552" s="362"/>
    </row>
    <row r="5553" spans="1:10" x14ac:dyDescent="0.25">
      <c r="A5553" s="362"/>
      <c r="B5553" s="609">
        <v>44453</v>
      </c>
      <c r="C5553" s="362" t="s">
        <v>141</v>
      </c>
      <c r="D5553" s="560">
        <v>68945455</v>
      </c>
      <c r="E5553" s="560">
        <v>248652</v>
      </c>
      <c r="F5553" s="560">
        <v>69194200</v>
      </c>
      <c r="G5553" s="560">
        <f t="shared" si="119"/>
        <v>-93</v>
      </c>
      <c r="H5553" s="362"/>
      <c r="I5553" s="362"/>
      <c r="J5553" s="362"/>
    </row>
    <row r="5554" spans="1:10" x14ac:dyDescent="0.25">
      <c r="A5554" s="362"/>
      <c r="B5554" s="609">
        <v>44453</v>
      </c>
      <c r="C5554" s="362" t="s">
        <v>89</v>
      </c>
      <c r="D5554" s="560">
        <v>119264081</v>
      </c>
      <c r="E5554" s="560">
        <v>6566019</v>
      </c>
      <c r="F5554" s="560">
        <v>125830100</v>
      </c>
      <c r="G5554" s="560">
        <f t="shared" si="119"/>
        <v>0</v>
      </c>
      <c r="H5554" s="362"/>
      <c r="I5554" s="362"/>
      <c r="J5554" s="362"/>
    </row>
    <row r="5555" spans="1:10" x14ac:dyDescent="0.25">
      <c r="A5555" s="362"/>
      <c r="B5555" s="609">
        <v>44453</v>
      </c>
      <c r="C5555" s="362" t="s">
        <v>81</v>
      </c>
      <c r="D5555" s="560">
        <v>84404605</v>
      </c>
      <c r="E5555" s="560">
        <v>12092181</v>
      </c>
      <c r="F5555" s="560">
        <v>96496800</v>
      </c>
      <c r="G5555" s="560">
        <f t="shared" si="119"/>
        <v>-14</v>
      </c>
      <c r="H5555" s="362"/>
      <c r="I5555" s="362"/>
      <c r="J5555" s="362"/>
    </row>
    <row r="5556" spans="1:10" x14ac:dyDescent="0.25">
      <c r="A5556" s="362"/>
      <c r="B5556" s="609">
        <v>44453</v>
      </c>
      <c r="C5556" s="362" t="s">
        <v>84</v>
      </c>
      <c r="D5556" s="560">
        <v>290573926</v>
      </c>
      <c r="E5556" s="560">
        <v>13495752</v>
      </c>
      <c r="F5556" s="560">
        <v>304069700</v>
      </c>
      <c r="G5556" s="560">
        <f t="shared" si="119"/>
        <v>-22</v>
      </c>
      <c r="H5556" s="362"/>
      <c r="I5556" s="362"/>
      <c r="J5556" s="362"/>
    </row>
    <row r="5557" spans="1:10" x14ac:dyDescent="0.25">
      <c r="A5557" s="362"/>
      <c r="B5557" s="609">
        <v>44453</v>
      </c>
      <c r="C5557" s="362" t="s">
        <v>4751</v>
      </c>
      <c r="D5557" s="560">
        <v>303522189</v>
      </c>
      <c r="E5557" s="560">
        <v>13568011</v>
      </c>
      <c r="F5557" s="560">
        <v>317090200</v>
      </c>
      <c r="G5557" s="560">
        <f t="shared" si="119"/>
        <v>0</v>
      </c>
      <c r="H5557" s="362"/>
      <c r="I5557" s="362"/>
      <c r="J5557" s="362"/>
    </row>
    <row r="5558" spans="1:10" x14ac:dyDescent="0.25">
      <c r="A5558" s="362"/>
      <c r="B5558" s="609">
        <v>44453</v>
      </c>
      <c r="C5558" s="362" t="s">
        <v>166</v>
      </c>
      <c r="D5558" s="560">
        <v>93294564</v>
      </c>
      <c r="E5558" s="560"/>
      <c r="F5558" s="560">
        <v>93294600</v>
      </c>
      <c r="G5558" s="560">
        <f t="shared" si="119"/>
        <v>-36</v>
      </c>
      <c r="H5558" s="362"/>
      <c r="I5558" s="362"/>
      <c r="J5558" s="362"/>
    </row>
    <row r="5559" spans="1:10" x14ac:dyDescent="0.25">
      <c r="A5559" s="362"/>
      <c r="B5559" s="609">
        <v>44453</v>
      </c>
      <c r="C5559" s="362" t="s">
        <v>3435</v>
      </c>
      <c r="D5559" s="560">
        <v>46379986</v>
      </c>
      <c r="E5559" s="560"/>
      <c r="F5559" s="560">
        <v>46380000</v>
      </c>
      <c r="G5559" s="560">
        <f t="shared" si="119"/>
        <v>-14</v>
      </c>
      <c r="H5559" s="362"/>
      <c r="I5559" s="362"/>
      <c r="J5559" s="362"/>
    </row>
    <row r="5560" spans="1:10" x14ac:dyDescent="0.25">
      <c r="A5560" s="362"/>
      <c r="B5560" s="609">
        <v>44453</v>
      </c>
      <c r="C5560" s="370" t="s">
        <v>85</v>
      </c>
      <c r="D5560" s="560">
        <v>28919100</v>
      </c>
      <c r="E5560" s="560"/>
      <c r="F5560" s="560">
        <v>28919100</v>
      </c>
      <c r="G5560" s="560">
        <f t="shared" si="119"/>
        <v>0</v>
      </c>
      <c r="H5560" s="362"/>
      <c r="I5560" s="362"/>
      <c r="J5560" s="362"/>
    </row>
    <row r="5561" spans="1:10" x14ac:dyDescent="0.25">
      <c r="A5561" s="530"/>
      <c r="B5561" s="530"/>
      <c r="C5561" s="530"/>
      <c r="D5561" s="562">
        <f>SUM(D5546:D5560)</f>
        <v>2204841123</v>
      </c>
      <c r="E5561" s="562">
        <f>SUM(E5546:E5560)</f>
        <v>361968957</v>
      </c>
      <c r="F5561" s="562">
        <f>SUM(F5546:F5560)</f>
        <v>2566810300</v>
      </c>
      <c r="G5561" s="562">
        <f>SUM(G5546:G5560)</f>
        <v>-220</v>
      </c>
      <c r="H5561" s="530"/>
      <c r="I5561" s="530"/>
      <c r="J5561" s="530"/>
    </row>
    <row r="5562" spans="1:10" x14ac:dyDescent="0.25">
      <c r="A5562" s="362"/>
      <c r="B5562" s="609">
        <v>44454</v>
      </c>
      <c r="C5562" s="362" t="s">
        <v>86</v>
      </c>
      <c r="D5562" s="560">
        <v>113261777</v>
      </c>
      <c r="E5562" s="560">
        <v>37587435</v>
      </c>
      <c r="F5562" s="560"/>
      <c r="G5562" s="560">
        <f t="shared" si="119"/>
        <v>150849212</v>
      </c>
      <c r="H5562" s="362"/>
      <c r="I5562" s="362"/>
      <c r="J5562" s="362"/>
    </row>
    <row r="5563" spans="1:10" x14ac:dyDescent="0.25">
      <c r="A5563" s="362"/>
      <c r="B5563" s="609">
        <v>44454</v>
      </c>
      <c r="C5563" s="362" t="s">
        <v>87</v>
      </c>
      <c r="D5563" s="560">
        <v>86821968</v>
      </c>
      <c r="E5563" s="560">
        <v>74106152</v>
      </c>
      <c r="F5563" s="560"/>
      <c r="G5563" s="560">
        <f t="shared" si="119"/>
        <v>160928120</v>
      </c>
      <c r="H5563" s="362"/>
      <c r="I5563" s="362"/>
      <c r="J5563" s="362"/>
    </row>
    <row r="5564" spans="1:10" x14ac:dyDescent="0.25">
      <c r="A5564" s="362"/>
      <c r="B5564" s="609">
        <v>44454</v>
      </c>
      <c r="C5564" s="362" t="s">
        <v>88</v>
      </c>
      <c r="D5564" s="560">
        <v>280622911</v>
      </c>
      <c r="E5564" s="560">
        <v>4532162</v>
      </c>
      <c r="F5564" s="560"/>
      <c r="G5564" s="560">
        <f t="shared" si="119"/>
        <v>285155073</v>
      </c>
      <c r="H5564" s="362"/>
      <c r="I5564" s="362"/>
      <c r="J5564" s="362"/>
    </row>
    <row r="5565" spans="1:10" x14ac:dyDescent="0.25">
      <c r="A5565" s="362"/>
      <c r="B5565" s="609">
        <v>44454</v>
      </c>
      <c r="C5565" s="362" t="s">
        <v>82</v>
      </c>
      <c r="D5565" s="560">
        <v>103727994</v>
      </c>
      <c r="E5565" s="560">
        <v>2250600</v>
      </c>
      <c r="F5565" s="560"/>
      <c r="G5565" s="560">
        <f t="shared" si="119"/>
        <v>105978594</v>
      </c>
      <c r="H5565" s="362"/>
      <c r="I5565" s="362"/>
      <c r="J5565" s="362"/>
    </row>
    <row r="5566" spans="1:10" x14ac:dyDescent="0.25">
      <c r="A5566" s="362"/>
      <c r="B5566" s="609">
        <v>44454</v>
      </c>
      <c r="C5566" s="362" t="s">
        <v>80</v>
      </c>
      <c r="D5566" s="560">
        <v>268390958</v>
      </c>
      <c r="E5566" s="560"/>
      <c r="F5566" s="560"/>
      <c r="G5566" s="560">
        <f t="shared" si="119"/>
        <v>268390958</v>
      </c>
      <c r="H5566" s="362"/>
      <c r="I5566" s="362"/>
      <c r="J5566" s="362"/>
    </row>
    <row r="5567" spans="1:10" x14ac:dyDescent="0.25">
      <c r="A5567" s="362"/>
      <c r="B5567" s="609">
        <v>44454</v>
      </c>
      <c r="C5567" s="362" t="s">
        <v>83</v>
      </c>
      <c r="D5567" s="560">
        <v>233947524</v>
      </c>
      <c r="E5567" s="560">
        <v>216270876</v>
      </c>
      <c r="F5567" s="560"/>
      <c r="G5567" s="560">
        <f t="shared" si="119"/>
        <v>450218400</v>
      </c>
      <c r="H5567" s="362"/>
      <c r="I5567" s="362"/>
      <c r="J5567" s="362"/>
    </row>
    <row r="5568" spans="1:10" x14ac:dyDescent="0.25">
      <c r="A5568" s="362"/>
      <c r="B5568" s="609">
        <v>44454</v>
      </c>
      <c r="C5568" s="362" t="s">
        <v>78</v>
      </c>
      <c r="D5568" s="560">
        <v>122333426</v>
      </c>
      <c r="E5568" s="560">
        <v>1390674</v>
      </c>
      <c r="F5568" s="560"/>
      <c r="G5568" s="560">
        <f t="shared" si="119"/>
        <v>123724100</v>
      </c>
      <c r="H5568" s="362"/>
      <c r="I5568" s="362"/>
      <c r="J5568" s="362"/>
    </row>
    <row r="5569" spans="1:10" x14ac:dyDescent="0.25">
      <c r="A5569" s="362"/>
      <c r="B5569" s="609">
        <v>44454</v>
      </c>
      <c r="C5569" s="362" t="s">
        <v>141</v>
      </c>
      <c r="D5569" s="560">
        <v>106074777</v>
      </c>
      <c r="E5569" s="560"/>
      <c r="F5569" s="560"/>
      <c r="G5569" s="560">
        <f t="shared" si="119"/>
        <v>106074777</v>
      </c>
      <c r="H5569" s="362"/>
      <c r="I5569" s="362"/>
      <c r="J5569" s="362"/>
    </row>
    <row r="5570" spans="1:10" x14ac:dyDescent="0.25">
      <c r="A5570" s="362"/>
      <c r="B5570" s="609">
        <v>44454</v>
      </c>
      <c r="C5570" s="362" t="s">
        <v>89</v>
      </c>
      <c r="D5570" s="560">
        <v>151259232</v>
      </c>
      <c r="E5570" s="560">
        <v>19108168</v>
      </c>
      <c r="F5570" s="560"/>
      <c r="G5570" s="560">
        <f t="shared" si="119"/>
        <v>170367400</v>
      </c>
      <c r="H5570" s="362"/>
      <c r="I5570" s="362"/>
      <c r="J5570" s="362"/>
    </row>
    <row r="5571" spans="1:10" x14ac:dyDescent="0.25">
      <c r="A5571" s="362"/>
      <c r="B5571" s="609">
        <v>44454</v>
      </c>
      <c r="C5571" s="362" t="s">
        <v>81</v>
      </c>
      <c r="D5571" s="560">
        <v>52889642</v>
      </c>
      <c r="E5571" s="560">
        <v>12263312</v>
      </c>
      <c r="F5571" s="560"/>
      <c r="G5571" s="560">
        <f t="shared" si="119"/>
        <v>65152954</v>
      </c>
      <c r="H5571" s="362"/>
      <c r="I5571" s="362"/>
      <c r="J5571" s="362"/>
    </row>
    <row r="5572" spans="1:10" x14ac:dyDescent="0.25">
      <c r="A5572" s="362"/>
      <c r="B5572" s="609">
        <v>44454</v>
      </c>
      <c r="C5572" s="362" t="s">
        <v>84</v>
      </c>
      <c r="D5572" s="560">
        <v>375202118</v>
      </c>
      <c r="E5572" s="560">
        <v>7255283</v>
      </c>
      <c r="F5572" s="560"/>
      <c r="G5572" s="560">
        <f t="shared" si="119"/>
        <v>382457401</v>
      </c>
      <c r="H5572" s="362"/>
      <c r="I5572" s="362"/>
      <c r="J5572" s="362"/>
    </row>
    <row r="5573" spans="1:10" x14ac:dyDescent="0.25">
      <c r="A5573" s="362"/>
      <c r="B5573" s="609">
        <v>44454</v>
      </c>
      <c r="C5573" s="362" t="s">
        <v>4751</v>
      </c>
      <c r="D5573" s="560">
        <v>125008677</v>
      </c>
      <c r="E5573" s="560">
        <v>6664223</v>
      </c>
      <c r="F5573" s="560"/>
      <c r="G5573" s="560">
        <f t="shared" si="119"/>
        <v>131672900</v>
      </c>
      <c r="H5573" s="362"/>
      <c r="I5573" s="362"/>
      <c r="J5573" s="362"/>
    </row>
    <row r="5574" spans="1:10" x14ac:dyDescent="0.25">
      <c r="A5574" s="362"/>
      <c r="B5574" s="609">
        <v>44454</v>
      </c>
      <c r="C5574" s="362" t="s">
        <v>166</v>
      </c>
      <c r="D5574" s="560">
        <v>61763419</v>
      </c>
      <c r="E5574" s="560"/>
      <c r="F5574" s="560"/>
      <c r="G5574" s="560">
        <f t="shared" si="119"/>
        <v>61763419</v>
      </c>
      <c r="H5574" s="362"/>
      <c r="I5574" s="362"/>
      <c r="J5574" s="362"/>
    </row>
    <row r="5575" spans="1:10" x14ac:dyDescent="0.25">
      <c r="A5575" s="362"/>
      <c r="B5575" s="609">
        <v>44454</v>
      </c>
      <c r="C5575" s="362" t="s">
        <v>3435</v>
      </c>
      <c r="D5575" s="560">
        <v>46811463</v>
      </c>
      <c r="E5575" s="560"/>
      <c r="F5575" s="560"/>
      <c r="G5575" s="560">
        <f t="shared" si="119"/>
        <v>46811463</v>
      </c>
      <c r="H5575" s="362"/>
      <c r="I5575" s="362"/>
      <c r="J5575" s="362"/>
    </row>
    <row r="5576" spans="1:10" x14ac:dyDescent="0.25">
      <c r="A5576" s="362"/>
      <c r="B5576" s="609">
        <v>44454</v>
      </c>
      <c r="C5576" s="370" t="s">
        <v>85</v>
      </c>
      <c r="D5576" s="560">
        <v>42453000</v>
      </c>
      <c r="E5576" s="560"/>
      <c r="F5576" s="560"/>
      <c r="G5576" s="560">
        <f t="shared" si="119"/>
        <v>42453000</v>
      </c>
      <c r="H5576" s="362"/>
      <c r="I5576" s="362"/>
      <c r="J5576" s="362"/>
    </row>
    <row r="5577" spans="1:10" x14ac:dyDescent="0.25">
      <c r="A5577" s="530"/>
      <c r="B5577" s="530"/>
      <c r="C5577" s="530"/>
      <c r="D5577" s="562">
        <f>SUM(D5562:D5576)</f>
        <v>2170568886</v>
      </c>
      <c r="E5577" s="562">
        <f>SUM(E5562:E5576)</f>
        <v>381428885</v>
      </c>
      <c r="F5577" s="562">
        <f>SUM(F5562:F5576)</f>
        <v>0</v>
      </c>
      <c r="G5577" s="562">
        <f>SUM(G5562:G5576)</f>
        <v>2551997771</v>
      </c>
      <c r="H5577" s="530"/>
      <c r="I5577" s="530"/>
      <c r="J5577" s="530"/>
    </row>
    <row r="5578" spans="1:10" x14ac:dyDescent="0.25">
      <c r="A5578" s="362"/>
      <c r="B5578" s="609">
        <v>44455</v>
      </c>
      <c r="C5578" s="362" t="s">
        <v>86</v>
      </c>
      <c r="D5578" s="560">
        <v>177411645</v>
      </c>
      <c r="E5578" s="560">
        <v>134074521</v>
      </c>
      <c r="F5578" s="560"/>
      <c r="G5578" s="560">
        <f t="shared" si="119"/>
        <v>311486166</v>
      </c>
      <c r="H5578" s="362"/>
      <c r="I5578" s="362"/>
      <c r="J5578" s="362"/>
    </row>
    <row r="5579" spans="1:10" x14ac:dyDescent="0.25">
      <c r="A5579" s="362"/>
      <c r="B5579" s="609">
        <v>44455</v>
      </c>
      <c r="C5579" s="362" t="s">
        <v>87</v>
      </c>
      <c r="D5579" s="560">
        <v>90853740</v>
      </c>
      <c r="E5579" s="560">
        <v>92438099</v>
      </c>
      <c r="F5579" s="560"/>
      <c r="G5579" s="560">
        <f t="shared" si="119"/>
        <v>183291839</v>
      </c>
      <c r="H5579" s="362"/>
      <c r="I5579" s="362"/>
      <c r="J5579" s="362"/>
    </row>
    <row r="5580" spans="1:10" x14ac:dyDescent="0.25">
      <c r="A5580" s="362"/>
      <c r="B5580" s="609">
        <v>44455</v>
      </c>
      <c r="C5580" s="362" t="s">
        <v>88</v>
      </c>
      <c r="D5580" s="560">
        <v>174724723</v>
      </c>
      <c r="E5580" s="560">
        <v>70997104</v>
      </c>
      <c r="F5580" s="560"/>
      <c r="G5580" s="560">
        <f t="shared" ref="G5580:G5643" si="120">D5580+E5580-F5580</f>
        <v>245721827</v>
      </c>
      <c r="H5580" s="362"/>
      <c r="I5580" s="362"/>
      <c r="J5580" s="362"/>
    </row>
    <row r="5581" spans="1:10" x14ac:dyDescent="0.25">
      <c r="A5581" s="362"/>
      <c r="B5581" s="609">
        <v>44455</v>
      </c>
      <c r="C5581" s="362" t="s">
        <v>82</v>
      </c>
      <c r="D5581" s="560">
        <v>165556539</v>
      </c>
      <c r="E5581" s="560">
        <v>7006980</v>
      </c>
      <c r="F5581" s="560"/>
      <c r="G5581" s="560">
        <f t="shared" si="120"/>
        <v>172563519</v>
      </c>
      <c r="H5581" s="362"/>
      <c r="I5581" s="362"/>
      <c r="J5581" s="362"/>
    </row>
    <row r="5582" spans="1:10" x14ac:dyDescent="0.25">
      <c r="A5582" s="362"/>
      <c r="B5582" s="609">
        <v>44455</v>
      </c>
      <c r="C5582" s="362" t="s">
        <v>80</v>
      </c>
      <c r="D5582" s="560">
        <v>198841300</v>
      </c>
      <c r="E5582" s="560"/>
      <c r="F5582" s="560"/>
      <c r="G5582" s="560">
        <f t="shared" si="120"/>
        <v>198841300</v>
      </c>
      <c r="H5582" s="362"/>
      <c r="I5582" s="362"/>
      <c r="J5582" s="362"/>
    </row>
    <row r="5583" spans="1:10" x14ac:dyDescent="0.25">
      <c r="A5583" s="362"/>
      <c r="B5583" s="609">
        <v>44455</v>
      </c>
      <c r="C5583" s="362" t="s">
        <v>83</v>
      </c>
      <c r="D5583" s="560">
        <v>139321557</v>
      </c>
      <c r="E5583" s="560">
        <v>19544658</v>
      </c>
      <c r="F5583" s="560"/>
      <c r="G5583" s="560">
        <f t="shared" si="120"/>
        <v>158866215</v>
      </c>
      <c r="H5583" s="362"/>
      <c r="I5583" s="362"/>
      <c r="J5583" s="362"/>
    </row>
    <row r="5584" spans="1:10" x14ac:dyDescent="0.25">
      <c r="A5584" s="362"/>
      <c r="B5584" s="609">
        <v>44455</v>
      </c>
      <c r="C5584" s="362" t="s">
        <v>78</v>
      </c>
      <c r="D5584" s="560">
        <v>112865081</v>
      </c>
      <c r="E5584" s="560">
        <v>660519</v>
      </c>
      <c r="F5584" s="560"/>
      <c r="G5584" s="560">
        <f t="shared" si="120"/>
        <v>113525600</v>
      </c>
      <c r="H5584" s="362"/>
      <c r="I5584" s="362"/>
      <c r="J5584" s="362"/>
    </row>
    <row r="5585" spans="1:10" x14ac:dyDescent="0.25">
      <c r="A5585" s="362"/>
      <c r="B5585" s="609">
        <v>44455</v>
      </c>
      <c r="C5585" s="362" t="s">
        <v>141</v>
      </c>
      <c r="D5585" s="560">
        <v>64569337</v>
      </c>
      <c r="E5585" s="560">
        <v>40620</v>
      </c>
      <c r="F5585" s="560"/>
      <c r="G5585" s="560">
        <f t="shared" si="120"/>
        <v>64609957</v>
      </c>
      <c r="H5585" s="362"/>
      <c r="I5585" s="362"/>
      <c r="J5585" s="362"/>
    </row>
    <row r="5586" spans="1:10" x14ac:dyDescent="0.25">
      <c r="A5586" s="362"/>
      <c r="B5586" s="609">
        <v>44455</v>
      </c>
      <c r="C5586" s="362" t="s">
        <v>89</v>
      </c>
      <c r="D5586" s="560">
        <v>122555364</v>
      </c>
      <c r="E5586" s="560">
        <v>19815336</v>
      </c>
      <c r="F5586" s="560"/>
      <c r="G5586" s="560">
        <f t="shared" si="120"/>
        <v>142370700</v>
      </c>
      <c r="H5586" s="362"/>
      <c r="I5586" s="362"/>
      <c r="J5586" s="362"/>
    </row>
    <row r="5587" spans="1:10" x14ac:dyDescent="0.25">
      <c r="A5587" s="362"/>
      <c r="B5587" s="609">
        <v>44455</v>
      </c>
      <c r="C5587" s="362" t="s">
        <v>81</v>
      </c>
      <c r="D5587" s="560">
        <v>155709799</v>
      </c>
      <c r="E5587" s="560">
        <v>57166045</v>
      </c>
      <c r="F5587" s="560"/>
      <c r="G5587" s="560">
        <f t="shared" si="120"/>
        <v>212875844</v>
      </c>
      <c r="H5587" s="362"/>
      <c r="I5587" s="362"/>
      <c r="J5587" s="362"/>
    </row>
    <row r="5588" spans="1:10" x14ac:dyDescent="0.25">
      <c r="A5588" s="362"/>
      <c r="B5588" s="609">
        <v>44455</v>
      </c>
      <c r="C5588" s="362" t="s">
        <v>84</v>
      </c>
      <c r="D5588" s="560">
        <v>216450519</v>
      </c>
      <c r="E5588" s="560">
        <v>20817191</v>
      </c>
      <c r="F5588" s="560"/>
      <c r="G5588" s="560">
        <f t="shared" si="120"/>
        <v>237267710</v>
      </c>
      <c r="H5588" s="362"/>
      <c r="I5588" s="362"/>
      <c r="J5588" s="362"/>
    </row>
    <row r="5589" spans="1:10" x14ac:dyDescent="0.25">
      <c r="A5589" s="362"/>
      <c r="B5589" s="609">
        <v>44455</v>
      </c>
      <c r="C5589" s="362" t="s">
        <v>4751</v>
      </c>
      <c r="D5589" s="560">
        <v>166402509</v>
      </c>
      <c r="E5589" s="560">
        <v>9128291</v>
      </c>
      <c r="F5589" s="560"/>
      <c r="G5589" s="560">
        <f t="shared" si="120"/>
        <v>175530800</v>
      </c>
      <c r="H5589" s="362"/>
      <c r="I5589" s="362"/>
      <c r="J5589" s="362"/>
    </row>
    <row r="5590" spans="1:10" x14ac:dyDescent="0.25">
      <c r="A5590" s="362"/>
      <c r="B5590" s="609">
        <v>44455</v>
      </c>
      <c r="C5590" s="362" t="s">
        <v>166</v>
      </c>
      <c r="D5590" s="560">
        <v>101211866</v>
      </c>
      <c r="E5590" s="560"/>
      <c r="F5590" s="560"/>
      <c r="G5590" s="560">
        <f t="shared" si="120"/>
        <v>101211866</v>
      </c>
      <c r="H5590" s="362"/>
      <c r="I5590" s="362"/>
      <c r="J5590" s="362"/>
    </row>
    <row r="5591" spans="1:10" x14ac:dyDescent="0.25">
      <c r="A5591" s="362"/>
      <c r="B5591" s="609">
        <v>44455</v>
      </c>
      <c r="C5591" s="362" t="s">
        <v>3435</v>
      </c>
      <c r="D5591" s="560">
        <v>75176426</v>
      </c>
      <c r="E5591" s="560"/>
      <c r="F5591" s="560"/>
      <c r="G5591" s="560">
        <f t="shared" si="120"/>
        <v>75176426</v>
      </c>
      <c r="H5591" s="362"/>
      <c r="I5591" s="362"/>
      <c r="J5591" s="362"/>
    </row>
    <row r="5592" spans="1:10" x14ac:dyDescent="0.25">
      <c r="A5592" s="362"/>
      <c r="B5592" s="609">
        <v>44455</v>
      </c>
      <c r="C5592" s="370" t="s">
        <v>85</v>
      </c>
      <c r="D5592" s="560">
        <v>20655400</v>
      </c>
      <c r="E5592" s="560"/>
      <c r="F5592" s="560"/>
      <c r="G5592" s="560">
        <f t="shared" si="120"/>
        <v>20655400</v>
      </c>
      <c r="H5592" s="362"/>
      <c r="I5592" s="362"/>
      <c r="J5592" s="362"/>
    </row>
    <row r="5593" spans="1:10" x14ac:dyDescent="0.25">
      <c r="A5593" s="530"/>
      <c r="B5593" s="530"/>
      <c r="C5593" s="530"/>
      <c r="D5593" s="562">
        <f>SUM(D5578:D5592)</f>
        <v>1982305805</v>
      </c>
      <c r="E5593" s="562">
        <f>SUM(E5578:E5592)</f>
        <v>431689364</v>
      </c>
      <c r="F5593" s="562">
        <f>SUM(F5578:F5592)</f>
        <v>0</v>
      </c>
      <c r="G5593" s="562">
        <f>SUM(G5578:G5592)</f>
        <v>2413995169</v>
      </c>
      <c r="H5593" s="530"/>
      <c r="I5593" s="530"/>
      <c r="J5593" s="530"/>
    </row>
    <row r="5594" spans="1:10" x14ac:dyDescent="0.25">
      <c r="A5594" s="362"/>
      <c r="B5594" s="609">
        <v>44456</v>
      </c>
      <c r="C5594" s="362" t="s">
        <v>86</v>
      </c>
      <c r="D5594" s="560">
        <v>60659383</v>
      </c>
      <c r="E5594" s="560">
        <v>22428857</v>
      </c>
      <c r="F5594" s="560">
        <v>83088300</v>
      </c>
      <c r="G5594" s="560">
        <f t="shared" si="120"/>
        <v>-60</v>
      </c>
      <c r="H5594" s="362"/>
      <c r="I5594" s="362"/>
      <c r="J5594" s="362"/>
    </row>
    <row r="5595" spans="1:10" x14ac:dyDescent="0.25">
      <c r="A5595" s="362"/>
      <c r="B5595" s="609">
        <v>44456</v>
      </c>
      <c r="C5595" s="362" t="s">
        <v>87</v>
      </c>
      <c r="D5595" s="560">
        <v>87507010</v>
      </c>
      <c r="E5595" s="560">
        <v>114752118</v>
      </c>
      <c r="F5595" s="560">
        <v>202259100</v>
      </c>
      <c r="G5595" s="560">
        <f t="shared" si="120"/>
        <v>28</v>
      </c>
      <c r="H5595" s="362"/>
      <c r="I5595" s="362"/>
      <c r="J5595" s="362"/>
    </row>
    <row r="5596" spans="1:10" x14ac:dyDescent="0.25">
      <c r="A5596" s="362"/>
      <c r="B5596" s="609">
        <v>44456</v>
      </c>
      <c r="C5596" s="362" t="s">
        <v>88</v>
      </c>
      <c r="D5596" s="560">
        <v>152967367</v>
      </c>
      <c r="E5596" s="560">
        <v>90941256</v>
      </c>
      <c r="F5596" s="560">
        <v>243908700</v>
      </c>
      <c r="G5596" s="560">
        <f t="shared" si="120"/>
        <v>-77</v>
      </c>
      <c r="H5596" s="362"/>
      <c r="I5596" s="362"/>
      <c r="J5596" s="362"/>
    </row>
    <row r="5597" spans="1:10" x14ac:dyDescent="0.25">
      <c r="A5597" s="362"/>
      <c r="B5597" s="609">
        <v>44456</v>
      </c>
      <c r="C5597" s="362" t="s">
        <v>82</v>
      </c>
      <c r="D5597" s="560">
        <v>72729949</v>
      </c>
      <c r="E5597" s="560">
        <v>2070420</v>
      </c>
      <c r="F5597" s="560">
        <v>74800400</v>
      </c>
      <c r="G5597" s="560">
        <f t="shared" si="120"/>
        <v>-31</v>
      </c>
      <c r="H5597" s="362"/>
      <c r="I5597" s="362"/>
      <c r="J5597" s="362"/>
    </row>
    <row r="5598" spans="1:10" x14ac:dyDescent="0.25">
      <c r="A5598" s="362"/>
      <c r="B5598" s="609">
        <v>44456</v>
      </c>
      <c r="C5598" s="362" t="s">
        <v>80</v>
      </c>
      <c r="D5598" s="560">
        <v>317498363</v>
      </c>
      <c r="E5598" s="560">
        <v>51813600</v>
      </c>
      <c r="F5598" s="560">
        <v>369311600</v>
      </c>
      <c r="G5598" s="560">
        <f t="shared" si="120"/>
        <v>363</v>
      </c>
      <c r="H5598" s="362"/>
      <c r="I5598" s="362"/>
      <c r="J5598" s="362"/>
    </row>
    <row r="5599" spans="1:10" x14ac:dyDescent="0.25">
      <c r="A5599" s="362"/>
      <c r="B5599" s="609">
        <v>44456</v>
      </c>
      <c r="C5599" s="362" t="s">
        <v>83</v>
      </c>
      <c r="D5599" s="560">
        <v>130762076</v>
      </c>
      <c r="E5599" s="560">
        <v>85966187</v>
      </c>
      <c r="F5599" s="560">
        <v>216728300</v>
      </c>
      <c r="G5599" s="560">
        <f t="shared" si="120"/>
        <v>-37</v>
      </c>
      <c r="H5599" s="362"/>
      <c r="I5599" s="362"/>
      <c r="J5599" s="362"/>
    </row>
    <row r="5600" spans="1:10" x14ac:dyDescent="0.25">
      <c r="A5600" s="362"/>
      <c r="B5600" s="609">
        <v>44456</v>
      </c>
      <c r="C5600" s="362" t="s">
        <v>78</v>
      </c>
      <c r="D5600" s="560">
        <v>122343394</v>
      </c>
      <c r="E5600" s="560">
        <v>5347406</v>
      </c>
      <c r="F5600" s="560">
        <v>127690800</v>
      </c>
      <c r="G5600" s="560">
        <f t="shared" si="120"/>
        <v>0</v>
      </c>
      <c r="H5600" s="362"/>
      <c r="I5600" s="362"/>
      <c r="J5600" s="362"/>
    </row>
    <row r="5601" spans="1:10" x14ac:dyDescent="0.25">
      <c r="A5601" s="362"/>
      <c r="B5601" s="609">
        <v>44456</v>
      </c>
      <c r="C5601" s="362" t="s">
        <v>141</v>
      </c>
      <c r="D5601" s="560">
        <v>71583378</v>
      </c>
      <c r="E5601" s="560"/>
      <c r="F5601" s="560">
        <v>71583400</v>
      </c>
      <c r="G5601" s="560">
        <f t="shared" si="120"/>
        <v>-22</v>
      </c>
      <c r="H5601" s="362"/>
      <c r="I5601" s="362"/>
      <c r="J5601" s="362"/>
    </row>
    <row r="5602" spans="1:10" x14ac:dyDescent="0.25">
      <c r="A5602" s="362"/>
      <c r="B5602" s="609">
        <v>44456</v>
      </c>
      <c r="C5602" s="362" t="s">
        <v>89</v>
      </c>
      <c r="D5602" s="560">
        <v>131580591</v>
      </c>
      <c r="E5602" s="560">
        <v>49918309</v>
      </c>
      <c r="F5602" s="560">
        <v>181494900</v>
      </c>
      <c r="G5602" s="560">
        <f t="shared" si="120"/>
        <v>4000</v>
      </c>
      <c r="H5602" s="362"/>
      <c r="I5602" s="362"/>
      <c r="J5602" s="362"/>
    </row>
    <row r="5603" spans="1:10" x14ac:dyDescent="0.25">
      <c r="A5603" s="362"/>
      <c r="B5603" s="609">
        <v>44456</v>
      </c>
      <c r="C5603" s="362" t="s">
        <v>81</v>
      </c>
      <c r="D5603" s="560">
        <v>62350211</v>
      </c>
      <c r="E5603" s="560">
        <v>9426180</v>
      </c>
      <c r="F5603" s="560">
        <v>71776400</v>
      </c>
      <c r="G5603" s="560">
        <f t="shared" si="120"/>
        <v>-9</v>
      </c>
      <c r="H5603" s="362"/>
      <c r="I5603" s="362"/>
      <c r="J5603" s="362"/>
    </row>
    <row r="5604" spans="1:10" x14ac:dyDescent="0.25">
      <c r="A5604" s="362"/>
      <c r="B5604" s="609">
        <v>44456</v>
      </c>
      <c r="C5604" s="362" t="s">
        <v>84</v>
      </c>
      <c r="D5604" s="560">
        <v>156119667</v>
      </c>
      <c r="E5604" s="560">
        <v>6743786</v>
      </c>
      <c r="F5604" s="560">
        <v>162863500</v>
      </c>
      <c r="G5604" s="560">
        <f t="shared" si="120"/>
        <v>-47</v>
      </c>
      <c r="H5604" s="362"/>
      <c r="I5604" s="362"/>
      <c r="J5604" s="362"/>
    </row>
    <row r="5605" spans="1:10" x14ac:dyDescent="0.25">
      <c r="A5605" s="362"/>
      <c r="B5605" s="609">
        <v>44456</v>
      </c>
      <c r="C5605" s="362" t="s">
        <v>4751</v>
      </c>
      <c r="D5605" s="560">
        <v>163279116</v>
      </c>
      <c r="E5605" s="560">
        <v>26673284</v>
      </c>
      <c r="F5605" s="560">
        <v>189952400</v>
      </c>
      <c r="G5605" s="560">
        <f t="shared" si="120"/>
        <v>0</v>
      </c>
      <c r="H5605" s="362"/>
      <c r="I5605" s="362"/>
      <c r="J5605" s="362"/>
    </row>
    <row r="5606" spans="1:10" x14ac:dyDescent="0.25">
      <c r="A5606" s="362"/>
      <c r="B5606" s="609">
        <v>44456</v>
      </c>
      <c r="C5606" s="362" t="s">
        <v>166</v>
      </c>
      <c r="D5606" s="560">
        <v>34095468</v>
      </c>
      <c r="E5606" s="560"/>
      <c r="F5606" s="560">
        <v>34095500</v>
      </c>
      <c r="G5606" s="560">
        <f t="shared" si="120"/>
        <v>-32</v>
      </c>
      <c r="H5606" s="362"/>
      <c r="I5606" s="362"/>
      <c r="J5606" s="362"/>
    </row>
    <row r="5607" spans="1:10" x14ac:dyDescent="0.25">
      <c r="A5607" s="362"/>
      <c r="B5607" s="609">
        <v>44456</v>
      </c>
      <c r="C5607" s="362" t="s">
        <v>3435</v>
      </c>
      <c r="D5607" s="560">
        <v>86982863</v>
      </c>
      <c r="E5607" s="560"/>
      <c r="F5607" s="560">
        <v>86982900</v>
      </c>
      <c r="G5607" s="560">
        <f t="shared" si="120"/>
        <v>-37</v>
      </c>
      <c r="H5607" s="362"/>
      <c r="I5607" s="362"/>
      <c r="J5607" s="362"/>
    </row>
    <row r="5608" spans="1:10" x14ac:dyDescent="0.25">
      <c r="A5608" s="362"/>
      <c r="B5608" s="609">
        <v>44456</v>
      </c>
      <c r="C5608" s="370" t="s">
        <v>85</v>
      </c>
      <c r="D5608" s="560">
        <v>24079400</v>
      </c>
      <c r="E5608" s="560"/>
      <c r="F5608" s="560">
        <v>24079400</v>
      </c>
      <c r="G5608" s="560">
        <f t="shared" si="120"/>
        <v>0</v>
      </c>
      <c r="H5608" s="362"/>
      <c r="I5608" s="362"/>
      <c r="J5608" s="362"/>
    </row>
    <row r="5609" spans="1:10" x14ac:dyDescent="0.25">
      <c r="A5609" s="530"/>
      <c r="B5609" s="530"/>
      <c r="C5609" s="530"/>
      <c r="D5609" s="562">
        <f>SUM(D5594:D5608)</f>
        <v>1674538236</v>
      </c>
      <c r="E5609" s="562">
        <f>SUM(E5594:E5608)</f>
        <v>466081403</v>
      </c>
      <c r="F5609" s="562">
        <f>SUM(F5594:F5608)</f>
        <v>2140615600</v>
      </c>
      <c r="G5609" s="562">
        <f>SUM(G5594:G5608)</f>
        <v>4039</v>
      </c>
      <c r="H5609" s="530"/>
      <c r="I5609" s="530"/>
      <c r="J5609" s="530"/>
    </row>
    <row r="5610" spans="1:10" x14ac:dyDescent="0.25">
      <c r="A5610" s="362"/>
      <c r="B5610" s="609">
        <v>44457</v>
      </c>
      <c r="C5610" s="362" t="s">
        <v>86</v>
      </c>
      <c r="D5610" s="560">
        <v>75960880</v>
      </c>
      <c r="E5610" s="560">
        <v>9248529</v>
      </c>
      <c r="F5610" s="560">
        <v>85209400</v>
      </c>
      <c r="G5610" s="560">
        <f t="shared" si="120"/>
        <v>9</v>
      </c>
      <c r="H5610" s="362"/>
      <c r="I5610" s="362"/>
      <c r="J5610" s="362"/>
    </row>
    <row r="5611" spans="1:10" x14ac:dyDescent="0.25">
      <c r="A5611" s="362"/>
      <c r="B5611" s="609">
        <v>44457</v>
      </c>
      <c r="C5611" s="362" t="s">
        <v>87</v>
      </c>
      <c r="D5611" s="560">
        <v>97659136</v>
      </c>
      <c r="E5611" s="560">
        <v>43506826</v>
      </c>
      <c r="F5611" s="560">
        <f>113154500+28009400</f>
        <v>141163900</v>
      </c>
      <c r="G5611" s="560">
        <f t="shared" si="120"/>
        <v>2062</v>
      </c>
      <c r="H5611" s="362"/>
      <c r="I5611" s="362"/>
      <c r="J5611" s="362"/>
    </row>
    <row r="5612" spans="1:10" x14ac:dyDescent="0.25">
      <c r="A5612" s="362"/>
      <c r="B5612" s="609">
        <v>44457</v>
      </c>
      <c r="C5612" s="362" t="s">
        <v>88</v>
      </c>
      <c r="D5612" s="560">
        <v>348104489</v>
      </c>
      <c r="E5612" s="560">
        <v>11439568</v>
      </c>
      <c r="F5612" s="560">
        <v>359544100</v>
      </c>
      <c r="G5612" s="560">
        <f t="shared" si="120"/>
        <v>-43</v>
      </c>
      <c r="H5612" s="560"/>
      <c r="I5612" s="362"/>
      <c r="J5612" s="362"/>
    </row>
    <row r="5613" spans="1:10" x14ac:dyDescent="0.25">
      <c r="A5613" s="362"/>
      <c r="B5613" s="609">
        <v>44457</v>
      </c>
      <c r="C5613" s="362" t="s">
        <v>82</v>
      </c>
      <c r="D5613" s="560">
        <v>36914781</v>
      </c>
      <c r="E5613" s="560">
        <v>8782110</v>
      </c>
      <c r="F5613" s="560">
        <v>45696900</v>
      </c>
      <c r="G5613" s="560">
        <f t="shared" si="120"/>
        <v>-9</v>
      </c>
      <c r="H5613" s="560"/>
      <c r="I5613" s="362"/>
      <c r="J5613" s="362"/>
    </row>
    <row r="5614" spans="1:10" x14ac:dyDescent="0.25">
      <c r="A5614" s="362"/>
      <c r="B5614" s="609">
        <v>44457</v>
      </c>
      <c r="C5614" s="362" t="s">
        <v>80</v>
      </c>
      <c r="D5614" s="560">
        <v>270268560</v>
      </c>
      <c r="E5614" s="560">
        <v>46223340</v>
      </c>
      <c r="F5614" s="560">
        <v>316491900</v>
      </c>
      <c r="G5614" s="560">
        <f t="shared" si="120"/>
        <v>0</v>
      </c>
      <c r="H5614" s="560"/>
      <c r="I5614" s="362"/>
      <c r="J5614" s="362"/>
    </row>
    <row r="5615" spans="1:10" x14ac:dyDescent="0.25">
      <c r="A5615" s="362"/>
      <c r="B5615" s="609">
        <v>44457</v>
      </c>
      <c r="C5615" s="362" t="s">
        <v>83</v>
      </c>
      <c r="D5615" s="560">
        <v>222779643</v>
      </c>
      <c r="E5615" s="560">
        <v>116815274</v>
      </c>
      <c r="F5615" s="560">
        <v>339595000</v>
      </c>
      <c r="G5615" s="560">
        <f t="shared" si="120"/>
        <v>-83</v>
      </c>
      <c r="H5615" s="560"/>
      <c r="I5615" s="362"/>
      <c r="J5615" s="362"/>
    </row>
    <row r="5616" spans="1:10" x14ac:dyDescent="0.25">
      <c r="A5616" s="362"/>
      <c r="B5616" s="609">
        <v>44457</v>
      </c>
      <c r="C5616" s="362" t="s">
        <v>78</v>
      </c>
      <c r="D5616" s="560">
        <v>163947693</v>
      </c>
      <c r="E5616" s="560">
        <v>8699507</v>
      </c>
      <c r="F5616" s="560">
        <v>172647200</v>
      </c>
      <c r="G5616" s="560">
        <f t="shared" si="120"/>
        <v>0</v>
      </c>
      <c r="H5616" s="560"/>
      <c r="I5616" s="362"/>
      <c r="J5616" s="362"/>
    </row>
    <row r="5617" spans="1:10" x14ac:dyDescent="0.25">
      <c r="A5617" s="362"/>
      <c r="B5617" s="609">
        <v>44457</v>
      </c>
      <c r="C5617" s="362" t="s">
        <v>141</v>
      </c>
      <c r="D5617" s="560">
        <v>38660141</v>
      </c>
      <c r="E5617" s="560"/>
      <c r="F5617" s="560">
        <v>38660200</v>
      </c>
      <c r="G5617" s="560">
        <f t="shared" si="120"/>
        <v>-59</v>
      </c>
      <c r="H5617" s="560"/>
      <c r="I5617" s="362"/>
      <c r="J5617" s="362"/>
    </row>
    <row r="5618" spans="1:10" x14ac:dyDescent="0.25">
      <c r="A5618" s="362"/>
      <c r="B5618" s="609">
        <v>44457</v>
      </c>
      <c r="C5618" s="362" t="s">
        <v>89</v>
      </c>
      <c r="D5618" s="560">
        <v>88351740</v>
      </c>
      <c r="E5618" s="560">
        <v>67956960</v>
      </c>
      <c r="F5618" s="560">
        <v>156308600</v>
      </c>
      <c r="G5618" s="560">
        <f t="shared" si="120"/>
        <v>100</v>
      </c>
      <c r="H5618" s="560"/>
      <c r="I5618" s="362"/>
      <c r="J5618" s="362"/>
    </row>
    <row r="5619" spans="1:10" x14ac:dyDescent="0.25">
      <c r="A5619" s="362"/>
      <c r="B5619" s="609">
        <v>44457</v>
      </c>
      <c r="C5619" s="362" t="s">
        <v>81</v>
      </c>
      <c r="D5619" s="560">
        <v>88283281</v>
      </c>
      <c r="E5619" s="560">
        <v>29573389</v>
      </c>
      <c r="F5619" s="560">
        <f>47082200+70774500</f>
        <v>117856700</v>
      </c>
      <c r="G5619" s="560">
        <f t="shared" si="120"/>
        <v>-30</v>
      </c>
      <c r="H5619" s="560"/>
      <c r="I5619" s="362"/>
      <c r="J5619" s="362"/>
    </row>
    <row r="5620" spans="1:10" x14ac:dyDescent="0.25">
      <c r="A5620" s="362"/>
      <c r="B5620" s="609">
        <v>44457</v>
      </c>
      <c r="C5620" s="362" t="s">
        <v>84</v>
      </c>
      <c r="D5620" s="560">
        <v>207818561</v>
      </c>
      <c r="E5620" s="560">
        <v>7591210</v>
      </c>
      <c r="F5620" s="560">
        <v>215409800</v>
      </c>
      <c r="G5620" s="560">
        <f t="shared" si="120"/>
        <v>-29</v>
      </c>
      <c r="H5620" s="560"/>
      <c r="I5620" s="362"/>
      <c r="J5620" s="362"/>
    </row>
    <row r="5621" spans="1:10" x14ac:dyDescent="0.25">
      <c r="A5621" s="362"/>
      <c r="B5621" s="609">
        <v>44457</v>
      </c>
      <c r="C5621" s="362" t="s">
        <v>4751</v>
      </c>
      <c r="D5621" s="560">
        <v>178864922</v>
      </c>
      <c r="E5621" s="560">
        <v>7103578</v>
      </c>
      <c r="F5621" s="560">
        <v>185968500</v>
      </c>
      <c r="G5621" s="560">
        <f t="shared" si="120"/>
        <v>0</v>
      </c>
      <c r="H5621" s="560"/>
      <c r="I5621" s="362"/>
      <c r="J5621" s="362"/>
    </row>
    <row r="5622" spans="1:10" x14ac:dyDescent="0.25">
      <c r="A5622" s="362"/>
      <c r="B5622" s="609">
        <v>44457</v>
      </c>
      <c r="C5622" s="362" t="s">
        <v>166</v>
      </c>
      <c r="D5622" s="560"/>
      <c r="E5622" s="560"/>
      <c r="F5622" s="560"/>
      <c r="G5622" s="560">
        <f t="shared" si="120"/>
        <v>0</v>
      </c>
      <c r="H5622" s="560"/>
      <c r="I5622" s="362"/>
      <c r="J5622" s="362"/>
    </row>
    <row r="5623" spans="1:10" x14ac:dyDescent="0.25">
      <c r="A5623" s="362"/>
      <c r="B5623" s="609">
        <v>44457</v>
      </c>
      <c r="C5623" s="362" t="s">
        <v>3435</v>
      </c>
      <c r="D5623" s="560"/>
      <c r="E5623" s="560"/>
      <c r="F5623" s="560"/>
      <c r="G5623" s="560">
        <f t="shared" si="120"/>
        <v>0</v>
      </c>
      <c r="H5623" s="560"/>
      <c r="I5623" s="362"/>
      <c r="J5623" s="362"/>
    </row>
    <row r="5624" spans="1:10" x14ac:dyDescent="0.25">
      <c r="A5624" s="362"/>
      <c r="B5624" s="609">
        <v>44457</v>
      </c>
      <c r="C5624" s="370" t="s">
        <v>85</v>
      </c>
      <c r="D5624" s="560">
        <v>25798900</v>
      </c>
      <c r="E5624" s="560"/>
      <c r="F5624" s="560">
        <v>25798900</v>
      </c>
      <c r="G5624" s="560">
        <f t="shared" si="120"/>
        <v>0</v>
      </c>
      <c r="H5624" s="560"/>
      <c r="I5624" s="362"/>
      <c r="J5624" s="362"/>
    </row>
    <row r="5625" spans="1:10" x14ac:dyDescent="0.25">
      <c r="A5625" s="530"/>
      <c r="B5625" s="530"/>
      <c r="C5625" s="530"/>
      <c r="D5625" s="562">
        <f>SUM(D5610:D5624)</f>
        <v>1843412727</v>
      </c>
      <c r="E5625" s="562">
        <f>SUM(E5610:E5624)</f>
        <v>356940291</v>
      </c>
      <c r="F5625" s="562">
        <f>SUM(F5610:F5624)</f>
        <v>2200351100</v>
      </c>
      <c r="G5625" s="562">
        <f>SUM(G5610:G5624)</f>
        <v>1918</v>
      </c>
      <c r="H5625" s="562"/>
      <c r="I5625" s="530"/>
      <c r="J5625" s="530"/>
    </row>
    <row r="5626" spans="1:10" x14ac:dyDescent="0.25">
      <c r="A5626" s="362"/>
      <c r="B5626" s="609">
        <v>44459</v>
      </c>
      <c r="C5626" s="362" t="s">
        <v>86</v>
      </c>
      <c r="D5626" s="560">
        <v>56337739</v>
      </c>
      <c r="E5626" s="560">
        <v>85440092</v>
      </c>
      <c r="F5626" s="560"/>
      <c r="G5626" s="560">
        <f t="shared" si="120"/>
        <v>141777831</v>
      </c>
      <c r="H5626" s="560"/>
      <c r="I5626" s="362"/>
      <c r="J5626" s="362"/>
    </row>
    <row r="5627" spans="1:10" x14ac:dyDescent="0.25">
      <c r="A5627" s="362"/>
      <c r="B5627" s="609">
        <v>44459</v>
      </c>
      <c r="C5627" s="362" t="s">
        <v>87</v>
      </c>
      <c r="D5627" s="560">
        <v>106960461</v>
      </c>
      <c r="E5627" s="560">
        <v>11890655</v>
      </c>
      <c r="F5627" s="560"/>
      <c r="G5627" s="560">
        <f t="shared" si="120"/>
        <v>118851116</v>
      </c>
      <c r="H5627" s="560"/>
      <c r="I5627" s="362"/>
      <c r="J5627" s="362"/>
    </row>
    <row r="5628" spans="1:10" x14ac:dyDescent="0.25">
      <c r="A5628" s="362"/>
      <c r="B5628" s="609">
        <v>44459</v>
      </c>
      <c r="C5628" s="362" t="s">
        <v>88</v>
      </c>
      <c r="D5628" s="560">
        <v>141605005</v>
      </c>
      <c r="E5628" s="560">
        <v>58404092</v>
      </c>
      <c r="F5628" s="560"/>
      <c r="G5628" s="560">
        <f t="shared" si="120"/>
        <v>200009097</v>
      </c>
      <c r="H5628" s="560"/>
      <c r="I5628" s="362"/>
      <c r="J5628" s="362"/>
    </row>
    <row r="5629" spans="1:10" x14ac:dyDescent="0.25">
      <c r="A5629" s="362"/>
      <c r="B5629" s="609">
        <v>44459</v>
      </c>
      <c r="C5629" s="362" t="s">
        <v>82</v>
      </c>
      <c r="D5629" s="560">
        <v>47967832</v>
      </c>
      <c r="E5629" s="560">
        <v>2275248</v>
      </c>
      <c r="F5629" s="560"/>
      <c r="G5629" s="560">
        <f t="shared" si="120"/>
        <v>50243080</v>
      </c>
      <c r="H5629" s="560"/>
      <c r="I5629" s="362"/>
      <c r="J5629" s="362"/>
    </row>
    <row r="5630" spans="1:10" x14ac:dyDescent="0.25">
      <c r="A5630" s="362"/>
      <c r="B5630" s="609">
        <v>44459</v>
      </c>
      <c r="C5630" s="362" t="s">
        <v>80</v>
      </c>
      <c r="D5630" s="560">
        <v>240773700</v>
      </c>
      <c r="E5630" s="560"/>
      <c r="F5630" s="560"/>
      <c r="G5630" s="560">
        <f t="shared" si="120"/>
        <v>240773700</v>
      </c>
      <c r="H5630" s="560"/>
      <c r="I5630" s="362"/>
      <c r="J5630" s="362"/>
    </row>
    <row r="5631" spans="1:10" x14ac:dyDescent="0.25">
      <c r="A5631" s="362"/>
      <c r="B5631" s="609">
        <v>44459</v>
      </c>
      <c r="C5631" s="362" t="s">
        <v>83</v>
      </c>
      <c r="D5631" s="560">
        <v>217548078</v>
      </c>
      <c r="E5631" s="560">
        <v>118106665</v>
      </c>
      <c r="F5631" s="560"/>
      <c r="G5631" s="560">
        <f t="shared" si="120"/>
        <v>335654743</v>
      </c>
      <c r="H5631" s="560"/>
      <c r="I5631" s="362"/>
      <c r="J5631" s="362"/>
    </row>
    <row r="5632" spans="1:10" x14ac:dyDescent="0.25">
      <c r="A5632" s="362"/>
      <c r="B5632" s="609">
        <v>44459</v>
      </c>
      <c r="C5632" s="362" t="s">
        <v>78</v>
      </c>
      <c r="D5632" s="560">
        <v>195039167</v>
      </c>
      <c r="E5632" s="560">
        <v>768733</v>
      </c>
      <c r="F5632" s="560"/>
      <c r="G5632" s="560">
        <f t="shared" si="120"/>
        <v>195807900</v>
      </c>
      <c r="H5632" s="560"/>
      <c r="I5632" s="362"/>
      <c r="J5632" s="362"/>
    </row>
    <row r="5633" spans="1:10" x14ac:dyDescent="0.25">
      <c r="A5633" s="362"/>
      <c r="B5633" s="609">
        <v>44459</v>
      </c>
      <c r="C5633" s="362" t="s">
        <v>141</v>
      </c>
      <c r="D5633" s="560">
        <v>48000974</v>
      </c>
      <c r="E5633" s="560">
        <v>18486927</v>
      </c>
      <c r="F5633" s="560"/>
      <c r="G5633" s="560">
        <f t="shared" si="120"/>
        <v>66487901</v>
      </c>
      <c r="H5633" s="560"/>
      <c r="I5633" s="362"/>
      <c r="J5633" s="362"/>
    </row>
    <row r="5634" spans="1:10" x14ac:dyDescent="0.25">
      <c r="A5634" s="362"/>
      <c r="B5634" s="609">
        <v>44459</v>
      </c>
      <c r="C5634" s="362" t="s">
        <v>89</v>
      </c>
      <c r="D5634" s="560">
        <v>154695478</v>
      </c>
      <c r="E5634" s="560">
        <v>105290122</v>
      </c>
      <c r="F5634" s="560"/>
      <c r="G5634" s="560">
        <f t="shared" si="120"/>
        <v>259985600</v>
      </c>
      <c r="H5634" s="560"/>
      <c r="I5634" s="362"/>
      <c r="J5634" s="362"/>
    </row>
    <row r="5635" spans="1:10" x14ac:dyDescent="0.25">
      <c r="A5635" s="362"/>
      <c r="B5635" s="609">
        <v>44459</v>
      </c>
      <c r="C5635" s="362" t="s">
        <v>81</v>
      </c>
      <c r="D5635" s="560">
        <v>124676057</v>
      </c>
      <c r="E5635" s="560">
        <v>13788675</v>
      </c>
      <c r="F5635" s="560"/>
      <c r="G5635" s="560">
        <f t="shared" si="120"/>
        <v>138464732</v>
      </c>
      <c r="H5635" s="560"/>
      <c r="I5635" s="362"/>
      <c r="J5635" s="362"/>
    </row>
    <row r="5636" spans="1:10" x14ac:dyDescent="0.25">
      <c r="A5636" s="362"/>
      <c r="B5636" s="609">
        <v>44459</v>
      </c>
      <c r="C5636" s="362" t="s">
        <v>84</v>
      </c>
      <c r="D5636" s="560">
        <v>265180793</v>
      </c>
      <c r="E5636" s="560">
        <v>8728654</v>
      </c>
      <c r="F5636" s="560"/>
      <c r="G5636" s="560">
        <f t="shared" si="120"/>
        <v>273909447</v>
      </c>
      <c r="H5636" s="560"/>
      <c r="I5636" s="362"/>
      <c r="J5636" s="362"/>
    </row>
    <row r="5637" spans="1:10" x14ac:dyDescent="0.25">
      <c r="A5637" s="362"/>
      <c r="B5637" s="609">
        <v>44459</v>
      </c>
      <c r="C5637" s="362" t="s">
        <v>4751</v>
      </c>
      <c r="D5637" s="560">
        <v>221270541</v>
      </c>
      <c r="E5637" s="560">
        <v>12411959</v>
      </c>
      <c r="F5637" s="560"/>
      <c r="G5637" s="560">
        <f t="shared" si="120"/>
        <v>233682500</v>
      </c>
      <c r="H5637" s="560"/>
      <c r="I5637" s="362"/>
      <c r="J5637" s="362"/>
    </row>
    <row r="5638" spans="1:10" x14ac:dyDescent="0.25">
      <c r="A5638" s="362"/>
      <c r="B5638" s="609">
        <v>44459</v>
      </c>
      <c r="C5638" s="362" t="s">
        <v>166</v>
      </c>
      <c r="D5638" s="560">
        <v>57984884</v>
      </c>
      <c r="E5638" s="560"/>
      <c r="F5638" s="560"/>
      <c r="G5638" s="560">
        <f t="shared" si="120"/>
        <v>57984884</v>
      </c>
      <c r="H5638" s="560"/>
      <c r="I5638" s="362"/>
      <c r="J5638" s="362"/>
    </row>
    <row r="5639" spans="1:10" x14ac:dyDescent="0.25">
      <c r="A5639" s="362"/>
      <c r="B5639" s="609">
        <v>44459</v>
      </c>
      <c r="C5639" s="362" t="s">
        <v>3435</v>
      </c>
      <c r="D5639" s="560">
        <v>43362954</v>
      </c>
      <c r="E5639" s="560"/>
      <c r="F5639" s="560"/>
      <c r="G5639" s="560">
        <f t="shared" si="120"/>
        <v>43362954</v>
      </c>
      <c r="H5639" s="560"/>
      <c r="I5639" s="362"/>
      <c r="J5639" s="362"/>
    </row>
    <row r="5640" spans="1:10" x14ac:dyDescent="0.25">
      <c r="A5640" s="362"/>
      <c r="B5640" s="609">
        <v>44459</v>
      </c>
      <c r="C5640" s="370" t="s">
        <v>85</v>
      </c>
      <c r="D5640" s="560">
        <v>61207900</v>
      </c>
      <c r="E5640" s="560"/>
      <c r="F5640" s="560"/>
      <c r="G5640" s="560">
        <f t="shared" si="120"/>
        <v>61207900</v>
      </c>
      <c r="H5640" s="560"/>
      <c r="I5640" s="362"/>
      <c r="J5640" s="362"/>
    </row>
    <row r="5641" spans="1:10" x14ac:dyDescent="0.25">
      <c r="A5641" s="530"/>
      <c r="B5641" s="530"/>
      <c r="C5641" s="530"/>
      <c r="D5641" s="562">
        <f>SUM(D5626:D5640)</f>
        <v>1982611563</v>
      </c>
      <c r="E5641" s="562">
        <f>SUM(E5626:E5640)</f>
        <v>435591822</v>
      </c>
      <c r="F5641" s="562">
        <f>SUM(F5626:F5640)</f>
        <v>0</v>
      </c>
      <c r="G5641" s="562">
        <f>SUM(G5626:G5640)</f>
        <v>2418203385</v>
      </c>
      <c r="H5641" s="562"/>
      <c r="I5641" s="530"/>
      <c r="J5641" s="530"/>
    </row>
    <row r="5642" spans="1:10" x14ac:dyDescent="0.25">
      <c r="A5642" s="362"/>
      <c r="B5642" s="609">
        <v>44460</v>
      </c>
      <c r="C5642" s="362" t="s">
        <v>86</v>
      </c>
      <c r="D5642" s="560">
        <v>80994730</v>
      </c>
      <c r="E5642" s="560">
        <v>50540266</v>
      </c>
      <c r="F5642" s="560">
        <v>131535500</v>
      </c>
      <c r="G5642" s="560">
        <f t="shared" si="120"/>
        <v>-504</v>
      </c>
      <c r="H5642" s="560"/>
      <c r="I5642" s="362"/>
      <c r="J5642" s="362"/>
    </row>
    <row r="5643" spans="1:10" x14ac:dyDescent="0.25">
      <c r="A5643" s="362"/>
      <c r="B5643" s="609">
        <v>44460</v>
      </c>
      <c r="C5643" s="362" t="s">
        <v>87</v>
      </c>
      <c r="D5643" s="560">
        <v>90691442</v>
      </c>
      <c r="E5643" s="560">
        <v>99454359</v>
      </c>
      <c r="F5643" s="560">
        <v>190145900</v>
      </c>
      <c r="G5643" s="560">
        <f t="shared" si="120"/>
        <v>-99</v>
      </c>
      <c r="H5643" s="560"/>
      <c r="I5643" s="362"/>
      <c r="J5643" s="362"/>
    </row>
    <row r="5644" spans="1:10" x14ac:dyDescent="0.25">
      <c r="A5644" s="362"/>
      <c r="B5644" s="609">
        <v>44460</v>
      </c>
      <c r="C5644" s="362" t="s">
        <v>88</v>
      </c>
      <c r="D5644" s="560">
        <v>144622196</v>
      </c>
      <c r="E5644" s="560">
        <v>118087100</v>
      </c>
      <c r="F5644" s="560">
        <v>262709400</v>
      </c>
      <c r="G5644" s="560">
        <f t="shared" ref="G5644:G5707" si="121">D5644+E5644-F5644</f>
        <v>-104</v>
      </c>
      <c r="H5644" s="560"/>
      <c r="I5644" s="362"/>
      <c r="J5644" s="362"/>
    </row>
    <row r="5645" spans="1:10" x14ac:dyDescent="0.25">
      <c r="A5645" s="362"/>
      <c r="B5645" s="609">
        <v>44460</v>
      </c>
      <c r="C5645" s="362" t="s">
        <v>82</v>
      </c>
      <c r="D5645" s="560">
        <v>68889914</v>
      </c>
      <c r="E5645" s="560">
        <v>12721504</v>
      </c>
      <c r="F5645" s="560">
        <v>81611500</v>
      </c>
      <c r="G5645" s="560">
        <f t="shared" si="121"/>
        <v>-82</v>
      </c>
      <c r="H5645" s="560"/>
      <c r="I5645" s="362"/>
      <c r="J5645" s="362"/>
    </row>
    <row r="5646" spans="1:10" x14ac:dyDescent="0.25">
      <c r="A5646" s="362"/>
      <c r="B5646" s="609">
        <v>44460</v>
      </c>
      <c r="C5646" s="362" t="s">
        <v>80</v>
      </c>
      <c r="D5646" s="560">
        <v>245274177</v>
      </c>
      <c r="E5646" s="560"/>
      <c r="F5646" s="560">
        <v>245307200</v>
      </c>
      <c r="G5646" s="560">
        <f t="shared" si="121"/>
        <v>-33023</v>
      </c>
      <c r="H5646" s="560"/>
      <c r="I5646" s="362"/>
      <c r="J5646" s="362"/>
    </row>
    <row r="5647" spans="1:10" x14ac:dyDescent="0.25">
      <c r="A5647" s="362"/>
      <c r="B5647" s="609">
        <v>44460</v>
      </c>
      <c r="C5647" s="362" t="s">
        <v>83</v>
      </c>
      <c r="D5647" s="560">
        <v>262750503</v>
      </c>
      <c r="E5647" s="560">
        <v>136398325</v>
      </c>
      <c r="F5647" s="560">
        <v>399148800</v>
      </c>
      <c r="G5647" s="560">
        <f t="shared" si="121"/>
        <v>28</v>
      </c>
      <c r="H5647" s="560"/>
      <c r="I5647" s="362"/>
      <c r="J5647" s="362"/>
    </row>
    <row r="5648" spans="1:10" x14ac:dyDescent="0.25">
      <c r="A5648" s="362"/>
      <c r="B5648" s="609">
        <v>44460</v>
      </c>
      <c r="C5648" s="362" t="s">
        <v>78</v>
      </c>
      <c r="D5648" s="560">
        <v>88975753</v>
      </c>
      <c r="E5648" s="560">
        <v>1515547</v>
      </c>
      <c r="F5648" s="560">
        <v>90491300</v>
      </c>
      <c r="G5648" s="560">
        <f t="shared" si="121"/>
        <v>0</v>
      </c>
      <c r="H5648" s="560"/>
      <c r="I5648" s="362"/>
      <c r="J5648" s="362"/>
    </row>
    <row r="5649" spans="1:10" x14ac:dyDescent="0.25">
      <c r="A5649" s="362"/>
      <c r="B5649" s="609">
        <v>44460</v>
      </c>
      <c r="C5649" s="362" t="s">
        <v>141</v>
      </c>
      <c r="D5649" s="560">
        <v>83070819</v>
      </c>
      <c r="E5649" s="560">
        <v>245434</v>
      </c>
      <c r="F5649" s="560">
        <v>83315300</v>
      </c>
      <c r="G5649" s="560">
        <f t="shared" si="121"/>
        <v>953</v>
      </c>
      <c r="H5649" s="560"/>
      <c r="I5649" s="362"/>
      <c r="J5649" s="362"/>
    </row>
    <row r="5650" spans="1:10" x14ac:dyDescent="0.25">
      <c r="A5650" s="362"/>
      <c r="B5650" s="609">
        <v>44460</v>
      </c>
      <c r="C5650" s="362" t="s">
        <v>89</v>
      </c>
      <c r="D5650" s="560">
        <v>172230144</v>
      </c>
      <c r="E5650" s="560">
        <v>47588556</v>
      </c>
      <c r="F5650" s="560">
        <v>219819000</v>
      </c>
      <c r="G5650" s="560">
        <f t="shared" si="121"/>
        <v>-300</v>
      </c>
      <c r="H5650" s="560"/>
      <c r="I5650" s="362"/>
      <c r="J5650" s="362"/>
    </row>
    <row r="5651" spans="1:10" x14ac:dyDescent="0.25">
      <c r="A5651" s="362"/>
      <c r="B5651" s="609">
        <v>44460</v>
      </c>
      <c r="C5651" s="362" t="s">
        <v>81</v>
      </c>
      <c r="D5651" s="560">
        <v>102757618</v>
      </c>
      <c r="E5651" s="560">
        <v>10526608</v>
      </c>
      <c r="F5651" s="560">
        <v>113284300</v>
      </c>
      <c r="G5651" s="560">
        <f t="shared" si="121"/>
        <v>-74</v>
      </c>
      <c r="H5651" s="560"/>
      <c r="I5651" s="362"/>
      <c r="J5651" s="362"/>
    </row>
    <row r="5652" spans="1:10" x14ac:dyDescent="0.25">
      <c r="A5652" s="362"/>
      <c r="B5652" s="609">
        <v>44460</v>
      </c>
      <c r="C5652" s="362" t="s">
        <v>84</v>
      </c>
      <c r="D5652" s="560">
        <v>243372295</v>
      </c>
      <c r="E5652" s="560">
        <v>10586956</v>
      </c>
      <c r="F5652" s="560">
        <v>253959300</v>
      </c>
      <c r="G5652" s="560">
        <f t="shared" si="121"/>
        <v>-49</v>
      </c>
      <c r="H5652" s="560"/>
      <c r="I5652" s="362"/>
      <c r="J5652" s="362"/>
    </row>
    <row r="5653" spans="1:10" x14ac:dyDescent="0.25">
      <c r="A5653" s="362"/>
      <c r="B5653" s="609">
        <v>44460</v>
      </c>
      <c r="C5653" s="362" t="s">
        <v>4751</v>
      </c>
      <c r="D5653" s="560">
        <v>192020111</v>
      </c>
      <c r="E5653" s="560">
        <v>15249589</v>
      </c>
      <c r="F5653" s="560">
        <v>207268700</v>
      </c>
      <c r="G5653" s="560">
        <f t="shared" si="121"/>
        <v>1000</v>
      </c>
      <c r="H5653" s="560"/>
      <c r="I5653" s="362"/>
      <c r="J5653" s="362"/>
    </row>
    <row r="5654" spans="1:10" x14ac:dyDescent="0.25">
      <c r="A5654" s="362"/>
      <c r="B5654" s="609">
        <v>44460</v>
      </c>
      <c r="C5654" s="362" t="s">
        <v>166</v>
      </c>
      <c r="D5654" s="560">
        <v>67819132</v>
      </c>
      <c r="E5654" s="560"/>
      <c r="F5654" s="560">
        <v>67819200</v>
      </c>
      <c r="G5654" s="560">
        <f t="shared" si="121"/>
        <v>-68</v>
      </c>
      <c r="H5654" s="560"/>
      <c r="I5654" s="362"/>
      <c r="J5654" s="362"/>
    </row>
    <row r="5655" spans="1:10" x14ac:dyDescent="0.25">
      <c r="A5655" s="362"/>
      <c r="B5655" s="609">
        <v>44460</v>
      </c>
      <c r="C5655" s="362" t="s">
        <v>3435</v>
      </c>
      <c r="D5655" s="560">
        <v>101437156</v>
      </c>
      <c r="E5655" s="560"/>
      <c r="F5655" s="560">
        <v>101437200</v>
      </c>
      <c r="G5655" s="560">
        <f t="shared" si="121"/>
        <v>-44</v>
      </c>
      <c r="H5655" s="560"/>
      <c r="I5655" s="362"/>
      <c r="J5655" s="362"/>
    </row>
    <row r="5656" spans="1:10" x14ac:dyDescent="0.25">
      <c r="A5656" s="362"/>
      <c r="B5656" s="609">
        <v>44460</v>
      </c>
      <c r="C5656" s="370" t="s">
        <v>85</v>
      </c>
      <c r="D5656" s="560">
        <v>30807800</v>
      </c>
      <c r="E5656" s="560"/>
      <c r="F5656" s="560">
        <v>30807800</v>
      </c>
      <c r="G5656" s="560">
        <f t="shared" si="121"/>
        <v>0</v>
      </c>
      <c r="H5656" s="560"/>
      <c r="I5656" s="362"/>
      <c r="J5656" s="362"/>
    </row>
    <row r="5657" spans="1:10" x14ac:dyDescent="0.25">
      <c r="A5657" s="530"/>
      <c r="B5657" s="585"/>
      <c r="C5657" s="530"/>
      <c r="D5657" s="630">
        <f>SUM(D5642:D5656)</f>
        <v>1975713790</v>
      </c>
      <c r="E5657" s="630">
        <f>SUM(E5642:E5656)</f>
        <v>502914244</v>
      </c>
      <c r="F5657" s="630">
        <f>SUM(F5642:F5656)</f>
        <v>2478660400</v>
      </c>
      <c r="G5657" s="630">
        <f>SUM(G5642:G5656)</f>
        <v>-32366</v>
      </c>
      <c r="H5657" s="562"/>
      <c r="I5657" s="530"/>
      <c r="J5657" s="530"/>
    </row>
    <row r="5658" spans="1:10" x14ac:dyDescent="0.25">
      <c r="A5658" s="362"/>
      <c r="B5658" s="609">
        <v>44461</v>
      </c>
      <c r="C5658" s="362" t="s">
        <v>86</v>
      </c>
      <c r="D5658" s="560">
        <v>67192049</v>
      </c>
      <c r="E5658" s="560">
        <v>24653721</v>
      </c>
      <c r="F5658" s="560">
        <v>91845800</v>
      </c>
      <c r="G5658" s="560">
        <f t="shared" si="121"/>
        <v>-30</v>
      </c>
      <c r="H5658" s="560"/>
      <c r="I5658" s="362"/>
      <c r="J5658" s="362"/>
    </row>
    <row r="5659" spans="1:10" x14ac:dyDescent="0.25">
      <c r="A5659" s="362"/>
      <c r="B5659" s="609">
        <v>44461</v>
      </c>
      <c r="C5659" s="362" t="s">
        <v>87</v>
      </c>
      <c r="D5659" s="560">
        <v>100327814</v>
      </c>
      <c r="E5659" s="560">
        <v>118390928</v>
      </c>
      <c r="F5659" s="560">
        <v>218718800</v>
      </c>
      <c r="G5659" s="560">
        <f t="shared" si="121"/>
        <v>-58</v>
      </c>
      <c r="H5659" s="560"/>
      <c r="I5659" s="362"/>
      <c r="J5659" s="362"/>
    </row>
    <row r="5660" spans="1:10" x14ac:dyDescent="0.25">
      <c r="A5660" s="362"/>
      <c r="B5660" s="609">
        <v>44461</v>
      </c>
      <c r="C5660" s="362" t="s">
        <v>88</v>
      </c>
      <c r="D5660" s="560">
        <v>240779282</v>
      </c>
      <c r="E5660" s="560">
        <v>52943884</v>
      </c>
      <c r="F5660" s="560">
        <v>293723200</v>
      </c>
      <c r="G5660" s="560">
        <f t="shared" si="121"/>
        <v>-34</v>
      </c>
      <c r="H5660" s="560"/>
      <c r="I5660" s="362"/>
      <c r="J5660" s="362"/>
    </row>
    <row r="5661" spans="1:10" x14ac:dyDescent="0.25">
      <c r="A5661" s="362"/>
      <c r="B5661" s="609">
        <v>44461</v>
      </c>
      <c r="C5661" s="362" t="s">
        <v>82</v>
      </c>
      <c r="D5661" s="560">
        <v>61513438</v>
      </c>
      <c r="E5661" s="560"/>
      <c r="F5661" s="560">
        <v>61513500</v>
      </c>
      <c r="G5661" s="560">
        <f t="shared" si="121"/>
        <v>-62</v>
      </c>
      <c r="H5661" s="362"/>
      <c r="I5661" s="362"/>
      <c r="J5661" s="362"/>
    </row>
    <row r="5662" spans="1:10" x14ac:dyDescent="0.25">
      <c r="A5662" s="362"/>
      <c r="B5662" s="609">
        <v>44461</v>
      </c>
      <c r="C5662" s="362" t="s">
        <v>80</v>
      </c>
      <c r="D5662" s="560">
        <v>225774501</v>
      </c>
      <c r="E5662" s="560"/>
      <c r="F5662" s="560">
        <v>225824400</v>
      </c>
      <c r="G5662" s="560">
        <f t="shared" si="121"/>
        <v>-49899</v>
      </c>
      <c r="H5662" s="362"/>
      <c r="I5662" s="362"/>
      <c r="J5662" s="362"/>
    </row>
    <row r="5663" spans="1:10" x14ac:dyDescent="0.25">
      <c r="A5663" s="362"/>
      <c r="B5663" s="609">
        <v>44461</v>
      </c>
      <c r="C5663" s="362" t="s">
        <v>83</v>
      </c>
      <c r="D5663" s="560">
        <v>137721099</v>
      </c>
      <c r="E5663" s="560">
        <v>32661569</v>
      </c>
      <c r="F5663" s="560">
        <v>170382700</v>
      </c>
      <c r="G5663" s="560">
        <f t="shared" si="121"/>
        <v>-32</v>
      </c>
      <c r="H5663" s="362"/>
      <c r="I5663" s="362"/>
      <c r="J5663" s="362"/>
    </row>
    <row r="5664" spans="1:10" x14ac:dyDescent="0.25">
      <c r="A5664" s="362"/>
      <c r="B5664" s="609">
        <v>44461</v>
      </c>
      <c r="C5664" s="362" t="s">
        <v>78</v>
      </c>
      <c r="D5664" s="560">
        <v>139862632</v>
      </c>
      <c r="E5664" s="560">
        <v>1520168</v>
      </c>
      <c r="F5664" s="560">
        <v>141382800</v>
      </c>
      <c r="G5664" s="560">
        <f t="shared" si="121"/>
        <v>0</v>
      </c>
      <c r="H5664" s="362"/>
      <c r="I5664" s="362"/>
      <c r="J5664" s="362"/>
    </row>
    <row r="5665" spans="1:10" x14ac:dyDescent="0.25">
      <c r="A5665" s="362"/>
      <c r="B5665" s="609">
        <v>44461</v>
      </c>
      <c r="C5665" s="362" t="s">
        <v>141</v>
      </c>
      <c r="D5665" s="560">
        <v>74196828</v>
      </c>
      <c r="E5665" s="560">
        <v>123094</v>
      </c>
      <c r="F5665" s="560">
        <v>74320100</v>
      </c>
      <c r="G5665" s="560">
        <f t="shared" si="121"/>
        <v>-178</v>
      </c>
      <c r="H5665" s="362"/>
      <c r="I5665" s="362"/>
      <c r="J5665" s="362"/>
    </row>
    <row r="5666" spans="1:10" x14ac:dyDescent="0.25">
      <c r="A5666" s="362"/>
      <c r="B5666" s="609">
        <v>44461</v>
      </c>
      <c r="C5666" s="362" t="s">
        <v>89</v>
      </c>
      <c r="D5666" s="560">
        <v>139566126</v>
      </c>
      <c r="E5666" s="560">
        <v>40385774</v>
      </c>
      <c r="F5666" s="560">
        <v>179951900</v>
      </c>
      <c r="G5666" s="560">
        <f t="shared" si="121"/>
        <v>0</v>
      </c>
      <c r="H5666" s="362"/>
      <c r="I5666" s="362"/>
      <c r="J5666" s="362"/>
    </row>
    <row r="5667" spans="1:10" x14ac:dyDescent="0.25">
      <c r="A5667" s="362"/>
      <c r="B5667" s="609">
        <v>44461</v>
      </c>
      <c r="C5667" s="362" t="s">
        <v>81</v>
      </c>
      <c r="D5667" s="560">
        <v>140359114</v>
      </c>
      <c r="E5667" s="560">
        <v>8155389</v>
      </c>
      <c r="F5667" s="560">
        <v>148514500</v>
      </c>
      <c r="G5667" s="560">
        <f t="shared" si="121"/>
        <v>3</v>
      </c>
      <c r="H5667" s="362"/>
      <c r="I5667" s="362"/>
      <c r="J5667" s="362"/>
    </row>
    <row r="5668" spans="1:10" x14ac:dyDescent="0.25">
      <c r="A5668" s="362"/>
      <c r="B5668" s="609">
        <v>44461</v>
      </c>
      <c r="C5668" s="362" t="s">
        <v>84</v>
      </c>
      <c r="D5668" s="560">
        <v>290518709</v>
      </c>
      <c r="E5668" s="560">
        <v>6359591</v>
      </c>
      <c r="F5668" s="560">
        <v>296878300</v>
      </c>
      <c r="G5668" s="560">
        <f t="shared" si="121"/>
        <v>0</v>
      </c>
      <c r="H5668" s="362"/>
      <c r="I5668" s="362"/>
      <c r="J5668" s="362"/>
    </row>
    <row r="5669" spans="1:10" x14ac:dyDescent="0.25">
      <c r="A5669" s="362"/>
      <c r="B5669" s="609">
        <v>44461</v>
      </c>
      <c r="C5669" s="362" t="s">
        <v>4751</v>
      </c>
      <c r="D5669" s="560">
        <v>203693201</v>
      </c>
      <c r="E5669" s="560">
        <v>8256099</v>
      </c>
      <c r="F5669" s="560">
        <v>211949300</v>
      </c>
      <c r="G5669" s="560">
        <f t="shared" si="121"/>
        <v>0</v>
      </c>
      <c r="H5669" s="362"/>
      <c r="I5669" s="362"/>
      <c r="J5669" s="362"/>
    </row>
    <row r="5670" spans="1:10" x14ac:dyDescent="0.25">
      <c r="A5670" s="362"/>
      <c r="B5670" s="609">
        <v>44461</v>
      </c>
      <c r="C5670" s="362" t="s">
        <v>166</v>
      </c>
      <c r="D5670" s="560">
        <v>78441610</v>
      </c>
      <c r="E5670" s="560"/>
      <c r="F5670" s="560">
        <v>78441600</v>
      </c>
      <c r="G5670" s="560">
        <f t="shared" si="121"/>
        <v>10</v>
      </c>
      <c r="H5670" s="362"/>
      <c r="I5670" s="362"/>
      <c r="J5670" s="362"/>
    </row>
    <row r="5671" spans="1:10" x14ac:dyDescent="0.25">
      <c r="A5671" s="362"/>
      <c r="B5671" s="609">
        <v>44461</v>
      </c>
      <c r="C5671" s="362" t="s">
        <v>3435</v>
      </c>
      <c r="D5671" s="560">
        <v>90394675</v>
      </c>
      <c r="E5671" s="560"/>
      <c r="F5671" s="560">
        <v>90394700</v>
      </c>
      <c r="G5671" s="560">
        <f t="shared" si="121"/>
        <v>-25</v>
      </c>
      <c r="H5671" s="362"/>
      <c r="I5671" s="362"/>
      <c r="J5671" s="362"/>
    </row>
    <row r="5672" spans="1:10" x14ac:dyDescent="0.25">
      <c r="A5672" s="362"/>
      <c r="B5672" s="609">
        <v>44461</v>
      </c>
      <c r="C5672" s="370" t="s">
        <v>85</v>
      </c>
      <c r="D5672" s="560">
        <v>39839800</v>
      </c>
      <c r="E5672" s="560"/>
      <c r="F5672" s="560">
        <v>39839800</v>
      </c>
      <c r="G5672" s="560">
        <f t="shared" si="121"/>
        <v>0</v>
      </c>
      <c r="H5672" s="362"/>
      <c r="I5672" s="362"/>
      <c r="J5672" s="362"/>
    </row>
    <row r="5673" spans="1:10" x14ac:dyDescent="0.25">
      <c r="A5673" s="530"/>
      <c r="B5673" s="530"/>
      <c r="C5673" s="530"/>
      <c r="D5673" s="562">
        <f>SUM(D5658:D5672)</f>
        <v>2030180878</v>
      </c>
      <c r="E5673" s="562">
        <f>SUM(E5658:E5672)</f>
        <v>293450217</v>
      </c>
      <c r="F5673" s="562">
        <f>SUM(F5658:F5672)</f>
        <v>2323681400</v>
      </c>
      <c r="G5673" s="562">
        <f>SUM(G5658:G5672)</f>
        <v>-50305</v>
      </c>
      <c r="H5673" s="530"/>
      <c r="I5673" s="530"/>
      <c r="J5673" s="530"/>
    </row>
    <row r="5674" spans="1:10" x14ac:dyDescent="0.25">
      <c r="A5674" s="362"/>
      <c r="B5674" s="609">
        <v>44462</v>
      </c>
      <c r="C5674" s="362" t="s">
        <v>86</v>
      </c>
      <c r="D5674" s="560">
        <v>61887809</v>
      </c>
      <c r="E5674" s="560">
        <v>48795392</v>
      </c>
      <c r="F5674" s="560"/>
      <c r="G5674" s="560">
        <f t="shared" si="121"/>
        <v>110683201</v>
      </c>
      <c r="H5674" s="362"/>
      <c r="I5674" s="362"/>
      <c r="J5674" s="362"/>
    </row>
    <row r="5675" spans="1:10" x14ac:dyDescent="0.25">
      <c r="A5675" s="362"/>
      <c r="B5675" s="609">
        <v>44462</v>
      </c>
      <c r="C5675" s="362" t="s">
        <v>87</v>
      </c>
      <c r="D5675" s="560">
        <v>87914111</v>
      </c>
      <c r="E5675" s="560">
        <v>152259835</v>
      </c>
      <c r="F5675" s="560"/>
      <c r="G5675" s="560">
        <f t="shared" si="121"/>
        <v>240173946</v>
      </c>
      <c r="H5675" s="362"/>
      <c r="I5675" s="362"/>
      <c r="J5675" s="362"/>
    </row>
    <row r="5676" spans="1:10" x14ac:dyDescent="0.25">
      <c r="A5676" s="362"/>
      <c r="B5676" s="609">
        <v>44462</v>
      </c>
      <c r="C5676" s="362" t="s">
        <v>88</v>
      </c>
      <c r="D5676" s="560">
        <v>196231953</v>
      </c>
      <c r="E5676" s="560">
        <v>234498401</v>
      </c>
      <c r="F5676" s="560"/>
      <c r="G5676" s="560">
        <f t="shared" si="121"/>
        <v>430730354</v>
      </c>
      <c r="H5676" s="362"/>
      <c r="I5676" s="362"/>
      <c r="J5676" s="362"/>
    </row>
    <row r="5677" spans="1:10" x14ac:dyDescent="0.25">
      <c r="A5677" s="362"/>
      <c r="B5677" s="609">
        <v>44462</v>
      </c>
      <c r="C5677" s="362" t="s">
        <v>82</v>
      </c>
      <c r="D5677" s="560">
        <v>95997833</v>
      </c>
      <c r="E5677" s="560">
        <v>2519300</v>
      </c>
      <c r="F5677" s="560"/>
      <c r="G5677" s="560">
        <f t="shared" si="121"/>
        <v>98517133</v>
      </c>
      <c r="H5677" s="362"/>
      <c r="I5677" s="362"/>
      <c r="J5677" s="362"/>
    </row>
    <row r="5678" spans="1:10" x14ac:dyDescent="0.25">
      <c r="A5678" s="362"/>
      <c r="B5678" s="609">
        <v>44462</v>
      </c>
      <c r="C5678" s="362" t="s">
        <v>80</v>
      </c>
      <c r="D5678" s="560">
        <v>191849053</v>
      </c>
      <c r="E5678" s="560">
        <v>2854800</v>
      </c>
      <c r="F5678" s="560"/>
      <c r="G5678" s="560">
        <f t="shared" si="121"/>
        <v>194703853</v>
      </c>
      <c r="H5678" s="362"/>
      <c r="I5678" s="362"/>
      <c r="J5678" s="362"/>
    </row>
    <row r="5679" spans="1:10" x14ac:dyDescent="0.25">
      <c r="A5679" s="362"/>
      <c r="B5679" s="609">
        <v>44462</v>
      </c>
      <c r="C5679" s="362" t="s">
        <v>83</v>
      </c>
      <c r="D5679" s="560">
        <v>220366435</v>
      </c>
      <c r="E5679" s="560">
        <v>38470734</v>
      </c>
      <c r="F5679" s="560"/>
      <c r="G5679" s="560">
        <f t="shared" si="121"/>
        <v>258837169</v>
      </c>
      <c r="H5679" s="362"/>
      <c r="I5679" s="362"/>
      <c r="J5679" s="362"/>
    </row>
    <row r="5680" spans="1:10" x14ac:dyDescent="0.25">
      <c r="A5680" s="362"/>
      <c r="B5680" s="609">
        <v>44462</v>
      </c>
      <c r="C5680" s="362" t="s">
        <v>78</v>
      </c>
      <c r="D5680" s="560">
        <v>135327813</v>
      </c>
      <c r="E5680" s="560">
        <v>2080187</v>
      </c>
      <c r="F5680" s="560"/>
      <c r="G5680" s="560">
        <f t="shared" si="121"/>
        <v>137408000</v>
      </c>
      <c r="H5680" s="362"/>
      <c r="I5680" s="362"/>
      <c r="J5680" s="362"/>
    </row>
    <row r="5681" spans="1:10" x14ac:dyDescent="0.25">
      <c r="A5681" s="362"/>
      <c r="B5681" s="609">
        <v>44462</v>
      </c>
      <c r="C5681" s="362" t="s">
        <v>141</v>
      </c>
      <c r="D5681" s="560">
        <v>124571241</v>
      </c>
      <c r="E5681" s="560"/>
      <c r="F5681" s="560"/>
      <c r="G5681" s="560">
        <f t="shared" si="121"/>
        <v>124571241</v>
      </c>
      <c r="H5681" s="362"/>
      <c r="I5681" s="362"/>
      <c r="J5681" s="362"/>
    </row>
    <row r="5682" spans="1:10" x14ac:dyDescent="0.25">
      <c r="A5682" s="362"/>
      <c r="B5682" s="609">
        <v>44462</v>
      </c>
      <c r="C5682" s="362" t="s">
        <v>89</v>
      </c>
      <c r="D5682" s="560">
        <v>190243568</v>
      </c>
      <c r="E5682" s="560">
        <v>8911332</v>
      </c>
      <c r="F5682" s="560"/>
      <c r="G5682" s="560">
        <f t="shared" si="121"/>
        <v>199154900</v>
      </c>
      <c r="H5682" s="362"/>
      <c r="I5682" s="362"/>
      <c r="J5682" s="362"/>
    </row>
    <row r="5683" spans="1:10" x14ac:dyDescent="0.25">
      <c r="A5683" s="362"/>
      <c r="B5683" s="609">
        <v>44462</v>
      </c>
      <c r="C5683" s="362" t="s">
        <v>81</v>
      </c>
      <c r="D5683" s="560">
        <v>58180780</v>
      </c>
      <c r="E5683" s="560">
        <v>15942765</v>
      </c>
      <c r="F5683" s="560"/>
      <c r="G5683" s="560">
        <f t="shared" si="121"/>
        <v>74123545</v>
      </c>
      <c r="H5683" s="362"/>
      <c r="I5683" s="362"/>
      <c r="J5683" s="362"/>
    </row>
    <row r="5684" spans="1:10" x14ac:dyDescent="0.25">
      <c r="A5684" s="362"/>
      <c r="B5684" s="609">
        <v>44462</v>
      </c>
      <c r="C5684" s="362" t="s">
        <v>84</v>
      </c>
      <c r="D5684" s="560">
        <v>252783451</v>
      </c>
      <c r="E5684" s="560">
        <v>18583260</v>
      </c>
      <c r="F5684" s="560"/>
      <c r="G5684" s="560">
        <f t="shared" si="121"/>
        <v>271366711</v>
      </c>
      <c r="H5684" s="362"/>
      <c r="I5684" s="362"/>
      <c r="J5684" s="362"/>
    </row>
    <row r="5685" spans="1:10" x14ac:dyDescent="0.25">
      <c r="A5685" s="362"/>
      <c r="B5685" s="609">
        <v>44462</v>
      </c>
      <c r="C5685" s="362" t="s">
        <v>4751</v>
      </c>
      <c r="D5685" s="560">
        <v>292034315</v>
      </c>
      <c r="E5685" s="560">
        <v>6837685</v>
      </c>
      <c r="F5685" s="560"/>
      <c r="G5685" s="560">
        <f t="shared" si="121"/>
        <v>298872000</v>
      </c>
      <c r="H5685" s="362"/>
      <c r="I5685" s="362"/>
      <c r="J5685" s="362"/>
    </row>
    <row r="5686" spans="1:10" x14ac:dyDescent="0.25">
      <c r="A5686" s="362"/>
      <c r="B5686" s="609">
        <v>44462</v>
      </c>
      <c r="C5686" s="362" t="s">
        <v>166</v>
      </c>
      <c r="D5686" s="560">
        <v>71434321</v>
      </c>
      <c r="E5686" s="560"/>
      <c r="F5686" s="560"/>
      <c r="G5686" s="560">
        <f t="shared" si="121"/>
        <v>71434321</v>
      </c>
      <c r="H5686" s="362"/>
      <c r="I5686" s="362"/>
      <c r="J5686" s="362"/>
    </row>
    <row r="5687" spans="1:10" x14ac:dyDescent="0.25">
      <c r="A5687" s="362"/>
      <c r="B5687" s="609">
        <v>44462</v>
      </c>
      <c r="C5687" s="362" t="s">
        <v>3435</v>
      </c>
      <c r="D5687" s="560">
        <v>45287810</v>
      </c>
      <c r="E5687" s="560"/>
      <c r="F5687" s="560"/>
      <c r="G5687" s="560">
        <f t="shared" si="121"/>
        <v>45287810</v>
      </c>
      <c r="H5687" s="362"/>
      <c r="I5687" s="362"/>
      <c r="J5687" s="362"/>
    </row>
    <row r="5688" spans="1:10" x14ac:dyDescent="0.25">
      <c r="A5688" s="362"/>
      <c r="B5688" s="609">
        <v>44462</v>
      </c>
      <c r="C5688" s="370" t="s">
        <v>85</v>
      </c>
      <c r="D5688" s="560">
        <v>27365200</v>
      </c>
      <c r="E5688" s="560"/>
      <c r="F5688" s="560"/>
      <c r="G5688" s="560">
        <f t="shared" si="121"/>
        <v>27365200</v>
      </c>
      <c r="H5688" s="362"/>
      <c r="I5688" s="362"/>
      <c r="J5688" s="362"/>
    </row>
    <row r="5689" spans="1:10" x14ac:dyDescent="0.25">
      <c r="A5689" s="530"/>
      <c r="B5689" s="530"/>
      <c r="C5689" s="530"/>
      <c r="D5689" s="562">
        <f>SUM(D5674:D5688)</f>
        <v>2051475693</v>
      </c>
      <c r="E5689" s="562">
        <f>SUM(E5674:E5688)</f>
        <v>531753691</v>
      </c>
      <c r="F5689" s="562">
        <f>SUM(F5674:F5688)</f>
        <v>0</v>
      </c>
      <c r="G5689" s="562">
        <f>SUM(G5674:G5688)</f>
        <v>2583229384</v>
      </c>
      <c r="H5689" s="530"/>
      <c r="I5689" s="530"/>
      <c r="J5689" s="530"/>
    </row>
    <row r="5690" spans="1:10" x14ac:dyDescent="0.25">
      <c r="A5690" s="362"/>
      <c r="B5690" s="609">
        <v>44463</v>
      </c>
      <c r="C5690" s="362" t="s">
        <v>86</v>
      </c>
      <c r="D5690" s="560">
        <v>88320004</v>
      </c>
      <c r="E5690" s="560">
        <v>102053573</v>
      </c>
      <c r="F5690" s="560">
        <v>190373600</v>
      </c>
      <c r="G5690" s="560">
        <f t="shared" si="121"/>
        <v>-23</v>
      </c>
      <c r="H5690" s="362"/>
      <c r="I5690" s="362"/>
      <c r="J5690" s="362"/>
    </row>
    <row r="5691" spans="1:10" x14ac:dyDescent="0.25">
      <c r="A5691" s="362"/>
      <c r="B5691" s="609">
        <v>44463</v>
      </c>
      <c r="C5691" s="362" t="s">
        <v>87</v>
      </c>
      <c r="D5691" s="560">
        <v>133882841</v>
      </c>
      <c r="E5691" s="560">
        <v>137045157</v>
      </c>
      <c r="F5691" s="560">
        <v>270927900</v>
      </c>
      <c r="G5691" s="560">
        <f t="shared" si="121"/>
        <v>98</v>
      </c>
      <c r="H5691" s="362"/>
      <c r="I5691" s="362"/>
      <c r="J5691" s="362"/>
    </row>
    <row r="5692" spans="1:10" x14ac:dyDescent="0.25">
      <c r="A5692" s="362"/>
      <c r="B5692" s="609">
        <v>44463</v>
      </c>
      <c r="C5692" s="362" t="s">
        <v>88</v>
      </c>
      <c r="D5692" s="560">
        <v>139921103</v>
      </c>
      <c r="E5692" s="560">
        <v>43586154</v>
      </c>
      <c r="F5692" s="560">
        <v>183507300</v>
      </c>
      <c r="G5692" s="560">
        <f t="shared" si="121"/>
        <v>-43</v>
      </c>
      <c r="H5692" s="362"/>
      <c r="I5692" s="362"/>
      <c r="J5692" s="362"/>
    </row>
    <row r="5693" spans="1:10" x14ac:dyDescent="0.25">
      <c r="A5693" s="362"/>
      <c r="B5693" s="609">
        <v>44463</v>
      </c>
      <c r="C5693" s="362" t="s">
        <v>82</v>
      </c>
      <c r="D5693" s="560">
        <v>61870918</v>
      </c>
      <c r="E5693" s="560">
        <v>3683640</v>
      </c>
      <c r="F5693" s="560">
        <v>65554600</v>
      </c>
      <c r="G5693" s="560">
        <f t="shared" si="121"/>
        <v>-42</v>
      </c>
      <c r="H5693" s="362"/>
      <c r="I5693" s="362"/>
      <c r="J5693" s="362"/>
    </row>
    <row r="5694" spans="1:10" x14ac:dyDescent="0.25">
      <c r="A5694" s="362"/>
      <c r="B5694" s="609">
        <v>44463</v>
      </c>
      <c r="C5694" s="362" t="s">
        <v>80</v>
      </c>
      <c r="D5694" s="560">
        <v>253196418</v>
      </c>
      <c r="E5694" s="560"/>
      <c r="F5694" s="560">
        <v>253245300</v>
      </c>
      <c r="G5694" s="560">
        <f t="shared" si="121"/>
        <v>-48882</v>
      </c>
      <c r="H5694" s="362"/>
      <c r="I5694" s="362"/>
      <c r="J5694" s="362"/>
    </row>
    <row r="5695" spans="1:10" x14ac:dyDescent="0.25">
      <c r="A5695" s="362"/>
      <c r="B5695" s="609">
        <v>44463</v>
      </c>
      <c r="C5695" s="362" t="s">
        <v>83</v>
      </c>
      <c r="D5695" s="560">
        <v>240042501</v>
      </c>
      <c r="E5695" s="560">
        <v>29041407</v>
      </c>
      <c r="F5695" s="560">
        <v>269084000</v>
      </c>
      <c r="G5695" s="560">
        <f t="shared" si="121"/>
        <v>-92</v>
      </c>
      <c r="H5695" s="362"/>
      <c r="I5695" s="362"/>
      <c r="J5695" s="362"/>
    </row>
    <row r="5696" spans="1:10" x14ac:dyDescent="0.25">
      <c r="A5696" s="362"/>
      <c r="B5696" s="609">
        <v>44463</v>
      </c>
      <c r="C5696" s="362" t="s">
        <v>78</v>
      </c>
      <c r="D5696" s="560">
        <v>105107454</v>
      </c>
      <c r="E5696" s="560">
        <v>617746</v>
      </c>
      <c r="F5696" s="560">
        <v>105725200</v>
      </c>
      <c r="G5696" s="560">
        <f t="shared" si="121"/>
        <v>0</v>
      </c>
      <c r="H5696" s="362"/>
      <c r="I5696" s="362"/>
      <c r="J5696" s="362"/>
    </row>
    <row r="5697" spans="1:10" x14ac:dyDescent="0.25">
      <c r="A5697" s="362"/>
      <c r="B5697" s="609">
        <v>44463</v>
      </c>
      <c r="C5697" s="362" t="s">
        <v>141</v>
      </c>
      <c r="D5697" s="560">
        <v>50584306</v>
      </c>
      <c r="E5697" s="560"/>
      <c r="F5697" s="560">
        <v>50584400</v>
      </c>
      <c r="G5697" s="560">
        <f t="shared" si="121"/>
        <v>-94</v>
      </c>
      <c r="H5697" s="362"/>
      <c r="I5697" s="362"/>
      <c r="J5697" s="362"/>
    </row>
    <row r="5698" spans="1:10" x14ac:dyDescent="0.25">
      <c r="A5698" s="362"/>
      <c r="B5698" s="609">
        <v>44463</v>
      </c>
      <c r="C5698" s="362" t="s">
        <v>89</v>
      </c>
      <c r="D5698" s="560">
        <v>137665596</v>
      </c>
      <c r="E5698" s="560">
        <v>39658104</v>
      </c>
      <c r="F5698" s="560">
        <v>177323600</v>
      </c>
      <c r="G5698" s="560">
        <f t="shared" si="121"/>
        <v>100</v>
      </c>
      <c r="H5698" s="362"/>
      <c r="I5698" s="362"/>
      <c r="J5698" s="362"/>
    </row>
    <row r="5699" spans="1:10" x14ac:dyDescent="0.25">
      <c r="A5699" s="362"/>
      <c r="B5699" s="609">
        <v>44463</v>
      </c>
      <c r="C5699" s="362" t="s">
        <v>81</v>
      </c>
      <c r="D5699" s="560">
        <v>61329826</v>
      </c>
      <c r="E5699" s="560">
        <v>63231450</v>
      </c>
      <c r="F5699" s="560">
        <v>124555300</v>
      </c>
      <c r="G5699" s="560">
        <f t="shared" si="121"/>
        <v>5976</v>
      </c>
      <c r="H5699" s="362"/>
      <c r="I5699" s="362"/>
      <c r="J5699" s="362"/>
    </row>
    <row r="5700" spans="1:10" x14ac:dyDescent="0.25">
      <c r="A5700" s="362"/>
      <c r="B5700" s="609">
        <v>44463</v>
      </c>
      <c r="C5700" s="362" t="s">
        <v>84</v>
      </c>
      <c r="D5700" s="560">
        <v>247842021</v>
      </c>
      <c r="E5700" s="560">
        <v>3296204</v>
      </c>
      <c r="F5700" s="560">
        <v>251138200</v>
      </c>
      <c r="G5700" s="560">
        <f t="shared" si="121"/>
        <v>25</v>
      </c>
      <c r="H5700" s="362"/>
      <c r="I5700" s="362"/>
      <c r="J5700" s="362"/>
    </row>
    <row r="5701" spans="1:10" x14ac:dyDescent="0.25">
      <c r="A5701" s="362"/>
      <c r="B5701" s="609">
        <v>44463</v>
      </c>
      <c r="C5701" s="362" t="s">
        <v>4751</v>
      </c>
      <c r="D5701" s="560">
        <v>142587908</v>
      </c>
      <c r="E5701" s="560">
        <v>22945992</v>
      </c>
      <c r="F5701" s="560">
        <v>165533900</v>
      </c>
      <c r="G5701" s="560">
        <f t="shared" si="121"/>
        <v>0</v>
      </c>
      <c r="H5701" s="362"/>
      <c r="I5701" s="362"/>
      <c r="J5701" s="362"/>
    </row>
    <row r="5702" spans="1:10" x14ac:dyDescent="0.25">
      <c r="A5702" s="362"/>
      <c r="B5702" s="609">
        <v>44463</v>
      </c>
      <c r="C5702" s="362" t="s">
        <v>166</v>
      </c>
      <c r="D5702" s="560">
        <v>37665038</v>
      </c>
      <c r="E5702" s="560"/>
      <c r="F5702" s="560">
        <v>37665000</v>
      </c>
      <c r="G5702" s="560">
        <f t="shared" si="121"/>
        <v>38</v>
      </c>
      <c r="H5702" s="362"/>
      <c r="I5702" s="362"/>
      <c r="J5702" s="362"/>
    </row>
    <row r="5703" spans="1:10" x14ac:dyDescent="0.25">
      <c r="A5703" s="362"/>
      <c r="B5703" s="609">
        <v>44463</v>
      </c>
      <c r="C5703" s="362" t="s">
        <v>3435</v>
      </c>
      <c r="D5703" s="560">
        <v>100909097</v>
      </c>
      <c r="E5703" s="560"/>
      <c r="F5703" s="560">
        <v>100909100</v>
      </c>
      <c r="G5703" s="560">
        <f t="shared" si="121"/>
        <v>-3</v>
      </c>
      <c r="H5703" s="362"/>
      <c r="I5703" s="362"/>
      <c r="J5703" s="362"/>
    </row>
    <row r="5704" spans="1:10" x14ac:dyDescent="0.25">
      <c r="A5704" s="362"/>
      <c r="B5704" s="609">
        <v>44463</v>
      </c>
      <c r="C5704" s="370" t="s">
        <v>85</v>
      </c>
      <c r="D5704" s="560">
        <v>17551600</v>
      </c>
      <c r="E5704" s="560"/>
      <c r="F5704" s="560">
        <f>17551600</f>
        <v>17551600</v>
      </c>
      <c r="G5704" s="560">
        <f t="shared" si="121"/>
        <v>0</v>
      </c>
      <c r="H5704" s="362"/>
      <c r="I5704" s="362"/>
      <c r="J5704" s="362"/>
    </row>
    <row r="5705" spans="1:10" x14ac:dyDescent="0.25">
      <c r="A5705" s="530"/>
      <c r="B5705" s="530"/>
      <c r="C5705" s="530"/>
      <c r="D5705" s="562">
        <f>SUM(D5690:D5704)</f>
        <v>1818476631</v>
      </c>
      <c r="E5705" s="562">
        <f>SUM(E5690:E5704)</f>
        <v>445159427</v>
      </c>
      <c r="F5705" s="562">
        <f>SUM(F5690:F5704)</f>
        <v>2263679000</v>
      </c>
      <c r="G5705" s="562">
        <f>SUM(G5690:G5704)</f>
        <v>-42942</v>
      </c>
      <c r="H5705" s="530"/>
      <c r="I5705" s="530"/>
      <c r="J5705" s="530"/>
    </row>
    <row r="5706" spans="1:10" x14ac:dyDescent="0.25">
      <c r="A5706" s="362"/>
      <c r="B5706" s="609">
        <v>44464</v>
      </c>
      <c r="C5706" s="362" t="s">
        <v>86</v>
      </c>
      <c r="D5706" s="560">
        <v>72197196</v>
      </c>
      <c r="E5706" s="560">
        <v>33092881</v>
      </c>
      <c r="F5706" s="560">
        <v>105290000</v>
      </c>
      <c r="G5706" s="560">
        <f t="shared" si="121"/>
        <v>77</v>
      </c>
      <c r="H5706" s="362"/>
      <c r="I5706" s="362"/>
      <c r="J5706" s="362"/>
    </row>
    <row r="5707" spans="1:10" x14ac:dyDescent="0.25">
      <c r="A5707" s="362"/>
      <c r="B5707" s="609">
        <v>44464</v>
      </c>
      <c r="C5707" s="362" t="s">
        <v>87</v>
      </c>
      <c r="D5707" s="560">
        <v>79122990</v>
      </c>
      <c r="E5707" s="560">
        <v>78894078</v>
      </c>
      <c r="F5707" s="560">
        <v>158017000</v>
      </c>
      <c r="G5707" s="560">
        <f t="shared" si="121"/>
        <v>68</v>
      </c>
      <c r="H5707" s="362"/>
      <c r="I5707" s="362"/>
      <c r="J5707" s="362"/>
    </row>
    <row r="5708" spans="1:10" x14ac:dyDescent="0.25">
      <c r="A5708" s="362"/>
      <c r="B5708" s="609">
        <v>44464</v>
      </c>
      <c r="C5708" s="362" t="s">
        <v>88</v>
      </c>
      <c r="D5708" s="560">
        <v>112441680</v>
      </c>
      <c r="E5708" s="560">
        <v>20823948</v>
      </c>
      <c r="F5708" s="560">
        <v>133265700</v>
      </c>
      <c r="G5708" s="560">
        <f t="shared" ref="G5708:G5771" si="122">D5708+E5708-F5708</f>
        <v>-72</v>
      </c>
      <c r="H5708" s="362"/>
      <c r="I5708" s="362"/>
      <c r="J5708" s="362"/>
    </row>
    <row r="5709" spans="1:10" x14ac:dyDescent="0.25">
      <c r="A5709" s="362"/>
      <c r="B5709" s="609">
        <v>44464</v>
      </c>
      <c r="C5709" s="362" t="s">
        <v>82</v>
      </c>
      <c r="D5709" s="560">
        <v>75106107</v>
      </c>
      <c r="E5709" s="560">
        <v>49771120</v>
      </c>
      <c r="F5709" s="560">
        <v>124877300</v>
      </c>
      <c r="G5709" s="560">
        <f t="shared" si="122"/>
        <v>-73</v>
      </c>
      <c r="H5709" s="362"/>
      <c r="I5709" s="362"/>
      <c r="J5709" s="362"/>
    </row>
    <row r="5710" spans="1:10" x14ac:dyDescent="0.25">
      <c r="A5710" s="362"/>
      <c r="B5710" s="609">
        <v>44464</v>
      </c>
      <c r="C5710" s="362" t="s">
        <v>80</v>
      </c>
      <c r="D5710" s="560">
        <v>295247000</v>
      </c>
      <c r="E5710" s="560"/>
      <c r="F5710" s="560">
        <v>295247000</v>
      </c>
      <c r="G5710" s="560">
        <f t="shared" si="122"/>
        <v>0</v>
      </c>
      <c r="H5710" s="362"/>
      <c r="I5710" s="362"/>
      <c r="J5710" s="362"/>
    </row>
    <row r="5711" spans="1:10" x14ac:dyDescent="0.25">
      <c r="A5711" s="362"/>
      <c r="B5711" s="609">
        <v>44464</v>
      </c>
      <c r="C5711" s="362" t="s">
        <v>83</v>
      </c>
      <c r="D5711" s="560">
        <v>255312396</v>
      </c>
      <c r="E5711" s="560">
        <v>231028298</v>
      </c>
      <c r="F5711" s="560">
        <v>486360700</v>
      </c>
      <c r="G5711" s="560">
        <f t="shared" si="122"/>
        <v>-20006</v>
      </c>
      <c r="H5711" s="362"/>
      <c r="I5711" s="362"/>
      <c r="J5711" s="362"/>
    </row>
    <row r="5712" spans="1:10" x14ac:dyDescent="0.25">
      <c r="A5712" s="362"/>
      <c r="B5712" s="609">
        <v>44464</v>
      </c>
      <c r="C5712" s="362" t="s">
        <v>78</v>
      </c>
      <c r="D5712" s="560">
        <v>118805666</v>
      </c>
      <c r="E5712" s="560">
        <v>11375734</v>
      </c>
      <c r="F5712" s="560">
        <v>130181400</v>
      </c>
      <c r="G5712" s="560">
        <f t="shared" si="122"/>
        <v>0</v>
      </c>
      <c r="H5712" s="362"/>
      <c r="I5712" s="362"/>
      <c r="J5712" s="362"/>
    </row>
    <row r="5713" spans="1:10" x14ac:dyDescent="0.25">
      <c r="A5713" s="362"/>
      <c r="B5713" s="609">
        <v>44464</v>
      </c>
      <c r="C5713" s="362" t="s">
        <v>141</v>
      </c>
      <c r="D5713" s="560">
        <v>42189343</v>
      </c>
      <c r="E5713" s="560">
        <v>4569008</v>
      </c>
      <c r="F5713" s="560">
        <v>46758400</v>
      </c>
      <c r="G5713" s="560">
        <f t="shared" si="122"/>
        <v>-49</v>
      </c>
      <c r="H5713" s="362"/>
      <c r="I5713" s="362"/>
      <c r="J5713" s="362"/>
    </row>
    <row r="5714" spans="1:10" x14ac:dyDescent="0.25">
      <c r="A5714" s="362"/>
      <c r="B5714" s="609">
        <v>44464</v>
      </c>
      <c r="C5714" s="362" t="s">
        <v>89</v>
      </c>
      <c r="D5714" s="560">
        <v>96455749</v>
      </c>
      <c r="E5714" s="560">
        <v>70010351</v>
      </c>
      <c r="F5714" s="560">
        <v>166466000</v>
      </c>
      <c r="G5714" s="560">
        <f t="shared" si="122"/>
        <v>100</v>
      </c>
      <c r="H5714" s="362"/>
      <c r="I5714" s="362"/>
      <c r="J5714" s="362"/>
    </row>
    <row r="5715" spans="1:10" x14ac:dyDescent="0.25">
      <c r="A5715" s="362"/>
      <c r="B5715" s="609">
        <v>44464</v>
      </c>
      <c r="C5715" s="362" t="s">
        <v>81</v>
      </c>
      <c r="D5715" s="560">
        <v>125177809</v>
      </c>
      <c r="E5715" s="560">
        <v>11508964</v>
      </c>
      <c r="F5715" s="560">
        <f>36478400+100208400</f>
        <v>136686800</v>
      </c>
      <c r="G5715" s="560">
        <f t="shared" si="122"/>
        <v>-27</v>
      </c>
      <c r="H5715" s="362"/>
      <c r="I5715" s="362"/>
      <c r="J5715" s="362"/>
    </row>
    <row r="5716" spans="1:10" x14ac:dyDescent="0.25">
      <c r="A5716" s="362"/>
      <c r="B5716" s="609">
        <v>44464</v>
      </c>
      <c r="C5716" s="362" t="s">
        <v>84</v>
      </c>
      <c r="D5716" s="560">
        <v>192528466</v>
      </c>
      <c r="E5716" s="560">
        <v>11462080</v>
      </c>
      <c r="F5716" s="560">
        <v>203990500</v>
      </c>
      <c r="G5716" s="560">
        <f t="shared" si="122"/>
        <v>46</v>
      </c>
      <c r="H5716" s="362"/>
      <c r="I5716" s="362"/>
      <c r="J5716" s="362"/>
    </row>
    <row r="5717" spans="1:10" x14ac:dyDescent="0.25">
      <c r="A5717" s="362"/>
      <c r="B5717" s="609">
        <v>44464</v>
      </c>
      <c r="C5717" s="362" t="s">
        <v>4751</v>
      </c>
      <c r="D5717" s="560">
        <v>182836046</v>
      </c>
      <c r="E5717" s="560">
        <v>6951754</v>
      </c>
      <c r="F5717" s="560">
        <v>189787800</v>
      </c>
      <c r="G5717" s="560">
        <f t="shared" si="122"/>
        <v>0</v>
      </c>
      <c r="H5717" s="362"/>
      <c r="I5717" s="362"/>
      <c r="J5717" s="362"/>
    </row>
    <row r="5718" spans="1:10" x14ac:dyDescent="0.25">
      <c r="A5718" s="362"/>
      <c r="B5718" s="609">
        <v>44464</v>
      </c>
      <c r="C5718" s="362" t="s">
        <v>166</v>
      </c>
      <c r="D5718" s="560"/>
      <c r="E5718" s="560"/>
      <c r="F5718" s="560"/>
      <c r="G5718" s="560">
        <f t="shared" si="122"/>
        <v>0</v>
      </c>
      <c r="H5718" s="362"/>
      <c r="I5718" s="362"/>
      <c r="J5718" s="362"/>
    </row>
    <row r="5719" spans="1:10" x14ac:dyDescent="0.25">
      <c r="A5719" s="362"/>
      <c r="B5719" s="609">
        <v>44464</v>
      </c>
      <c r="C5719" s="362" t="s">
        <v>3435</v>
      </c>
      <c r="D5719" s="560"/>
      <c r="E5719" s="560"/>
      <c r="F5719" s="560"/>
      <c r="G5719" s="560">
        <f t="shared" si="122"/>
        <v>0</v>
      </c>
      <c r="H5719" s="362"/>
      <c r="I5719" s="362"/>
      <c r="J5719" s="362"/>
    </row>
    <row r="5720" spans="1:10" x14ac:dyDescent="0.25">
      <c r="A5720" s="362"/>
      <c r="B5720" s="609">
        <v>44464</v>
      </c>
      <c r="C5720" s="370" t="s">
        <v>85</v>
      </c>
      <c r="D5720" s="560">
        <v>16846400</v>
      </c>
      <c r="E5720" s="560"/>
      <c r="F5720" s="560">
        <v>16846400</v>
      </c>
      <c r="G5720" s="560">
        <f t="shared" si="122"/>
        <v>0</v>
      </c>
      <c r="H5720" s="362"/>
      <c r="I5720" s="362"/>
      <c r="J5720" s="362"/>
    </row>
    <row r="5721" spans="1:10" x14ac:dyDescent="0.25">
      <c r="A5721" s="530"/>
      <c r="B5721" s="530"/>
      <c r="C5721" s="530"/>
      <c r="D5721" s="562">
        <f>SUM(D5706:D5720)</f>
        <v>1664266848</v>
      </c>
      <c r="E5721" s="562">
        <f>SUM(E5706:E5720)</f>
        <v>529488216</v>
      </c>
      <c r="F5721" s="562">
        <f>SUM(F5706:F5720)</f>
        <v>2193775000</v>
      </c>
      <c r="G5721" s="562">
        <f>SUM(G5706:G5720)</f>
        <v>-19936</v>
      </c>
      <c r="H5721" s="530"/>
      <c r="I5721" s="530"/>
      <c r="J5721" s="530"/>
    </row>
    <row r="5722" spans="1:10" x14ac:dyDescent="0.25">
      <c r="A5722" s="362"/>
      <c r="B5722" s="609">
        <v>44466</v>
      </c>
      <c r="C5722" s="362" t="s">
        <v>86</v>
      </c>
      <c r="D5722" s="560">
        <v>82558877</v>
      </c>
      <c r="E5722" s="560">
        <v>240230468</v>
      </c>
      <c r="F5722" s="560">
        <v>322789400</v>
      </c>
      <c r="G5722" s="560">
        <f t="shared" si="122"/>
        <v>-55</v>
      </c>
      <c r="H5722" s="362"/>
      <c r="I5722" s="362"/>
      <c r="J5722" s="362"/>
    </row>
    <row r="5723" spans="1:10" x14ac:dyDescent="0.25">
      <c r="A5723" s="362"/>
      <c r="B5723" s="609">
        <v>44466</v>
      </c>
      <c r="C5723" s="362" t="s">
        <v>87</v>
      </c>
      <c r="D5723" s="560">
        <v>175590901</v>
      </c>
      <c r="E5723" s="560">
        <v>20558307</v>
      </c>
      <c r="F5723" s="560">
        <v>196149300</v>
      </c>
      <c r="G5723" s="560">
        <f t="shared" si="122"/>
        <v>-92</v>
      </c>
      <c r="H5723" s="362"/>
      <c r="I5723" s="362"/>
      <c r="J5723" s="362"/>
    </row>
    <row r="5724" spans="1:10" x14ac:dyDescent="0.25">
      <c r="A5724" s="362"/>
      <c r="B5724" s="609">
        <v>44466</v>
      </c>
      <c r="C5724" s="362" t="s">
        <v>88</v>
      </c>
      <c r="D5724" s="560">
        <v>251581758</v>
      </c>
      <c r="E5724" s="560">
        <v>22117352</v>
      </c>
      <c r="F5724" s="560">
        <v>273699200</v>
      </c>
      <c r="G5724" s="560">
        <f t="shared" si="122"/>
        <v>-90</v>
      </c>
      <c r="H5724" s="362"/>
      <c r="I5724" s="362"/>
      <c r="J5724" s="362"/>
    </row>
    <row r="5725" spans="1:10" x14ac:dyDescent="0.25">
      <c r="A5725" s="362"/>
      <c r="B5725" s="609">
        <v>44466</v>
      </c>
      <c r="C5725" s="362" t="s">
        <v>82</v>
      </c>
      <c r="D5725" s="560">
        <v>52436974</v>
      </c>
      <c r="E5725" s="560">
        <v>4382204</v>
      </c>
      <c r="F5725" s="560">
        <v>56819200</v>
      </c>
      <c r="G5725" s="560">
        <f t="shared" si="122"/>
        <v>-22</v>
      </c>
      <c r="H5725" s="362"/>
      <c r="I5725" s="362"/>
      <c r="J5725" s="362"/>
    </row>
    <row r="5726" spans="1:10" x14ac:dyDescent="0.25">
      <c r="A5726" s="362"/>
      <c r="B5726" s="609">
        <v>44466</v>
      </c>
      <c r="C5726" s="362" t="s">
        <v>80</v>
      </c>
      <c r="D5726" s="560">
        <v>232785099</v>
      </c>
      <c r="E5726" s="560"/>
      <c r="F5726" s="560">
        <v>232680000</v>
      </c>
      <c r="G5726" s="560">
        <f t="shared" si="122"/>
        <v>105099</v>
      </c>
      <c r="H5726" s="362"/>
      <c r="I5726" s="362"/>
      <c r="J5726" s="362"/>
    </row>
    <row r="5727" spans="1:10" x14ac:dyDescent="0.25">
      <c r="A5727" s="362"/>
      <c r="B5727" s="609">
        <v>44466</v>
      </c>
      <c r="C5727" s="362" t="s">
        <v>83</v>
      </c>
      <c r="D5727" s="560">
        <v>271675304</v>
      </c>
      <c r="E5727" s="560">
        <v>65411456</v>
      </c>
      <c r="F5727" s="560">
        <v>337086800</v>
      </c>
      <c r="G5727" s="560">
        <f t="shared" si="122"/>
        <v>-40</v>
      </c>
      <c r="H5727" s="362"/>
      <c r="I5727" s="362"/>
      <c r="J5727" s="362"/>
    </row>
    <row r="5728" spans="1:10" x14ac:dyDescent="0.25">
      <c r="A5728" s="362"/>
      <c r="B5728" s="609">
        <v>44466</v>
      </c>
      <c r="C5728" s="362" t="s">
        <v>78</v>
      </c>
      <c r="D5728" s="560">
        <v>124991788</v>
      </c>
      <c r="E5728" s="560">
        <v>2150312</v>
      </c>
      <c r="F5728" s="560">
        <v>127142100</v>
      </c>
      <c r="G5728" s="560">
        <f t="shared" si="122"/>
        <v>0</v>
      </c>
      <c r="H5728" s="362"/>
      <c r="I5728" s="362"/>
      <c r="J5728" s="362"/>
    </row>
    <row r="5729" spans="1:10" x14ac:dyDescent="0.25">
      <c r="A5729" s="362"/>
      <c r="B5729" s="609">
        <v>44466</v>
      </c>
      <c r="C5729" s="362" t="s">
        <v>141</v>
      </c>
      <c r="D5729" s="560">
        <v>132283427</v>
      </c>
      <c r="E5729" s="560"/>
      <c r="F5729" s="560">
        <v>132283500</v>
      </c>
      <c r="G5729" s="560">
        <f t="shared" si="122"/>
        <v>-73</v>
      </c>
      <c r="H5729" s="362"/>
      <c r="I5729" s="362"/>
      <c r="J5729" s="362"/>
    </row>
    <row r="5730" spans="1:10" x14ac:dyDescent="0.25">
      <c r="A5730" s="362"/>
      <c r="B5730" s="609">
        <v>44466</v>
      </c>
      <c r="C5730" s="362" t="s">
        <v>89</v>
      </c>
      <c r="D5730" s="560">
        <v>136302017</v>
      </c>
      <c r="E5730" s="560">
        <v>44209383</v>
      </c>
      <c r="F5730" s="560">
        <v>180511300</v>
      </c>
      <c r="G5730" s="560">
        <f t="shared" si="122"/>
        <v>100</v>
      </c>
      <c r="H5730" s="362"/>
      <c r="I5730" s="362"/>
      <c r="J5730" s="362"/>
    </row>
    <row r="5731" spans="1:10" x14ac:dyDescent="0.25">
      <c r="A5731" s="362"/>
      <c r="B5731" s="609">
        <v>44466</v>
      </c>
      <c r="C5731" s="362" t="s">
        <v>81</v>
      </c>
      <c r="D5731" s="560">
        <v>46711422</v>
      </c>
      <c r="E5731" s="560">
        <v>42901829</v>
      </c>
      <c r="F5731" s="560">
        <v>89613300</v>
      </c>
      <c r="G5731" s="560">
        <f t="shared" si="122"/>
        <v>-49</v>
      </c>
      <c r="H5731" s="362"/>
      <c r="I5731" s="362"/>
      <c r="J5731" s="362"/>
    </row>
    <row r="5732" spans="1:10" x14ac:dyDescent="0.25">
      <c r="A5732" s="362"/>
      <c r="B5732" s="609">
        <v>44466</v>
      </c>
      <c r="C5732" s="362" t="s">
        <v>84</v>
      </c>
      <c r="D5732" s="560">
        <v>264947197</v>
      </c>
      <c r="E5732" s="560">
        <v>9765589</v>
      </c>
      <c r="F5732" s="560">
        <v>274712800</v>
      </c>
      <c r="G5732" s="560">
        <f t="shared" si="122"/>
        <v>-14</v>
      </c>
      <c r="H5732" s="362"/>
      <c r="I5732" s="362"/>
      <c r="J5732" s="362"/>
    </row>
    <row r="5733" spans="1:10" x14ac:dyDescent="0.25">
      <c r="A5733" s="362"/>
      <c r="B5733" s="609">
        <v>44466</v>
      </c>
      <c r="C5733" s="362" t="s">
        <v>4751</v>
      </c>
      <c r="D5733" s="560">
        <v>203562958</v>
      </c>
      <c r="E5733" s="560">
        <v>12085042</v>
      </c>
      <c r="F5733" s="560">
        <v>215648000</v>
      </c>
      <c r="G5733" s="560">
        <f t="shared" si="122"/>
        <v>0</v>
      </c>
      <c r="H5733" s="362"/>
      <c r="I5733" s="362"/>
      <c r="J5733" s="362"/>
    </row>
    <row r="5734" spans="1:10" x14ac:dyDescent="0.25">
      <c r="A5734" s="362"/>
      <c r="B5734" s="609">
        <v>44466</v>
      </c>
      <c r="C5734" s="362" t="s">
        <v>166</v>
      </c>
      <c r="D5734" s="560">
        <v>72471376</v>
      </c>
      <c r="E5734" s="560"/>
      <c r="F5734" s="560">
        <v>72471500</v>
      </c>
      <c r="G5734" s="560">
        <f t="shared" si="122"/>
        <v>-124</v>
      </c>
      <c r="H5734" s="362"/>
      <c r="I5734" s="362"/>
      <c r="J5734" s="362"/>
    </row>
    <row r="5735" spans="1:10" x14ac:dyDescent="0.25">
      <c r="A5735" s="362"/>
      <c r="B5735" s="609">
        <v>44466</v>
      </c>
      <c r="C5735" s="362" t="s">
        <v>3435</v>
      </c>
      <c r="D5735" s="560">
        <v>33667915</v>
      </c>
      <c r="E5735" s="560"/>
      <c r="F5735" s="560">
        <v>33668000</v>
      </c>
      <c r="G5735" s="560">
        <f t="shared" si="122"/>
        <v>-85</v>
      </c>
      <c r="H5735" s="362"/>
      <c r="I5735" s="362"/>
      <c r="J5735" s="362"/>
    </row>
    <row r="5736" spans="1:10" x14ac:dyDescent="0.25">
      <c r="A5736" s="362"/>
      <c r="B5736" s="609">
        <v>44466</v>
      </c>
      <c r="C5736" s="370" t="s">
        <v>85</v>
      </c>
      <c r="D5736" s="560">
        <v>42417300</v>
      </c>
      <c r="E5736" s="560"/>
      <c r="F5736" s="560">
        <v>42417300</v>
      </c>
      <c r="G5736" s="560">
        <f t="shared" si="122"/>
        <v>0</v>
      </c>
      <c r="H5736" s="362"/>
      <c r="I5736" s="362"/>
      <c r="J5736" s="362"/>
    </row>
    <row r="5737" spans="1:10" x14ac:dyDescent="0.25">
      <c r="A5737" s="530"/>
      <c r="B5737" s="530"/>
      <c r="C5737" s="530"/>
      <c r="D5737" s="562">
        <f>SUM(D5722:D5736)</f>
        <v>2123984313</v>
      </c>
      <c r="E5737" s="562">
        <f>SUM(E5722:E5736)</f>
        <v>463811942</v>
      </c>
      <c r="F5737" s="562">
        <f>SUM(F5722:F5736)</f>
        <v>2587691700</v>
      </c>
      <c r="G5737" s="562">
        <f>SUM(G5722:G5736)</f>
        <v>104555</v>
      </c>
      <c r="H5737" s="530"/>
      <c r="I5737" s="530"/>
      <c r="J5737" s="530"/>
    </row>
    <row r="5738" spans="1:10" x14ac:dyDescent="0.25">
      <c r="A5738" s="362"/>
      <c r="B5738" s="609">
        <v>44467</v>
      </c>
      <c r="C5738" s="362" t="s">
        <v>86</v>
      </c>
      <c r="D5738" s="560">
        <v>51170270</v>
      </c>
      <c r="E5738" s="560">
        <v>61009597</v>
      </c>
      <c r="F5738" s="560"/>
      <c r="G5738" s="560">
        <f t="shared" si="122"/>
        <v>112179867</v>
      </c>
      <c r="H5738" s="362"/>
      <c r="I5738" s="362"/>
      <c r="J5738" s="362"/>
    </row>
    <row r="5739" spans="1:10" x14ac:dyDescent="0.25">
      <c r="A5739" s="362"/>
      <c r="B5739" s="609">
        <v>44467</v>
      </c>
      <c r="C5739" s="362" t="s">
        <v>87</v>
      </c>
      <c r="D5739" s="560">
        <v>98895011</v>
      </c>
      <c r="E5739" s="560">
        <v>4495360</v>
      </c>
      <c r="F5739" s="560"/>
      <c r="G5739" s="560">
        <f t="shared" si="122"/>
        <v>103390371</v>
      </c>
      <c r="H5739" s="362"/>
      <c r="I5739" s="362"/>
      <c r="J5739" s="362"/>
    </row>
    <row r="5740" spans="1:10" x14ac:dyDescent="0.25">
      <c r="A5740" s="362"/>
      <c r="B5740" s="609">
        <v>44467</v>
      </c>
      <c r="C5740" s="362" t="s">
        <v>88</v>
      </c>
      <c r="D5740" s="560">
        <v>326994533</v>
      </c>
      <c r="E5740" s="560">
        <v>45703395</v>
      </c>
      <c r="F5740" s="560"/>
      <c r="G5740" s="560">
        <f t="shared" si="122"/>
        <v>372697928</v>
      </c>
      <c r="H5740" s="362"/>
      <c r="I5740" s="362"/>
      <c r="J5740" s="362"/>
    </row>
    <row r="5741" spans="1:10" x14ac:dyDescent="0.25">
      <c r="A5741" s="362"/>
      <c r="B5741" s="609">
        <v>44467</v>
      </c>
      <c r="C5741" s="362" t="s">
        <v>82</v>
      </c>
      <c r="D5741" s="560">
        <v>55750035</v>
      </c>
      <c r="E5741" s="560">
        <v>3002693</v>
      </c>
      <c r="F5741" s="560"/>
      <c r="G5741" s="560">
        <f t="shared" si="122"/>
        <v>58752728</v>
      </c>
      <c r="H5741" s="362"/>
      <c r="I5741" s="362"/>
      <c r="J5741" s="362"/>
    </row>
    <row r="5742" spans="1:10" x14ac:dyDescent="0.25">
      <c r="A5742" s="362"/>
      <c r="B5742" s="609">
        <v>44467</v>
      </c>
      <c r="C5742" s="362" t="s">
        <v>80</v>
      </c>
      <c r="D5742" s="560">
        <v>216447500</v>
      </c>
      <c r="E5742" s="560">
        <v>2138000</v>
      </c>
      <c r="F5742" s="560"/>
      <c r="G5742" s="560">
        <f t="shared" si="122"/>
        <v>218585500</v>
      </c>
      <c r="H5742" s="362"/>
      <c r="I5742" s="362"/>
      <c r="J5742" s="362"/>
    </row>
    <row r="5743" spans="1:10" x14ac:dyDescent="0.25">
      <c r="A5743" s="362"/>
      <c r="B5743" s="609">
        <v>44467</v>
      </c>
      <c r="C5743" s="362" t="s">
        <v>83</v>
      </c>
      <c r="D5743" s="560">
        <v>238702653</v>
      </c>
      <c r="E5743" s="560">
        <v>17040651</v>
      </c>
      <c r="F5743" s="560"/>
      <c r="G5743" s="560">
        <f t="shared" si="122"/>
        <v>255743304</v>
      </c>
      <c r="H5743" s="362"/>
      <c r="I5743" s="362"/>
      <c r="J5743" s="362"/>
    </row>
    <row r="5744" spans="1:10" x14ac:dyDescent="0.25">
      <c r="A5744" s="362"/>
      <c r="B5744" s="609">
        <v>44467</v>
      </c>
      <c r="C5744" s="362" t="s">
        <v>78</v>
      </c>
      <c r="D5744" s="560">
        <v>78094030</v>
      </c>
      <c r="E5744" s="560">
        <v>1687470</v>
      </c>
      <c r="F5744" s="560"/>
      <c r="G5744" s="560">
        <f t="shared" si="122"/>
        <v>79781500</v>
      </c>
      <c r="H5744" s="362"/>
      <c r="I5744" s="362"/>
      <c r="J5744" s="362"/>
    </row>
    <row r="5745" spans="1:12" x14ac:dyDescent="0.25">
      <c r="A5745" s="362"/>
      <c r="B5745" s="609">
        <v>44467</v>
      </c>
      <c r="C5745" s="362" t="s">
        <v>141</v>
      </c>
      <c r="D5745" s="560">
        <v>78277143</v>
      </c>
      <c r="E5745" s="560"/>
      <c r="F5745" s="560"/>
      <c r="G5745" s="560">
        <f t="shared" si="122"/>
        <v>78277143</v>
      </c>
      <c r="H5745" s="362"/>
      <c r="I5745" s="362"/>
      <c r="J5745" s="362"/>
    </row>
    <row r="5746" spans="1:12" x14ac:dyDescent="0.25">
      <c r="A5746" s="362"/>
      <c r="B5746" s="609">
        <v>44467</v>
      </c>
      <c r="C5746" s="362" t="s">
        <v>89</v>
      </c>
      <c r="D5746" s="560">
        <v>100417627</v>
      </c>
      <c r="E5746" s="560">
        <v>3834573</v>
      </c>
      <c r="F5746" s="560"/>
      <c r="G5746" s="560">
        <f t="shared" si="122"/>
        <v>104252200</v>
      </c>
      <c r="H5746" s="362"/>
      <c r="I5746" s="362"/>
      <c r="J5746" s="362"/>
    </row>
    <row r="5747" spans="1:12" x14ac:dyDescent="0.25">
      <c r="A5747" s="362"/>
      <c r="B5747" s="609">
        <v>44467</v>
      </c>
      <c r="C5747" s="362" t="s">
        <v>81</v>
      </c>
      <c r="D5747" s="560">
        <v>140176988</v>
      </c>
      <c r="E5747" s="560">
        <v>7103874</v>
      </c>
      <c r="F5747" s="560"/>
      <c r="G5747" s="560">
        <f t="shared" si="122"/>
        <v>147280862</v>
      </c>
      <c r="H5747" s="362"/>
      <c r="I5747" s="362"/>
      <c r="J5747" s="362"/>
    </row>
    <row r="5748" spans="1:12" x14ac:dyDescent="0.25">
      <c r="A5748" s="362"/>
      <c r="B5748" s="609">
        <v>44467</v>
      </c>
      <c r="C5748" s="362" t="s">
        <v>84</v>
      </c>
      <c r="D5748" s="560">
        <v>194971046</v>
      </c>
      <c r="E5748" s="560">
        <v>40554403</v>
      </c>
      <c r="F5748" s="560"/>
      <c r="G5748" s="560">
        <f t="shared" si="122"/>
        <v>235525449</v>
      </c>
      <c r="H5748" s="362"/>
      <c r="I5748" s="362"/>
      <c r="J5748" s="362"/>
    </row>
    <row r="5749" spans="1:12" x14ac:dyDescent="0.25">
      <c r="A5749" s="362"/>
      <c r="B5749" s="609">
        <v>44467</v>
      </c>
      <c r="C5749" s="362" t="s">
        <v>4751</v>
      </c>
      <c r="D5749" s="560">
        <v>235230734</v>
      </c>
      <c r="E5749" s="560">
        <v>15887466</v>
      </c>
      <c r="F5749" s="560"/>
      <c r="G5749" s="560">
        <f t="shared" si="122"/>
        <v>251118200</v>
      </c>
      <c r="H5749" s="362"/>
      <c r="I5749" s="362"/>
      <c r="J5749" s="362"/>
    </row>
    <row r="5750" spans="1:12" x14ac:dyDescent="0.25">
      <c r="A5750" s="362"/>
      <c r="B5750" s="609">
        <v>44467</v>
      </c>
      <c r="C5750" s="362" t="s">
        <v>166</v>
      </c>
      <c r="D5750" s="560">
        <v>126997785</v>
      </c>
      <c r="E5750" s="560"/>
      <c r="F5750" s="560"/>
      <c r="G5750" s="560">
        <f t="shared" si="122"/>
        <v>126997785</v>
      </c>
      <c r="H5750" s="362"/>
      <c r="I5750" s="362"/>
      <c r="J5750" s="362"/>
    </row>
    <row r="5751" spans="1:12" x14ac:dyDescent="0.25">
      <c r="A5751" s="362"/>
      <c r="B5751" s="609">
        <v>44467</v>
      </c>
      <c r="C5751" s="362" t="s">
        <v>3435</v>
      </c>
      <c r="D5751" s="560">
        <v>43667619</v>
      </c>
      <c r="E5751" s="560"/>
      <c r="F5751" s="560"/>
      <c r="G5751" s="560">
        <f t="shared" si="122"/>
        <v>43667619</v>
      </c>
      <c r="H5751" s="362"/>
      <c r="I5751" s="362"/>
      <c r="J5751" s="362"/>
    </row>
    <row r="5752" spans="1:12" x14ac:dyDescent="0.25">
      <c r="A5752" s="362"/>
      <c r="B5752" s="609">
        <v>44467</v>
      </c>
      <c r="C5752" s="370" t="s">
        <v>85</v>
      </c>
      <c r="D5752" s="560">
        <v>36377100</v>
      </c>
      <c r="E5752" s="560"/>
      <c r="F5752" s="560"/>
      <c r="G5752" s="560">
        <f t="shared" si="122"/>
        <v>36377100</v>
      </c>
      <c r="H5752" s="362"/>
      <c r="I5752" s="362"/>
      <c r="J5752" s="362"/>
    </row>
    <row r="5753" spans="1:12" x14ac:dyDescent="0.25">
      <c r="A5753" s="530"/>
      <c r="B5753" s="530"/>
      <c r="C5753" s="530"/>
      <c r="D5753" s="562">
        <f>SUM(D5738:D5752)</f>
        <v>2022170074</v>
      </c>
      <c r="E5753" s="562">
        <f>SUM(E5738:E5752)</f>
        <v>202457482</v>
      </c>
      <c r="F5753" s="562">
        <f>SUM(F5738:F5752)</f>
        <v>0</v>
      </c>
      <c r="G5753" s="562">
        <f>SUM(G5738:G5752)</f>
        <v>2224627556</v>
      </c>
      <c r="H5753" s="530"/>
      <c r="I5753" s="530"/>
      <c r="J5753" s="530"/>
    </row>
    <row r="5754" spans="1:12" x14ac:dyDescent="0.25">
      <c r="A5754" s="362"/>
      <c r="B5754" s="609">
        <v>44468</v>
      </c>
      <c r="C5754" s="362" t="s">
        <v>86</v>
      </c>
      <c r="D5754" s="560">
        <v>76145078</v>
      </c>
      <c r="E5754" s="560">
        <v>68048816</v>
      </c>
      <c r="F5754" s="560">
        <v>144193800</v>
      </c>
      <c r="G5754" s="560">
        <f t="shared" si="122"/>
        <v>94</v>
      </c>
      <c r="H5754" s="362"/>
      <c r="I5754" s="362"/>
      <c r="J5754" s="362"/>
    </row>
    <row r="5755" spans="1:12" x14ac:dyDescent="0.25">
      <c r="A5755" s="362"/>
      <c r="B5755" s="609">
        <v>44468</v>
      </c>
      <c r="C5755" s="362" t="s">
        <v>87</v>
      </c>
      <c r="D5755" s="560">
        <v>190869850</v>
      </c>
      <c r="E5755" s="560">
        <v>91302441</v>
      </c>
      <c r="F5755" s="560">
        <v>282172200</v>
      </c>
      <c r="G5755" s="560">
        <f t="shared" si="122"/>
        <v>91</v>
      </c>
      <c r="H5755" s="362"/>
      <c r="I5755" s="362"/>
      <c r="J5755" s="362"/>
    </row>
    <row r="5756" spans="1:12" x14ac:dyDescent="0.25">
      <c r="A5756" s="362"/>
      <c r="B5756" s="609">
        <v>44468</v>
      </c>
      <c r="C5756" s="362" t="s">
        <v>88</v>
      </c>
      <c r="D5756" s="560">
        <v>143181734</v>
      </c>
      <c r="E5756" s="560">
        <v>5486995</v>
      </c>
      <c r="F5756" s="560">
        <v>148668800</v>
      </c>
      <c r="G5756" s="560">
        <f t="shared" si="122"/>
        <v>-71</v>
      </c>
      <c r="H5756" s="362"/>
      <c r="I5756" s="362"/>
      <c r="J5756" s="362"/>
    </row>
    <row r="5757" spans="1:12" x14ac:dyDescent="0.25">
      <c r="A5757" s="362"/>
      <c r="B5757" s="609">
        <v>44468</v>
      </c>
      <c r="C5757" s="362" t="s">
        <v>82</v>
      </c>
      <c r="D5757" s="560">
        <v>140111927</v>
      </c>
      <c r="E5757" s="560">
        <v>1212000</v>
      </c>
      <c r="F5757" s="560">
        <v>141324000</v>
      </c>
      <c r="G5757" s="560">
        <f t="shared" si="122"/>
        <v>-73</v>
      </c>
      <c r="H5757" s="362"/>
      <c r="I5757" s="362"/>
      <c r="J5757" s="362"/>
    </row>
    <row r="5758" spans="1:12" x14ac:dyDescent="0.25">
      <c r="A5758" s="362"/>
      <c r="B5758" s="609">
        <v>44468</v>
      </c>
      <c r="C5758" s="362" t="s">
        <v>80</v>
      </c>
      <c r="D5758" s="560">
        <v>276482511</v>
      </c>
      <c r="E5758" s="560">
        <v>86373600</v>
      </c>
      <c r="F5758" s="560">
        <v>362889200</v>
      </c>
      <c r="G5758" s="560">
        <f t="shared" si="122"/>
        <v>-33089</v>
      </c>
      <c r="H5758" s="362"/>
      <c r="I5758" s="362"/>
      <c r="J5758" s="362"/>
      <c r="L5758" s="254" t="s">
        <v>6110</v>
      </c>
    </row>
    <row r="5759" spans="1:12" x14ac:dyDescent="0.25">
      <c r="A5759" s="362"/>
      <c r="B5759" s="609">
        <v>44468</v>
      </c>
      <c r="C5759" s="362" t="s">
        <v>83</v>
      </c>
      <c r="D5759" s="560">
        <v>329066214</v>
      </c>
      <c r="E5759" s="560">
        <v>138949513</v>
      </c>
      <c r="F5759" s="560">
        <v>468015800</v>
      </c>
      <c r="G5759" s="560">
        <f t="shared" si="122"/>
        <v>-73</v>
      </c>
      <c r="H5759" s="362"/>
      <c r="I5759" s="362"/>
      <c r="J5759" s="362"/>
      <c r="L5759" s="254" t="s">
        <v>6086</v>
      </c>
    </row>
    <row r="5760" spans="1:12" x14ac:dyDescent="0.25">
      <c r="A5760" s="362"/>
      <c r="B5760" s="609">
        <v>44468</v>
      </c>
      <c r="C5760" s="362" t="s">
        <v>78</v>
      </c>
      <c r="D5760" s="560">
        <v>148761591</v>
      </c>
      <c r="E5760" s="560">
        <v>694109</v>
      </c>
      <c r="F5760" s="560">
        <v>149455700</v>
      </c>
      <c r="G5760" s="560">
        <f t="shared" si="122"/>
        <v>0</v>
      </c>
      <c r="H5760" s="362"/>
      <c r="I5760" s="362"/>
      <c r="J5760" s="362"/>
    </row>
    <row r="5761" spans="1:10" x14ac:dyDescent="0.25">
      <c r="A5761" s="362"/>
      <c r="B5761" s="609">
        <v>44468</v>
      </c>
      <c r="C5761" s="362" t="s">
        <v>141</v>
      </c>
      <c r="D5761" s="560">
        <v>132471448</v>
      </c>
      <c r="E5761" s="560"/>
      <c r="F5761" s="560">
        <v>132471300</v>
      </c>
      <c r="G5761" s="560">
        <f t="shared" si="122"/>
        <v>148</v>
      </c>
      <c r="H5761" s="362"/>
      <c r="I5761" s="362"/>
      <c r="J5761" s="362"/>
    </row>
    <row r="5762" spans="1:10" x14ac:dyDescent="0.25">
      <c r="A5762" s="362"/>
      <c r="B5762" s="609">
        <v>44468</v>
      </c>
      <c r="C5762" s="362" t="s">
        <v>89</v>
      </c>
      <c r="D5762" s="560">
        <v>145381805</v>
      </c>
      <c r="E5762" s="560">
        <v>31161295</v>
      </c>
      <c r="F5762" s="560">
        <v>176543100</v>
      </c>
      <c r="G5762" s="560">
        <f t="shared" si="122"/>
        <v>0</v>
      </c>
      <c r="H5762" s="362"/>
      <c r="I5762" s="362"/>
      <c r="J5762" s="362"/>
    </row>
    <row r="5763" spans="1:10" x14ac:dyDescent="0.25">
      <c r="A5763" s="362"/>
      <c r="B5763" s="609">
        <v>44468</v>
      </c>
      <c r="C5763" s="362" t="s">
        <v>81</v>
      </c>
      <c r="D5763" s="560">
        <v>63401574</v>
      </c>
      <c r="E5763" s="560">
        <v>9117083</v>
      </c>
      <c r="F5763" s="560">
        <v>72518700</v>
      </c>
      <c r="G5763" s="560">
        <f t="shared" si="122"/>
        <v>-43</v>
      </c>
      <c r="H5763" s="362"/>
      <c r="I5763" s="362"/>
      <c r="J5763" s="362"/>
    </row>
    <row r="5764" spans="1:10" x14ac:dyDescent="0.25">
      <c r="A5764" s="362"/>
      <c r="B5764" s="609">
        <v>44468</v>
      </c>
      <c r="C5764" s="362" t="s">
        <v>84</v>
      </c>
      <c r="D5764" s="560">
        <v>422110310</v>
      </c>
      <c r="E5764" s="560">
        <v>13292408</v>
      </c>
      <c r="F5764" s="560">
        <v>435402500</v>
      </c>
      <c r="G5764" s="560">
        <f t="shared" si="122"/>
        <v>218</v>
      </c>
      <c r="H5764" s="362"/>
      <c r="I5764" s="362"/>
      <c r="J5764" s="362"/>
    </row>
    <row r="5765" spans="1:10" x14ac:dyDescent="0.25">
      <c r="A5765" s="362"/>
      <c r="B5765" s="609">
        <v>44468</v>
      </c>
      <c r="C5765" s="362" t="s">
        <v>4751</v>
      </c>
      <c r="D5765" s="560">
        <v>141737913</v>
      </c>
      <c r="E5765" s="560">
        <v>10360087</v>
      </c>
      <c r="F5765" s="560">
        <v>152098000</v>
      </c>
      <c r="G5765" s="560">
        <f t="shared" si="122"/>
        <v>0</v>
      </c>
      <c r="H5765" s="362"/>
      <c r="I5765" s="362"/>
      <c r="J5765" s="362"/>
    </row>
    <row r="5766" spans="1:10" x14ac:dyDescent="0.25">
      <c r="A5766" s="362"/>
      <c r="B5766" s="609">
        <v>44468</v>
      </c>
      <c r="C5766" s="362" t="s">
        <v>166</v>
      </c>
      <c r="D5766" s="560">
        <v>52487198</v>
      </c>
      <c r="E5766" s="560"/>
      <c r="F5766" s="560">
        <v>52488000</v>
      </c>
      <c r="G5766" s="560">
        <f t="shared" si="122"/>
        <v>-802</v>
      </c>
      <c r="H5766" s="362"/>
      <c r="I5766" s="362"/>
      <c r="J5766" s="362"/>
    </row>
    <row r="5767" spans="1:10" x14ac:dyDescent="0.25">
      <c r="A5767" s="362"/>
      <c r="B5767" s="609">
        <v>44468</v>
      </c>
      <c r="C5767" s="362" t="s">
        <v>3435</v>
      </c>
      <c r="D5767" s="560">
        <v>29485264</v>
      </c>
      <c r="E5767" s="560"/>
      <c r="F5767" s="560">
        <v>29485300</v>
      </c>
      <c r="G5767" s="560">
        <f t="shared" si="122"/>
        <v>-36</v>
      </c>
      <c r="H5767" s="362"/>
      <c r="I5767" s="362"/>
      <c r="J5767" s="362"/>
    </row>
    <row r="5768" spans="1:10" x14ac:dyDescent="0.25">
      <c r="A5768" s="362"/>
      <c r="B5768" s="609">
        <v>44468</v>
      </c>
      <c r="C5768" s="370" t="s">
        <v>85</v>
      </c>
      <c r="D5768" s="560">
        <v>37725600</v>
      </c>
      <c r="E5768" s="560"/>
      <c r="F5768" s="560">
        <v>37725600</v>
      </c>
      <c r="G5768" s="560">
        <f t="shared" si="122"/>
        <v>0</v>
      </c>
      <c r="H5768" s="362"/>
      <c r="I5768" s="362"/>
      <c r="J5768" s="362"/>
    </row>
    <row r="5769" spans="1:10" x14ac:dyDescent="0.25">
      <c r="A5769" s="530"/>
      <c r="B5769" s="530"/>
      <c r="C5769" s="530"/>
      <c r="D5769" s="562">
        <f>SUM(D5754:D5768)</f>
        <v>2329420017</v>
      </c>
      <c r="E5769" s="562">
        <f>SUM(E5754:E5768)</f>
        <v>455998347</v>
      </c>
      <c r="F5769" s="562">
        <f>SUM(F5754:F5768)</f>
        <v>2785452000</v>
      </c>
      <c r="G5769" s="562">
        <f>SUM(G5754:G5768)</f>
        <v>-33636</v>
      </c>
      <c r="H5769" s="530"/>
      <c r="I5769" s="530"/>
      <c r="J5769" s="530"/>
    </row>
    <row r="5770" spans="1:10" x14ac:dyDescent="0.25">
      <c r="A5770" s="362"/>
      <c r="B5770" s="609">
        <v>44469</v>
      </c>
      <c r="C5770" s="362" t="s">
        <v>86</v>
      </c>
      <c r="D5770" s="560">
        <v>80149988</v>
      </c>
      <c r="E5770" s="560">
        <v>175454016</v>
      </c>
      <c r="F5770" s="560">
        <v>255604000</v>
      </c>
      <c r="G5770" s="560">
        <f t="shared" si="122"/>
        <v>4</v>
      </c>
      <c r="H5770" s="362"/>
      <c r="I5770" s="362"/>
      <c r="J5770" s="362"/>
    </row>
    <row r="5771" spans="1:10" x14ac:dyDescent="0.25">
      <c r="A5771" s="362"/>
      <c r="B5771" s="609">
        <v>44469</v>
      </c>
      <c r="C5771" s="362" t="s">
        <v>87</v>
      </c>
      <c r="D5771" s="560">
        <v>55505393</v>
      </c>
      <c r="E5771" s="560">
        <v>121315896</v>
      </c>
      <c r="F5771" s="560">
        <v>176821400</v>
      </c>
      <c r="G5771" s="560">
        <f t="shared" si="122"/>
        <v>-111</v>
      </c>
      <c r="H5771" s="362"/>
      <c r="I5771" s="362"/>
      <c r="J5771" s="362"/>
    </row>
    <row r="5772" spans="1:10" x14ac:dyDescent="0.25">
      <c r="A5772" s="362"/>
      <c r="B5772" s="609">
        <v>44469</v>
      </c>
      <c r="C5772" s="362" t="s">
        <v>88</v>
      </c>
      <c r="D5772" s="560">
        <v>276987041</v>
      </c>
      <c r="E5772" s="560">
        <v>70444687</v>
      </c>
      <c r="F5772" s="560">
        <v>347431800</v>
      </c>
      <c r="G5772" s="560">
        <f t="shared" ref="G5772:G5835" si="123">D5772+E5772-F5772</f>
        <v>-72</v>
      </c>
      <c r="H5772" s="362"/>
      <c r="I5772" s="362"/>
      <c r="J5772" s="362"/>
    </row>
    <row r="5773" spans="1:10" x14ac:dyDescent="0.25">
      <c r="A5773" s="362"/>
      <c r="B5773" s="609">
        <v>44469</v>
      </c>
      <c r="C5773" s="362" t="s">
        <v>82</v>
      </c>
      <c r="D5773" s="560">
        <v>126591881</v>
      </c>
      <c r="E5773" s="560">
        <v>4352318</v>
      </c>
      <c r="F5773" s="560">
        <v>130944200</v>
      </c>
      <c r="G5773" s="560">
        <f t="shared" si="123"/>
        <v>-1</v>
      </c>
      <c r="H5773" s="362"/>
      <c r="I5773" s="362"/>
      <c r="J5773" s="362"/>
    </row>
    <row r="5774" spans="1:10" x14ac:dyDescent="0.25">
      <c r="A5774" s="362"/>
      <c r="B5774" s="609">
        <v>44469</v>
      </c>
      <c r="C5774" s="362" t="s">
        <v>80</v>
      </c>
      <c r="D5774" s="560">
        <v>301200070</v>
      </c>
      <c r="E5774" s="560"/>
      <c r="F5774" s="560">
        <v>301200400</v>
      </c>
      <c r="G5774" s="560">
        <f t="shared" si="123"/>
        <v>-330</v>
      </c>
      <c r="H5774" s="362"/>
      <c r="I5774" s="362"/>
      <c r="J5774" s="362"/>
    </row>
    <row r="5775" spans="1:10" x14ac:dyDescent="0.25">
      <c r="A5775" s="362"/>
      <c r="B5775" s="609">
        <v>44469</v>
      </c>
      <c r="C5775" s="362" t="s">
        <v>83</v>
      </c>
      <c r="D5775" s="560">
        <v>220167845</v>
      </c>
      <c r="E5775" s="560">
        <v>19402426</v>
      </c>
      <c r="F5775" s="560">
        <v>239570300</v>
      </c>
      <c r="G5775" s="560">
        <f t="shared" si="123"/>
        <v>-29</v>
      </c>
      <c r="H5775" s="362"/>
      <c r="I5775" s="362"/>
      <c r="J5775" s="362"/>
    </row>
    <row r="5776" spans="1:10" x14ac:dyDescent="0.25">
      <c r="A5776" s="362"/>
      <c r="B5776" s="609">
        <v>44469</v>
      </c>
      <c r="C5776" s="362" t="s">
        <v>78</v>
      </c>
      <c r="D5776" s="560">
        <v>143044531</v>
      </c>
      <c r="E5776" s="560">
        <v>2572469</v>
      </c>
      <c r="F5776" s="560">
        <v>145617000</v>
      </c>
      <c r="G5776" s="560">
        <f t="shared" si="123"/>
        <v>0</v>
      </c>
      <c r="H5776" s="362"/>
      <c r="I5776" s="362"/>
      <c r="J5776" s="362"/>
    </row>
    <row r="5777" spans="1:10" x14ac:dyDescent="0.25">
      <c r="A5777" s="362"/>
      <c r="B5777" s="609">
        <v>44469</v>
      </c>
      <c r="C5777" s="362" t="s">
        <v>141</v>
      </c>
      <c r="D5777" s="560">
        <v>66275846</v>
      </c>
      <c r="E5777" s="560">
        <v>428367</v>
      </c>
      <c r="F5777" s="560">
        <v>66704300</v>
      </c>
      <c r="G5777" s="560">
        <f t="shared" si="123"/>
        <v>-87</v>
      </c>
      <c r="H5777" s="362"/>
      <c r="I5777" s="362"/>
      <c r="J5777" s="362"/>
    </row>
    <row r="5778" spans="1:10" x14ac:dyDescent="0.25">
      <c r="A5778" s="362"/>
      <c r="B5778" s="609">
        <v>44469</v>
      </c>
      <c r="C5778" s="362" t="s">
        <v>89</v>
      </c>
      <c r="D5778" s="560">
        <v>145686248</v>
      </c>
      <c r="E5778" s="560">
        <v>12637052</v>
      </c>
      <c r="F5778" s="560">
        <v>158323200</v>
      </c>
      <c r="G5778" s="560">
        <f t="shared" si="123"/>
        <v>100</v>
      </c>
      <c r="H5778" s="362"/>
      <c r="I5778" s="362"/>
      <c r="J5778" s="362"/>
    </row>
    <row r="5779" spans="1:10" x14ac:dyDescent="0.25">
      <c r="A5779" s="362"/>
      <c r="B5779" s="609">
        <v>44469</v>
      </c>
      <c r="C5779" s="362" t="s">
        <v>81</v>
      </c>
      <c r="D5779" s="560">
        <v>73798167</v>
      </c>
      <c r="E5779" s="560">
        <v>102585985</v>
      </c>
      <c r="F5779" s="560">
        <v>176384200</v>
      </c>
      <c r="G5779" s="560">
        <f t="shared" si="123"/>
        <v>-48</v>
      </c>
      <c r="H5779" s="362"/>
      <c r="I5779" s="362"/>
      <c r="J5779" s="362"/>
    </row>
    <row r="5780" spans="1:10" x14ac:dyDescent="0.25">
      <c r="A5780" s="362"/>
      <c r="B5780" s="609">
        <v>44469</v>
      </c>
      <c r="C5780" s="362" t="s">
        <v>84</v>
      </c>
      <c r="D5780" s="560">
        <v>211848742</v>
      </c>
      <c r="E5780" s="560">
        <v>15287660</v>
      </c>
      <c r="F5780" s="560">
        <v>227137100</v>
      </c>
      <c r="G5780" s="560">
        <f t="shared" si="123"/>
        <v>-698</v>
      </c>
      <c r="H5780" s="362"/>
      <c r="I5780" s="362"/>
      <c r="J5780" s="362"/>
    </row>
    <row r="5781" spans="1:10" x14ac:dyDescent="0.25">
      <c r="A5781" s="362"/>
      <c r="B5781" s="609">
        <v>44469</v>
      </c>
      <c r="C5781" s="362" t="s">
        <v>4751</v>
      </c>
      <c r="D5781" s="560">
        <v>131393982</v>
      </c>
      <c r="E5781" s="560">
        <v>12280818</v>
      </c>
      <c r="F5781" s="560">
        <v>143674800</v>
      </c>
      <c r="G5781" s="560">
        <f t="shared" si="123"/>
        <v>0</v>
      </c>
      <c r="H5781" s="362"/>
      <c r="I5781" s="362"/>
      <c r="J5781" s="362"/>
    </row>
    <row r="5782" spans="1:10" x14ac:dyDescent="0.25">
      <c r="A5782" s="362"/>
      <c r="B5782" s="609">
        <v>44469</v>
      </c>
      <c r="C5782" s="362" t="s">
        <v>166</v>
      </c>
      <c r="D5782" s="560">
        <v>74253901</v>
      </c>
      <c r="E5782" s="560"/>
      <c r="F5782" s="560">
        <v>74253900</v>
      </c>
      <c r="G5782" s="560">
        <f t="shared" si="123"/>
        <v>1</v>
      </c>
      <c r="H5782" s="362"/>
      <c r="I5782" s="362"/>
      <c r="J5782" s="362"/>
    </row>
    <row r="5783" spans="1:10" x14ac:dyDescent="0.25">
      <c r="A5783" s="362"/>
      <c r="B5783" s="609">
        <v>44469</v>
      </c>
      <c r="C5783" s="362" t="s">
        <v>3435</v>
      </c>
      <c r="D5783" s="560">
        <v>49007121</v>
      </c>
      <c r="E5783" s="560"/>
      <c r="F5783" s="560">
        <v>49007200</v>
      </c>
      <c r="G5783" s="560">
        <f t="shared" si="123"/>
        <v>-79</v>
      </c>
      <c r="H5783" s="362"/>
      <c r="I5783" s="362"/>
      <c r="J5783" s="362"/>
    </row>
    <row r="5784" spans="1:10" x14ac:dyDescent="0.25">
      <c r="A5784" s="362"/>
      <c r="B5784" s="609">
        <v>44469</v>
      </c>
      <c r="C5784" s="370" t="s">
        <v>85</v>
      </c>
      <c r="D5784" s="560">
        <v>21874100</v>
      </c>
      <c r="E5784" s="560"/>
      <c r="F5784" s="560">
        <v>21874100</v>
      </c>
      <c r="G5784" s="560">
        <f t="shared" si="123"/>
        <v>0</v>
      </c>
      <c r="H5784" s="362"/>
      <c r="I5784" s="362"/>
      <c r="J5784" s="362"/>
    </row>
    <row r="5785" spans="1:10" x14ac:dyDescent="0.25">
      <c r="A5785" s="530"/>
      <c r="B5785" s="530"/>
      <c r="C5785" s="530"/>
      <c r="D5785" s="562">
        <f>SUM(D5770:D5784)</f>
        <v>1977784856</v>
      </c>
      <c r="E5785" s="562">
        <f>SUM(E5770:E5784)</f>
        <v>536761694</v>
      </c>
      <c r="F5785" s="562">
        <f>SUM(F5770:F5784)</f>
        <v>2514547900</v>
      </c>
      <c r="G5785" s="562">
        <f>SUM(G5770:G5784)</f>
        <v>-1350</v>
      </c>
      <c r="H5785" s="530"/>
      <c r="I5785" s="530"/>
      <c r="J5785" s="530"/>
    </row>
    <row r="5786" spans="1:10" x14ac:dyDescent="0.25">
      <c r="A5786" s="362"/>
      <c r="B5786" s="609">
        <v>44470</v>
      </c>
      <c r="C5786" s="362" t="s">
        <v>86</v>
      </c>
      <c r="D5786" s="560">
        <v>82312545</v>
      </c>
      <c r="E5786" s="560">
        <v>51557319</v>
      </c>
      <c r="F5786" s="560">
        <v>133869900</v>
      </c>
      <c r="G5786" s="560">
        <f t="shared" si="123"/>
        <v>-36</v>
      </c>
      <c r="H5786" s="362"/>
      <c r="I5786" s="362"/>
      <c r="J5786" s="362"/>
    </row>
    <row r="5787" spans="1:10" x14ac:dyDescent="0.25">
      <c r="A5787" s="362"/>
      <c r="B5787" s="609">
        <v>44470</v>
      </c>
      <c r="C5787" s="362" t="s">
        <v>87</v>
      </c>
      <c r="D5787" s="560">
        <v>59371937</v>
      </c>
      <c r="E5787" s="560">
        <v>130357595</v>
      </c>
      <c r="F5787" s="560">
        <v>189729600</v>
      </c>
      <c r="G5787" s="560">
        <f t="shared" si="123"/>
        <v>-68</v>
      </c>
      <c r="H5787" s="362"/>
      <c r="I5787" s="362"/>
      <c r="J5787" s="362"/>
    </row>
    <row r="5788" spans="1:10" x14ac:dyDescent="0.25">
      <c r="A5788" s="362"/>
      <c r="B5788" s="609">
        <v>44470</v>
      </c>
      <c r="C5788" s="362" t="s">
        <v>88</v>
      </c>
      <c r="D5788" s="560">
        <v>84893274</v>
      </c>
      <c r="E5788" s="560">
        <v>100803661</v>
      </c>
      <c r="F5788" s="560">
        <v>185697000</v>
      </c>
      <c r="G5788" s="560">
        <f t="shared" si="123"/>
        <v>-65</v>
      </c>
      <c r="H5788" s="362"/>
      <c r="I5788" s="362"/>
      <c r="J5788" s="362"/>
    </row>
    <row r="5789" spans="1:10" x14ac:dyDescent="0.25">
      <c r="A5789" s="362"/>
      <c r="B5789" s="609">
        <v>44470</v>
      </c>
      <c r="C5789" s="362" t="s">
        <v>82</v>
      </c>
      <c r="D5789" s="560">
        <v>73589520</v>
      </c>
      <c r="E5789" s="560">
        <v>6889214</v>
      </c>
      <c r="F5789" s="560">
        <v>80478800</v>
      </c>
      <c r="G5789" s="560">
        <f t="shared" si="123"/>
        <v>-66</v>
      </c>
      <c r="H5789" s="362"/>
      <c r="I5789" s="362"/>
      <c r="J5789" s="362"/>
    </row>
    <row r="5790" spans="1:10" x14ac:dyDescent="0.25">
      <c r="A5790" s="362"/>
      <c r="B5790" s="609">
        <v>44470</v>
      </c>
      <c r="C5790" s="362" t="s">
        <v>80</v>
      </c>
      <c r="D5790" s="560">
        <v>190294094</v>
      </c>
      <c r="E5790" s="560">
        <v>14684206</v>
      </c>
      <c r="F5790" s="560">
        <v>204978300</v>
      </c>
      <c r="G5790" s="560">
        <f t="shared" si="123"/>
        <v>0</v>
      </c>
      <c r="H5790" s="362"/>
      <c r="I5790" s="362"/>
      <c r="J5790" s="362"/>
    </row>
    <row r="5791" spans="1:10" x14ac:dyDescent="0.25">
      <c r="A5791" s="362"/>
      <c r="B5791" s="609">
        <v>44470</v>
      </c>
      <c r="C5791" s="362" t="s">
        <v>83</v>
      </c>
      <c r="D5791" s="560">
        <v>158459911</v>
      </c>
      <c r="E5791" s="560">
        <v>52114728</v>
      </c>
      <c r="F5791" s="560">
        <v>210574700</v>
      </c>
      <c r="G5791" s="560">
        <f t="shared" si="123"/>
        <v>-61</v>
      </c>
      <c r="H5791" s="362"/>
      <c r="I5791" s="362"/>
      <c r="J5791" s="362"/>
    </row>
    <row r="5792" spans="1:10" x14ac:dyDescent="0.25">
      <c r="A5792" s="362"/>
      <c r="B5792" s="609">
        <v>44470</v>
      </c>
      <c r="C5792" s="362" t="s">
        <v>78</v>
      </c>
      <c r="D5792" s="560">
        <v>101797700</v>
      </c>
      <c r="E5792" s="560"/>
      <c r="F5792" s="560">
        <v>101797700</v>
      </c>
      <c r="G5792" s="560">
        <f t="shared" si="123"/>
        <v>0</v>
      </c>
      <c r="H5792" s="362"/>
      <c r="I5792" s="362"/>
      <c r="J5792" s="362"/>
    </row>
    <row r="5793" spans="1:10" x14ac:dyDescent="0.25">
      <c r="A5793" s="362"/>
      <c r="B5793" s="609">
        <v>44470</v>
      </c>
      <c r="C5793" s="362" t="s">
        <v>141</v>
      </c>
      <c r="D5793" s="560">
        <v>67733788</v>
      </c>
      <c r="E5793" s="560"/>
      <c r="F5793" s="560">
        <v>67733800</v>
      </c>
      <c r="G5793" s="560">
        <f t="shared" si="123"/>
        <v>-12</v>
      </c>
      <c r="H5793" s="362"/>
      <c r="I5793" s="362"/>
      <c r="J5793" s="362"/>
    </row>
    <row r="5794" spans="1:10" x14ac:dyDescent="0.25">
      <c r="A5794" s="362"/>
      <c r="B5794" s="609">
        <v>44470</v>
      </c>
      <c r="C5794" s="362" t="s">
        <v>89</v>
      </c>
      <c r="D5794" s="560">
        <v>145539115</v>
      </c>
      <c r="E5794" s="560">
        <v>128687285</v>
      </c>
      <c r="F5794" s="560">
        <v>274226700</v>
      </c>
      <c r="G5794" s="560">
        <f t="shared" si="123"/>
        <v>-300</v>
      </c>
      <c r="H5794" s="362"/>
      <c r="I5794" s="362"/>
      <c r="J5794" s="362"/>
    </row>
    <row r="5795" spans="1:10" x14ac:dyDescent="0.25">
      <c r="A5795" s="362"/>
      <c r="B5795" s="609">
        <v>44470</v>
      </c>
      <c r="C5795" s="362" t="s">
        <v>81</v>
      </c>
      <c r="D5795" s="560">
        <v>58207944</v>
      </c>
      <c r="E5795" s="560">
        <v>10342661</v>
      </c>
      <c r="F5795" s="560">
        <v>68550600</v>
      </c>
      <c r="G5795" s="560">
        <f t="shared" si="123"/>
        <v>5</v>
      </c>
      <c r="H5795" s="362"/>
      <c r="I5795" s="362"/>
      <c r="J5795" s="362"/>
    </row>
    <row r="5796" spans="1:10" x14ac:dyDescent="0.25">
      <c r="A5796" s="362"/>
      <c r="B5796" s="609">
        <v>44470</v>
      </c>
      <c r="C5796" s="362" t="s">
        <v>84</v>
      </c>
      <c r="D5796" s="560">
        <v>169596348</v>
      </c>
      <c r="E5796" s="560">
        <v>15968542</v>
      </c>
      <c r="F5796" s="560">
        <v>185564400</v>
      </c>
      <c r="G5796" s="560">
        <f t="shared" si="123"/>
        <v>490</v>
      </c>
      <c r="H5796" s="362"/>
      <c r="I5796" s="362"/>
      <c r="J5796" s="362"/>
    </row>
    <row r="5797" spans="1:10" x14ac:dyDescent="0.25">
      <c r="A5797" s="362"/>
      <c r="B5797" s="609">
        <v>44470</v>
      </c>
      <c r="C5797" s="362" t="s">
        <v>4751</v>
      </c>
      <c r="D5797" s="560">
        <v>211547380</v>
      </c>
      <c r="E5797" s="560">
        <v>5522820</v>
      </c>
      <c r="F5797" s="560">
        <v>217070200</v>
      </c>
      <c r="G5797" s="560">
        <f t="shared" si="123"/>
        <v>0</v>
      </c>
      <c r="H5797" s="362"/>
      <c r="I5797" s="362"/>
      <c r="J5797" s="362"/>
    </row>
    <row r="5798" spans="1:10" x14ac:dyDescent="0.25">
      <c r="A5798" s="362"/>
      <c r="B5798" s="609">
        <v>44470</v>
      </c>
      <c r="C5798" s="362" t="s">
        <v>166</v>
      </c>
      <c r="D5798" s="560">
        <v>27822708</v>
      </c>
      <c r="E5798" s="560"/>
      <c r="F5798" s="560">
        <v>27822800</v>
      </c>
      <c r="G5798" s="560">
        <f t="shared" si="123"/>
        <v>-92</v>
      </c>
      <c r="H5798" s="362"/>
      <c r="I5798" s="362"/>
      <c r="J5798" s="362"/>
    </row>
    <row r="5799" spans="1:10" x14ac:dyDescent="0.25">
      <c r="A5799" s="362"/>
      <c r="B5799" s="609">
        <v>44470</v>
      </c>
      <c r="C5799" s="362" t="s">
        <v>3435</v>
      </c>
      <c r="D5799" s="560">
        <v>68221714</v>
      </c>
      <c r="E5799" s="560"/>
      <c r="F5799" s="560">
        <v>68221800</v>
      </c>
      <c r="G5799" s="560">
        <f t="shared" si="123"/>
        <v>-86</v>
      </c>
      <c r="H5799" s="362"/>
      <c r="I5799" s="362"/>
      <c r="J5799" s="362"/>
    </row>
    <row r="5800" spans="1:10" x14ac:dyDescent="0.25">
      <c r="A5800" s="362"/>
      <c r="B5800" s="609">
        <v>44470</v>
      </c>
      <c r="C5800" s="370" t="s">
        <v>85</v>
      </c>
      <c r="D5800" s="560">
        <v>21038100</v>
      </c>
      <c r="E5800" s="560"/>
      <c r="F5800" s="560">
        <v>21038100</v>
      </c>
      <c r="G5800" s="560">
        <f t="shared" si="123"/>
        <v>0</v>
      </c>
      <c r="H5800" s="362"/>
      <c r="I5800" s="362"/>
      <c r="J5800" s="362"/>
    </row>
    <row r="5801" spans="1:10" x14ac:dyDescent="0.25">
      <c r="A5801" s="530"/>
      <c r="B5801" s="530"/>
      <c r="C5801" s="530"/>
      <c r="D5801" s="562">
        <f>SUM(D5786:D5800)</f>
        <v>1520426078</v>
      </c>
      <c r="E5801" s="562">
        <f>SUM(E5786:E5800)</f>
        <v>516928031</v>
      </c>
      <c r="F5801" s="562">
        <f>SUM(F5786:F5800)</f>
        <v>2037354400</v>
      </c>
      <c r="G5801" s="562">
        <f>SUM(G5786:G5800)</f>
        <v>-291</v>
      </c>
      <c r="H5801" s="530"/>
      <c r="I5801" s="530"/>
      <c r="J5801" s="530"/>
    </row>
    <row r="5802" spans="1:10" x14ac:dyDescent="0.25">
      <c r="A5802" s="362"/>
      <c r="B5802" s="609">
        <v>44471</v>
      </c>
      <c r="C5802" s="362" t="s">
        <v>86</v>
      </c>
      <c r="D5802" s="560">
        <v>83527186</v>
      </c>
      <c r="E5802" s="560">
        <v>30501105</v>
      </c>
      <c r="F5802" s="560"/>
      <c r="G5802" s="560">
        <f t="shared" si="123"/>
        <v>114028291</v>
      </c>
      <c r="H5802" s="362"/>
      <c r="I5802" s="362"/>
      <c r="J5802" s="362"/>
    </row>
    <row r="5803" spans="1:10" x14ac:dyDescent="0.25">
      <c r="A5803" s="362"/>
      <c r="B5803" s="609">
        <v>44471</v>
      </c>
      <c r="C5803" s="362" t="s">
        <v>87</v>
      </c>
      <c r="D5803" s="560">
        <v>61865423</v>
      </c>
      <c r="E5803" s="560">
        <v>60970850</v>
      </c>
      <c r="F5803" s="560"/>
      <c r="G5803" s="560">
        <f t="shared" si="123"/>
        <v>122836273</v>
      </c>
      <c r="H5803" s="362"/>
      <c r="I5803" s="362"/>
      <c r="J5803" s="362"/>
    </row>
    <row r="5804" spans="1:10" x14ac:dyDescent="0.25">
      <c r="A5804" s="362"/>
      <c r="B5804" s="609">
        <v>44471</v>
      </c>
      <c r="C5804" s="362" t="s">
        <v>88</v>
      </c>
      <c r="D5804" s="560">
        <v>143615039</v>
      </c>
      <c r="E5804" s="560">
        <v>10398371</v>
      </c>
      <c r="F5804" s="560"/>
      <c r="G5804" s="560">
        <f t="shared" si="123"/>
        <v>154013410</v>
      </c>
      <c r="H5804" s="362"/>
      <c r="I5804" s="362"/>
      <c r="J5804" s="362"/>
    </row>
    <row r="5805" spans="1:10" x14ac:dyDescent="0.25">
      <c r="A5805" s="362"/>
      <c r="B5805" s="609">
        <v>44471</v>
      </c>
      <c r="C5805" s="362" t="s">
        <v>82</v>
      </c>
      <c r="D5805" s="560">
        <v>28569239</v>
      </c>
      <c r="E5805" s="560">
        <v>2689698</v>
      </c>
      <c r="F5805" s="560"/>
      <c r="G5805" s="560">
        <f t="shared" si="123"/>
        <v>31258937</v>
      </c>
      <c r="H5805" s="362"/>
      <c r="I5805" s="362"/>
      <c r="J5805" s="362"/>
    </row>
    <row r="5806" spans="1:10" x14ac:dyDescent="0.25">
      <c r="A5806" s="362"/>
      <c r="B5806" s="609">
        <v>44471</v>
      </c>
      <c r="C5806" s="362" t="s">
        <v>80</v>
      </c>
      <c r="D5806" s="560">
        <v>257846800</v>
      </c>
      <c r="E5806" s="560"/>
      <c r="F5806" s="560"/>
      <c r="G5806" s="560">
        <f t="shared" si="123"/>
        <v>257846800</v>
      </c>
      <c r="H5806" s="362"/>
      <c r="I5806" s="362"/>
      <c r="J5806" s="362"/>
    </row>
    <row r="5807" spans="1:10" x14ac:dyDescent="0.25">
      <c r="A5807" s="362"/>
      <c r="B5807" s="609">
        <v>44471</v>
      </c>
      <c r="C5807" s="362" t="s">
        <v>83</v>
      </c>
      <c r="D5807" s="560">
        <v>206282710</v>
      </c>
      <c r="E5807" s="560">
        <v>29547690</v>
      </c>
      <c r="F5807" s="560"/>
      <c r="G5807" s="560">
        <f t="shared" si="123"/>
        <v>235830400</v>
      </c>
      <c r="H5807" s="362"/>
      <c r="I5807" s="362"/>
      <c r="J5807" s="362"/>
    </row>
    <row r="5808" spans="1:10" x14ac:dyDescent="0.25">
      <c r="A5808" s="362"/>
      <c r="B5808" s="609">
        <v>44471</v>
      </c>
      <c r="C5808" s="362" t="s">
        <v>78</v>
      </c>
      <c r="D5808" s="560">
        <v>162936945</v>
      </c>
      <c r="E5808" s="560">
        <v>30149755</v>
      </c>
      <c r="F5808" s="560"/>
      <c r="G5808" s="560">
        <f t="shared" si="123"/>
        <v>193086700</v>
      </c>
      <c r="H5808" s="362"/>
      <c r="I5808" s="362"/>
      <c r="J5808" s="362"/>
    </row>
    <row r="5809" spans="1:10" x14ac:dyDescent="0.25">
      <c r="A5809" s="362"/>
      <c r="B5809" s="609">
        <v>44471</v>
      </c>
      <c r="C5809" s="362" t="s">
        <v>141</v>
      </c>
      <c r="D5809" s="560">
        <v>43692090</v>
      </c>
      <c r="E5809" s="560"/>
      <c r="F5809" s="560"/>
      <c r="G5809" s="560">
        <f t="shared" si="123"/>
        <v>43692090</v>
      </c>
      <c r="H5809" s="362"/>
      <c r="I5809" s="362"/>
      <c r="J5809" s="362"/>
    </row>
    <row r="5810" spans="1:10" x14ac:dyDescent="0.25">
      <c r="A5810" s="362"/>
      <c r="B5810" s="609">
        <v>44471</v>
      </c>
      <c r="C5810" s="362" t="s">
        <v>89</v>
      </c>
      <c r="D5810" s="560">
        <v>83927208</v>
      </c>
      <c r="E5810" s="560">
        <v>18738892</v>
      </c>
      <c r="F5810" s="560"/>
      <c r="G5810" s="560">
        <f t="shared" si="123"/>
        <v>102666100</v>
      </c>
      <c r="H5810" s="362"/>
      <c r="I5810" s="362"/>
      <c r="J5810" s="362"/>
    </row>
    <row r="5811" spans="1:10" x14ac:dyDescent="0.25">
      <c r="A5811" s="362"/>
      <c r="B5811" s="609">
        <v>44471</v>
      </c>
      <c r="C5811" s="362" t="s">
        <v>81</v>
      </c>
      <c r="D5811" s="560">
        <v>73321091</v>
      </c>
      <c r="E5811" s="560">
        <v>11047891</v>
      </c>
      <c r="F5811" s="560"/>
      <c r="G5811" s="560">
        <f t="shared" si="123"/>
        <v>84368982</v>
      </c>
      <c r="H5811" s="362"/>
      <c r="I5811" s="362"/>
      <c r="J5811" s="362"/>
    </row>
    <row r="5812" spans="1:10" x14ac:dyDescent="0.25">
      <c r="A5812" s="362"/>
      <c r="B5812" s="609">
        <v>44471</v>
      </c>
      <c r="C5812" s="362" t="s">
        <v>84</v>
      </c>
      <c r="D5812" s="560">
        <v>138893931</v>
      </c>
      <c r="E5812" s="560">
        <v>16230647</v>
      </c>
      <c r="F5812" s="560"/>
      <c r="G5812" s="560">
        <f t="shared" si="123"/>
        <v>155124578</v>
      </c>
      <c r="H5812" s="362"/>
      <c r="I5812" s="362"/>
      <c r="J5812" s="362"/>
    </row>
    <row r="5813" spans="1:10" x14ac:dyDescent="0.25">
      <c r="A5813" s="362"/>
      <c r="B5813" s="609">
        <v>44471</v>
      </c>
      <c r="C5813" s="362" t="s">
        <v>4751</v>
      </c>
      <c r="D5813" s="560">
        <v>188955377</v>
      </c>
      <c r="E5813" s="560">
        <v>37447623</v>
      </c>
      <c r="F5813" s="560"/>
      <c r="G5813" s="560">
        <f t="shared" si="123"/>
        <v>226403000</v>
      </c>
      <c r="H5813" s="362"/>
      <c r="I5813" s="362"/>
      <c r="J5813" s="362"/>
    </row>
    <row r="5814" spans="1:10" x14ac:dyDescent="0.25">
      <c r="A5814" s="362"/>
      <c r="B5814" s="609">
        <v>44471</v>
      </c>
      <c r="C5814" s="362" t="s">
        <v>166</v>
      </c>
      <c r="D5814" s="560"/>
      <c r="E5814" s="560"/>
      <c r="F5814" s="560"/>
      <c r="G5814" s="560">
        <f t="shared" si="123"/>
        <v>0</v>
      </c>
      <c r="H5814" s="362"/>
      <c r="I5814" s="362"/>
      <c r="J5814" s="362"/>
    </row>
    <row r="5815" spans="1:10" x14ac:dyDescent="0.25">
      <c r="A5815" s="362"/>
      <c r="B5815" s="609">
        <v>44471</v>
      </c>
      <c r="C5815" s="362" t="s">
        <v>3435</v>
      </c>
      <c r="D5815" s="560"/>
      <c r="E5815" s="560"/>
      <c r="F5815" s="560"/>
      <c r="G5815" s="560">
        <f t="shared" si="123"/>
        <v>0</v>
      </c>
      <c r="H5815" s="362"/>
      <c r="I5815" s="362"/>
      <c r="J5815" s="362"/>
    </row>
    <row r="5816" spans="1:10" x14ac:dyDescent="0.25">
      <c r="A5816" s="362"/>
      <c r="B5816" s="609">
        <v>44471</v>
      </c>
      <c r="C5816" s="370" t="s">
        <v>85</v>
      </c>
      <c r="D5816" s="560">
        <v>25091900</v>
      </c>
      <c r="E5816" s="560"/>
      <c r="F5816" s="560"/>
      <c r="G5816" s="560">
        <f t="shared" si="123"/>
        <v>25091900</v>
      </c>
      <c r="H5816" s="362"/>
      <c r="I5816" s="362"/>
      <c r="J5816" s="362"/>
    </row>
    <row r="5817" spans="1:10" x14ac:dyDescent="0.25">
      <c r="A5817" s="530"/>
      <c r="B5817" s="530"/>
      <c r="C5817" s="530"/>
      <c r="D5817" s="562">
        <f>SUM(D5802:D5816)</f>
        <v>1498524939</v>
      </c>
      <c r="E5817" s="562">
        <f>SUM(E5802:E5816)</f>
        <v>247722522</v>
      </c>
      <c r="F5817" s="562">
        <f>SUM(F5802:F5816)</f>
        <v>0</v>
      </c>
      <c r="G5817" s="562">
        <f>SUM(G5802:G5816)</f>
        <v>1746247461</v>
      </c>
      <c r="H5817" s="530"/>
      <c r="I5817" s="530"/>
      <c r="J5817" s="530"/>
    </row>
    <row r="5818" spans="1:10" x14ac:dyDescent="0.25">
      <c r="A5818" s="362"/>
      <c r="B5818" s="609">
        <v>44473</v>
      </c>
      <c r="C5818" s="362" t="s">
        <v>86</v>
      </c>
      <c r="D5818" s="560">
        <v>36130733</v>
      </c>
      <c r="E5818" s="560">
        <v>21015800</v>
      </c>
      <c r="F5818" s="560"/>
      <c r="G5818" s="560">
        <f t="shared" si="123"/>
        <v>57146533</v>
      </c>
      <c r="H5818" s="362"/>
      <c r="I5818" s="362"/>
      <c r="J5818" s="362"/>
    </row>
    <row r="5819" spans="1:10" x14ac:dyDescent="0.25">
      <c r="A5819" s="362"/>
      <c r="B5819" s="609">
        <v>44473</v>
      </c>
      <c r="C5819" s="362" t="s">
        <v>87</v>
      </c>
      <c r="D5819" s="560">
        <v>34271024</v>
      </c>
      <c r="E5819" s="560">
        <v>6872485</v>
      </c>
      <c r="F5819" s="560"/>
      <c r="G5819" s="560">
        <f t="shared" si="123"/>
        <v>41143509</v>
      </c>
      <c r="H5819" s="362"/>
      <c r="I5819" s="362"/>
      <c r="J5819" s="362"/>
    </row>
    <row r="5820" spans="1:10" x14ac:dyDescent="0.25">
      <c r="A5820" s="362"/>
      <c r="B5820" s="609">
        <v>44473</v>
      </c>
      <c r="C5820" s="362" t="s">
        <v>88</v>
      </c>
      <c r="D5820" s="560">
        <v>138072512</v>
      </c>
      <c r="E5820" s="560">
        <v>105038095</v>
      </c>
      <c r="F5820" s="560"/>
      <c r="G5820" s="560">
        <f t="shared" si="123"/>
        <v>243110607</v>
      </c>
      <c r="H5820" s="362"/>
      <c r="I5820" s="362"/>
      <c r="J5820" s="362"/>
    </row>
    <row r="5821" spans="1:10" x14ac:dyDescent="0.25">
      <c r="A5821" s="362"/>
      <c r="B5821" s="609">
        <v>44473</v>
      </c>
      <c r="C5821" s="362" t="s">
        <v>82</v>
      </c>
      <c r="D5821" s="560">
        <v>47376852</v>
      </c>
      <c r="E5821" s="560">
        <v>2332443</v>
      </c>
      <c r="F5821" s="560"/>
      <c r="G5821" s="560">
        <f t="shared" si="123"/>
        <v>49709295</v>
      </c>
      <c r="H5821" s="362"/>
      <c r="I5821" s="362"/>
      <c r="J5821" s="362"/>
    </row>
    <row r="5822" spans="1:10" x14ac:dyDescent="0.25">
      <c r="A5822" s="362"/>
      <c r="B5822" s="609">
        <v>44473</v>
      </c>
      <c r="C5822" s="362" t="s">
        <v>80</v>
      </c>
      <c r="D5822" s="560">
        <v>202524900</v>
      </c>
      <c r="E5822" s="560"/>
      <c r="F5822" s="560"/>
      <c r="G5822" s="560">
        <f t="shared" si="123"/>
        <v>202524900</v>
      </c>
      <c r="H5822" s="362"/>
      <c r="I5822" s="362"/>
      <c r="J5822" s="362"/>
    </row>
    <row r="5823" spans="1:10" x14ac:dyDescent="0.25">
      <c r="A5823" s="362"/>
      <c r="B5823" s="609">
        <v>44473</v>
      </c>
      <c r="C5823" s="362" t="s">
        <v>83</v>
      </c>
      <c r="D5823" s="560">
        <v>183811038</v>
      </c>
      <c r="E5823" s="560">
        <v>8296606</v>
      </c>
      <c r="F5823" s="560"/>
      <c r="G5823" s="560">
        <f t="shared" si="123"/>
        <v>192107644</v>
      </c>
      <c r="H5823" s="362"/>
      <c r="I5823" s="362"/>
      <c r="J5823" s="362"/>
    </row>
    <row r="5824" spans="1:10" x14ac:dyDescent="0.25">
      <c r="A5824" s="362"/>
      <c r="B5824" s="609">
        <v>44473</v>
      </c>
      <c r="C5824" s="362" t="s">
        <v>78</v>
      </c>
      <c r="D5824" s="560">
        <v>103553116</v>
      </c>
      <c r="E5824" s="560">
        <v>2192084</v>
      </c>
      <c r="F5824" s="560"/>
      <c r="G5824" s="560">
        <f t="shared" si="123"/>
        <v>105745200</v>
      </c>
      <c r="H5824" s="362"/>
      <c r="I5824" s="362"/>
      <c r="J5824" s="362"/>
    </row>
    <row r="5825" spans="1:10" x14ac:dyDescent="0.25">
      <c r="A5825" s="362"/>
      <c r="B5825" s="609">
        <v>44473</v>
      </c>
      <c r="C5825" s="362" t="s">
        <v>141</v>
      </c>
      <c r="D5825" s="560">
        <v>41966301</v>
      </c>
      <c r="E5825" s="560"/>
      <c r="F5825" s="560"/>
      <c r="G5825" s="560">
        <f t="shared" si="123"/>
        <v>41966301</v>
      </c>
      <c r="H5825" s="362"/>
      <c r="I5825" s="362"/>
      <c r="J5825" s="362"/>
    </row>
    <row r="5826" spans="1:10" x14ac:dyDescent="0.25">
      <c r="A5826" s="362"/>
      <c r="B5826" s="609">
        <v>44473</v>
      </c>
      <c r="C5826" s="362" t="s">
        <v>89</v>
      </c>
      <c r="D5826" s="560">
        <v>145378008</v>
      </c>
      <c r="E5826" s="560">
        <v>41859052</v>
      </c>
      <c r="F5826" s="560"/>
      <c r="G5826" s="560">
        <f t="shared" si="123"/>
        <v>187237060</v>
      </c>
      <c r="H5826" s="362"/>
      <c r="I5826" s="362"/>
      <c r="J5826" s="362"/>
    </row>
    <row r="5827" spans="1:10" x14ac:dyDescent="0.25">
      <c r="A5827" s="362"/>
      <c r="B5827" s="609">
        <v>44473</v>
      </c>
      <c r="C5827" s="362" t="s">
        <v>81</v>
      </c>
      <c r="D5827" s="560">
        <v>126922652</v>
      </c>
      <c r="E5827" s="560">
        <v>7015421</v>
      </c>
      <c r="F5827" s="560"/>
      <c r="G5827" s="560">
        <f t="shared" si="123"/>
        <v>133938073</v>
      </c>
      <c r="H5827" s="362"/>
      <c r="I5827" s="362"/>
      <c r="J5827" s="362"/>
    </row>
    <row r="5828" spans="1:10" x14ac:dyDescent="0.25">
      <c r="A5828" s="362"/>
      <c r="B5828" s="609">
        <v>44473</v>
      </c>
      <c r="C5828" s="362" t="s">
        <v>84</v>
      </c>
      <c r="D5828" s="560">
        <v>184402734</v>
      </c>
      <c r="E5828" s="560">
        <v>10913594</v>
      </c>
      <c r="F5828" s="560"/>
      <c r="G5828" s="560">
        <f t="shared" si="123"/>
        <v>195316328</v>
      </c>
      <c r="H5828" s="362"/>
      <c r="I5828" s="362"/>
      <c r="J5828" s="362"/>
    </row>
    <row r="5829" spans="1:10" x14ac:dyDescent="0.25">
      <c r="A5829" s="362"/>
      <c r="B5829" s="609">
        <v>44473</v>
      </c>
      <c r="C5829" s="362" t="s">
        <v>4751</v>
      </c>
      <c r="D5829" s="560">
        <v>177243689</v>
      </c>
      <c r="E5829" s="560">
        <v>4964011</v>
      </c>
      <c r="F5829" s="560"/>
      <c r="G5829" s="560">
        <f t="shared" si="123"/>
        <v>182207700</v>
      </c>
      <c r="H5829" s="362"/>
      <c r="I5829" s="362"/>
      <c r="J5829" s="362"/>
    </row>
    <row r="5830" spans="1:10" x14ac:dyDescent="0.25">
      <c r="A5830" s="362"/>
      <c r="B5830" s="609">
        <v>44473</v>
      </c>
      <c r="C5830" s="362" t="s">
        <v>166</v>
      </c>
      <c r="D5830" s="560">
        <v>33770689</v>
      </c>
      <c r="E5830" s="560"/>
      <c r="F5830" s="560"/>
      <c r="G5830" s="560">
        <f t="shared" si="123"/>
        <v>33770689</v>
      </c>
      <c r="H5830" s="362"/>
      <c r="I5830" s="362"/>
      <c r="J5830" s="362"/>
    </row>
    <row r="5831" spans="1:10" x14ac:dyDescent="0.25">
      <c r="A5831" s="362"/>
      <c r="B5831" s="609">
        <v>44473</v>
      </c>
      <c r="C5831" s="362" t="s">
        <v>3435</v>
      </c>
      <c r="D5831" s="560">
        <v>29831510</v>
      </c>
      <c r="E5831" s="560"/>
      <c r="F5831" s="560"/>
      <c r="G5831" s="560">
        <f t="shared" si="123"/>
        <v>29831510</v>
      </c>
      <c r="H5831" s="362"/>
      <c r="I5831" s="362"/>
      <c r="J5831" s="362"/>
    </row>
    <row r="5832" spans="1:10" x14ac:dyDescent="0.25">
      <c r="A5832" s="362"/>
      <c r="B5832" s="609">
        <v>44473</v>
      </c>
      <c r="C5832" s="370" t="s">
        <v>85</v>
      </c>
      <c r="D5832" s="560">
        <v>54899100</v>
      </c>
      <c r="E5832" s="560"/>
      <c r="F5832" s="560"/>
      <c r="G5832" s="560">
        <f t="shared" si="123"/>
        <v>54899100</v>
      </c>
      <c r="H5832" s="362"/>
      <c r="I5832" s="362"/>
      <c r="J5832" s="362"/>
    </row>
    <row r="5833" spans="1:10" x14ac:dyDescent="0.25">
      <c r="A5833" s="530"/>
      <c r="B5833" s="530"/>
      <c r="C5833" s="530"/>
      <c r="D5833" s="562">
        <f>SUM(D5818:D5832)</f>
        <v>1540154858</v>
      </c>
      <c r="E5833" s="562">
        <f>SUM(E5818:E5832)</f>
        <v>210499591</v>
      </c>
      <c r="F5833" s="562">
        <f>SUM(F5818:F5832)</f>
        <v>0</v>
      </c>
      <c r="G5833" s="562">
        <f>SUM(G5818:G5832)</f>
        <v>1750654449</v>
      </c>
      <c r="H5833" s="530"/>
      <c r="I5833" s="530"/>
      <c r="J5833" s="530"/>
    </row>
    <row r="5834" spans="1:10" x14ac:dyDescent="0.25">
      <c r="A5834" s="362"/>
      <c r="B5834" s="609">
        <v>44474</v>
      </c>
      <c r="C5834" s="362" t="s">
        <v>86</v>
      </c>
      <c r="D5834" s="560">
        <v>86459473</v>
      </c>
      <c r="E5834" s="560">
        <v>29896765</v>
      </c>
      <c r="F5834" s="560"/>
      <c r="G5834" s="560">
        <f t="shared" si="123"/>
        <v>116356238</v>
      </c>
      <c r="H5834" s="362"/>
      <c r="I5834" s="362"/>
      <c r="J5834" s="362"/>
    </row>
    <row r="5835" spans="1:10" x14ac:dyDescent="0.25">
      <c r="A5835" s="362"/>
      <c r="B5835" s="609">
        <v>44474</v>
      </c>
      <c r="C5835" s="362" t="s">
        <v>87</v>
      </c>
      <c r="D5835" s="560">
        <v>46085771</v>
      </c>
      <c r="E5835" s="560">
        <v>122036708</v>
      </c>
      <c r="F5835" s="560"/>
      <c r="G5835" s="560">
        <f t="shared" si="123"/>
        <v>168122479</v>
      </c>
      <c r="H5835" s="362"/>
      <c r="I5835" s="362"/>
      <c r="J5835" s="362"/>
    </row>
    <row r="5836" spans="1:10" x14ac:dyDescent="0.25">
      <c r="A5836" s="362"/>
      <c r="B5836" s="609">
        <v>44474</v>
      </c>
      <c r="C5836" s="362" t="s">
        <v>88</v>
      </c>
      <c r="D5836" s="560">
        <v>206779076</v>
      </c>
      <c r="E5836" s="560">
        <v>91547419</v>
      </c>
      <c r="F5836" s="560"/>
      <c r="G5836" s="560">
        <f t="shared" ref="G5836:G5899" si="124">D5836+E5836-F5836</f>
        <v>298326495</v>
      </c>
      <c r="H5836" s="362"/>
      <c r="I5836" s="362"/>
      <c r="J5836" s="362"/>
    </row>
    <row r="5837" spans="1:10" x14ac:dyDescent="0.25">
      <c r="A5837" s="362"/>
      <c r="B5837" s="609">
        <v>44474</v>
      </c>
      <c r="C5837" s="362" t="s">
        <v>82</v>
      </c>
      <c r="D5837" s="560">
        <v>43183454</v>
      </c>
      <c r="E5837" s="560">
        <v>2225740</v>
      </c>
      <c r="F5837" s="560"/>
      <c r="G5837" s="560">
        <f t="shared" si="124"/>
        <v>45409194</v>
      </c>
      <c r="H5837" s="362"/>
      <c r="I5837" s="362"/>
      <c r="J5837" s="362"/>
    </row>
    <row r="5838" spans="1:10" x14ac:dyDescent="0.25">
      <c r="A5838" s="362"/>
      <c r="B5838" s="609">
        <v>44474</v>
      </c>
      <c r="C5838" s="362" t="s">
        <v>80</v>
      </c>
      <c r="D5838" s="560">
        <v>188711930</v>
      </c>
      <c r="E5838" s="560">
        <v>46223340</v>
      </c>
      <c r="F5838" s="560"/>
      <c r="G5838" s="560">
        <f t="shared" si="124"/>
        <v>234935270</v>
      </c>
      <c r="H5838" s="362"/>
      <c r="I5838" s="362"/>
      <c r="J5838" s="362"/>
    </row>
    <row r="5839" spans="1:10" x14ac:dyDescent="0.25">
      <c r="A5839" s="362"/>
      <c r="B5839" s="609">
        <v>44474</v>
      </c>
      <c r="C5839" s="362" t="s">
        <v>83</v>
      </c>
      <c r="D5839" s="560">
        <v>221996615</v>
      </c>
      <c r="E5839" s="560">
        <v>10271731</v>
      </c>
      <c r="F5839" s="560"/>
      <c r="G5839" s="560">
        <f t="shared" si="124"/>
        <v>232268346</v>
      </c>
      <c r="H5839" s="362"/>
      <c r="I5839" s="362"/>
      <c r="J5839" s="362"/>
    </row>
    <row r="5840" spans="1:10" x14ac:dyDescent="0.25">
      <c r="A5840" s="362"/>
      <c r="B5840" s="609">
        <v>44474</v>
      </c>
      <c r="C5840" s="362" t="s">
        <v>78</v>
      </c>
      <c r="D5840" s="560">
        <v>88788938</v>
      </c>
      <c r="E5840" s="560">
        <v>1796262</v>
      </c>
      <c r="F5840" s="560"/>
      <c r="G5840" s="560">
        <f t="shared" si="124"/>
        <v>90585200</v>
      </c>
      <c r="H5840" s="362"/>
      <c r="I5840" s="362"/>
      <c r="J5840" s="362"/>
    </row>
    <row r="5841" spans="1:10" x14ac:dyDescent="0.25">
      <c r="A5841" s="362"/>
      <c r="B5841" s="609">
        <v>44474</v>
      </c>
      <c r="C5841" s="362" t="s">
        <v>141</v>
      </c>
      <c r="D5841" s="560">
        <v>111516463</v>
      </c>
      <c r="E5841" s="560"/>
      <c r="F5841" s="560"/>
      <c r="G5841" s="560">
        <f t="shared" si="124"/>
        <v>111516463</v>
      </c>
      <c r="H5841" s="362"/>
      <c r="I5841" s="362"/>
      <c r="J5841" s="362"/>
    </row>
    <row r="5842" spans="1:10" x14ac:dyDescent="0.25">
      <c r="A5842" s="362"/>
      <c r="B5842" s="609">
        <v>44474</v>
      </c>
      <c r="C5842" s="362" t="s">
        <v>89</v>
      </c>
      <c r="D5842" s="560">
        <v>128257156</v>
      </c>
      <c r="E5842" s="560">
        <v>9523944</v>
      </c>
      <c r="F5842" s="560"/>
      <c r="G5842" s="560">
        <f t="shared" si="124"/>
        <v>137781100</v>
      </c>
      <c r="H5842" s="362"/>
      <c r="I5842" s="362"/>
      <c r="J5842" s="362"/>
    </row>
    <row r="5843" spans="1:10" x14ac:dyDescent="0.25">
      <c r="A5843" s="362"/>
      <c r="B5843" s="609">
        <v>44474</v>
      </c>
      <c r="C5843" s="362" t="s">
        <v>81</v>
      </c>
      <c r="D5843" s="560">
        <v>99549632</v>
      </c>
      <c r="E5843" s="560">
        <v>18009836</v>
      </c>
      <c r="F5843" s="560"/>
      <c r="G5843" s="560">
        <f t="shared" si="124"/>
        <v>117559468</v>
      </c>
      <c r="H5843" s="362"/>
      <c r="I5843" s="362"/>
      <c r="J5843" s="362"/>
    </row>
    <row r="5844" spans="1:10" x14ac:dyDescent="0.25">
      <c r="A5844" s="362"/>
      <c r="B5844" s="609">
        <v>44474</v>
      </c>
      <c r="C5844" s="362" t="s">
        <v>84</v>
      </c>
      <c r="D5844" s="560">
        <v>191546930</v>
      </c>
      <c r="E5844" s="560">
        <v>14110298</v>
      </c>
      <c r="F5844" s="560"/>
      <c r="G5844" s="560">
        <f t="shared" si="124"/>
        <v>205657228</v>
      </c>
      <c r="H5844" s="362"/>
      <c r="I5844" s="362"/>
      <c r="J5844" s="362"/>
    </row>
    <row r="5845" spans="1:10" x14ac:dyDescent="0.25">
      <c r="A5845" s="362"/>
      <c r="B5845" s="609">
        <v>44474</v>
      </c>
      <c r="C5845" s="362" t="s">
        <v>4751</v>
      </c>
      <c r="D5845" s="560">
        <v>197774328</v>
      </c>
      <c r="E5845" s="560">
        <v>13648672</v>
      </c>
      <c r="F5845" s="560"/>
      <c r="G5845" s="560">
        <f t="shared" si="124"/>
        <v>211423000</v>
      </c>
      <c r="H5845" s="362"/>
      <c r="I5845" s="362"/>
      <c r="J5845" s="362"/>
    </row>
    <row r="5846" spans="1:10" x14ac:dyDescent="0.25">
      <c r="A5846" s="362"/>
      <c r="B5846" s="609">
        <v>44474</v>
      </c>
      <c r="C5846" s="362" t="s">
        <v>166</v>
      </c>
      <c r="D5846" s="560">
        <v>74614240</v>
      </c>
      <c r="E5846" s="560"/>
      <c r="F5846" s="560"/>
      <c r="G5846" s="560">
        <f t="shared" si="124"/>
        <v>74614240</v>
      </c>
      <c r="H5846" s="362"/>
      <c r="I5846" s="362"/>
      <c r="J5846" s="362"/>
    </row>
    <row r="5847" spans="1:10" x14ac:dyDescent="0.25">
      <c r="A5847" s="362"/>
      <c r="B5847" s="609">
        <v>44474</v>
      </c>
      <c r="C5847" s="362" t="s">
        <v>3435</v>
      </c>
      <c r="D5847" s="560">
        <v>74789456</v>
      </c>
      <c r="E5847" s="560"/>
      <c r="F5847" s="560"/>
      <c r="G5847" s="560">
        <f t="shared" si="124"/>
        <v>74789456</v>
      </c>
      <c r="H5847" s="362"/>
      <c r="I5847" s="362"/>
      <c r="J5847" s="362"/>
    </row>
    <row r="5848" spans="1:10" x14ac:dyDescent="0.25">
      <c r="A5848" s="362"/>
      <c r="B5848" s="609">
        <v>44474</v>
      </c>
      <c r="C5848" s="370" t="s">
        <v>85</v>
      </c>
      <c r="D5848" s="560">
        <v>34432600</v>
      </c>
      <c r="E5848" s="560"/>
      <c r="F5848" s="560"/>
      <c r="G5848" s="560">
        <f t="shared" si="124"/>
        <v>34432600</v>
      </c>
      <c r="H5848" s="362"/>
      <c r="I5848" s="362"/>
      <c r="J5848" s="362"/>
    </row>
    <row r="5849" spans="1:10" x14ac:dyDescent="0.25">
      <c r="A5849" s="530"/>
      <c r="B5849" s="530"/>
      <c r="C5849" s="530"/>
      <c r="D5849" s="562">
        <f>SUM(D5834:D5848)</f>
        <v>1794486062</v>
      </c>
      <c r="E5849" s="562">
        <f>SUM(E5834:E5848)</f>
        <v>359290715</v>
      </c>
      <c r="F5849" s="562">
        <f>SUM(F5834:F5848)</f>
        <v>0</v>
      </c>
      <c r="G5849" s="562">
        <f>SUM(G5834:G5848)</f>
        <v>2153776777</v>
      </c>
      <c r="H5849" s="530"/>
      <c r="I5849" s="530"/>
      <c r="J5849" s="530"/>
    </row>
    <row r="5850" spans="1:10" x14ac:dyDescent="0.25">
      <c r="A5850" s="362"/>
      <c r="B5850" s="609">
        <v>44475</v>
      </c>
      <c r="C5850" s="362" t="s">
        <v>86</v>
      </c>
      <c r="D5850" s="560">
        <v>74634259</v>
      </c>
      <c r="E5850" s="560">
        <v>25868960</v>
      </c>
      <c r="F5850" s="560">
        <v>100502800</v>
      </c>
      <c r="G5850" s="560">
        <f t="shared" si="124"/>
        <v>419</v>
      </c>
      <c r="H5850" s="362"/>
      <c r="I5850" s="362"/>
      <c r="J5850" s="362"/>
    </row>
    <row r="5851" spans="1:10" x14ac:dyDescent="0.25">
      <c r="A5851" s="362"/>
      <c r="B5851" s="609">
        <v>44475</v>
      </c>
      <c r="C5851" s="362" t="s">
        <v>87</v>
      </c>
      <c r="D5851" s="560">
        <v>74773971</v>
      </c>
      <c r="E5851" s="560">
        <v>129321588</v>
      </c>
      <c r="F5851" s="560">
        <v>204095600</v>
      </c>
      <c r="G5851" s="560">
        <f t="shared" si="124"/>
        <v>-41</v>
      </c>
      <c r="H5851" s="362"/>
      <c r="I5851" s="362"/>
      <c r="J5851" s="362"/>
    </row>
    <row r="5852" spans="1:10" x14ac:dyDescent="0.25">
      <c r="A5852" s="362"/>
      <c r="B5852" s="609">
        <v>44475</v>
      </c>
      <c r="C5852" s="362" t="s">
        <v>88</v>
      </c>
      <c r="D5852" s="560">
        <v>238566919</v>
      </c>
      <c r="E5852" s="560">
        <v>17188585</v>
      </c>
      <c r="F5852" s="560">
        <v>255755600</v>
      </c>
      <c r="G5852" s="560">
        <f t="shared" si="124"/>
        <v>-96</v>
      </c>
      <c r="H5852" s="362"/>
      <c r="I5852" s="362"/>
      <c r="J5852" s="362"/>
    </row>
    <row r="5853" spans="1:10" x14ac:dyDescent="0.25">
      <c r="A5853" s="362"/>
      <c r="B5853" s="609">
        <v>44475</v>
      </c>
      <c r="C5853" s="362" t="s">
        <v>82</v>
      </c>
      <c r="D5853" s="560">
        <v>92402941</v>
      </c>
      <c r="E5853" s="560">
        <v>2078120</v>
      </c>
      <c r="F5853" s="560">
        <v>94481200</v>
      </c>
      <c r="G5853" s="560">
        <f t="shared" si="124"/>
        <v>-139</v>
      </c>
      <c r="H5853" s="362"/>
      <c r="I5853" s="362"/>
      <c r="J5853" s="362"/>
    </row>
    <row r="5854" spans="1:10" x14ac:dyDescent="0.25">
      <c r="A5854" s="362"/>
      <c r="B5854" s="609">
        <v>44475</v>
      </c>
      <c r="C5854" s="362" t="s">
        <v>80</v>
      </c>
      <c r="D5854" s="560">
        <v>221216300</v>
      </c>
      <c r="E5854" s="560"/>
      <c r="F5854" s="560">
        <v>221216300</v>
      </c>
      <c r="G5854" s="560">
        <f t="shared" si="124"/>
        <v>0</v>
      </c>
      <c r="H5854" s="362"/>
      <c r="I5854" s="362"/>
      <c r="J5854" s="362"/>
    </row>
    <row r="5855" spans="1:10" x14ac:dyDescent="0.25">
      <c r="A5855" s="362"/>
      <c r="B5855" s="609">
        <v>44475</v>
      </c>
      <c r="C5855" s="362" t="s">
        <v>83</v>
      </c>
      <c r="D5855" s="560">
        <v>154074261</v>
      </c>
      <c r="E5855" s="560">
        <v>66820472</v>
      </c>
      <c r="F5855" s="560">
        <v>220894700</v>
      </c>
      <c r="G5855" s="560">
        <f t="shared" si="124"/>
        <v>33</v>
      </c>
      <c r="H5855" s="362"/>
      <c r="I5855" s="362"/>
      <c r="J5855" s="362"/>
    </row>
    <row r="5856" spans="1:10" x14ac:dyDescent="0.25">
      <c r="A5856" s="362"/>
      <c r="B5856" s="609">
        <v>44475</v>
      </c>
      <c r="C5856" s="362" t="s">
        <v>78</v>
      </c>
      <c r="D5856" s="560">
        <v>86730624</v>
      </c>
      <c r="E5856" s="560">
        <v>2077976</v>
      </c>
      <c r="F5856" s="560">
        <v>88808600</v>
      </c>
      <c r="G5856" s="560">
        <f t="shared" si="124"/>
        <v>0</v>
      </c>
      <c r="H5856" s="362"/>
      <c r="I5856" s="362"/>
      <c r="J5856" s="362"/>
    </row>
    <row r="5857" spans="1:10" x14ac:dyDescent="0.25">
      <c r="A5857" s="362"/>
      <c r="B5857" s="609">
        <v>44475</v>
      </c>
      <c r="C5857" s="362" t="s">
        <v>141</v>
      </c>
      <c r="D5857" s="560">
        <v>87059763</v>
      </c>
      <c r="E5857" s="560">
        <v>1133319</v>
      </c>
      <c r="F5857" s="560">
        <v>88193200</v>
      </c>
      <c r="G5857" s="560">
        <f t="shared" si="124"/>
        <v>-118</v>
      </c>
      <c r="H5857" s="362"/>
      <c r="I5857" s="362"/>
      <c r="J5857" s="362"/>
    </row>
    <row r="5858" spans="1:10" x14ac:dyDescent="0.25">
      <c r="A5858" s="362"/>
      <c r="B5858" s="609">
        <v>44475</v>
      </c>
      <c r="C5858" s="362" t="s">
        <v>89</v>
      </c>
      <c r="D5858" s="560">
        <v>122040464</v>
      </c>
      <c r="E5858" s="560">
        <v>76437136</v>
      </c>
      <c r="F5858" s="560">
        <v>198477600</v>
      </c>
      <c r="G5858" s="560">
        <f t="shared" si="124"/>
        <v>0</v>
      </c>
      <c r="H5858" s="362"/>
      <c r="I5858" s="362"/>
      <c r="J5858" s="362"/>
    </row>
    <row r="5859" spans="1:10" x14ac:dyDescent="0.25">
      <c r="A5859" s="362"/>
      <c r="B5859" s="609">
        <v>44475</v>
      </c>
      <c r="C5859" s="362" t="s">
        <v>81</v>
      </c>
      <c r="D5859" s="560">
        <v>106687960</v>
      </c>
      <c r="E5859" s="560">
        <v>8913112</v>
      </c>
      <c r="F5859" s="560">
        <v>115601100</v>
      </c>
      <c r="G5859" s="560">
        <f t="shared" si="124"/>
        <v>-28</v>
      </c>
      <c r="H5859" s="362"/>
      <c r="I5859" s="362"/>
      <c r="J5859" s="362"/>
    </row>
    <row r="5860" spans="1:10" x14ac:dyDescent="0.25">
      <c r="A5860" s="362"/>
      <c r="B5860" s="609">
        <v>44475</v>
      </c>
      <c r="C5860" s="362" t="s">
        <v>84</v>
      </c>
      <c r="D5860" s="560">
        <v>349642371</v>
      </c>
      <c r="E5860" s="560">
        <v>8910708</v>
      </c>
      <c r="F5860" s="560">
        <v>358553100</v>
      </c>
      <c r="G5860" s="560">
        <f t="shared" si="124"/>
        <v>-21</v>
      </c>
      <c r="H5860" s="362"/>
      <c r="I5860" s="362"/>
      <c r="J5860" s="362"/>
    </row>
    <row r="5861" spans="1:10" x14ac:dyDescent="0.25">
      <c r="A5861" s="362"/>
      <c r="B5861" s="609">
        <v>44475</v>
      </c>
      <c r="C5861" s="362" t="s">
        <v>4751</v>
      </c>
      <c r="D5861" s="560">
        <v>221268159</v>
      </c>
      <c r="E5861" s="560">
        <v>17350941</v>
      </c>
      <c r="F5861" s="560">
        <v>238619100</v>
      </c>
      <c r="G5861" s="560">
        <f t="shared" si="124"/>
        <v>0</v>
      </c>
      <c r="H5861" s="362"/>
      <c r="I5861" s="362"/>
      <c r="J5861" s="362"/>
    </row>
    <row r="5862" spans="1:10" x14ac:dyDescent="0.25">
      <c r="A5862" s="362"/>
      <c r="B5862" s="609">
        <v>44475</v>
      </c>
      <c r="C5862" s="362" t="s">
        <v>166</v>
      </c>
      <c r="D5862" s="560">
        <v>61909220</v>
      </c>
      <c r="E5862" s="560"/>
      <c r="F5862" s="560">
        <v>61909300</v>
      </c>
      <c r="G5862" s="560">
        <f t="shared" si="124"/>
        <v>-80</v>
      </c>
      <c r="H5862" s="362"/>
      <c r="I5862" s="362"/>
      <c r="J5862" s="362"/>
    </row>
    <row r="5863" spans="1:10" x14ac:dyDescent="0.25">
      <c r="A5863" s="362"/>
      <c r="B5863" s="609">
        <v>44475</v>
      </c>
      <c r="C5863" s="362" t="s">
        <v>3435</v>
      </c>
      <c r="D5863" s="560">
        <v>65712864</v>
      </c>
      <c r="E5863" s="560"/>
      <c r="F5863" s="560">
        <v>65712900</v>
      </c>
      <c r="G5863" s="560">
        <f t="shared" si="124"/>
        <v>-36</v>
      </c>
      <c r="H5863" s="362"/>
      <c r="I5863" s="362"/>
      <c r="J5863" s="362"/>
    </row>
    <row r="5864" spans="1:10" x14ac:dyDescent="0.25">
      <c r="A5864" s="362"/>
      <c r="B5864" s="609">
        <v>44475</v>
      </c>
      <c r="C5864" s="370" t="s">
        <v>85</v>
      </c>
      <c r="D5864" s="560">
        <v>34566500</v>
      </c>
      <c r="E5864" s="560"/>
      <c r="F5864" s="560">
        <v>34566500</v>
      </c>
      <c r="G5864" s="560">
        <f t="shared" si="124"/>
        <v>0</v>
      </c>
      <c r="H5864" s="362"/>
      <c r="I5864" s="362"/>
      <c r="J5864" s="362"/>
    </row>
    <row r="5865" spans="1:10" x14ac:dyDescent="0.25">
      <c r="A5865" s="530"/>
      <c r="B5865" s="530"/>
      <c r="C5865" s="530"/>
      <c r="D5865" s="562">
        <f>SUM(D5850:D5864)</f>
        <v>1991286576</v>
      </c>
      <c r="E5865" s="562">
        <f>SUM(E5850:E5864)</f>
        <v>356100917</v>
      </c>
      <c r="F5865" s="562">
        <f>SUM(F5850:F5864)</f>
        <v>2347387600</v>
      </c>
      <c r="G5865" s="562">
        <f>SUM(G5850:G5864)</f>
        <v>-107</v>
      </c>
      <c r="H5865" s="530"/>
      <c r="I5865" s="530"/>
      <c r="J5865" s="530"/>
    </row>
    <row r="5866" spans="1:10" x14ac:dyDescent="0.25">
      <c r="A5866" s="362"/>
      <c r="B5866" s="609">
        <v>44476</v>
      </c>
      <c r="C5866" s="362" t="s">
        <v>86</v>
      </c>
      <c r="D5866" s="560">
        <v>66809775</v>
      </c>
      <c r="E5866" s="560">
        <v>44436589</v>
      </c>
      <c r="F5866" s="560">
        <v>111246300</v>
      </c>
      <c r="G5866" s="560">
        <f t="shared" si="124"/>
        <v>64</v>
      </c>
      <c r="H5866" s="362"/>
      <c r="I5866" s="362"/>
      <c r="J5866" s="362"/>
    </row>
    <row r="5867" spans="1:10" x14ac:dyDescent="0.25">
      <c r="A5867" s="362"/>
      <c r="B5867" s="609">
        <v>44476</v>
      </c>
      <c r="C5867" s="362" t="s">
        <v>87</v>
      </c>
      <c r="D5867" s="560">
        <v>81775702</v>
      </c>
      <c r="E5867" s="560">
        <v>86086744</v>
      </c>
      <c r="F5867" s="560">
        <v>167862300</v>
      </c>
      <c r="G5867" s="560">
        <f t="shared" si="124"/>
        <v>146</v>
      </c>
      <c r="H5867" s="362"/>
      <c r="I5867" s="362"/>
      <c r="J5867" s="362"/>
    </row>
    <row r="5868" spans="1:10" x14ac:dyDescent="0.25">
      <c r="A5868" s="362"/>
      <c r="B5868" s="609">
        <v>44476</v>
      </c>
      <c r="C5868" s="362" t="s">
        <v>88</v>
      </c>
      <c r="D5868" s="560">
        <v>230755162</v>
      </c>
      <c r="E5868" s="560">
        <v>24781969</v>
      </c>
      <c r="F5868" s="560">
        <v>255537200</v>
      </c>
      <c r="G5868" s="560">
        <f t="shared" si="124"/>
        <v>-69</v>
      </c>
      <c r="H5868" s="362"/>
      <c r="I5868" s="362"/>
      <c r="J5868" s="362"/>
    </row>
    <row r="5869" spans="1:10" x14ac:dyDescent="0.25">
      <c r="A5869" s="362"/>
      <c r="B5869" s="609">
        <v>44476</v>
      </c>
      <c r="C5869" s="362" t="s">
        <v>82</v>
      </c>
      <c r="D5869" s="560">
        <v>185193863</v>
      </c>
      <c r="E5869" s="560">
        <v>3283700</v>
      </c>
      <c r="F5869" s="560">
        <v>188477700</v>
      </c>
      <c r="G5869" s="560">
        <f t="shared" si="124"/>
        <v>-137</v>
      </c>
      <c r="H5869" s="362"/>
      <c r="I5869" s="362"/>
      <c r="J5869" s="362"/>
    </row>
    <row r="5870" spans="1:10" x14ac:dyDescent="0.25">
      <c r="A5870" s="362"/>
      <c r="B5870" s="609">
        <v>44476</v>
      </c>
      <c r="C5870" s="362" t="s">
        <v>80</v>
      </c>
      <c r="D5870" s="560">
        <v>159499500</v>
      </c>
      <c r="E5870" s="560"/>
      <c r="F5870" s="560">
        <v>159499500</v>
      </c>
      <c r="G5870" s="560">
        <f t="shared" si="124"/>
        <v>0</v>
      </c>
      <c r="H5870" s="362"/>
      <c r="I5870" s="362"/>
      <c r="J5870" s="362"/>
    </row>
    <row r="5871" spans="1:10" x14ac:dyDescent="0.25">
      <c r="A5871" s="362"/>
      <c r="B5871" s="609">
        <v>44476</v>
      </c>
      <c r="C5871" s="362" t="s">
        <v>83</v>
      </c>
      <c r="D5871" s="560">
        <v>133738315</v>
      </c>
      <c r="E5871" s="560">
        <v>112861245</v>
      </c>
      <c r="F5871" s="560">
        <v>246599600</v>
      </c>
      <c r="G5871" s="560">
        <f t="shared" si="124"/>
        <v>-40</v>
      </c>
      <c r="H5871" s="362"/>
      <c r="I5871" s="362"/>
      <c r="J5871" s="362"/>
    </row>
    <row r="5872" spans="1:10" x14ac:dyDescent="0.25">
      <c r="A5872" s="362"/>
      <c r="B5872" s="609">
        <v>44476</v>
      </c>
      <c r="C5872" s="362" t="s">
        <v>78</v>
      </c>
      <c r="D5872" s="560">
        <v>91459090</v>
      </c>
      <c r="E5872" s="560">
        <v>3326410</v>
      </c>
      <c r="F5872" s="560">
        <v>94785500</v>
      </c>
      <c r="G5872" s="560">
        <f t="shared" si="124"/>
        <v>0</v>
      </c>
      <c r="H5872" s="362"/>
      <c r="I5872" s="362"/>
      <c r="J5872" s="362"/>
    </row>
    <row r="5873" spans="1:10" x14ac:dyDescent="0.25">
      <c r="A5873" s="362"/>
      <c r="B5873" s="609">
        <v>44476</v>
      </c>
      <c r="C5873" s="362" t="s">
        <v>141</v>
      </c>
      <c r="D5873" s="560">
        <v>122314610</v>
      </c>
      <c r="E5873" s="560"/>
      <c r="F5873" s="560">
        <v>122314700</v>
      </c>
      <c r="G5873" s="560">
        <f t="shared" si="124"/>
        <v>-90</v>
      </c>
      <c r="H5873" s="362"/>
      <c r="I5873" s="362"/>
      <c r="J5873" s="362"/>
    </row>
    <row r="5874" spans="1:10" x14ac:dyDescent="0.25">
      <c r="A5874" s="362"/>
      <c r="B5874" s="609">
        <v>44476</v>
      </c>
      <c r="C5874" s="362" t="s">
        <v>89</v>
      </c>
      <c r="D5874" s="560">
        <v>139675773</v>
      </c>
      <c r="E5874" s="560">
        <v>7591927</v>
      </c>
      <c r="F5874" s="560">
        <v>147267600</v>
      </c>
      <c r="G5874" s="560">
        <f t="shared" si="124"/>
        <v>100</v>
      </c>
      <c r="H5874" s="362"/>
      <c r="I5874" s="362"/>
      <c r="J5874" s="362"/>
    </row>
    <row r="5875" spans="1:10" x14ac:dyDescent="0.25">
      <c r="A5875" s="362"/>
      <c r="B5875" s="609">
        <v>44476</v>
      </c>
      <c r="C5875" s="362" t="s">
        <v>81</v>
      </c>
      <c r="D5875" s="560">
        <v>101909598</v>
      </c>
      <c r="E5875" s="560">
        <v>13556596</v>
      </c>
      <c r="F5875" s="560">
        <v>115466200</v>
      </c>
      <c r="G5875" s="560">
        <f t="shared" si="124"/>
        <v>-6</v>
      </c>
      <c r="H5875" s="362"/>
      <c r="I5875" s="362"/>
      <c r="J5875" s="362"/>
    </row>
    <row r="5876" spans="1:10" x14ac:dyDescent="0.25">
      <c r="A5876" s="362"/>
      <c r="B5876" s="609">
        <v>44476</v>
      </c>
      <c r="C5876" s="362" t="s">
        <v>84</v>
      </c>
      <c r="D5876" s="560">
        <v>239494536</v>
      </c>
      <c r="E5876" s="560">
        <v>10196371</v>
      </c>
      <c r="F5876" s="560">
        <v>249691000</v>
      </c>
      <c r="G5876" s="560">
        <f t="shared" si="124"/>
        <v>-93</v>
      </c>
      <c r="H5876" s="362"/>
      <c r="I5876" s="362"/>
      <c r="J5876" s="362"/>
    </row>
    <row r="5877" spans="1:10" x14ac:dyDescent="0.25">
      <c r="A5877" s="362"/>
      <c r="B5877" s="609">
        <v>44476</v>
      </c>
      <c r="C5877" s="362" t="s">
        <v>4751</v>
      </c>
      <c r="D5877" s="560">
        <v>260374311</v>
      </c>
      <c r="E5877" s="560">
        <v>16265189</v>
      </c>
      <c r="F5877" s="560">
        <v>276639500</v>
      </c>
      <c r="G5877" s="560">
        <f t="shared" si="124"/>
        <v>0</v>
      </c>
      <c r="H5877" s="362"/>
      <c r="I5877" s="362"/>
      <c r="J5877" s="362"/>
    </row>
    <row r="5878" spans="1:10" x14ac:dyDescent="0.25">
      <c r="A5878" s="362"/>
      <c r="B5878" s="609">
        <v>44476</v>
      </c>
      <c r="C5878" s="362" t="s">
        <v>166</v>
      </c>
      <c r="D5878" s="560">
        <v>94861204</v>
      </c>
      <c r="E5878" s="560"/>
      <c r="F5878" s="560">
        <v>94861200</v>
      </c>
      <c r="G5878" s="560">
        <f t="shared" si="124"/>
        <v>4</v>
      </c>
      <c r="H5878" s="362"/>
      <c r="I5878" s="362"/>
      <c r="J5878" s="362"/>
    </row>
    <row r="5879" spans="1:10" x14ac:dyDescent="0.25">
      <c r="A5879" s="362"/>
      <c r="B5879" s="609">
        <v>44476</v>
      </c>
      <c r="C5879" s="362" t="s">
        <v>3435</v>
      </c>
      <c r="D5879" s="560">
        <v>36783365</v>
      </c>
      <c r="E5879" s="560"/>
      <c r="F5879" s="560">
        <v>36783400</v>
      </c>
      <c r="G5879" s="560">
        <f t="shared" si="124"/>
        <v>-35</v>
      </c>
      <c r="H5879" s="362"/>
      <c r="I5879" s="362"/>
      <c r="J5879" s="362"/>
    </row>
    <row r="5880" spans="1:10" x14ac:dyDescent="0.25">
      <c r="A5880" s="362"/>
      <c r="B5880" s="609">
        <v>44476</v>
      </c>
      <c r="C5880" s="370" t="s">
        <v>85</v>
      </c>
      <c r="D5880" s="560">
        <v>24913600</v>
      </c>
      <c r="E5880" s="560"/>
      <c r="F5880" s="560">
        <v>24913600</v>
      </c>
      <c r="G5880" s="560">
        <f t="shared" si="124"/>
        <v>0</v>
      </c>
      <c r="H5880" s="362"/>
      <c r="I5880" s="362"/>
      <c r="J5880" s="362"/>
    </row>
    <row r="5881" spans="1:10" x14ac:dyDescent="0.25">
      <c r="A5881" s="530"/>
      <c r="B5881" s="530"/>
      <c r="C5881" s="530"/>
      <c r="D5881" s="562">
        <f>SUM(D5866:D5880)</f>
        <v>1969558404</v>
      </c>
      <c r="E5881" s="562">
        <f>SUM(E5866:E5880)</f>
        <v>322386740</v>
      </c>
      <c r="F5881" s="562">
        <f>SUM(F5866:F5880)</f>
        <v>2291945300</v>
      </c>
      <c r="G5881" s="562">
        <f>SUM(G5866:G5880)</f>
        <v>-156</v>
      </c>
      <c r="H5881" s="530"/>
      <c r="I5881" s="530"/>
      <c r="J5881" s="530"/>
    </row>
    <row r="5882" spans="1:10" x14ac:dyDescent="0.25">
      <c r="A5882" s="362"/>
      <c r="B5882" s="609">
        <v>44477</v>
      </c>
      <c r="C5882" s="362" t="s">
        <v>86</v>
      </c>
      <c r="D5882" s="560">
        <v>66775358</v>
      </c>
      <c r="E5882" s="560">
        <v>31042643</v>
      </c>
      <c r="F5882" s="560">
        <v>97818000</v>
      </c>
      <c r="G5882" s="560">
        <f t="shared" si="124"/>
        <v>1</v>
      </c>
      <c r="H5882" s="362"/>
      <c r="I5882" s="362"/>
      <c r="J5882" s="362"/>
    </row>
    <row r="5883" spans="1:10" x14ac:dyDescent="0.25">
      <c r="A5883" s="362"/>
      <c r="B5883" s="609">
        <v>44477</v>
      </c>
      <c r="C5883" s="362" t="s">
        <v>87</v>
      </c>
      <c r="D5883" s="560">
        <v>90729346</v>
      </c>
      <c r="E5883" s="560">
        <v>68588991</v>
      </c>
      <c r="F5883" s="560">
        <v>159318400</v>
      </c>
      <c r="G5883" s="560">
        <f t="shared" si="124"/>
        <v>-63</v>
      </c>
      <c r="H5883" s="362"/>
      <c r="I5883" s="362"/>
      <c r="J5883" s="362"/>
    </row>
    <row r="5884" spans="1:10" x14ac:dyDescent="0.25">
      <c r="A5884" s="362"/>
      <c r="B5884" s="609">
        <v>44477</v>
      </c>
      <c r="C5884" s="362" t="s">
        <v>88</v>
      </c>
      <c r="D5884" s="560">
        <v>120309985</v>
      </c>
      <c r="E5884" s="560">
        <v>39658119</v>
      </c>
      <c r="F5884" s="560">
        <v>159968100</v>
      </c>
      <c r="G5884" s="560">
        <f t="shared" si="124"/>
        <v>4</v>
      </c>
      <c r="H5884" s="362"/>
      <c r="I5884" s="362"/>
      <c r="J5884" s="362"/>
    </row>
    <row r="5885" spans="1:10" x14ac:dyDescent="0.25">
      <c r="A5885" s="362"/>
      <c r="B5885" s="609">
        <v>44477</v>
      </c>
      <c r="C5885" s="362" t="s">
        <v>82</v>
      </c>
      <c r="D5885" s="560">
        <v>63690883</v>
      </c>
      <c r="E5885" s="560">
        <v>20561874</v>
      </c>
      <c r="F5885" s="560">
        <v>84253000</v>
      </c>
      <c r="G5885" s="560">
        <f t="shared" si="124"/>
        <v>-243</v>
      </c>
      <c r="H5885" s="362"/>
      <c r="I5885" s="362"/>
      <c r="J5885" s="362"/>
    </row>
    <row r="5886" spans="1:10" x14ac:dyDescent="0.25">
      <c r="A5886" s="362"/>
      <c r="B5886" s="609">
        <v>44477</v>
      </c>
      <c r="C5886" s="362" t="s">
        <v>80</v>
      </c>
      <c r="D5886" s="560">
        <v>308152700</v>
      </c>
      <c r="E5886" s="560"/>
      <c r="F5886" s="560">
        <v>308152700</v>
      </c>
      <c r="G5886" s="560">
        <f t="shared" si="124"/>
        <v>0</v>
      </c>
      <c r="H5886" s="362"/>
      <c r="I5886" s="362"/>
      <c r="J5886" s="362"/>
    </row>
    <row r="5887" spans="1:10" x14ac:dyDescent="0.25">
      <c r="A5887" s="362"/>
      <c r="B5887" s="609">
        <v>44477</v>
      </c>
      <c r="C5887" s="362" t="s">
        <v>83</v>
      </c>
      <c r="D5887" s="560">
        <v>120497110</v>
      </c>
      <c r="E5887" s="560">
        <v>37220437</v>
      </c>
      <c r="F5887" s="560">
        <v>157717600</v>
      </c>
      <c r="G5887" s="560">
        <f t="shared" si="124"/>
        <v>-53</v>
      </c>
      <c r="H5887" s="362"/>
      <c r="I5887" s="362"/>
      <c r="J5887" s="362"/>
    </row>
    <row r="5888" spans="1:10" x14ac:dyDescent="0.25">
      <c r="A5888" s="362"/>
      <c r="B5888" s="609">
        <v>44477</v>
      </c>
      <c r="C5888" s="362" t="s">
        <v>78</v>
      </c>
      <c r="D5888" s="560">
        <v>99049633</v>
      </c>
      <c r="E5888" s="560">
        <v>2281767</v>
      </c>
      <c r="F5888" s="560">
        <v>101331400</v>
      </c>
      <c r="G5888" s="560">
        <f t="shared" si="124"/>
        <v>0</v>
      </c>
      <c r="H5888" s="362"/>
      <c r="I5888" s="362"/>
      <c r="J5888" s="362"/>
    </row>
    <row r="5889" spans="1:10" x14ac:dyDescent="0.25">
      <c r="A5889" s="362"/>
      <c r="B5889" s="609">
        <v>44477</v>
      </c>
      <c r="C5889" s="362" t="s">
        <v>141</v>
      </c>
      <c r="D5889" s="560">
        <v>52317766</v>
      </c>
      <c r="E5889" s="560"/>
      <c r="F5889" s="560">
        <v>52317800</v>
      </c>
      <c r="G5889" s="560">
        <f t="shared" si="124"/>
        <v>-34</v>
      </c>
      <c r="H5889" s="362"/>
      <c r="I5889" s="362"/>
      <c r="J5889" s="362"/>
    </row>
    <row r="5890" spans="1:10" x14ac:dyDescent="0.25">
      <c r="A5890" s="362"/>
      <c r="B5890" s="609">
        <v>44477</v>
      </c>
      <c r="C5890" s="362" t="s">
        <v>89</v>
      </c>
      <c r="D5890" s="560">
        <v>140162468</v>
      </c>
      <c r="E5890" s="560">
        <v>15055632</v>
      </c>
      <c r="F5890" s="560">
        <v>155218100</v>
      </c>
      <c r="G5890" s="560">
        <f t="shared" si="124"/>
        <v>0</v>
      </c>
      <c r="H5890" s="362"/>
      <c r="I5890" s="362"/>
      <c r="J5890" s="362"/>
    </row>
    <row r="5891" spans="1:10" x14ac:dyDescent="0.25">
      <c r="A5891" s="362"/>
      <c r="B5891" s="609">
        <v>44477</v>
      </c>
      <c r="C5891" s="362" t="s">
        <v>81</v>
      </c>
      <c r="D5891" s="560">
        <v>91814370</v>
      </c>
      <c r="E5891" s="560">
        <v>9165583</v>
      </c>
      <c r="F5891" s="560">
        <v>100980000</v>
      </c>
      <c r="G5891" s="560">
        <f t="shared" si="124"/>
        <v>-47</v>
      </c>
      <c r="H5891" s="362"/>
      <c r="I5891" s="362"/>
      <c r="J5891" s="362"/>
    </row>
    <row r="5892" spans="1:10" x14ac:dyDescent="0.25">
      <c r="A5892" s="362"/>
      <c r="B5892" s="609">
        <v>44477</v>
      </c>
      <c r="C5892" s="362" t="s">
        <v>84</v>
      </c>
      <c r="D5892" s="560">
        <v>414021730</v>
      </c>
      <c r="E5892" s="560">
        <v>23078462</v>
      </c>
      <c r="F5892" s="560">
        <v>437099900</v>
      </c>
      <c r="G5892" s="560">
        <f t="shared" si="124"/>
        <v>292</v>
      </c>
      <c r="H5892" s="362"/>
      <c r="I5892" s="362"/>
      <c r="J5892" s="362"/>
    </row>
    <row r="5893" spans="1:10" x14ac:dyDescent="0.25">
      <c r="A5893" s="362"/>
      <c r="B5893" s="609">
        <v>44477</v>
      </c>
      <c r="C5893" s="362" t="s">
        <v>4751</v>
      </c>
      <c r="D5893" s="560">
        <v>181225181</v>
      </c>
      <c r="E5893" s="560">
        <v>10696319</v>
      </c>
      <c r="F5893" s="560">
        <v>191921300</v>
      </c>
      <c r="G5893" s="560">
        <f t="shared" si="124"/>
        <v>200</v>
      </c>
      <c r="H5893" s="362"/>
      <c r="I5893" s="362"/>
      <c r="J5893" s="362"/>
    </row>
    <row r="5894" spans="1:10" x14ac:dyDescent="0.25">
      <c r="A5894" s="362"/>
      <c r="B5894" s="609">
        <v>44477</v>
      </c>
      <c r="C5894" s="362" t="s">
        <v>166</v>
      </c>
      <c r="D5894" s="560">
        <v>77722431</v>
      </c>
      <c r="E5894" s="560"/>
      <c r="F5894" s="560">
        <v>77722400</v>
      </c>
      <c r="G5894" s="560">
        <f t="shared" si="124"/>
        <v>31</v>
      </c>
      <c r="H5894" s="362"/>
      <c r="I5894" s="362"/>
      <c r="J5894" s="362"/>
    </row>
    <row r="5895" spans="1:10" x14ac:dyDescent="0.25">
      <c r="A5895" s="362"/>
      <c r="B5895" s="609">
        <v>44477</v>
      </c>
      <c r="C5895" s="362" t="s">
        <v>3435</v>
      </c>
      <c r="D5895" s="560">
        <v>164809614</v>
      </c>
      <c r="E5895" s="560"/>
      <c r="F5895" s="560">
        <v>164809700</v>
      </c>
      <c r="G5895" s="560">
        <f t="shared" si="124"/>
        <v>-86</v>
      </c>
      <c r="H5895" s="362"/>
      <c r="I5895" s="362"/>
      <c r="J5895" s="362"/>
    </row>
    <row r="5896" spans="1:10" x14ac:dyDescent="0.25">
      <c r="A5896" s="362"/>
      <c r="B5896" s="609">
        <v>44477</v>
      </c>
      <c r="C5896" s="370" t="s">
        <v>85</v>
      </c>
      <c r="D5896" s="560">
        <v>26029800</v>
      </c>
      <c r="E5896" s="560"/>
      <c r="F5896" s="560">
        <v>26029800</v>
      </c>
      <c r="G5896" s="560">
        <f t="shared" si="124"/>
        <v>0</v>
      </c>
      <c r="H5896" s="362"/>
      <c r="I5896" s="362"/>
      <c r="J5896" s="362"/>
    </row>
    <row r="5897" spans="1:10" x14ac:dyDescent="0.25">
      <c r="A5897" s="530"/>
      <c r="B5897" s="530"/>
      <c r="C5897" s="530"/>
      <c r="D5897" s="562">
        <f>SUM(D5882:D5896)</f>
        <v>2017308375</v>
      </c>
      <c r="E5897" s="562">
        <f>SUM(E5882:E5896)</f>
        <v>257349827</v>
      </c>
      <c r="F5897" s="562">
        <f>SUM(F5882:F5896)</f>
        <v>2274658200</v>
      </c>
      <c r="G5897" s="562">
        <f>SUM(G5882:G5896)</f>
        <v>2</v>
      </c>
      <c r="H5897" s="530"/>
      <c r="I5897" s="530"/>
      <c r="J5897" s="530"/>
    </row>
    <row r="5898" spans="1:10" x14ac:dyDescent="0.25">
      <c r="A5898" s="362"/>
      <c r="B5898" s="609">
        <v>44478</v>
      </c>
      <c r="C5898" s="362" t="s">
        <v>86</v>
      </c>
      <c r="D5898" s="560">
        <v>51511178</v>
      </c>
      <c r="E5898" s="560">
        <v>23665822</v>
      </c>
      <c r="F5898" s="560">
        <v>75177000</v>
      </c>
      <c r="G5898" s="560">
        <f t="shared" si="124"/>
        <v>0</v>
      </c>
      <c r="H5898" s="362"/>
      <c r="I5898" s="362"/>
      <c r="J5898" s="362"/>
    </row>
    <row r="5899" spans="1:10" x14ac:dyDescent="0.25">
      <c r="A5899" s="362"/>
      <c r="B5899" s="609">
        <v>44478</v>
      </c>
      <c r="C5899" s="362" t="s">
        <v>87</v>
      </c>
      <c r="D5899" s="560">
        <v>50963993</v>
      </c>
      <c r="E5899" s="560">
        <v>96866281</v>
      </c>
      <c r="F5899" s="560">
        <v>147830200</v>
      </c>
      <c r="G5899" s="560">
        <f t="shared" si="124"/>
        <v>74</v>
      </c>
      <c r="H5899" s="362"/>
      <c r="I5899" s="362"/>
      <c r="J5899" s="362"/>
    </row>
    <row r="5900" spans="1:10" x14ac:dyDescent="0.25">
      <c r="A5900" s="362"/>
      <c r="B5900" s="609">
        <v>44478</v>
      </c>
      <c r="C5900" s="362" t="s">
        <v>88</v>
      </c>
      <c r="D5900" s="560">
        <v>207201206</v>
      </c>
      <c r="E5900" s="560">
        <v>11174367</v>
      </c>
      <c r="F5900" s="560">
        <v>218375600</v>
      </c>
      <c r="G5900" s="560">
        <f t="shared" ref="G5900:G5963" si="125">D5900+E5900-F5900</f>
        <v>-27</v>
      </c>
      <c r="H5900" s="362"/>
      <c r="I5900" s="362"/>
      <c r="J5900" s="362"/>
    </row>
    <row r="5901" spans="1:10" x14ac:dyDescent="0.25">
      <c r="A5901" s="362"/>
      <c r="B5901" s="609">
        <v>44478</v>
      </c>
      <c r="C5901" s="362" t="s">
        <v>82</v>
      </c>
      <c r="D5901" s="560">
        <v>65968342</v>
      </c>
      <c r="E5901" s="560">
        <v>3920130</v>
      </c>
      <c r="F5901" s="560">
        <v>69888500</v>
      </c>
      <c r="G5901" s="560">
        <f t="shared" si="125"/>
        <v>-28</v>
      </c>
      <c r="H5901" s="362"/>
      <c r="I5901" s="362"/>
      <c r="J5901" s="362"/>
    </row>
    <row r="5902" spans="1:10" x14ac:dyDescent="0.25">
      <c r="A5902" s="362"/>
      <c r="B5902" s="609">
        <v>44478</v>
      </c>
      <c r="C5902" s="362" t="s">
        <v>80</v>
      </c>
      <c r="D5902" s="560">
        <v>174238100</v>
      </c>
      <c r="E5902" s="560"/>
      <c r="F5902" s="560">
        <v>174238100</v>
      </c>
      <c r="G5902" s="560">
        <f t="shared" si="125"/>
        <v>0</v>
      </c>
      <c r="H5902" s="362"/>
      <c r="I5902" s="362"/>
      <c r="J5902" s="362"/>
    </row>
    <row r="5903" spans="1:10" x14ac:dyDescent="0.25">
      <c r="A5903" s="362"/>
      <c r="B5903" s="609">
        <v>44478</v>
      </c>
      <c r="C5903" s="362" t="s">
        <v>83</v>
      </c>
      <c r="D5903" s="560">
        <v>125425657</v>
      </c>
      <c r="E5903" s="560">
        <v>17643896</v>
      </c>
      <c r="F5903" s="560">
        <v>143069600</v>
      </c>
      <c r="G5903" s="560">
        <f t="shared" si="125"/>
        <v>-47</v>
      </c>
      <c r="H5903" s="362"/>
      <c r="I5903" s="362"/>
      <c r="J5903" s="362"/>
    </row>
    <row r="5904" spans="1:10" x14ac:dyDescent="0.25">
      <c r="A5904" s="362"/>
      <c r="B5904" s="609">
        <v>44478</v>
      </c>
      <c r="C5904" s="362" t="s">
        <v>78</v>
      </c>
      <c r="D5904" s="560">
        <v>203265554</v>
      </c>
      <c r="E5904" s="560">
        <v>14115246</v>
      </c>
      <c r="F5904" s="560">
        <v>217380800</v>
      </c>
      <c r="G5904" s="560">
        <f t="shared" si="125"/>
        <v>0</v>
      </c>
      <c r="H5904" s="362"/>
      <c r="I5904" s="362"/>
      <c r="J5904" s="362"/>
    </row>
    <row r="5905" spans="1:10" x14ac:dyDescent="0.25">
      <c r="A5905" s="362"/>
      <c r="B5905" s="609">
        <v>44478</v>
      </c>
      <c r="C5905" s="362" t="s">
        <v>141</v>
      </c>
      <c r="D5905" s="560">
        <v>28259839</v>
      </c>
      <c r="E5905" s="560">
        <v>347126</v>
      </c>
      <c r="F5905" s="560">
        <v>28607000</v>
      </c>
      <c r="G5905" s="560">
        <f t="shared" si="125"/>
        <v>-35</v>
      </c>
      <c r="H5905" s="362"/>
      <c r="I5905" s="362"/>
      <c r="J5905" s="362"/>
    </row>
    <row r="5906" spans="1:10" x14ac:dyDescent="0.25">
      <c r="A5906" s="362"/>
      <c r="B5906" s="609">
        <v>44478</v>
      </c>
      <c r="C5906" s="362" t="s">
        <v>89</v>
      </c>
      <c r="D5906" s="560">
        <v>102937889</v>
      </c>
      <c r="E5906" s="560">
        <v>95593911</v>
      </c>
      <c r="F5906" s="560">
        <v>198531800</v>
      </c>
      <c r="G5906" s="560">
        <f t="shared" si="125"/>
        <v>0</v>
      </c>
      <c r="H5906" s="362"/>
      <c r="I5906" s="362"/>
      <c r="J5906" s="362"/>
    </row>
    <row r="5907" spans="1:10" x14ac:dyDescent="0.25">
      <c r="A5907" s="362"/>
      <c r="B5907" s="609">
        <v>44478</v>
      </c>
      <c r="C5907" s="362" t="s">
        <v>81</v>
      </c>
      <c r="D5907" s="560">
        <v>207962567</v>
      </c>
      <c r="E5907" s="560">
        <v>28356448</v>
      </c>
      <c r="F5907" s="560">
        <f>153253000+83066100</f>
        <v>236319100</v>
      </c>
      <c r="G5907" s="560">
        <f t="shared" si="125"/>
        <v>-85</v>
      </c>
      <c r="H5907" s="362"/>
      <c r="I5907" s="362"/>
      <c r="J5907" s="362"/>
    </row>
    <row r="5908" spans="1:10" x14ac:dyDescent="0.25">
      <c r="A5908" s="362"/>
      <c r="B5908" s="609">
        <v>44478</v>
      </c>
      <c r="C5908" s="362" t="s">
        <v>84</v>
      </c>
      <c r="D5908" s="560">
        <v>166916495</v>
      </c>
      <c r="E5908" s="560">
        <v>17230512</v>
      </c>
      <c r="F5908" s="560">
        <v>184147000</v>
      </c>
      <c r="G5908" s="560">
        <f t="shared" si="125"/>
        <v>7</v>
      </c>
      <c r="H5908" s="362"/>
      <c r="I5908" s="362"/>
      <c r="J5908" s="362"/>
    </row>
    <row r="5909" spans="1:10" x14ac:dyDescent="0.25">
      <c r="A5909" s="362"/>
      <c r="B5909" s="609">
        <v>44478</v>
      </c>
      <c r="C5909" s="362" t="s">
        <v>4751</v>
      </c>
      <c r="D5909" s="560">
        <v>226406567</v>
      </c>
      <c r="E5909" s="560">
        <v>16516733</v>
      </c>
      <c r="F5909" s="560">
        <v>242923300</v>
      </c>
      <c r="G5909" s="560">
        <f t="shared" si="125"/>
        <v>0</v>
      </c>
      <c r="H5909" s="362"/>
      <c r="I5909" s="362"/>
      <c r="J5909" s="362"/>
    </row>
    <row r="5910" spans="1:10" x14ac:dyDescent="0.25">
      <c r="A5910" s="362"/>
      <c r="B5910" s="609">
        <v>44478</v>
      </c>
      <c r="C5910" s="362" t="s">
        <v>166</v>
      </c>
      <c r="D5910" s="560"/>
      <c r="E5910" s="560"/>
      <c r="F5910" s="560"/>
      <c r="G5910" s="560">
        <f t="shared" si="125"/>
        <v>0</v>
      </c>
      <c r="H5910" s="362"/>
      <c r="I5910" s="362"/>
      <c r="J5910" s="362"/>
    </row>
    <row r="5911" spans="1:10" x14ac:dyDescent="0.25">
      <c r="A5911" s="362"/>
      <c r="B5911" s="609">
        <v>44478</v>
      </c>
      <c r="C5911" s="362" t="s">
        <v>3435</v>
      </c>
      <c r="D5911" s="560"/>
      <c r="E5911" s="560"/>
      <c r="F5911" s="560"/>
      <c r="G5911" s="560">
        <f t="shared" si="125"/>
        <v>0</v>
      </c>
      <c r="H5911" s="362"/>
      <c r="I5911" s="362"/>
      <c r="J5911" s="362"/>
    </row>
    <row r="5912" spans="1:10" x14ac:dyDescent="0.25">
      <c r="A5912" s="362"/>
      <c r="B5912" s="609">
        <v>44478</v>
      </c>
      <c r="C5912" s="370" t="s">
        <v>85</v>
      </c>
      <c r="D5912" s="560">
        <v>15556400</v>
      </c>
      <c r="E5912" s="560"/>
      <c r="F5912" s="560">
        <v>15556400</v>
      </c>
      <c r="G5912" s="560">
        <f t="shared" si="125"/>
        <v>0</v>
      </c>
      <c r="H5912" s="362"/>
      <c r="I5912" s="362"/>
      <c r="J5912" s="362"/>
    </row>
    <row r="5913" spans="1:10" x14ac:dyDescent="0.25">
      <c r="A5913" s="530"/>
      <c r="B5913" s="530"/>
      <c r="C5913" s="530"/>
      <c r="D5913" s="562">
        <f>SUM(D5898:D5912)</f>
        <v>1626613787</v>
      </c>
      <c r="E5913" s="562">
        <f>SUM(E5898:E5912)</f>
        <v>325430472</v>
      </c>
      <c r="F5913" s="562">
        <f>SUM(F5898:F5912)</f>
        <v>1952044400</v>
      </c>
      <c r="G5913" s="562">
        <f>SUM(G5898:G5912)</f>
        <v>-141</v>
      </c>
      <c r="H5913" s="530"/>
      <c r="I5913" s="530"/>
      <c r="J5913" s="530"/>
    </row>
    <row r="5914" spans="1:10" x14ac:dyDescent="0.25">
      <c r="A5914" s="362"/>
      <c r="B5914" s="609">
        <v>44480</v>
      </c>
      <c r="C5914" s="362" t="s">
        <v>86</v>
      </c>
      <c r="D5914" s="560">
        <v>75661622</v>
      </c>
      <c r="E5914" s="560">
        <v>38461612</v>
      </c>
      <c r="F5914" s="560">
        <v>114123800</v>
      </c>
      <c r="G5914" s="560">
        <f t="shared" si="125"/>
        <v>-566</v>
      </c>
      <c r="H5914" s="362"/>
      <c r="I5914" s="362"/>
      <c r="J5914" s="362"/>
    </row>
    <row r="5915" spans="1:10" x14ac:dyDescent="0.25">
      <c r="A5915" s="362"/>
      <c r="B5915" s="609">
        <v>44480</v>
      </c>
      <c r="C5915" s="362" t="s">
        <v>87</v>
      </c>
      <c r="D5915" s="560">
        <v>85142403</v>
      </c>
      <c r="E5915" s="560">
        <v>43198747</v>
      </c>
      <c r="F5915" s="560">
        <v>128341000</v>
      </c>
      <c r="G5915" s="560">
        <f t="shared" si="125"/>
        <v>150</v>
      </c>
      <c r="H5915" s="362"/>
      <c r="I5915" s="362"/>
      <c r="J5915" s="362"/>
    </row>
    <row r="5916" spans="1:10" x14ac:dyDescent="0.25">
      <c r="A5916" s="362"/>
      <c r="B5916" s="609">
        <v>44480</v>
      </c>
      <c r="C5916" s="362" t="s">
        <v>88</v>
      </c>
      <c r="D5916" s="560">
        <v>243587222</v>
      </c>
      <c r="E5916" s="560">
        <v>128647783</v>
      </c>
      <c r="F5916" s="560">
        <v>372235100</v>
      </c>
      <c r="G5916" s="560">
        <f t="shared" si="125"/>
        <v>-95</v>
      </c>
      <c r="H5916" s="362"/>
      <c r="I5916" s="362"/>
      <c r="J5916" s="362"/>
    </row>
    <row r="5917" spans="1:10" x14ac:dyDescent="0.25">
      <c r="A5917" s="362"/>
      <c r="B5917" s="609">
        <v>44480</v>
      </c>
      <c r="C5917" s="362" t="s">
        <v>82</v>
      </c>
      <c r="D5917" s="560">
        <v>50019079</v>
      </c>
      <c r="E5917" s="560">
        <v>3059455</v>
      </c>
      <c r="F5917" s="560">
        <v>53078600</v>
      </c>
      <c r="G5917" s="560">
        <f t="shared" si="125"/>
        <v>-66</v>
      </c>
      <c r="H5917" s="362"/>
      <c r="I5917" s="362"/>
      <c r="J5917" s="362"/>
    </row>
    <row r="5918" spans="1:10" x14ac:dyDescent="0.25">
      <c r="A5918" s="362"/>
      <c r="B5918" s="609">
        <v>44480</v>
      </c>
      <c r="C5918" s="362" t="s">
        <v>80</v>
      </c>
      <c r="D5918" s="560">
        <v>256137147</v>
      </c>
      <c r="E5918" s="560">
        <v>583960</v>
      </c>
      <c r="F5918" s="560">
        <v>256720900</v>
      </c>
      <c r="G5918" s="560">
        <f t="shared" si="125"/>
        <v>207</v>
      </c>
      <c r="H5918" s="362"/>
      <c r="I5918" s="362"/>
      <c r="J5918" s="362"/>
    </row>
    <row r="5919" spans="1:10" x14ac:dyDescent="0.25">
      <c r="A5919" s="362"/>
      <c r="B5919" s="609">
        <v>44480</v>
      </c>
      <c r="C5919" s="362" t="s">
        <v>83</v>
      </c>
      <c r="D5919" s="560">
        <v>164702284</v>
      </c>
      <c r="E5919" s="560">
        <v>106900464</v>
      </c>
      <c r="F5919" s="560">
        <v>271602800</v>
      </c>
      <c r="G5919" s="560">
        <f t="shared" si="125"/>
        <v>-52</v>
      </c>
      <c r="H5919" s="362"/>
      <c r="I5919" s="362"/>
      <c r="J5919" s="362"/>
    </row>
    <row r="5920" spans="1:10" x14ac:dyDescent="0.25">
      <c r="A5920" s="362"/>
      <c r="B5920" s="609">
        <v>44480</v>
      </c>
      <c r="C5920" s="362" t="s">
        <v>78</v>
      </c>
      <c r="D5920" s="560">
        <v>182766438</v>
      </c>
      <c r="E5920" s="560">
        <v>2887462</v>
      </c>
      <c r="F5920" s="560">
        <v>185653900</v>
      </c>
      <c r="G5920" s="560">
        <f t="shared" si="125"/>
        <v>0</v>
      </c>
      <c r="H5920" s="362"/>
      <c r="I5920" s="362"/>
      <c r="J5920" s="362"/>
    </row>
    <row r="5921" spans="1:10" x14ac:dyDescent="0.25">
      <c r="A5921" s="362"/>
      <c r="B5921" s="609">
        <v>44480</v>
      </c>
      <c r="C5921" s="362" t="s">
        <v>141</v>
      </c>
      <c r="D5921" s="560">
        <v>86915183</v>
      </c>
      <c r="E5921" s="560"/>
      <c r="F5921" s="560">
        <v>86914900</v>
      </c>
      <c r="G5921" s="560">
        <f t="shared" si="125"/>
        <v>283</v>
      </c>
      <c r="H5921" s="362"/>
      <c r="I5921" s="362"/>
      <c r="J5921" s="362"/>
    </row>
    <row r="5922" spans="1:10" x14ac:dyDescent="0.25">
      <c r="A5922" s="362"/>
      <c r="B5922" s="609">
        <v>44480</v>
      </c>
      <c r="C5922" s="362" t="s">
        <v>89</v>
      </c>
      <c r="D5922" s="560">
        <v>126706504</v>
      </c>
      <c r="E5922" s="560">
        <v>32640396</v>
      </c>
      <c r="F5922" s="560">
        <v>159347500</v>
      </c>
      <c r="G5922" s="560">
        <f t="shared" si="125"/>
        <v>-600</v>
      </c>
      <c r="H5922" s="362"/>
      <c r="I5922" s="362"/>
      <c r="J5922" s="362"/>
    </row>
    <row r="5923" spans="1:10" x14ac:dyDescent="0.25">
      <c r="A5923" s="362"/>
      <c r="B5923" s="609">
        <v>44480</v>
      </c>
      <c r="C5923" s="362" t="s">
        <v>81</v>
      </c>
      <c r="D5923" s="560">
        <v>76586970</v>
      </c>
      <c r="E5923" s="560">
        <v>21169649</v>
      </c>
      <c r="F5923" s="560">
        <v>97750700</v>
      </c>
      <c r="G5923" s="560">
        <f t="shared" si="125"/>
        <v>5919</v>
      </c>
      <c r="H5923" s="362"/>
      <c r="I5923" s="362"/>
      <c r="J5923" s="362"/>
    </row>
    <row r="5924" spans="1:10" x14ac:dyDescent="0.25">
      <c r="A5924" s="362"/>
      <c r="B5924" s="609">
        <v>44480</v>
      </c>
      <c r="C5924" s="362" t="s">
        <v>84</v>
      </c>
      <c r="D5924" s="560">
        <v>212269697</v>
      </c>
      <c r="E5924" s="560">
        <v>15340183</v>
      </c>
      <c r="F5924" s="560">
        <v>227610000</v>
      </c>
      <c r="G5924" s="560">
        <f t="shared" si="125"/>
        <v>-120</v>
      </c>
      <c r="H5924" s="362"/>
      <c r="I5924" s="362"/>
      <c r="J5924" s="362"/>
    </row>
    <row r="5925" spans="1:10" x14ac:dyDescent="0.25">
      <c r="A5925" s="362"/>
      <c r="B5925" s="609">
        <v>44480</v>
      </c>
      <c r="C5925" s="362" t="s">
        <v>4751</v>
      </c>
      <c r="D5925" s="560">
        <v>185398048</v>
      </c>
      <c r="E5925" s="560">
        <v>13400252</v>
      </c>
      <c r="F5925" s="560">
        <v>198798300</v>
      </c>
      <c r="G5925" s="560">
        <f t="shared" si="125"/>
        <v>0</v>
      </c>
      <c r="H5925" s="362"/>
      <c r="I5925" s="362"/>
      <c r="J5925" s="362"/>
    </row>
    <row r="5926" spans="1:10" x14ac:dyDescent="0.25">
      <c r="A5926" s="362"/>
      <c r="B5926" s="609">
        <v>44480</v>
      </c>
      <c r="C5926" s="362" t="s">
        <v>166</v>
      </c>
      <c r="D5926" s="560">
        <v>89524498</v>
      </c>
      <c r="E5926" s="560"/>
      <c r="F5926" s="560">
        <v>89524500</v>
      </c>
      <c r="G5926" s="560">
        <f t="shared" si="125"/>
        <v>-2</v>
      </c>
      <c r="H5926" s="362"/>
      <c r="I5926" s="362"/>
      <c r="J5926" s="362"/>
    </row>
    <row r="5927" spans="1:10" x14ac:dyDescent="0.25">
      <c r="A5927" s="362"/>
      <c r="B5927" s="609">
        <v>44480</v>
      </c>
      <c r="C5927" s="362" t="s">
        <v>3435</v>
      </c>
      <c r="D5927" s="560">
        <v>87942281</v>
      </c>
      <c r="E5927" s="560"/>
      <c r="F5927" s="560">
        <v>87942300</v>
      </c>
      <c r="G5927" s="560">
        <f t="shared" si="125"/>
        <v>-19</v>
      </c>
      <c r="H5927" s="362"/>
      <c r="I5927" s="362"/>
      <c r="J5927" s="362"/>
    </row>
    <row r="5928" spans="1:10" x14ac:dyDescent="0.25">
      <c r="A5928" s="362"/>
      <c r="B5928" s="609">
        <v>44480</v>
      </c>
      <c r="C5928" s="370" t="s">
        <v>85</v>
      </c>
      <c r="D5928" s="560">
        <v>46307400</v>
      </c>
      <c r="E5928" s="560"/>
      <c r="F5928" s="560">
        <v>46307400</v>
      </c>
      <c r="G5928" s="560">
        <f t="shared" si="125"/>
        <v>0</v>
      </c>
      <c r="H5928" s="362"/>
      <c r="I5928" s="362"/>
      <c r="J5928" s="362"/>
    </row>
    <row r="5929" spans="1:10" x14ac:dyDescent="0.25">
      <c r="A5929" s="530"/>
      <c r="B5929" s="530"/>
      <c r="C5929" s="530"/>
      <c r="D5929" s="562">
        <f>SUM(D5914:D5928)</f>
        <v>1969666776</v>
      </c>
      <c r="E5929" s="562">
        <f>SUM(E5914:E5928)</f>
        <v>406289963</v>
      </c>
      <c r="F5929" s="562">
        <f>SUM(F5914:F5928)</f>
        <v>2375951700</v>
      </c>
      <c r="G5929" s="562">
        <f>SUM(G5914:G5928)</f>
        <v>5039</v>
      </c>
      <c r="H5929" s="530"/>
      <c r="I5929" s="530"/>
      <c r="J5929" s="530"/>
    </row>
    <row r="5930" spans="1:10" x14ac:dyDescent="0.25">
      <c r="A5930" s="362"/>
      <c r="B5930" s="609">
        <v>44481</v>
      </c>
      <c r="C5930" s="362" t="s">
        <v>86</v>
      </c>
      <c r="D5930" s="560">
        <v>107973795</v>
      </c>
      <c r="E5930" s="560">
        <v>67035040</v>
      </c>
      <c r="F5930" s="560">
        <v>175008800</v>
      </c>
      <c r="G5930" s="560">
        <f t="shared" si="125"/>
        <v>35</v>
      </c>
      <c r="H5930" s="362"/>
      <c r="I5930" s="362"/>
      <c r="J5930" s="362"/>
    </row>
    <row r="5931" spans="1:10" x14ac:dyDescent="0.25">
      <c r="A5931" s="362"/>
      <c r="B5931" s="609">
        <v>44481</v>
      </c>
      <c r="C5931" s="362" t="s">
        <v>87</v>
      </c>
      <c r="D5931" s="560">
        <v>93562306</v>
      </c>
      <c r="E5931" s="560">
        <v>86909137</v>
      </c>
      <c r="F5931" s="560">
        <v>180471500</v>
      </c>
      <c r="G5931" s="560">
        <f t="shared" si="125"/>
        <v>-57</v>
      </c>
      <c r="H5931" s="362"/>
      <c r="I5931" s="362"/>
      <c r="J5931" s="362"/>
    </row>
    <row r="5932" spans="1:10" x14ac:dyDescent="0.25">
      <c r="A5932" s="362"/>
      <c r="B5932" s="609">
        <v>44481</v>
      </c>
      <c r="C5932" s="362" t="s">
        <v>88</v>
      </c>
      <c r="D5932" s="560">
        <v>215229936</v>
      </c>
      <c r="E5932" s="560">
        <v>53274651</v>
      </c>
      <c r="F5932" s="560">
        <v>268504600</v>
      </c>
      <c r="G5932" s="560">
        <f t="shared" si="125"/>
        <v>-13</v>
      </c>
      <c r="H5932" s="362"/>
      <c r="I5932" s="362"/>
      <c r="J5932" s="362"/>
    </row>
    <row r="5933" spans="1:10" x14ac:dyDescent="0.25">
      <c r="A5933" s="362"/>
      <c r="B5933" s="609">
        <v>44481</v>
      </c>
      <c r="C5933" s="362" t="s">
        <v>82</v>
      </c>
      <c r="D5933" s="560">
        <v>75737370</v>
      </c>
      <c r="E5933" s="560">
        <v>606540</v>
      </c>
      <c r="F5933" s="560">
        <v>76344000</v>
      </c>
      <c r="G5933" s="560">
        <f t="shared" si="125"/>
        <v>-90</v>
      </c>
      <c r="H5933" s="362"/>
      <c r="I5933" s="362"/>
      <c r="J5933" s="362"/>
    </row>
    <row r="5934" spans="1:10" x14ac:dyDescent="0.25">
      <c r="A5934" s="362"/>
      <c r="B5934" s="609">
        <v>44481</v>
      </c>
      <c r="C5934" s="362" t="s">
        <v>80</v>
      </c>
      <c r="D5934" s="560">
        <v>245620076</v>
      </c>
      <c r="E5934" s="560">
        <v>58620000</v>
      </c>
      <c r="F5934" s="560">
        <v>304218300</v>
      </c>
      <c r="G5934" s="560">
        <f t="shared" si="125"/>
        <v>21776</v>
      </c>
      <c r="H5934" s="362"/>
      <c r="I5934" s="362"/>
      <c r="J5934" s="362"/>
    </row>
    <row r="5935" spans="1:10" x14ac:dyDescent="0.25">
      <c r="A5935" s="362"/>
      <c r="B5935" s="609">
        <v>44481</v>
      </c>
      <c r="C5935" s="362" t="s">
        <v>83</v>
      </c>
      <c r="D5935" s="560">
        <v>167798540</v>
      </c>
      <c r="E5935" s="560">
        <v>207883224</v>
      </c>
      <c r="F5935" s="560">
        <v>376408600</v>
      </c>
      <c r="G5935" s="560">
        <f t="shared" si="125"/>
        <v>-726836</v>
      </c>
      <c r="H5935" s="362"/>
      <c r="I5935" s="362"/>
      <c r="J5935" s="362"/>
    </row>
    <row r="5936" spans="1:10" x14ac:dyDescent="0.25">
      <c r="A5936" s="362"/>
      <c r="B5936" s="609">
        <v>44481</v>
      </c>
      <c r="C5936" s="362" t="s">
        <v>78</v>
      </c>
      <c r="D5936" s="560">
        <v>80403239</v>
      </c>
      <c r="E5936" s="560">
        <v>1618661</v>
      </c>
      <c r="F5936" s="560">
        <v>82021900</v>
      </c>
      <c r="G5936" s="560">
        <f t="shared" si="125"/>
        <v>0</v>
      </c>
      <c r="H5936" s="362"/>
      <c r="I5936" s="362"/>
      <c r="J5936" s="362"/>
    </row>
    <row r="5937" spans="1:10" x14ac:dyDescent="0.25">
      <c r="A5937" s="362"/>
      <c r="B5937" s="609">
        <v>44481</v>
      </c>
      <c r="C5937" s="362" t="s">
        <v>141</v>
      </c>
      <c r="D5937" s="560">
        <v>53309451</v>
      </c>
      <c r="E5937" s="560"/>
      <c r="F5937" s="560">
        <v>53309500</v>
      </c>
      <c r="G5937" s="560">
        <f t="shared" si="125"/>
        <v>-49</v>
      </c>
      <c r="H5937" s="362"/>
      <c r="I5937" s="362"/>
      <c r="J5937" s="362"/>
    </row>
    <row r="5938" spans="1:10" x14ac:dyDescent="0.25">
      <c r="A5938" s="362"/>
      <c r="B5938" s="609">
        <v>44481</v>
      </c>
      <c r="C5938" s="362" t="s">
        <v>89</v>
      </c>
      <c r="D5938" s="560">
        <v>102022356</v>
      </c>
      <c r="E5938" s="560">
        <v>16774244</v>
      </c>
      <c r="F5938" s="560">
        <v>118796400</v>
      </c>
      <c r="G5938" s="560">
        <f t="shared" si="125"/>
        <v>200</v>
      </c>
      <c r="H5938" s="362"/>
      <c r="I5938" s="362"/>
      <c r="J5938" s="362"/>
    </row>
    <row r="5939" spans="1:10" x14ac:dyDescent="0.25">
      <c r="A5939" s="362"/>
      <c r="B5939" s="609">
        <v>44481</v>
      </c>
      <c r="C5939" s="362" t="s">
        <v>81</v>
      </c>
      <c r="D5939" s="560">
        <v>58087922</v>
      </c>
      <c r="E5939" s="560">
        <v>13768465</v>
      </c>
      <c r="F5939" s="560">
        <v>71856500</v>
      </c>
      <c r="G5939" s="560">
        <f t="shared" si="125"/>
        <v>-113</v>
      </c>
      <c r="H5939" s="362"/>
      <c r="I5939" s="362"/>
      <c r="J5939" s="362"/>
    </row>
    <row r="5940" spans="1:10" x14ac:dyDescent="0.25">
      <c r="A5940" s="362"/>
      <c r="B5940" s="609">
        <v>44481</v>
      </c>
      <c r="C5940" s="362" t="s">
        <v>84</v>
      </c>
      <c r="D5940" s="560">
        <v>219644152</v>
      </c>
      <c r="E5940" s="560">
        <v>15298200</v>
      </c>
      <c r="F5940" s="560">
        <v>234933500</v>
      </c>
      <c r="G5940" s="560">
        <f t="shared" si="125"/>
        <v>8852</v>
      </c>
      <c r="H5940" s="362"/>
      <c r="I5940" s="362"/>
      <c r="J5940" s="362"/>
    </row>
    <row r="5941" spans="1:10" x14ac:dyDescent="0.25">
      <c r="A5941" s="362"/>
      <c r="B5941" s="609">
        <v>44481</v>
      </c>
      <c r="C5941" s="362" t="s">
        <v>4751</v>
      </c>
      <c r="D5941" s="560">
        <v>207918329</v>
      </c>
      <c r="E5941" s="560">
        <v>8370471</v>
      </c>
      <c r="F5941" s="560">
        <v>216288800</v>
      </c>
      <c r="G5941" s="560">
        <f t="shared" si="125"/>
        <v>0</v>
      </c>
      <c r="H5941" s="362"/>
      <c r="I5941" s="362"/>
      <c r="J5941" s="362"/>
    </row>
    <row r="5942" spans="1:10" x14ac:dyDescent="0.25">
      <c r="A5942" s="362"/>
      <c r="B5942" s="609">
        <v>44481</v>
      </c>
      <c r="C5942" s="362" t="s">
        <v>166</v>
      </c>
      <c r="D5942" s="560">
        <v>224278249</v>
      </c>
      <c r="E5942" s="560"/>
      <c r="F5942" s="560">
        <v>224278300</v>
      </c>
      <c r="G5942" s="560">
        <f t="shared" si="125"/>
        <v>-51</v>
      </c>
      <c r="H5942" s="362"/>
      <c r="I5942" s="362"/>
      <c r="J5942" s="362"/>
    </row>
    <row r="5943" spans="1:10" x14ac:dyDescent="0.25">
      <c r="A5943" s="362"/>
      <c r="B5943" s="609">
        <v>44481</v>
      </c>
      <c r="C5943" s="362" t="s">
        <v>3435</v>
      </c>
      <c r="D5943" s="560">
        <v>20730668</v>
      </c>
      <c r="E5943" s="560"/>
      <c r="F5943" s="560">
        <v>20730700</v>
      </c>
      <c r="G5943" s="560">
        <f t="shared" si="125"/>
        <v>-32</v>
      </c>
      <c r="H5943" s="362"/>
      <c r="I5943" s="362"/>
      <c r="J5943" s="362"/>
    </row>
    <row r="5944" spans="1:10" x14ac:dyDescent="0.25">
      <c r="A5944" s="362"/>
      <c r="B5944" s="609">
        <v>44481</v>
      </c>
      <c r="C5944" s="370" t="s">
        <v>85</v>
      </c>
      <c r="D5944" s="560">
        <v>26252200</v>
      </c>
      <c r="E5944" s="560"/>
      <c r="F5944" s="560">
        <v>26252200</v>
      </c>
      <c r="G5944" s="560">
        <f t="shared" si="125"/>
        <v>0</v>
      </c>
      <c r="H5944" s="362"/>
      <c r="I5944" s="362"/>
      <c r="J5944" s="362"/>
    </row>
    <row r="5945" spans="1:10" x14ac:dyDescent="0.25">
      <c r="A5945" s="530"/>
      <c r="B5945" s="530"/>
      <c r="C5945" s="530"/>
      <c r="D5945" s="562">
        <f>SUM(D5930:D5944)</f>
        <v>1898568589</v>
      </c>
      <c r="E5945" s="562">
        <f>SUM(E5930:E5944)</f>
        <v>530158633</v>
      </c>
      <c r="F5945" s="562">
        <f>SUM(F5930:F5944)</f>
        <v>2429423600</v>
      </c>
      <c r="G5945" s="562">
        <f>SUM(G5930:G5944)</f>
        <v>-696378</v>
      </c>
      <c r="H5945" s="530"/>
      <c r="I5945" s="530"/>
      <c r="J5945" s="530"/>
    </row>
    <row r="5946" spans="1:10" x14ac:dyDescent="0.25">
      <c r="A5946" s="362"/>
      <c r="B5946" s="609">
        <v>44482</v>
      </c>
      <c r="C5946" s="362" t="s">
        <v>86</v>
      </c>
      <c r="D5946" s="560">
        <v>159995529</v>
      </c>
      <c r="E5946" s="560">
        <v>120902599</v>
      </c>
      <c r="F5946" s="560">
        <v>280898200</v>
      </c>
      <c r="G5946" s="560">
        <f t="shared" si="125"/>
        <v>-72</v>
      </c>
      <c r="H5946" s="362"/>
      <c r="I5946" s="362"/>
      <c r="J5946" s="362"/>
    </row>
    <row r="5947" spans="1:10" x14ac:dyDescent="0.25">
      <c r="A5947" s="362"/>
      <c r="B5947" s="609">
        <v>44482</v>
      </c>
      <c r="C5947" s="362" t="s">
        <v>87</v>
      </c>
      <c r="D5947" s="560">
        <v>79612161</v>
      </c>
      <c r="E5947" s="560">
        <v>73356259</v>
      </c>
      <c r="F5947" s="560">
        <v>152968000</v>
      </c>
      <c r="G5947" s="560">
        <f t="shared" si="125"/>
        <v>420</v>
      </c>
      <c r="H5947" s="362"/>
      <c r="I5947" s="362"/>
      <c r="J5947" s="362"/>
    </row>
    <row r="5948" spans="1:10" x14ac:dyDescent="0.25">
      <c r="A5948" s="362"/>
      <c r="B5948" s="609">
        <v>44482</v>
      </c>
      <c r="C5948" s="362" t="s">
        <v>88</v>
      </c>
      <c r="D5948" s="560">
        <v>161636666</v>
      </c>
      <c r="E5948" s="560">
        <v>41673361</v>
      </c>
      <c r="F5948" s="560">
        <v>203310100</v>
      </c>
      <c r="G5948" s="560">
        <f t="shared" si="125"/>
        <v>-73</v>
      </c>
      <c r="H5948" s="362"/>
      <c r="I5948" s="362"/>
      <c r="J5948" s="362"/>
    </row>
    <row r="5949" spans="1:10" x14ac:dyDescent="0.25">
      <c r="A5949" s="362"/>
      <c r="B5949" s="609">
        <v>44482</v>
      </c>
      <c r="C5949" s="362" t="s">
        <v>82</v>
      </c>
      <c r="D5949" s="560">
        <v>88877413</v>
      </c>
      <c r="E5949" s="560">
        <v>50678305</v>
      </c>
      <c r="F5949" s="560">
        <v>139555800</v>
      </c>
      <c r="G5949" s="560">
        <f t="shared" si="125"/>
        <v>-82</v>
      </c>
      <c r="H5949" s="362"/>
      <c r="I5949" s="362"/>
      <c r="J5949" s="362"/>
    </row>
    <row r="5950" spans="1:10" x14ac:dyDescent="0.25">
      <c r="A5950" s="362"/>
      <c r="B5950" s="609">
        <v>44482</v>
      </c>
      <c r="C5950" s="362" t="s">
        <v>80</v>
      </c>
      <c r="D5950" s="560">
        <v>240193154</v>
      </c>
      <c r="E5950" s="560"/>
      <c r="F5950" s="560">
        <v>240193700</v>
      </c>
      <c r="G5950" s="560">
        <f t="shared" si="125"/>
        <v>-546</v>
      </c>
      <c r="H5950" s="362"/>
      <c r="I5950" s="362"/>
      <c r="J5950" s="362"/>
    </row>
    <row r="5951" spans="1:10" x14ac:dyDescent="0.25">
      <c r="A5951" s="362"/>
      <c r="B5951" s="609">
        <v>44482</v>
      </c>
      <c r="C5951" s="362" t="s">
        <v>83</v>
      </c>
      <c r="D5951" s="560">
        <v>201076645</v>
      </c>
      <c r="E5951" s="560">
        <v>15622012</v>
      </c>
      <c r="F5951" s="560">
        <v>216698700</v>
      </c>
      <c r="G5951" s="560">
        <f t="shared" si="125"/>
        <v>-43</v>
      </c>
      <c r="H5951" s="362"/>
      <c r="I5951" s="362"/>
      <c r="J5951" s="362"/>
    </row>
    <row r="5952" spans="1:10" x14ac:dyDescent="0.25">
      <c r="A5952" s="362"/>
      <c r="B5952" s="609">
        <v>44482</v>
      </c>
      <c r="C5952" s="362" t="s">
        <v>78</v>
      </c>
      <c r="D5952" s="560">
        <v>88776272</v>
      </c>
      <c r="E5952" s="560">
        <v>18627928</v>
      </c>
      <c r="F5952" s="560">
        <v>107404200</v>
      </c>
      <c r="G5952" s="560">
        <f t="shared" si="125"/>
        <v>0</v>
      </c>
      <c r="H5952" s="362"/>
      <c r="I5952" s="362"/>
      <c r="J5952" s="362"/>
    </row>
    <row r="5953" spans="1:10" x14ac:dyDescent="0.25">
      <c r="A5953" s="362"/>
      <c r="B5953" s="609">
        <v>44482</v>
      </c>
      <c r="C5953" s="362" t="s">
        <v>141</v>
      </c>
      <c r="D5953" s="560">
        <v>106585747</v>
      </c>
      <c r="E5953" s="560">
        <v>477600</v>
      </c>
      <c r="F5953" s="560">
        <v>107063300</v>
      </c>
      <c r="G5953" s="560">
        <f t="shared" si="125"/>
        <v>47</v>
      </c>
      <c r="H5953" s="362"/>
      <c r="I5953" s="362"/>
      <c r="J5953" s="362"/>
    </row>
    <row r="5954" spans="1:10" x14ac:dyDescent="0.25">
      <c r="A5954" s="362"/>
      <c r="B5954" s="609">
        <v>44482</v>
      </c>
      <c r="C5954" s="362" t="s">
        <v>89</v>
      </c>
      <c r="D5954" s="560">
        <v>100030126</v>
      </c>
      <c r="E5954" s="560">
        <v>12146974</v>
      </c>
      <c r="F5954" s="560">
        <v>112177000</v>
      </c>
      <c r="G5954" s="560">
        <f t="shared" si="125"/>
        <v>100</v>
      </c>
      <c r="H5954" s="362"/>
      <c r="I5954" s="362"/>
      <c r="J5954" s="362"/>
    </row>
    <row r="5955" spans="1:10" x14ac:dyDescent="0.25">
      <c r="A5955" s="362"/>
      <c r="B5955" s="609">
        <v>44482</v>
      </c>
      <c r="C5955" s="362" t="s">
        <v>81</v>
      </c>
      <c r="D5955" s="560">
        <v>99769128</v>
      </c>
      <c r="E5955" s="560">
        <v>38812963</v>
      </c>
      <c r="F5955" s="560">
        <v>138582100</v>
      </c>
      <c r="G5955" s="560">
        <f t="shared" si="125"/>
        <v>-9</v>
      </c>
      <c r="H5955" s="362"/>
      <c r="I5955" s="362"/>
      <c r="J5955" s="362"/>
    </row>
    <row r="5956" spans="1:10" x14ac:dyDescent="0.25">
      <c r="A5956" s="362"/>
      <c r="B5956" s="609">
        <v>44482</v>
      </c>
      <c r="C5956" s="362" t="s">
        <v>84</v>
      </c>
      <c r="D5956" s="560">
        <v>199585772</v>
      </c>
      <c r="E5956" s="560">
        <v>9379958</v>
      </c>
      <c r="F5956" s="560">
        <v>208965800</v>
      </c>
      <c r="G5956" s="560">
        <f t="shared" si="125"/>
        <v>-70</v>
      </c>
      <c r="H5956" s="362"/>
      <c r="I5956" s="362"/>
      <c r="J5956" s="362"/>
    </row>
    <row r="5957" spans="1:10" x14ac:dyDescent="0.25">
      <c r="A5957" s="362"/>
      <c r="B5957" s="609">
        <v>44482</v>
      </c>
      <c r="C5957" s="362" t="s">
        <v>4751</v>
      </c>
      <c r="D5957" s="560">
        <v>136555956</v>
      </c>
      <c r="E5957" s="560">
        <v>16099144</v>
      </c>
      <c r="F5957" s="560">
        <v>152655100</v>
      </c>
      <c r="G5957" s="560">
        <f t="shared" si="125"/>
        <v>0</v>
      </c>
      <c r="H5957" s="362"/>
      <c r="I5957" s="362"/>
      <c r="J5957" s="362"/>
    </row>
    <row r="5958" spans="1:10" x14ac:dyDescent="0.25">
      <c r="A5958" s="362"/>
      <c r="B5958" s="609">
        <v>44482</v>
      </c>
      <c r="C5958" s="362" t="s">
        <v>166</v>
      </c>
      <c r="D5958" s="560">
        <v>58971957</v>
      </c>
      <c r="E5958" s="560"/>
      <c r="F5958" s="560">
        <v>58972000</v>
      </c>
      <c r="G5958" s="560">
        <f t="shared" si="125"/>
        <v>-43</v>
      </c>
      <c r="H5958" s="362"/>
      <c r="I5958" s="362"/>
      <c r="J5958" s="362"/>
    </row>
    <row r="5959" spans="1:10" x14ac:dyDescent="0.25">
      <c r="A5959" s="362"/>
      <c r="B5959" s="609">
        <v>44482</v>
      </c>
      <c r="C5959" s="362" t="s">
        <v>3435</v>
      </c>
      <c r="D5959" s="560">
        <v>23413965</v>
      </c>
      <c r="E5959" s="560"/>
      <c r="F5959" s="560">
        <v>23414000</v>
      </c>
      <c r="G5959" s="560">
        <f t="shared" si="125"/>
        <v>-35</v>
      </c>
      <c r="H5959" s="362"/>
      <c r="I5959" s="362"/>
      <c r="J5959" s="362"/>
    </row>
    <row r="5960" spans="1:10" x14ac:dyDescent="0.25">
      <c r="A5960" s="362"/>
      <c r="B5960" s="609">
        <v>44482</v>
      </c>
      <c r="C5960" s="370" t="s">
        <v>85</v>
      </c>
      <c r="D5960" s="560">
        <v>32080500</v>
      </c>
      <c r="E5960" s="560"/>
      <c r="F5960" s="560">
        <v>32080500</v>
      </c>
      <c r="G5960" s="560">
        <f t="shared" si="125"/>
        <v>0</v>
      </c>
      <c r="H5960" s="362"/>
      <c r="I5960" s="362"/>
      <c r="J5960" s="362"/>
    </row>
    <row r="5961" spans="1:10" x14ac:dyDescent="0.25">
      <c r="A5961" s="530"/>
      <c r="B5961" s="530"/>
      <c r="C5961" s="530"/>
      <c r="D5961" s="562">
        <f>SUM(D5946:D5960)</f>
        <v>1777160991</v>
      </c>
      <c r="E5961" s="562">
        <f>SUM(E5946:E5960)</f>
        <v>397777103</v>
      </c>
      <c r="F5961" s="562">
        <f>SUM(F5946:F5960)</f>
        <v>2174938500</v>
      </c>
      <c r="G5961" s="562">
        <f>SUM(G5946:G5960)</f>
        <v>-406</v>
      </c>
      <c r="H5961" s="530"/>
      <c r="I5961" s="530"/>
      <c r="J5961" s="530"/>
    </row>
    <row r="5962" spans="1:10" x14ac:dyDescent="0.25">
      <c r="A5962" s="362"/>
      <c r="B5962" s="609">
        <v>44483</v>
      </c>
      <c r="C5962" s="362" t="s">
        <v>86</v>
      </c>
      <c r="D5962" s="560">
        <v>185062636</v>
      </c>
      <c r="E5962" s="560">
        <v>137755900</v>
      </c>
      <c r="F5962" s="560"/>
      <c r="G5962" s="560">
        <f t="shared" si="125"/>
        <v>322818536</v>
      </c>
      <c r="H5962" s="362"/>
      <c r="I5962" s="362"/>
      <c r="J5962" s="362"/>
    </row>
    <row r="5963" spans="1:10" x14ac:dyDescent="0.25">
      <c r="A5963" s="362"/>
      <c r="B5963" s="609">
        <v>44483</v>
      </c>
      <c r="C5963" s="362" t="s">
        <v>87</v>
      </c>
      <c r="D5963" s="560">
        <v>30551216</v>
      </c>
      <c r="E5963" s="560">
        <v>68051661</v>
      </c>
      <c r="F5963" s="560"/>
      <c r="G5963" s="560">
        <f t="shared" si="125"/>
        <v>98602877</v>
      </c>
      <c r="H5963" s="362"/>
      <c r="I5963" s="362"/>
      <c r="J5963" s="362"/>
    </row>
    <row r="5964" spans="1:10" x14ac:dyDescent="0.25">
      <c r="A5964" s="362"/>
      <c r="B5964" s="609">
        <v>44483</v>
      </c>
      <c r="C5964" s="362" t="s">
        <v>88</v>
      </c>
      <c r="D5964" s="560">
        <v>209239529</v>
      </c>
      <c r="E5964" s="560">
        <v>8550274</v>
      </c>
      <c r="F5964" s="560"/>
      <c r="G5964" s="560">
        <f t="shared" ref="G5964:G6027" si="126">D5964+E5964-F5964</f>
        <v>217789803</v>
      </c>
      <c r="H5964" s="362"/>
      <c r="I5964" s="362"/>
      <c r="J5964" s="362"/>
    </row>
    <row r="5965" spans="1:10" x14ac:dyDescent="0.25">
      <c r="A5965" s="362"/>
      <c r="B5965" s="609">
        <v>44483</v>
      </c>
      <c r="C5965" s="362" t="s">
        <v>82</v>
      </c>
      <c r="D5965" s="560">
        <v>100938193</v>
      </c>
      <c r="E5965" s="560"/>
      <c r="F5965" s="560"/>
      <c r="G5965" s="560">
        <f t="shared" si="126"/>
        <v>100938193</v>
      </c>
      <c r="H5965" s="362"/>
      <c r="I5965" s="362"/>
      <c r="J5965" s="362"/>
    </row>
    <row r="5966" spans="1:10" x14ac:dyDescent="0.25">
      <c r="A5966" s="362"/>
      <c r="B5966" s="609">
        <v>44483</v>
      </c>
      <c r="C5966" s="362" t="s">
        <v>80</v>
      </c>
      <c r="D5966" s="560">
        <v>265554153</v>
      </c>
      <c r="E5966" s="560"/>
      <c r="F5966" s="560"/>
      <c r="G5966" s="560">
        <f t="shared" si="126"/>
        <v>265554153</v>
      </c>
      <c r="H5966" s="362"/>
      <c r="I5966" s="362"/>
      <c r="J5966" s="362"/>
    </row>
    <row r="5967" spans="1:10" x14ac:dyDescent="0.25">
      <c r="A5967" s="362"/>
      <c r="B5967" s="609">
        <v>44483</v>
      </c>
      <c r="C5967" s="362" t="s">
        <v>83</v>
      </c>
      <c r="D5967" s="560">
        <v>163309971</v>
      </c>
      <c r="E5967" s="560">
        <v>124049886</v>
      </c>
      <c r="F5967" s="560"/>
      <c r="G5967" s="560">
        <f t="shared" si="126"/>
        <v>287359857</v>
      </c>
      <c r="H5967" s="362"/>
      <c r="I5967" s="362"/>
      <c r="J5967" s="362"/>
    </row>
    <row r="5968" spans="1:10" x14ac:dyDescent="0.25">
      <c r="A5968" s="362"/>
      <c r="B5968" s="609">
        <v>44483</v>
      </c>
      <c r="C5968" s="362" t="s">
        <v>78</v>
      </c>
      <c r="D5968" s="560">
        <v>99353800</v>
      </c>
      <c r="E5968" s="560"/>
      <c r="F5968" s="560"/>
      <c r="G5968" s="560">
        <f t="shared" si="126"/>
        <v>99353800</v>
      </c>
      <c r="H5968" s="362"/>
      <c r="I5968" s="362"/>
      <c r="J5968" s="362"/>
    </row>
    <row r="5969" spans="1:10" x14ac:dyDescent="0.25">
      <c r="A5969" s="362"/>
      <c r="B5969" s="609">
        <v>44483</v>
      </c>
      <c r="C5969" s="362" t="s">
        <v>141</v>
      </c>
      <c r="D5969" s="560">
        <v>61917002</v>
      </c>
      <c r="E5969" s="560"/>
      <c r="F5969" s="560"/>
      <c r="G5969" s="560">
        <f t="shared" si="126"/>
        <v>61917002</v>
      </c>
      <c r="H5969" s="362"/>
      <c r="I5969" s="362"/>
      <c r="J5969" s="362"/>
    </row>
    <row r="5970" spans="1:10" x14ac:dyDescent="0.25">
      <c r="A5970" s="362"/>
      <c r="B5970" s="609">
        <v>44483</v>
      </c>
      <c r="C5970" s="362" t="s">
        <v>89</v>
      </c>
      <c r="D5970" s="560">
        <v>116962142</v>
      </c>
      <c r="E5970" s="560">
        <v>55507658</v>
      </c>
      <c r="F5970" s="560"/>
      <c r="G5970" s="560">
        <f t="shared" si="126"/>
        <v>172469800</v>
      </c>
      <c r="H5970" s="362"/>
      <c r="I5970" s="362"/>
      <c r="J5970" s="362"/>
    </row>
    <row r="5971" spans="1:10" x14ac:dyDescent="0.25">
      <c r="A5971" s="362"/>
      <c r="B5971" s="609">
        <v>44483</v>
      </c>
      <c r="C5971" s="362" t="s">
        <v>81</v>
      </c>
      <c r="D5971" s="560">
        <v>119478369</v>
      </c>
      <c r="E5971" s="560">
        <v>25770734</v>
      </c>
      <c r="F5971" s="560"/>
      <c r="G5971" s="560">
        <f t="shared" si="126"/>
        <v>145249103</v>
      </c>
      <c r="H5971" s="362"/>
      <c r="I5971" s="362"/>
      <c r="J5971" s="362"/>
    </row>
    <row r="5972" spans="1:10" x14ac:dyDescent="0.25">
      <c r="A5972" s="362"/>
      <c r="B5972" s="609">
        <v>44483</v>
      </c>
      <c r="C5972" s="362" t="s">
        <v>84</v>
      </c>
      <c r="D5972" s="560">
        <v>265422438</v>
      </c>
      <c r="E5972" s="560">
        <v>14268006</v>
      </c>
      <c r="F5972" s="560"/>
      <c r="G5972" s="560">
        <f t="shared" si="126"/>
        <v>279690444</v>
      </c>
      <c r="H5972" s="362"/>
      <c r="I5972" s="362"/>
      <c r="J5972" s="362"/>
    </row>
    <row r="5973" spans="1:10" x14ac:dyDescent="0.25">
      <c r="A5973" s="362"/>
      <c r="B5973" s="609">
        <v>44483</v>
      </c>
      <c r="C5973" s="362" t="s">
        <v>4751</v>
      </c>
      <c r="D5973" s="560">
        <v>249284804</v>
      </c>
      <c r="E5973" s="560">
        <v>11134496</v>
      </c>
      <c r="F5973" s="560"/>
      <c r="G5973" s="560">
        <f t="shared" si="126"/>
        <v>260419300</v>
      </c>
      <c r="H5973" s="362"/>
      <c r="I5973" s="362"/>
      <c r="J5973" s="362"/>
    </row>
    <row r="5974" spans="1:10" x14ac:dyDescent="0.25">
      <c r="A5974" s="362"/>
      <c r="B5974" s="609">
        <v>44483</v>
      </c>
      <c r="C5974" s="362" t="s">
        <v>166</v>
      </c>
      <c r="D5974" s="560">
        <v>79682217</v>
      </c>
      <c r="E5974" s="560"/>
      <c r="F5974" s="560"/>
      <c r="G5974" s="560">
        <f t="shared" si="126"/>
        <v>79682217</v>
      </c>
      <c r="H5974" s="362"/>
      <c r="I5974" s="362"/>
      <c r="J5974" s="362"/>
    </row>
    <row r="5975" spans="1:10" x14ac:dyDescent="0.25">
      <c r="A5975" s="362"/>
      <c r="B5975" s="609">
        <v>44483</v>
      </c>
      <c r="C5975" s="362" t="s">
        <v>3435</v>
      </c>
      <c r="D5975" s="560">
        <v>62766165</v>
      </c>
      <c r="E5975" s="560"/>
      <c r="F5975" s="560"/>
      <c r="G5975" s="560">
        <f t="shared" si="126"/>
        <v>62766165</v>
      </c>
      <c r="H5975" s="362"/>
      <c r="I5975" s="362"/>
      <c r="J5975" s="362"/>
    </row>
    <row r="5976" spans="1:10" x14ac:dyDescent="0.25">
      <c r="A5976" s="362"/>
      <c r="B5976" s="609">
        <v>44483</v>
      </c>
      <c r="C5976" s="370" t="s">
        <v>85</v>
      </c>
      <c r="D5976" s="560">
        <v>23153400</v>
      </c>
      <c r="E5976" s="560"/>
      <c r="F5976" s="560"/>
      <c r="G5976" s="560">
        <f t="shared" si="126"/>
        <v>23153400</v>
      </c>
      <c r="H5976" s="362"/>
      <c r="I5976" s="362"/>
      <c r="J5976" s="362"/>
    </row>
    <row r="5977" spans="1:10" x14ac:dyDescent="0.25">
      <c r="A5977" s="530"/>
      <c r="B5977" s="530"/>
      <c r="C5977" s="530"/>
      <c r="D5977" s="562">
        <f>SUM(D5962:D5976)</f>
        <v>2032676035</v>
      </c>
      <c r="E5977" s="562">
        <f>SUM(E5962:E5976)</f>
        <v>445088615</v>
      </c>
      <c r="F5977" s="562">
        <f>SUM(F5962:F5976)</f>
        <v>0</v>
      </c>
      <c r="G5977" s="562">
        <f>SUM(G5962:G5976)</f>
        <v>2477764650</v>
      </c>
      <c r="H5977" s="530"/>
      <c r="I5977" s="530"/>
      <c r="J5977" s="530"/>
    </row>
    <row r="5978" spans="1:10" x14ac:dyDescent="0.25">
      <c r="A5978" s="362"/>
      <c r="B5978" s="609">
        <v>44484</v>
      </c>
      <c r="C5978" s="362" t="s">
        <v>86</v>
      </c>
      <c r="D5978" s="560">
        <v>47098058</v>
      </c>
      <c r="E5978" s="560">
        <v>43724105</v>
      </c>
      <c r="F5978" s="560">
        <v>90822300</v>
      </c>
      <c r="G5978" s="560">
        <f t="shared" si="126"/>
        <v>-137</v>
      </c>
      <c r="H5978" s="362"/>
      <c r="I5978" s="362"/>
      <c r="J5978" s="362"/>
    </row>
    <row r="5979" spans="1:10" x14ac:dyDescent="0.25">
      <c r="A5979" s="362"/>
      <c r="B5979" s="609">
        <v>44484</v>
      </c>
      <c r="C5979" s="362" t="s">
        <v>87</v>
      </c>
      <c r="D5979" s="560">
        <v>86401852</v>
      </c>
      <c r="E5979" s="560">
        <v>27361086</v>
      </c>
      <c r="F5979" s="560">
        <v>113762900</v>
      </c>
      <c r="G5979" s="560">
        <f t="shared" si="126"/>
        <v>38</v>
      </c>
      <c r="H5979" s="362"/>
      <c r="I5979" s="362"/>
      <c r="J5979" s="362"/>
    </row>
    <row r="5980" spans="1:10" x14ac:dyDescent="0.25">
      <c r="A5980" s="362"/>
      <c r="B5980" s="609">
        <v>44484</v>
      </c>
      <c r="C5980" s="362" t="s">
        <v>88</v>
      </c>
      <c r="D5980" s="560">
        <v>78120138</v>
      </c>
      <c r="E5980" s="560">
        <v>193066230</v>
      </c>
      <c r="F5980" s="560">
        <v>271186400</v>
      </c>
      <c r="G5980" s="560">
        <f t="shared" si="126"/>
        <v>-32</v>
      </c>
      <c r="H5980" s="362"/>
      <c r="I5980" s="362"/>
      <c r="J5980" s="362"/>
    </row>
    <row r="5981" spans="1:10" x14ac:dyDescent="0.25">
      <c r="A5981" s="362"/>
      <c r="B5981" s="609">
        <v>44484</v>
      </c>
      <c r="C5981" s="362" t="s">
        <v>82</v>
      </c>
      <c r="D5981" s="560">
        <v>75862105</v>
      </c>
      <c r="E5981" s="560">
        <v>41597511</v>
      </c>
      <c r="F5981" s="560">
        <v>117459700</v>
      </c>
      <c r="G5981" s="560">
        <f t="shared" si="126"/>
        <v>-84</v>
      </c>
      <c r="H5981" s="362"/>
      <c r="I5981" s="362"/>
      <c r="J5981" s="362"/>
    </row>
    <row r="5982" spans="1:10" x14ac:dyDescent="0.25">
      <c r="A5982" s="362"/>
      <c r="B5982" s="609">
        <v>44484</v>
      </c>
      <c r="C5982" s="362" t="s">
        <v>80</v>
      </c>
      <c r="D5982" s="560">
        <v>390810086</v>
      </c>
      <c r="E5982" s="560">
        <v>81901642</v>
      </c>
      <c r="F5982" s="560">
        <v>472706900</v>
      </c>
      <c r="G5982" s="560">
        <f t="shared" si="126"/>
        <v>4828</v>
      </c>
      <c r="H5982" s="362"/>
      <c r="I5982" s="362"/>
      <c r="J5982" s="362"/>
    </row>
    <row r="5983" spans="1:10" x14ac:dyDescent="0.25">
      <c r="A5983" s="362"/>
      <c r="B5983" s="609">
        <v>44484</v>
      </c>
      <c r="C5983" s="362" t="s">
        <v>83</v>
      </c>
      <c r="D5983" s="560">
        <v>128776467</v>
      </c>
      <c r="E5983" s="560">
        <v>75208751</v>
      </c>
      <c r="F5983" s="560">
        <v>203985100</v>
      </c>
      <c r="G5983" s="560">
        <f t="shared" si="126"/>
        <v>118</v>
      </c>
      <c r="H5983" s="362"/>
      <c r="I5983" s="362"/>
      <c r="J5983" s="362"/>
    </row>
    <row r="5984" spans="1:10" x14ac:dyDescent="0.25">
      <c r="A5984" s="362"/>
      <c r="B5984" s="609">
        <v>44484</v>
      </c>
      <c r="C5984" s="362" t="s">
        <v>78</v>
      </c>
      <c r="D5984" s="560">
        <v>105672844</v>
      </c>
      <c r="E5984" s="560">
        <v>1051856</v>
      </c>
      <c r="F5984" s="560">
        <v>106724700</v>
      </c>
      <c r="G5984" s="560">
        <f t="shared" si="126"/>
        <v>0</v>
      </c>
      <c r="H5984" s="362"/>
      <c r="I5984" s="362"/>
      <c r="J5984" s="362"/>
    </row>
    <row r="5985" spans="1:10" x14ac:dyDescent="0.25">
      <c r="A5985" s="362"/>
      <c r="B5985" s="609">
        <v>44484</v>
      </c>
      <c r="C5985" s="362" t="s">
        <v>141</v>
      </c>
      <c r="D5985" s="560">
        <v>88664382</v>
      </c>
      <c r="E5985" s="560">
        <v>502850</v>
      </c>
      <c r="F5985" s="560">
        <v>89167300</v>
      </c>
      <c r="G5985" s="560">
        <f t="shared" si="126"/>
        <v>-68</v>
      </c>
      <c r="H5985" s="362"/>
      <c r="I5985" s="362"/>
      <c r="J5985" s="362"/>
    </row>
    <row r="5986" spans="1:10" x14ac:dyDescent="0.25">
      <c r="A5986" s="362"/>
      <c r="B5986" s="609">
        <v>44484</v>
      </c>
      <c r="C5986" s="362" t="s">
        <v>89</v>
      </c>
      <c r="D5986" s="560">
        <v>140424504</v>
      </c>
      <c r="E5986" s="560">
        <v>81624596</v>
      </c>
      <c r="F5986" s="560">
        <v>222049100</v>
      </c>
      <c r="G5986" s="560">
        <f t="shared" si="126"/>
        <v>0</v>
      </c>
      <c r="H5986" s="362"/>
      <c r="I5986" s="362"/>
      <c r="J5986" s="362"/>
    </row>
    <row r="5987" spans="1:10" x14ac:dyDescent="0.25">
      <c r="A5987" s="362"/>
      <c r="B5987" s="609">
        <v>44484</v>
      </c>
      <c r="C5987" s="362" t="s">
        <v>81</v>
      </c>
      <c r="D5987" s="560">
        <v>76556435</v>
      </c>
      <c r="E5987" s="560">
        <v>28964943</v>
      </c>
      <c r="F5987" s="560">
        <v>105521400</v>
      </c>
      <c r="G5987" s="560">
        <f t="shared" si="126"/>
        <v>-22</v>
      </c>
      <c r="H5987" s="362"/>
      <c r="I5987" s="362"/>
      <c r="J5987" s="362"/>
    </row>
    <row r="5988" spans="1:10" x14ac:dyDescent="0.25">
      <c r="A5988" s="362"/>
      <c r="B5988" s="609">
        <v>44484</v>
      </c>
      <c r="C5988" s="362" t="s">
        <v>84</v>
      </c>
      <c r="D5988" s="560">
        <v>161297401</v>
      </c>
      <c r="E5988" s="560">
        <v>15482222</v>
      </c>
      <c r="F5988" s="560">
        <v>176779600</v>
      </c>
      <c r="G5988" s="560">
        <f t="shared" si="126"/>
        <v>23</v>
      </c>
      <c r="H5988" s="362"/>
      <c r="I5988" s="362"/>
      <c r="J5988" s="362"/>
    </row>
    <row r="5989" spans="1:10" x14ac:dyDescent="0.25">
      <c r="A5989" s="362"/>
      <c r="B5989" s="609">
        <v>44484</v>
      </c>
      <c r="C5989" s="362" t="s">
        <v>4751</v>
      </c>
      <c r="D5989" s="560">
        <v>119046497</v>
      </c>
      <c r="E5989" s="560">
        <v>18837803</v>
      </c>
      <c r="F5989" s="560">
        <v>137884300</v>
      </c>
      <c r="G5989" s="560">
        <f t="shared" si="126"/>
        <v>0</v>
      </c>
      <c r="H5989" s="362"/>
      <c r="I5989" s="362"/>
      <c r="J5989" s="362"/>
    </row>
    <row r="5990" spans="1:10" x14ac:dyDescent="0.25">
      <c r="A5990" s="362"/>
      <c r="B5990" s="609">
        <v>44484</v>
      </c>
      <c r="C5990" s="362" t="s">
        <v>166</v>
      </c>
      <c r="D5990" s="560">
        <v>38402681</v>
      </c>
      <c r="E5990" s="560"/>
      <c r="F5990" s="560">
        <v>38403000</v>
      </c>
      <c r="G5990" s="560">
        <f t="shared" si="126"/>
        <v>-319</v>
      </c>
      <c r="H5990" s="362"/>
      <c r="I5990" s="362"/>
      <c r="J5990" s="362"/>
    </row>
    <row r="5991" spans="1:10" x14ac:dyDescent="0.25">
      <c r="A5991" s="362"/>
      <c r="B5991" s="609">
        <v>44484</v>
      </c>
      <c r="C5991" s="362" t="s">
        <v>3435</v>
      </c>
      <c r="D5991" s="560">
        <v>32846360</v>
      </c>
      <c r="E5991" s="560"/>
      <c r="F5991" s="560">
        <v>32846400</v>
      </c>
      <c r="G5991" s="560">
        <f t="shared" si="126"/>
        <v>-40</v>
      </c>
      <c r="H5991" s="362"/>
      <c r="I5991" s="362"/>
      <c r="J5991" s="362"/>
    </row>
    <row r="5992" spans="1:10" x14ac:dyDescent="0.25">
      <c r="A5992" s="362"/>
      <c r="B5992" s="609">
        <v>44484</v>
      </c>
      <c r="C5992" s="370" t="s">
        <v>85</v>
      </c>
      <c r="D5992" s="560">
        <v>25316900</v>
      </c>
      <c r="E5992" s="560"/>
      <c r="F5992" s="560">
        <v>25816900</v>
      </c>
      <c r="G5992" s="560">
        <f t="shared" si="126"/>
        <v>-500000</v>
      </c>
      <c r="H5992" s="362"/>
      <c r="I5992" s="362"/>
      <c r="J5992" s="362"/>
    </row>
    <row r="5993" spans="1:10" x14ac:dyDescent="0.25">
      <c r="A5993" s="530"/>
      <c r="B5993" s="530"/>
      <c r="C5993" s="530"/>
      <c r="D5993" s="562">
        <f>SUM(D5978:D5992)</f>
        <v>1595296710</v>
      </c>
      <c r="E5993" s="562">
        <f>SUM(E5978:E5992)</f>
        <v>609323595</v>
      </c>
      <c r="F5993" s="562">
        <f>SUM(F5978:F5992)</f>
        <v>2205116000</v>
      </c>
      <c r="G5993" s="562">
        <f>SUM(G5978:G5992)</f>
        <v>-495695</v>
      </c>
      <c r="H5993" s="530"/>
      <c r="I5993" s="530"/>
      <c r="J5993" s="530"/>
    </row>
    <row r="5994" spans="1:10" x14ac:dyDescent="0.25">
      <c r="A5994" s="362"/>
      <c r="B5994" s="609">
        <v>44485</v>
      </c>
      <c r="C5994" s="362" t="s">
        <v>86</v>
      </c>
      <c r="D5994" s="560">
        <v>37704683</v>
      </c>
      <c r="E5994" s="560">
        <v>288971850</v>
      </c>
      <c r="F5994" s="560"/>
      <c r="G5994" s="560">
        <f t="shared" si="126"/>
        <v>326676533</v>
      </c>
      <c r="H5994" s="362"/>
      <c r="I5994" s="362"/>
      <c r="J5994" s="362"/>
    </row>
    <row r="5995" spans="1:10" x14ac:dyDescent="0.25">
      <c r="A5995" s="362"/>
      <c r="B5995" s="609">
        <v>44485</v>
      </c>
      <c r="C5995" s="362" t="s">
        <v>87</v>
      </c>
      <c r="D5995" s="560">
        <v>63813670</v>
      </c>
      <c r="E5995" s="560">
        <v>236177676</v>
      </c>
      <c r="F5995" s="560"/>
      <c r="G5995" s="560">
        <f t="shared" si="126"/>
        <v>299991346</v>
      </c>
      <c r="H5995" s="362"/>
      <c r="I5995" s="362"/>
      <c r="J5995" s="362"/>
    </row>
    <row r="5996" spans="1:10" x14ac:dyDescent="0.25">
      <c r="A5996" s="362"/>
      <c r="B5996" s="609">
        <v>44485</v>
      </c>
      <c r="C5996" s="362" t="s">
        <v>88</v>
      </c>
      <c r="D5996" s="560">
        <v>94916933</v>
      </c>
      <c r="E5996" s="560">
        <v>4475407</v>
      </c>
      <c r="F5996" s="560"/>
      <c r="G5996" s="560">
        <f t="shared" si="126"/>
        <v>99392340</v>
      </c>
      <c r="H5996" s="362"/>
      <c r="I5996" s="362"/>
      <c r="J5996" s="362"/>
    </row>
    <row r="5997" spans="1:10" x14ac:dyDescent="0.25">
      <c r="A5997" s="362"/>
      <c r="B5997" s="609">
        <v>44485</v>
      </c>
      <c r="C5997" s="362" t="s">
        <v>82</v>
      </c>
      <c r="D5997" s="560">
        <v>39834366</v>
      </c>
      <c r="E5997" s="560">
        <v>5709080</v>
      </c>
      <c r="F5997" s="560"/>
      <c r="G5997" s="560">
        <f t="shared" si="126"/>
        <v>45543446</v>
      </c>
      <c r="H5997" s="362"/>
      <c r="I5997" s="362"/>
      <c r="J5997" s="362"/>
    </row>
    <row r="5998" spans="1:10" x14ac:dyDescent="0.25">
      <c r="A5998" s="362"/>
      <c r="B5998" s="609">
        <v>44485</v>
      </c>
      <c r="C5998" s="362" t="s">
        <v>80</v>
      </c>
      <c r="D5998" s="560">
        <v>203114527</v>
      </c>
      <c r="E5998" s="560">
        <v>73425173</v>
      </c>
      <c r="F5998" s="560"/>
      <c r="G5998" s="560">
        <f t="shared" si="126"/>
        <v>276539700</v>
      </c>
      <c r="H5998" s="362"/>
      <c r="I5998" s="362"/>
      <c r="J5998" s="362"/>
    </row>
    <row r="5999" spans="1:10" x14ac:dyDescent="0.25">
      <c r="A5999" s="362"/>
      <c r="B5999" s="609">
        <v>44485</v>
      </c>
      <c r="C5999" s="362" t="s">
        <v>83</v>
      </c>
      <c r="D5999" s="560">
        <v>136375472</v>
      </c>
      <c r="E5999" s="560">
        <v>16954028</v>
      </c>
      <c r="F5999" s="560"/>
      <c r="G5999" s="560">
        <f t="shared" si="126"/>
        <v>153329500</v>
      </c>
      <c r="H5999" s="362"/>
      <c r="I5999" s="362"/>
      <c r="J5999" s="362"/>
    </row>
    <row r="6000" spans="1:10" x14ac:dyDescent="0.25">
      <c r="A6000" s="362"/>
      <c r="B6000" s="609">
        <v>44485</v>
      </c>
      <c r="C6000" s="362" t="s">
        <v>78</v>
      </c>
      <c r="D6000" s="560">
        <v>169777152</v>
      </c>
      <c r="E6000" s="560">
        <v>23110848</v>
      </c>
      <c r="F6000" s="560"/>
      <c r="G6000" s="560">
        <f t="shared" si="126"/>
        <v>192888000</v>
      </c>
      <c r="H6000" s="362"/>
      <c r="I6000" s="362"/>
      <c r="J6000" s="362"/>
    </row>
    <row r="6001" spans="1:10" x14ac:dyDescent="0.25">
      <c r="A6001" s="362"/>
      <c r="B6001" s="609">
        <v>44485</v>
      </c>
      <c r="C6001" s="362" t="s">
        <v>141</v>
      </c>
      <c r="D6001" s="560">
        <v>37760607</v>
      </c>
      <c r="E6001" s="560">
        <v>2140326</v>
      </c>
      <c r="F6001" s="560"/>
      <c r="G6001" s="560">
        <f t="shared" si="126"/>
        <v>39900933</v>
      </c>
      <c r="H6001" s="362"/>
      <c r="I6001" s="362"/>
      <c r="J6001" s="362"/>
    </row>
    <row r="6002" spans="1:10" x14ac:dyDescent="0.25">
      <c r="A6002" s="362"/>
      <c r="B6002" s="609">
        <v>44485</v>
      </c>
      <c r="C6002" s="362" t="s">
        <v>89</v>
      </c>
      <c r="D6002" s="560">
        <v>74640782</v>
      </c>
      <c r="E6002" s="560">
        <v>31494618</v>
      </c>
      <c r="F6002" s="560"/>
      <c r="G6002" s="560">
        <f t="shared" si="126"/>
        <v>106135400</v>
      </c>
      <c r="H6002" s="362"/>
      <c r="I6002" s="362"/>
      <c r="J6002" s="362"/>
    </row>
    <row r="6003" spans="1:10" x14ac:dyDescent="0.25">
      <c r="A6003" s="362"/>
      <c r="B6003" s="609">
        <v>44485</v>
      </c>
      <c r="C6003" s="362" t="s">
        <v>81</v>
      </c>
      <c r="D6003" s="560">
        <v>159788838</v>
      </c>
      <c r="E6003" s="560">
        <v>38300321</v>
      </c>
      <c r="F6003" s="560"/>
      <c r="G6003" s="560">
        <f t="shared" si="126"/>
        <v>198089159</v>
      </c>
      <c r="H6003" s="362"/>
      <c r="I6003" s="362"/>
      <c r="J6003" s="362"/>
    </row>
    <row r="6004" spans="1:10" x14ac:dyDescent="0.25">
      <c r="A6004" s="362"/>
      <c r="B6004" s="609">
        <v>44485</v>
      </c>
      <c r="C6004" s="362" t="s">
        <v>84</v>
      </c>
      <c r="D6004" s="560">
        <v>235870355</v>
      </c>
      <c r="E6004" s="560">
        <v>16195134</v>
      </c>
      <c r="F6004" s="560"/>
      <c r="G6004" s="560">
        <f t="shared" si="126"/>
        <v>252065489</v>
      </c>
      <c r="H6004" s="362"/>
      <c r="I6004" s="362"/>
      <c r="J6004" s="362"/>
    </row>
    <row r="6005" spans="1:10" x14ac:dyDescent="0.25">
      <c r="A6005" s="362"/>
      <c r="B6005" s="609">
        <v>44485</v>
      </c>
      <c r="C6005" s="362" t="s">
        <v>4751</v>
      </c>
      <c r="D6005" s="560">
        <v>242122856</v>
      </c>
      <c r="E6005" s="560">
        <v>6275044</v>
      </c>
      <c r="F6005" s="560"/>
      <c r="G6005" s="560">
        <f t="shared" si="126"/>
        <v>248397900</v>
      </c>
      <c r="H6005" s="362"/>
      <c r="I6005" s="362"/>
      <c r="J6005" s="362"/>
    </row>
    <row r="6006" spans="1:10" x14ac:dyDescent="0.25">
      <c r="A6006" s="362"/>
      <c r="B6006" s="609">
        <v>44485</v>
      </c>
      <c r="C6006" s="362" t="s">
        <v>166</v>
      </c>
      <c r="D6006" s="560"/>
      <c r="E6006" s="560"/>
      <c r="F6006" s="560"/>
      <c r="G6006" s="560">
        <f t="shared" si="126"/>
        <v>0</v>
      </c>
      <c r="H6006" s="362"/>
      <c r="I6006" s="362"/>
      <c r="J6006" s="362"/>
    </row>
    <row r="6007" spans="1:10" x14ac:dyDescent="0.25">
      <c r="A6007" s="362"/>
      <c r="B6007" s="609">
        <v>44485</v>
      </c>
      <c r="C6007" s="362" t="s">
        <v>3435</v>
      </c>
      <c r="D6007" s="560"/>
      <c r="E6007" s="560"/>
      <c r="F6007" s="560"/>
      <c r="G6007" s="560">
        <f t="shared" si="126"/>
        <v>0</v>
      </c>
      <c r="H6007" s="362"/>
      <c r="I6007" s="362"/>
      <c r="J6007" s="362"/>
    </row>
    <row r="6008" spans="1:10" x14ac:dyDescent="0.25">
      <c r="A6008" s="362"/>
      <c r="B6008" s="609">
        <v>44485</v>
      </c>
      <c r="C6008" s="370" t="s">
        <v>85</v>
      </c>
      <c r="D6008" s="560">
        <v>31284800</v>
      </c>
      <c r="E6008" s="560"/>
      <c r="F6008" s="560"/>
      <c r="G6008" s="560">
        <f t="shared" si="126"/>
        <v>31284800</v>
      </c>
      <c r="H6008" s="362"/>
      <c r="I6008" s="362"/>
      <c r="J6008" s="362"/>
    </row>
    <row r="6009" spans="1:10" x14ac:dyDescent="0.25">
      <c r="A6009" s="530"/>
      <c r="B6009" s="530"/>
      <c r="C6009" s="530"/>
      <c r="D6009" s="562">
        <f>SUM(D5994:D6008)</f>
        <v>1527005041</v>
      </c>
      <c r="E6009" s="562">
        <f>SUM(E5994:E6008)</f>
        <v>743229505</v>
      </c>
      <c r="F6009" s="562">
        <f>SUM(F5994:F6008)</f>
        <v>0</v>
      </c>
      <c r="G6009" s="562">
        <f>SUM(G5994:G6008)</f>
        <v>2270234546</v>
      </c>
      <c r="H6009" s="530"/>
      <c r="I6009" s="530"/>
      <c r="J6009" s="530"/>
    </row>
    <row r="6010" spans="1:10" x14ac:dyDescent="0.25">
      <c r="A6010" s="362"/>
      <c r="B6010" s="609">
        <v>44487</v>
      </c>
      <c r="C6010" s="362" t="s">
        <v>86</v>
      </c>
      <c r="D6010" s="560">
        <v>28374213</v>
      </c>
      <c r="E6010" s="560">
        <v>8908100</v>
      </c>
      <c r="F6010" s="560"/>
      <c r="G6010" s="560">
        <f t="shared" si="126"/>
        <v>37282313</v>
      </c>
      <c r="H6010" s="362"/>
      <c r="I6010" s="362"/>
      <c r="J6010" s="362"/>
    </row>
    <row r="6011" spans="1:10" x14ac:dyDescent="0.25">
      <c r="A6011" s="362"/>
      <c r="B6011" s="609">
        <v>44487</v>
      </c>
      <c r="C6011" s="362" t="s">
        <v>87</v>
      </c>
      <c r="D6011" s="560">
        <v>116957460</v>
      </c>
      <c r="E6011" s="560">
        <v>104280831</v>
      </c>
      <c r="F6011" s="560"/>
      <c r="G6011" s="560">
        <f t="shared" si="126"/>
        <v>221238291</v>
      </c>
      <c r="H6011" s="362"/>
      <c r="I6011" s="362"/>
      <c r="J6011" s="362"/>
    </row>
    <row r="6012" spans="1:10" x14ac:dyDescent="0.25">
      <c r="A6012" s="362"/>
      <c r="B6012" s="609">
        <v>44487</v>
      </c>
      <c r="C6012" s="362" t="s">
        <v>88</v>
      </c>
      <c r="D6012" s="560">
        <v>153908681</v>
      </c>
      <c r="E6012" s="560">
        <v>69223945</v>
      </c>
      <c r="F6012" s="560"/>
      <c r="G6012" s="560">
        <f t="shared" si="126"/>
        <v>223132626</v>
      </c>
      <c r="H6012" s="362"/>
      <c r="I6012" s="362"/>
      <c r="J6012" s="362"/>
    </row>
    <row r="6013" spans="1:10" x14ac:dyDescent="0.25">
      <c r="A6013" s="362"/>
      <c r="B6013" s="609">
        <v>44487</v>
      </c>
      <c r="C6013" s="362" t="s">
        <v>82</v>
      </c>
      <c r="D6013" s="560">
        <v>36080707</v>
      </c>
      <c r="E6013" s="560">
        <v>2027795</v>
      </c>
      <c r="F6013" s="560"/>
      <c r="G6013" s="560">
        <f t="shared" si="126"/>
        <v>38108502</v>
      </c>
      <c r="H6013" s="362"/>
      <c r="I6013" s="362"/>
      <c r="J6013" s="362"/>
    </row>
    <row r="6014" spans="1:10" x14ac:dyDescent="0.25">
      <c r="A6014" s="362"/>
      <c r="B6014" s="609">
        <v>44487</v>
      </c>
      <c r="C6014" s="362" t="s">
        <v>80</v>
      </c>
      <c r="D6014" s="560">
        <v>205441649</v>
      </c>
      <c r="E6014" s="560"/>
      <c r="F6014" s="560"/>
      <c r="G6014" s="560">
        <f t="shared" si="126"/>
        <v>205441649</v>
      </c>
      <c r="H6014" s="362"/>
      <c r="I6014" s="362"/>
      <c r="J6014" s="362"/>
    </row>
    <row r="6015" spans="1:10" x14ac:dyDescent="0.25">
      <c r="A6015" s="362"/>
      <c r="B6015" s="609">
        <v>44487</v>
      </c>
      <c r="C6015" s="362" t="s">
        <v>83</v>
      </c>
      <c r="D6015" s="560">
        <v>224806502</v>
      </c>
      <c r="E6015" s="560">
        <v>38839458</v>
      </c>
      <c r="F6015" s="560"/>
      <c r="G6015" s="560">
        <f t="shared" si="126"/>
        <v>263645960</v>
      </c>
      <c r="H6015" s="362"/>
      <c r="I6015" s="362"/>
      <c r="J6015" s="362"/>
    </row>
    <row r="6016" spans="1:10" x14ac:dyDescent="0.25">
      <c r="A6016" s="362"/>
      <c r="B6016" s="609">
        <v>44487</v>
      </c>
      <c r="C6016" s="362" t="s">
        <v>78</v>
      </c>
      <c r="D6016" s="560">
        <v>186463862</v>
      </c>
      <c r="E6016" s="560">
        <v>2928738</v>
      </c>
      <c r="F6016" s="560"/>
      <c r="G6016" s="560">
        <f t="shared" si="126"/>
        <v>189392600</v>
      </c>
      <c r="H6016" s="362"/>
      <c r="I6016" s="362"/>
      <c r="J6016" s="362"/>
    </row>
    <row r="6017" spans="1:10" x14ac:dyDescent="0.25">
      <c r="A6017" s="362"/>
      <c r="B6017" s="609">
        <v>44487</v>
      </c>
      <c r="C6017" s="362" t="s">
        <v>141</v>
      </c>
      <c r="D6017" s="560">
        <v>54148259</v>
      </c>
      <c r="E6017" s="560">
        <v>3871930</v>
      </c>
      <c r="F6017" s="560"/>
      <c r="G6017" s="560">
        <f t="shared" si="126"/>
        <v>58020189</v>
      </c>
      <c r="H6017" s="362"/>
      <c r="I6017" s="362"/>
      <c r="J6017" s="362"/>
    </row>
    <row r="6018" spans="1:10" x14ac:dyDescent="0.25">
      <c r="A6018" s="362"/>
      <c r="B6018" s="609">
        <v>44487</v>
      </c>
      <c r="C6018" s="362" t="s">
        <v>89</v>
      </c>
      <c r="D6018" s="560">
        <v>155374132</v>
      </c>
      <c r="E6018" s="560">
        <v>18090768</v>
      </c>
      <c r="F6018" s="560"/>
      <c r="G6018" s="560">
        <f t="shared" si="126"/>
        <v>173464900</v>
      </c>
      <c r="H6018" s="362"/>
      <c r="I6018" s="362"/>
      <c r="J6018" s="362"/>
    </row>
    <row r="6019" spans="1:10" x14ac:dyDescent="0.25">
      <c r="A6019" s="362"/>
      <c r="B6019" s="609">
        <v>44487</v>
      </c>
      <c r="C6019" s="362" t="s">
        <v>81</v>
      </c>
      <c r="D6019" s="560">
        <v>152713853</v>
      </c>
      <c r="E6019" s="560">
        <v>12004143</v>
      </c>
      <c r="F6019" s="560"/>
      <c r="G6019" s="560">
        <f t="shared" si="126"/>
        <v>164717996</v>
      </c>
      <c r="H6019" s="362"/>
      <c r="I6019" s="362"/>
      <c r="J6019" s="362"/>
    </row>
    <row r="6020" spans="1:10" x14ac:dyDescent="0.25">
      <c r="A6020" s="362"/>
      <c r="B6020" s="609">
        <v>44487</v>
      </c>
      <c r="C6020" s="362" t="s">
        <v>84</v>
      </c>
      <c r="D6020" s="560">
        <v>228451827</v>
      </c>
      <c r="E6020" s="560">
        <v>11468934</v>
      </c>
      <c r="F6020" s="560"/>
      <c r="G6020" s="560">
        <f t="shared" si="126"/>
        <v>239920761</v>
      </c>
      <c r="H6020" s="362"/>
      <c r="I6020" s="362"/>
      <c r="J6020" s="362"/>
    </row>
    <row r="6021" spans="1:10" x14ac:dyDescent="0.25">
      <c r="A6021" s="362"/>
      <c r="B6021" s="609">
        <v>44487</v>
      </c>
      <c r="C6021" s="362" t="s">
        <v>4751</v>
      </c>
      <c r="D6021" s="560">
        <v>173282120</v>
      </c>
      <c r="E6021" s="560">
        <v>14313180</v>
      </c>
      <c r="F6021" s="560"/>
      <c r="G6021" s="560">
        <f t="shared" si="126"/>
        <v>187595300</v>
      </c>
      <c r="H6021" s="362"/>
      <c r="I6021" s="362"/>
      <c r="J6021" s="362"/>
    </row>
    <row r="6022" spans="1:10" x14ac:dyDescent="0.25">
      <c r="A6022" s="362"/>
      <c r="B6022" s="609">
        <v>44487</v>
      </c>
      <c r="C6022" s="362" t="s">
        <v>166</v>
      </c>
      <c r="D6022" s="560">
        <v>73983907</v>
      </c>
      <c r="E6022" s="560"/>
      <c r="F6022" s="560"/>
      <c r="G6022" s="560">
        <f t="shared" si="126"/>
        <v>73983907</v>
      </c>
      <c r="H6022" s="362"/>
      <c r="I6022" s="362"/>
      <c r="J6022" s="362"/>
    </row>
    <row r="6023" spans="1:10" x14ac:dyDescent="0.25">
      <c r="A6023" s="362"/>
      <c r="B6023" s="609">
        <v>44487</v>
      </c>
      <c r="C6023" s="362" t="s">
        <v>3435</v>
      </c>
      <c r="D6023" s="560">
        <v>81837396</v>
      </c>
      <c r="E6023" s="560"/>
      <c r="F6023" s="560"/>
      <c r="G6023" s="560">
        <f t="shared" si="126"/>
        <v>81837396</v>
      </c>
      <c r="H6023" s="362"/>
      <c r="I6023" s="362"/>
      <c r="J6023" s="362"/>
    </row>
    <row r="6024" spans="1:10" x14ac:dyDescent="0.25">
      <c r="A6024" s="362"/>
      <c r="B6024" s="609">
        <v>44487</v>
      </c>
      <c r="C6024" s="370" t="s">
        <v>85</v>
      </c>
      <c r="D6024" s="560">
        <v>60507700</v>
      </c>
      <c r="E6024" s="560"/>
      <c r="F6024" s="560"/>
      <c r="G6024" s="560">
        <f t="shared" si="126"/>
        <v>60507700</v>
      </c>
      <c r="H6024" s="362"/>
      <c r="I6024" s="362"/>
      <c r="J6024" s="362"/>
    </row>
    <row r="6025" spans="1:10" x14ac:dyDescent="0.25">
      <c r="A6025" s="530"/>
      <c r="B6025" s="530"/>
      <c r="C6025" s="530"/>
      <c r="D6025" s="562">
        <f>SUM(D6010:D6024)</f>
        <v>1932332268</v>
      </c>
      <c r="E6025" s="562">
        <f>SUM(E6010:E6024)</f>
        <v>285957822</v>
      </c>
      <c r="F6025" s="562">
        <f>SUM(F6010:F6024)</f>
        <v>0</v>
      </c>
      <c r="G6025" s="562">
        <f>SUM(G6010:G6024)</f>
        <v>2218290090</v>
      </c>
      <c r="H6025" s="530"/>
      <c r="I6025" s="530"/>
      <c r="J6025" s="530"/>
    </row>
    <row r="6026" spans="1:10" x14ac:dyDescent="0.25">
      <c r="A6026" s="362"/>
      <c r="B6026" s="609">
        <v>44488</v>
      </c>
      <c r="C6026" s="362" t="s">
        <v>86</v>
      </c>
      <c r="D6026" s="560">
        <v>88915583</v>
      </c>
      <c r="E6026" s="560">
        <v>6548210</v>
      </c>
      <c r="F6026" s="560">
        <v>95464000</v>
      </c>
      <c r="G6026" s="560">
        <f t="shared" si="126"/>
        <v>-207</v>
      </c>
      <c r="H6026" s="362"/>
      <c r="I6026" s="362"/>
      <c r="J6026" s="362"/>
    </row>
    <row r="6027" spans="1:10" x14ac:dyDescent="0.25">
      <c r="A6027" s="362"/>
      <c r="B6027" s="609">
        <v>44488</v>
      </c>
      <c r="C6027" s="362" t="s">
        <v>87</v>
      </c>
      <c r="D6027" s="560">
        <v>101712788</v>
      </c>
      <c r="E6027" s="560">
        <v>45358808</v>
      </c>
      <c r="F6027" s="560">
        <v>147071600</v>
      </c>
      <c r="G6027" s="560">
        <f t="shared" si="126"/>
        <v>-4</v>
      </c>
      <c r="H6027" s="362"/>
      <c r="I6027" s="362"/>
      <c r="J6027" s="362"/>
    </row>
    <row r="6028" spans="1:10" x14ac:dyDescent="0.25">
      <c r="A6028" s="362"/>
      <c r="B6028" s="609">
        <v>44488</v>
      </c>
      <c r="C6028" s="362" t="s">
        <v>88</v>
      </c>
      <c r="D6028" s="560">
        <v>146765345</v>
      </c>
      <c r="E6028" s="560">
        <v>32577920</v>
      </c>
      <c r="F6028" s="560">
        <v>179343300</v>
      </c>
      <c r="G6028" s="560">
        <f t="shared" ref="G6028:G6091" si="127">D6028+E6028-F6028</f>
        <v>-35</v>
      </c>
      <c r="H6028" s="362"/>
      <c r="I6028" s="362"/>
      <c r="J6028" s="362"/>
    </row>
    <row r="6029" spans="1:10" x14ac:dyDescent="0.25">
      <c r="A6029" s="362"/>
      <c r="B6029" s="609">
        <v>44488</v>
      </c>
      <c r="C6029" s="362" t="s">
        <v>82</v>
      </c>
      <c r="D6029" s="560">
        <v>58109551</v>
      </c>
      <c r="E6029" s="560">
        <v>8284536</v>
      </c>
      <c r="F6029" s="560">
        <v>66394100</v>
      </c>
      <c r="G6029" s="560">
        <f t="shared" si="127"/>
        <v>-13</v>
      </c>
      <c r="H6029" s="362"/>
      <c r="I6029" s="362"/>
      <c r="J6029" s="362"/>
    </row>
    <row r="6030" spans="1:10" x14ac:dyDescent="0.25">
      <c r="A6030" s="362"/>
      <c r="B6030" s="609">
        <v>44488</v>
      </c>
      <c r="C6030" s="362" t="s">
        <v>80</v>
      </c>
      <c r="D6030" s="560">
        <v>221314651</v>
      </c>
      <c r="E6030" s="560"/>
      <c r="F6030" s="560">
        <v>221315000</v>
      </c>
      <c r="G6030" s="560">
        <f t="shared" si="127"/>
        <v>-349</v>
      </c>
      <c r="H6030" s="362"/>
      <c r="I6030" s="362"/>
      <c r="J6030" s="362"/>
    </row>
    <row r="6031" spans="1:10" x14ac:dyDescent="0.25">
      <c r="A6031" s="362"/>
      <c r="B6031" s="609">
        <v>44488</v>
      </c>
      <c r="C6031" s="362" t="s">
        <v>83</v>
      </c>
      <c r="D6031" s="560">
        <v>226230077</v>
      </c>
      <c r="E6031" s="560">
        <v>8877990</v>
      </c>
      <c r="F6031" s="560">
        <v>235108100</v>
      </c>
      <c r="G6031" s="560">
        <f t="shared" si="127"/>
        <v>-33</v>
      </c>
      <c r="H6031" s="362"/>
      <c r="I6031" s="362"/>
      <c r="J6031" s="362"/>
    </row>
    <row r="6032" spans="1:10" x14ac:dyDescent="0.25">
      <c r="A6032" s="362"/>
      <c r="B6032" s="609">
        <v>44488</v>
      </c>
      <c r="C6032" s="362" t="s">
        <v>78</v>
      </c>
      <c r="D6032" s="560">
        <v>134562935</v>
      </c>
      <c r="E6032" s="560">
        <v>3994365</v>
      </c>
      <c r="F6032" s="560">
        <v>138557300</v>
      </c>
      <c r="G6032" s="560">
        <f t="shared" si="127"/>
        <v>0</v>
      </c>
      <c r="H6032" s="362"/>
      <c r="I6032" s="362"/>
      <c r="J6032" s="362"/>
    </row>
    <row r="6033" spans="1:10" x14ac:dyDescent="0.25">
      <c r="A6033" s="362"/>
      <c r="B6033" s="609">
        <v>44488</v>
      </c>
      <c r="C6033" s="362" t="s">
        <v>141</v>
      </c>
      <c r="D6033" s="560">
        <v>106982018</v>
      </c>
      <c r="E6033" s="560"/>
      <c r="F6033" s="560">
        <v>107018800</v>
      </c>
      <c r="G6033" s="560">
        <f t="shared" si="127"/>
        <v>-36782</v>
      </c>
      <c r="H6033" s="362"/>
      <c r="I6033" s="362"/>
      <c r="J6033" s="362"/>
    </row>
    <row r="6034" spans="1:10" x14ac:dyDescent="0.25">
      <c r="A6034" s="362"/>
      <c r="B6034" s="609">
        <v>44488</v>
      </c>
      <c r="C6034" s="362" t="s">
        <v>89</v>
      </c>
      <c r="D6034" s="560">
        <v>150694670</v>
      </c>
      <c r="E6034" s="560">
        <v>22684630</v>
      </c>
      <c r="F6034" s="560">
        <v>173379300</v>
      </c>
      <c r="G6034" s="560">
        <f t="shared" si="127"/>
        <v>0</v>
      </c>
      <c r="H6034" s="362"/>
      <c r="I6034" s="362"/>
      <c r="J6034" s="362"/>
    </row>
    <row r="6035" spans="1:10" x14ac:dyDescent="0.25">
      <c r="A6035" s="362"/>
      <c r="B6035" s="609">
        <v>44488</v>
      </c>
      <c r="C6035" s="362" t="s">
        <v>81</v>
      </c>
      <c r="D6035" s="560">
        <v>114035914</v>
      </c>
      <c r="E6035" s="560">
        <v>4569330</v>
      </c>
      <c r="F6035" s="560">
        <v>118605300</v>
      </c>
      <c r="G6035" s="560">
        <f t="shared" si="127"/>
        <v>-56</v>
      </c>
      <c r="H6035" s="362"/>
      <c r="I6035" s="362"/>
      <c r="J6035" s="362"/>
    </row>
    <row r="6036" spans="1:10" x14ac:dyDescent="0.25">
      <c r="A6036" s="362"/>
      <c r="B6036" s="609">
        <v>44488</v>
      </c>
      <c r="C6036" s="362" t="s">
        <v>84</v>
      </c>
      <c r="D6036" s="560">
        <v>201928080</v>
      </c>
      <c r="E6036" s="560">
        <v>16688417</v>
      </c>
      <c r="F6036" s="560">
        <v>218656600</v>
      </c>
      <c r="G6036" s="560">
        <f t="shared" si="127"/>
        <v>-40103</v>
      </c>
      <c r="H6036" s="362"/>
      <c r="I6036" s="362"/>
      <c r="J6036" s="362"/>
    </row>
    <row r="6037" spans="1:10" x14ac:dyDescent="0.25">
      <c r="A6037" s="362"/>
      <c r="B6037" s="609">
        <v>44488</v>
      </c>
      <c r="C6037" s="362" t="s">
        <v>4751</v>
      </c>
      <c r="D6037" s="560">
        <v>213001913</v>
      </c>
      <c r="E6037" s="560">
        <v>12428087</v>
      </c>
      <c r="F6037" s="560">
        <v>225430000</v>
      </c>
      <c r="G6037" s="560">
        <f t="shared" si="127"/>
        <v>0</v>
      </c>
      <c r="H6037" s="362"/>
      <c r="I6037" s="362"/>
      <c r="J6037" s="362"/>
    </row>
    <row r="6038" spans="1:10" x14ac:dyDescent="0.25">
      <c r="A6038" s="362"/>
      <c r="B6038" s="609">
        <v>44488</v>
      </c>
      <c r="C6038" s="362" t="s">
        <v>166</v>
      </c>
      <c r="D6038" s="560">
        <v>65496790</v>
      </c>
      <c r="E6038" s="560"/>
      <c r="F6038" s="560">
        <v>65496800</v>
      </c>
      <c r="G6038" s="560">
        <f t="shared" si="127"/>
        <v>-10</v>
      </c>
      <c r="H6038" s="362"/>
      <c r="I6038" s="362"/>
      <c r="J6038" s="362"/>
    </row>
    <row r="6039" spans="1:10" x14ac:dyDescent="0.25">
      <c r="A6039" s="362"/>
      <c r="B6039" s="609">
        <v>44488</v>
      </c>
      <c r="C6039" s="362" t="s">
        <v>3435</v>
      </c>
      <c r="D6039" s="560">
        <v>50717267</v>
      </c>
      <c r="E6039" s="560"/>
      <c r="F6039" s="560">
        <v>50717300</v>
      </c>
      <c r="G6039" s="560">
        <f t="shared" si="127"/>
        <v>-33</v>
      </c>
      <c r="H6039" s="362"/>
      <c r="I6039" s="362"/>
      <c r="J6039" s="362"/>
    </row>
    <row r="6040" spans="1:10" x14ac:dyDescent="0.25">
      <c r="A6040" s="362"/>
      <c r="B6040" s="609">
        <v>44488</v>
      </c>
      <c r="C6040" s="370" t="s">
        <v>85</v>
      </c>
      <c r="D6040" s="560">
        <v>39880500</v>
      </c>
      <c r="E6040" s="560"/>
      <c r="F6040" s="560">
        <v>39880500</v>
      </c>
      <c r="G6040" s="560">
        <f t="shared" si="127"/>
        <v>0</v>
      </c>
      <c r="H6040" s="362"/>
      <c r="I6040" s="362"/>
      <c r="J6040" s="362"/>
    </row>
    <row r="6041" spans="1:10" x14ac:dyDescent="0.25">
      <c r="A6041" s="530"/>
      <c r="B6041" s="530"/>
      <c r="C6041" s="530"/>
      <c r="D6041" s="562">
        <f>SUM(D6026:D6040)</f>
        <v>1920348082</v>
      </c>
      <c r="E6041" s="562">
        <f>SUM(E6026:E6040)</f>
        <v>162012293</v>
      </c>
      <c r="F6041" s="562">
        <f>SUM(F6026:F6040)</f>
        <v>2082438000</v>
      </c>
      <c r="G6041" s="562">
        <f>SUM(G6026:G6040)</f>
        <v>-77625</v>
      </c>
      <c r="H6041" s="530"/>
      <c r="I6041" s="530"/>
      <c r="J6041" s="530"/>
    </row>
    <row r="6042" spans="1:10" x14ac:dyDescent="0.25">
      <c r="A6042" s="362"/>
      <c r="B6042" s="609">
        <v>44489</v>
      </c>
      <c r="C6042" s="362" t="s">
        <v>86</v>
      </c>
      <c r="D6042" s="560">
        <v>108569451</v>
      </c>
      <c r="E6042" s="560">
        <v>8724700</v>
      </c>
      <c r="F6042" s="560">
        <v>117294300</v>
      </c>
      <c r="G6042" s="560">
        <f t="shared" si="127"/>
        <v>-149</v>
      </c>
      <c r="H6042" s="362"/>
      <c r="I6042" s="362"/>
      <c r="J6042" s="362"/>
    </row>
    <row r="6043" spans="1:10" x14ac:dyDescent="0.25">
      <c r="A6043" s="362"/>
      <c r="B6043" s="609">
        <v>44489</v>
      </c>
      <c r="C6043" s="362" t="s">
        <v>87</v>
      </c>
      <c r="D6043" s="560">
        <v>45594667</v>
      </c>
      <c r="E6043" s="560">
        <v>42448908</v>
      </c>
      <c r="F6043" s="560">
        <v>88043700</v>
      </c>
      <c r="G6043" s="560">
        <f t="shared" si="127"/>
        <v>-125</v>
      </c>
      <c r="H6043" s="362"/>
      <c r="I6043" s="362"/>
      <c r="J6043" s="362"/>
    </row>
    <row r="6044" spans="1:10" x14ac:dyDescent="0.25">
      <c r="A6044" s="362"/>
      <c r="B6044" s="609">
        <v>44489</v>
      </c>
      <c r="C6044" s="362" t="s">
        <v>88</v>
      </c>
      <c r="D6044" s="560">
        <v>120136039</v>
      </c>
      <c r="E6044" s="560">
        <v>3578899</v>
      </c>
      <c r="F6044" s="560">
        <v>123765000</v>
      </c>
      <c r="G6044" s="560">
        <f t="shared" si="127"/>
        <v>-50062</v>
      </c>
      <c r="H6044" s="362"/>
      <c r="I6044" s="362"/>
      <c r="J6044" s="362"/>
    </row>
    <row r="6045" spans="1:10" x14ac:dyDescent="0.25">
      <c r="A6045" s="362"/>
      <c r="B6045" s="609">
        <v>44489</v>
      </c>
      <c r="C6045" s="362" t="s">
        <v>82</v>
      </c>
      <c r="D6045" s="560">
        <v>72247590</v>
      </c>
      <c r="E6045" s="560">
        <v>1974464</v>
      </c>
      <c r="F6045" s="560">
        <v>74222100</v>
      </c>
      <c r="G6045" s="560">
        <f t="shared" si="127"/>
        <v>-46</v>
      </c>
      <c r="H6045" s="362"/>
      <c r="I6045" s="362"/>
      <c r="J6045" s="362"/>
    </row>
    <row r="6046" spans="1:10" x14ac:dyDescent="0.25">
      <c r="A6046" s="362"/>
      <c r="B6046" s="609">
        <v>44489</v>
      </c>
      <c r="C6046" s="362" t="s">
        <v>80</v>
      </c>
      <c r="D6046" s="560">
        <v>256191100</v>
      </c>
      <c r="E6046" s="560"/>
      <c r="F6046" s="560">
        <v>256191100</v>
      </c>
      <c r="G6046" s="560">
        <f t="shared" si="127"/>
        <v>0</v>
      </c>
      <c r="H6046" s="362"/>
      <c r="I6046" s="362"/>
      <c r="J6046" s="362"/>
    </row>
    <row r="6047" spans="1:10" x14ac:dyDescent="0.25">
      <c r="A6047" s="362"/>
      <c r="B6047" s="609">
        <v>44489</v>
      </c>
      <c r="C6047" s="362" t="s">
        <v>83</v>
      </c>
      <c r="D6047" s="560">
        <v>125150729</v>
      </c>
      <c r="E6047" s="560">
        <v>106321811</v>
      </c>
      <c r="F6047" s="560">
        <v>231472500</v>
      </c>
      <c r="G6047" s="560">
        <f t="shared" si="127"/>
        <v>40</v>
      </c>
      <c r="H6047" s="362"/>
      <c r="I6047" s="362"/>
      <c r="J6047" s="362"/>
    </row>
    <row r="6048" spans="1:10" x14ac:dyDescent="0.25">
      <c r="A6048" s="362"/>
      <c r="B6048" s="609">
        <v>44489</v>
      </c>
      <c r="C6048" s="362" t="s">
        <v>78</v>
      </c>
      <c r="D6048" s="560">
        <v>102008963</v>
      </c>
      <c r="E6048" s="560">
        <v>5824437</v>
      </c>
      <c r="F6048" s="560">
        <v>107833400</v>
      </c>
      <c r="G6048" s="560">
        <f t="shared" si="127"/>
        <v>0</v>
      </c>
      <c r="H6048" s="362"/>
      <c r="I6048" s="362"/>
      <c r="J6048" s="362"/>
    </row>
    <row r="6049" spans="1:10" x14ac:dyDescent="0.25">
      <c r="A6049" s="362"/>
      <c r="B6049" s="609">
        <v>44489</v>
      </c>
      <c r="C6049" s="362" t="s">
        <v>141</v>
      </c>
      <c r="D6049" s="560">
        <v>96756143</v>
      </c>
      <c r="E6049" s="560"/>
      <c r="F6049" s="560">
        <v>96826200</v>
      </c>
      <c r="G6049" s="560">
        <f t="shared" si="127"/>
        <v>-70057</v>
      </c>
      <c r="H6049" s="362"/>
      <c r="I6049" s="362"/>
      <c r="J6049" s="362"/>
    </row>
    <row r="6050" spans="1:10" x14ac:dyDescent="0.25">
      <c r="A6050" s="362"/>
      <c r="B6050" s="609">
        <v>44489</v>
      </c>
      <c r="C6050" s="362" t="s">
        <v>89</v>
      </c>
      <c r="D6050" s="560">
        <v>107630817</v>
      </c>
      <c r="E6050" s="560">
        <v>6096783</v>
      </c>
      <c r="F6050" s="560">
        <v>113727600</v>
      </c>
      <c r="G6050" s="560">
        <f t="shared" si="127"/>
        <v>0</v>
      </c>
      <c r="H6050" s="362"/>
      <c r="I6050" s="362"/>
      <c r="J6050" s="362"/>
    </row>
    <row r="6051" spans="1:10" x14ac:dyDescent="0.25">
      <c r="A6051" s="362"/>
      <c r="B6051" s="609">
        <v>44489</v>
      </c>
      <c r="C6051" s="362" t="s">
        <v>81</v>
      </c>
      <c r="D6051" s="560">
        <v>148187912</v>
      </c>
      <c r="E6051" s="560">
        <v>68348915</v>
      </c>
      <c r="F6051" s="560">
        <v>216536900</v>
      </c>
      <c r="G6051" s="560">
        <f t="shared" si="127"/>
        <v>-73</v>
      </c>
      <c r="H6051" s="362"/>
      <c r="I6051" s="362"/>
      <c r="J6051" s="362"/>
    </row>
    <row r="6052" spans="1:10" x14ac:dyDescent="0.25">
      <c r="A6052" s="362"/>
      <c r="B6052" s="609">
        <v>44489</v>
      </c>
      <c r="C6052" s="362" t="s">
        <v>84</v>
      </c>
      <c r="D6052" s="560">
        <v>289396542</v>
      </c>
      <c r="E6052" s="560">
        <v>4957153</v>
      </c>
      <c r="F6052" s="560">
        <v>294353400</v>
      </c>
      <c r="G6052" s="560">
        <f t="shared" si="127"/>
        <v>295</v>
      </c>
      <c r="H6052" s="362"/>
      <c r="I6052" s="362"/>
      <c r="J6052" s="362"/>
    </row>
    <row r="6053" spans="1:10" x14ac:dyDescent="0.25">
      <c r="A6053" s="362"/>
      <c r="B6053" s="609">
        <v>44489</v>
      </c>
      <c r="C6053" s="362" t="s">
        <v>4751</v>
      </c>
      <c r="D6053" s="560">
        <v>159002691</v>
      </c>
      <c r="E6053" s="560">
        <v>10666209</v>
      </c>
      <c r="F6053" s="560">
        <v>169668900</v>
      </c>
      <c r="G6053" s="560">
        <f t="shared" si="127"/>
        <v>0</v>
      </c>
      <c r="H6053" s="362"/>
      <c r="I6053" s="362"/>
      <c r="J6053" s="362"/>
    </row>
    <row r="6054" spans="1:10" x14ac:dyDescent="0.25">
      <c r="A6054" s="362"/>
      <c r="B6054" s="609">
        <v>44489</v>
      </c>
      <c r="C6054" s="362" t="s">
        <v>166</v>
      </c>
      <c r="D6054" s="560">
        <v>87558084</v>
      </c>
      <c r="E6054" s="560"/>
      <c r="F6054" s="560">
        <v>87558100</v>
      </c>
      <c r="G6054" s="560">
        <f t="shared" si="127"/>
        <v>-16</v>
      </c>
      <c r="H6054" s="362"/>
      <c r="I6054" s="362"/>
      <c r="J6054" s="362"/>
    </row>
    <row r="6055" spans="1:10" x14ac:dyDescent="0.25">
      <c r="A6055" s="362"/>
      <c r="B6055" s="609">
        <v>44489</v>
      </c>
      <c r="C6055" s="362" t="s">
        <v>3435</v>
      </c>
      <c r="D6055" s="560">
        <v>74802778</v>
      </c>
      <c r="E6055" s="560"/>
      <c r="F6055" s="560">
        <v>74802800</v>
      </c>
      <c r="G6055" s="560">
        <f t="shared" si="127"/>
        <v>-22</v>
      </c>
      <c r="H6055" s="362"/>
      <c r="I6055" s="362"/>
      <c r="J6055" s="362"/>
    </row>
    <row r="6056" spans="1:10" x14ac:dyDescent="0.25">
      <c r="A6056" s="362"/>
      <c r="B6056" s="609">
        <v>44489</v>
      </c>
      <c r="C6056" s="370" t="s">
        <v>85</v>
      </c>
      <c r="D6056" s="560">
        <v>55447300</v>
      </c>
      <c r="E6056" s="560"/>
      <c r="F6056" s="560">
        <v>55447300</v>
      </c>
      <c r="G6056" s="560">
        <f t="shared" si="127"/>
        <v>0</v>
      </c>
      <c r="H6056" s="362"/>
      <c r="I6056" s="362"/>
      <c r="J6056" s="362"/>
    </row>
    <row r="6057" spans="1:10" x14ac:dyDescent="0.25">
      <c r="A6057" s="530"/>
      <c r="B6057" s="530"/>
      <c r="C6057" s="530"/>
      <c r="D6057" s="562">
        <f>SUM(D6042:D6056)</f>
        <v>1848680806</v>
      </c>
      <c r="E6057" s="562">
        <f>SUM(E6042:E6056)</f>
        <v>258942279</v>
      </c>
      <c r="F6057" s="562">
        <f>SUM(F6042:F6056)</f>
        <v>2107743300</v>
      </c>
      <c r="G6057" s="562">
        <f>SUM(G6042:G6056)</f>
        <v>-120215</v>
      </c>
      <c r="H6057" s="530"/>
      <c r="I6057" s="530"/>
      <c r="J6057" s="530"/>
    </row>
    <row r="6058" spans="1:10" x14ac:dyDescent="0.25">
      <c r="A6058" s="362"/>
      <c r="B6058" s="609">
        <v>44490</v>
      </c>
      <c r="C6058" s="362" t="s">
        <v>86</v>
      </c>
      <c r="D6058" s="560">
        <v>113261062</v>
      </c>
      <c r="E6058" s="560">
        <v>28505400</v>
      </c>
      <c r="F6058" s="560"/>
      <c r="G6058" s="560">
        <f t="shared" si="127"/>
        <v>141766462</v>
      </c>
      <c r="H6058" s="362"/>
      <c r="I6058" s="362"/>
      <c r="J6058" s="362"/>
    </row>
    <row r="6059" spans="1:10" x14ac:dyDescent="0.25">
      <c r="A6059" s="362"/>
      <c r="B6059" s="609">
        <v>44490</v>
      </c>
      <c r="C6059" s="362" t="s">
        <v>87</v>
      </c>
      <c r="D6059" s="560">
        <v>67561591</v>
      </c>
      <c r="E6059" s="560">
        <v>163951608</v>
      </c>
      <c r="F6059" s="560"/>
      <c r="G6059" s="560">
        <f t="shared" si="127"/>
        <v>231513199</v>
      </c>
      <c r="H6059" s="362"/>
      <c r="I6059" s="362"/>
      <c r="J6059" s="362"/>
    </row>
    <row r="6060" spans="1:10" x14ac:dyDescent="0.25">
      <c r="A6060" s="362"/>
      <c r="B6060" s="609">
        <v>44490</v>
      </c>
      <c r="C6060" s="362" t="s">
        <v>88</v>
      </c>
      <c r="D6060" s="560">
        <v>219948054</v>
      </c>
      <c r="E6060" s="560">
        <v>5234436</v>
      </c>
      <c r="F6060" s="560"/>
      <c r="G6060" s="560">
        <f t="shared" si="127"/>
        <v>225182490</v>
      </c>
      <c r="H6060" s="362"/>
      <c r="I6060" s="362"/>
      <c r="J6060" s="362"/>
    </row>
    <row r="6061" spans="1:10" x14ac:dyDescent="0.25">
      <c r="A6061" s="362"/>
      <c r="B6061" s="609">
        <v>44490</v>
      </c>
      <c r="C6061" s="362" t="s">
        <v>82</v>
      </c>
      <c r="D6061" s="560">
        <v>224715974</v>
      </c>
      <c r="E6061" s="560">
        <v>2078175</v>
      </c>
      <c r="F6061" s="560"/>
      <c r="G6061" s="560">
        <f t="shared" si="127"/>
        <v>226794149</v>
      </c>
      <c r="H6061" s="362"/>
      <c r="I6061" s="362"/>
      <c r="J6061" s="362"/>
    </row>
    <row r="6062" spans="1:10" x14ac:dyDescent="0.25">
      <c r="A6062" s="362"/>
      <c r="B6062" s="609">
        <v>44490</v>
      </c>
      <c r="C6062" s="362" t="s">
        <v>80</v>
      </c>
      <c r="D6062" s="560">
        <v>270532600</v>
      </c>
      <c r="E6062" s="560"/>
      <c r="F6062" s="560"/>
      <c r="G6062" s="560">
        <f t="shared" si="127"/>
        <v>270532600</v>
      </c>
      <c r="H6062" s="362"/>
      <c r="I6062" s="362"/>
      <c r="J6062" s="362"/>
    </row>
    <row r="6063" spans="1:10" x14ac:dyDescent="0.25">
      <c r="A6063" s="362"/>
      <c r="B6063" s="609">
        <v>44490</v>
      </c>
      <c r="C6063" s="362" t="s">
        <v>83</v>
      </c>
      <c r="D6063" s="560">
        <v>156938690</v>
      </c>
      <c r="E6063" s="560">
        <v>11134419</v>
      </c>
      <c r="F6063" s="560"/>
      <c r="G6063" s="560">
        <f t="shared" si="127"/>
        <v>168073109</v>
      </c>
      <c r="H6063" s="362"/>
      <c r="I6063" s="362"/>
      <c r="J6063" s="362"/>
    </row>
    <row r="6064" spans="1:10" x14ac:dyDescent="0.25">
      <c r="A6064" s="362"/>
      <c r="B6064" s="609">
        <v>44490</v>
      </c>
      <c r="C6064" s="362" t="s">
        <v>78</v>
      </c>
      <c r="D6064" s="560">
        <v>140684953</v>
      </c>
      <c r="E6064" s="560">
        <v>2816347</v>
      </c>
      <c r="F6064" s="560"/>
      <c r="G6064" s="560">
        <f t="shared" si="127"/>
        <v>143501300</v>
      </c>
      <c r="H6064" s="362"/>
      <c r="I6064" s="362"/>
      <c r="J6064" s="362"/>
    </row>
    <row r="6065" spans="1:10" x14ac:dyDescent="0.25">
      <c r="A6065" s="362"/>
      <c r="B6065" s="609">
        <v>44490</v>
      </c>
      <c r="C6065" s="362" t="s">
        <v>141</v>
      </c>
      <c r="D6065" s="560">
        <v>95769034</v>
      </c>
      <c r="E6065" s="560">
        <v>203107</v>
      </c>
      <c r="F6065" s="560"/>
      <c r="G6065" s="560">
        <f t="shared" si="127"/>
        <v>95972141</v>
      </c>
      <c r="H6065" s="362"/>
      <c r="I6065" s="362"/>
      <c r="J6065" s="362"/>
    </row>
    <row r="6066" spans="1:10" x14ac:dyDescent="0.25">
      <c r="A6066" s="362"/>
      <c r="B6066" s="609">
        <v>44490</v>
      </c>
      <c r="C6066" s="362" t="s">
        <v>89</v>
      </c>
      <c r="D6066" s="560">
        <v>172688890</v>
      </c>
      <c r="E6066" s="560">
        <v>30561910</v>
      </c>
      <c r="F6066" s="560"/>
      <c r="G6066" s="560">
        <f t="shared" si="127"/>
        <v>203250800</v>
      </c>
      <c r="H6066" s="362"/>
      <c r="I6066" s="362"/>
      <c r="J6066" s="362"/>
    </row>
    <row r="6067" spans="1:10" x14ac:dyDescent="0.25">
      <c r="A6067" s="362"/>
      <c r="B6067" s="609">
        <v>44490</v>
      </c>
      <c r="C6067" s="362" t="s">
        <v>81</v>
      </c>
      <c r="D6067" s="560">
        <v>124317160</v>
      </c>
      <c r="E6067" s="560">
        <v>41141137</v>
      </c>
      <c r="F6067" s="560"/>
      <c r="G6067" s="560">
        <f t="shared" si="127"/>
        <v>165458297</v>
      </c>
      <c r="H6067" s="362"/>
      <c r="I6067" s="362"/>
      <c r="J6067" s="362"/>
    </row>
    <row r="6068" spans="1:10" x14ac:dyDescent="0.25">
      <c r="A6068" s="362"/>
      <c r="B6068" s="609">
        <v>44490</v>
      </c>
      <c r="C6068" s="362" t="s">
        <v>84</v>
      </c>
      <c r="D6068" s="560">
        <v>249215359</v>
      </c>
      <c r="E6068" s="560">
        <v>14317044</v>
      </c>
      <c r="F6068" s="560"/>
      <c r="G6068" s="560">
        <f t="shared" si="127"/>
        <v>263532403</v>
      </c>
      <c r="H6068" s="362"/>
      <c r="I6068" s="362"/>
      <c r="J6068" s="362"/>
    </row>
    <row r="6069" spans="1:10" x14ac:dyDescent="0.25">
      <c r="A6069" s="362"/>
      <c r="B6069" s="609">
        <v>44490</v>
      </c>
      <c r="C6069" s="362" t="s">
        <v>4751</v>
      </c>
      <c r="D6069" s="560">
        <v>312519745</v>
      </c>
      <c r="E6069" s="560">
        <v>8888355</v>
      </c>
      <c r="F6069" s="560"/>
      <c r="G6069" s="560">
        <f t="shared" si="127"/>
        <v>321408100</v>
      </c>
      <c r="H6069" s="362"/>
      <c r="I6069" s="362"/>
      <c r="J6069" s="362"/>
    </row>
    <row r="6070" spans="1:10" x14ac:dyDescent="0.25">
      <c r="A6070" s="362"/>
      <c r="B6070" s="609">
        <v>44490</v>
      </c>
      <c r="C6070" s="362" t="s">
        <v>166</v>
      </c>
      <c r="D6070" s="560">
        <v>88734461</v>
      </c>
      <c r="E6070" s="560"/>
      <c r="F6070" s="560"/>
      <c r="G6070" s="560">
        <f t="shared" si="127"/>
        <v>88734461</v>
      </c>
      <c r="H6070" s="362"/>
      <c r="I6070" s="362"/>
      <c r="J6070" s="362"/>
    </row>
    <row r="6071" spans="1:10" x14ac:dyDescent="0.25">
      <c r="A6071" s="362"/>
      <c r="B6071" s="609">
        <v>44490</v>
      </c>
      <c r="C6071" s="362" t="s">
        <v>3435</v>
      </c>
      <c r="D6071" s="560">
        <v>137351335</v>
      </c>
      <c r="E6071" s="560"/>
      <c r="F6071" s="560"/>
      <c r="G6071" s="560">
        <f t="shared" si="127"/>
        <v>137351335</v>
      </c>
      <c r="H6071" s="362"/>
      <c r="I6071" s="362"/>
      <c r="J6071" s="362"/>
    </row>
    <row r="6072" spans="1:10" x14ac:dyDescent="0.25">
      <c r="A6072" s="362"/>
      <c r="B6072" s="609">
        <v>44490</v>
      </c>
      <c r="C6072" s="370" t="s">
        <v>85</v>
      </c>
      <c r="D6072" s="560">
        <v>37989500</v>
      </c>
      <c r="E6072" s="560"/>
      <c r="F6072" s="560"/>
      <c r="G6072" s="560">
        <f t="shared" si="127"/>
        <v>37989500</v>
      </c>
      <c r="H6072" s="362"/>
      <c r="I6072" s="362"/>
      <c r="J6072" s="362"/>
    </row>
    <row r="6073" spans="1:10" x14ac:dyDescent="0.25">
      <c r="A6073" s="530"/>
      <c r="B6073" s="530"/>
      <c r="C6073" s="530"/>
      <c r="D6073" s="562">
        <f>SUM(D6058:D6072)</f>
        <v>2412228408</v>
      </c>
      <c r="E6073" s="562">
        <f>SUM(E6058:E6072)</f>
        <v>308831938</v>
      </c>
      <c r="F6073" s="562">
        <f>SUM(F6058:F6072)</f>
        <v>0</v>
      </c>
      <c r="G6073" s="562">
        <f>SUM(G6058:G6072)</f>
        <v>2721060346</v>
      </c>
      <c r="H6073" s="530"/>
      <c r="I6073" s="530"/>
      <c r="J6073" s="530"/>
    </row>
    <row r="6074" spans="1:10" x14ac:dyDescent="0.25">
      <c r="A6074" s="362"/>
      <c r="B6074" s="609">
        <v>44491</v>
      </c>
      <c r="C6074" s="362" t="s">
        <v>86</v>
      </c>
      <c r="D6074" s="560">
        <v>67398006</v>
      </c>
      <c r="E6074" s="560">
        <v>41796994</v>
      </c>
      <c r="F6074" s="560">
        <v>109195100</v>
      </c>
      <c r="G6074" s="560">
        <f t="shared" si="127"/>
        <v>-100</v>
      </c>
      <c r="H6074" s="362"/>
      <c r="I6074" s="362"/>
      <c r="J6074" s="362"/>
    </row>
    <row r="6075" spans="1:10" x14ac:dyDescent="0.25">
      <c r="A6075" s="362"/>
      <c r="B6075" s="609">
        <v>44491</v>
      </c>
      <c r="C6075" s="362" t="s">
        <v>87</v>
      </c>
      <c r="D6075" s="560">
        <v>64243305</v>
      </c>
      <c r="E6075" s="560">
        <v>67760371</v>
      </c>
      <c r="F6075" s="560">
        <v>132003700</v>
      </c>
      <c r="G6075" s="560">
        <f t="shared" si="127"/>
        <v>-24</v>
      </c>
      <c r="H6075" s="362"/>
      <c r="I6075" s="362"/>
      <c r="J6075" s="362"/>
    </row>
    <row r="6076" spans="1:10" x14ac:dyDescent="0.25">
      <c r="A6076" s="362"/>
      <c r="B6076" s="609">
        <v>44491</v>
      </c>
      <c r="C6076" s="362" t="s">
        <v>88</v>
      </c>
      <c r="D6076" s="560">
        <v>117697714</v>
      </c>
      <c r="E6076" s="560">
        <v>32968466</v>
      </c>
      <c r="F6076" s="560">
        <v>150666200</v>
      </c>
      <c r="G6076" s="560">
        <f t="shared" si="127"/>
        <v>-20</v>
      </c>
      <c r="H6076" s="362"/>
      <c r="I6076" s="362"/>
      <c r="J6076" s="362"/>
    </row>
    <row r="6077" spans="1:10" x14ac:dyDescent="0.25">
      <c r="A6077" s="362"/>
      <c r="B6077" s="609">
        <v>44491</v>
      </c>
      <c r="C6077" s="362" t="s">
        <v>82</v>
      </c>
      <c r="D6077" s="560">
        <v>124002604</v>
      </c>
      <c r="E6077" s="560">
        <v>23164698</v>
      </c>
      <c r="F6077" s="560">
        <v>147167400</v>
      </c>
      <c r="G6077" s="560">
        <f t="shared" si="127"/>
        <v>-98</v>
      </c>
      <c r="H6077" s="362"/>
      <c r="I6077" s="362"/>
      <c r="J6077" s="362"/>
    </row>
    <row r="6078" spans="1:10" x14ac:dyDescent="0.25">
      <c r="A6078" s="362"/>
      <c r="B6078" s="609">
        <v>44491</v>
      </c>
      <c r="C6078" s="362" t="s">
        <v>80</v>
      </c>
      <c r="D6078" s="560">
        <v>379121200</v>
      </c>
      <c r="E6078" s="560"/>
      <c r="F6078" s="560">
        <v>379121200</v>
      </c>
      <c r="G6078" s="560">
        <f t="shared" si="127"/>
        <v>0</v>
      </c>
      <c r="H6078" s="362"/>
      <c r="I6078" s="362"/>
      <c r="J6078" s="362"/>
    </row>
    <row r="6079" spans="1:10" x14ac:dyDescent="0.25">
      <c r="A6079" s="362"/>
      <c r="B6079" s="609">
        <v>44491</v>
      </c>
      <c r="C6079" s="362" t="s">
        <v>83</v>
      </c>
      <c r="D6079" s="560">
        <v>142716599</v>
      </c>
      <c r="E6079" s="560">
        <v>152592956</v>
      </c>
      <c r="F6079" s="560">
        <v>295309600</v>
      </c>
      <c r="G6079" s="560">
        <f t="shared" si="127"/>
        <v>-45</v>
      </c>
      <c r="H6079" s="362"/>
      <c r="I6079" s="362"/>
      <c r="J6079" s="362"/>
    </row>
    <row r="6080" spans="1:10" x14ac:dyDescent="0.25">
      <c r="A6080" s="362"/>
      <c r="B6080" s="609">
        <v>44491</v>
      </c>
      <c r="C6080" s="362" t="s">
        <v>78</v>
      </c>
      <c r="D6080" s="560">
        <v>99858567</v>
      </c>
      <c r="E6080" s="560">
        <v>4351333</v>
      </c>
      <c r="F6080" s="560">
        <v>104209900</v>
      </c>
      <c r="G6080" s="560">
        <f t="shared" si="127"/>
        <v>0</v>
      </c>
      <c r="H6080" s="362"/>
      <c r="I6080" s="362"/>
      <c r="J6080" s="362"/>
    </row>
    <row r="6081" spans="1:10" x14ac:dyDescent="0.25">
      <c r="A6081" s="362"/>
      <c r="B6081" s="609">
        <v>44491</v>
      </c>
      <c r="C6081" s="362" t="s">
        <v>141</v>
      </c>
      <c r="D6081" s="560">
        <v>86290029</v>
      </c>
      <c r="E6081" s="560">
        <v>416184</v>
      </c>
      <c r="F6081" s="560">
        <v>86706300</v>
      </c>
      <c r="G6081" s="560">
        <f t="shared" si="127"/>
        <v>-87</v>
      </c>
      <c r="H6081" s="362"/>
      <c r="I6081" s="362"/>
      <c r="J6081" s="362"/>
    </row>
    <row r="6082" spans="1:10" x14ac:dyDescent="0.25">
      <c r="A6082" s="362"/>
      <c r="B6082" s="609">
        <v>44491</v>
      </c>
      <c r="C6082" s="362" t="s">
        <v>89</v>
      </c>
      <c r="D6082" s="560">
        <v>160186896</v>
      </c>
      <c r="E6082" s="560">
        <v>54492304</v>
      </c>
      <c r="F6082" s="560">
        <v>214679100</v>
      </c>
      <c r="G6082" s="560">
        <f t="shared" si="127"/>
        <v>100</v>
      </c>
      <c r="H6082" s="362"/>
      <c r="I6082" s="362"/>
      <c r="J6082" s="362"/>
    </row>
    <row r="6083" spans="1:10" x14ac:dyDescent="0.25">
      <c r="A6083" s="362"/>
      <c r="B6083" s="609">
        <v>44491</v>
      </c>
      <c r="C6083" s="362" t="s">
        <v>81</v>
      </c>
      <c r="D6083" s="560">
        <v>75928545</v>
      </c>
      <c r="E6083" s="560">
        <v>17777107</v>
      </c>
      <c r="F6083" s="560">
        <v>93705700</v>
      </c>
      <c r="G6083" s="560">
        <f t="shared" si="127"/>
        <v>-48</v>
      </c>
      <c r="H6083" s="362"/>
      <c r="I6083" s="362"/>
      <c r="J6083" s="362"/>
    </row>
    <row r="6084" spans="1:10" x14ac:dyDescent="0.25">
      <c r="A6084" s="362"/>
      <c r="B6084" s="609">
        <v>44491</v>
      </c>
      <c r="C6084" s="362" t="s">
        <v>84</v>
      </c>
      <c r="D6084" s="560">
        <v>318655637</v>
      </c>
      <c r="E6084" s="560">
        <v>29464226</v>
      </c>
      <c r="F6084" s="560">
        <v>348125600</v>
      </c>
      <c r="G6084" s="560">
        <f t="shared" si="127"/>
        <v>-5737</v>
      </c>
      <c r="H6084" s="362"/>
      <c r="I6084" s="362"/>
      <c r="J6084" s="362"/>
    </row>
    <row r="6085" spans="1:10" x14ac:dyDescent="0.25">
      <c r="A6085" s="362"/>
      <c r="B6085" s="609">
        <v>44491</v>
      </c>
      <c r="C6085" s="362" t="s">
        <v>4751</v>
      </c>
      <c r="D6085" s="560">
        <v>164048459</v>
      </c>
      <c r="E6085" s="560">
        <v>8976641</v>
      </c>
      <c r="F6085" s="560">
        <v>173025100</v>
      </c>
      <c r="G6085" s="560">
        <f t="shared" si="127"/>
        <v>0</v>
      </c>
      <c r="H6085" s="362"/>
      <c r="I6085" s="362"/>
      <c r="J6085" s="362"/>
    </row>
    <row r="6086" spans="1:10" x14ac:dyDescent="0.25">
      <c r="A6086" s="362"/>
      <c r="B6086" s="609">
        <v>44491</v>
      </c>
      <c r="C6086" s="362" t="s">
        <v>166</v>
      </c>
      <c r="D6086" s="560">
        <v>51822855</v>
      </c>
      <c r="E6086" s="560"/>
      <c r="F6086" s="560">
        <v>51823000</v>
      </c>
      <c r="G6086" s="560">
        <f t="shared" si="127"/>
        <v>-145</v>
      </c>
      <c r="H6086" s="362"/>
      <c r="I6086" s="362"/>
      <c r="J6086" s="362"/>
    </row>
    <row r="6087" spans="1:10" x14ac:dyDescent="0.25">
      <c r="A6087" s="362"/>
      <c r="B6087" s="609">
        <v>44491</v>
      </c>
      <c r="C6087" s="362" t="s">
        <v>3435</v>
      </c>
      <c r="D6087" s="560">
        <v>31785778</v>
      </c>
      <c r="E6087" s="560"/>
      <c r="F6087" s="560">
        <v>31785800</v>
      </c>
      <c r="G6087" s="560">
        <f t="shared" si="127"/>
        <v>-22</v>
      </c>
      <c r="H6087" s="362"/>
      <c r="I6087" s="362"/>
      <c r="J6087" s="362"/>
    </row>
    <row r="6088" spans="1:10" x14ac:dyDescent="0.25">
      <c r="A6088" s="362"/>
      <c r="B6088" s="609">
        <v>44491</v>
      </c>
      <c r="C6088" s="370" t="s">
        <v>85</v>
      </c>
      <c r="D6088" s="560">
        <v>36756200</v>
      </c>
      <c r="E6088" s="560"/>
      <c r="F6088" s="560">
        <v>36756200</v>
      </c>
      <c r="G6088" s="560">
        <f t="shared" si="127"/>
        <v>0</v>
      </c>
      <c r="H6088" s="362"/>
      <c r="I6088" s="362"/>
      <c r="J6088" s="362"/>
    </row>
    <row r="6089" spans="1:10" x14ac:dyDescent="0.25">
      <c r="A6089" s="530"/>
      <c r="B6089" s="530"/>
      <c r="C6089" s="530"/>
      <c r="D6089" s="562">
        <f>SUM(D6074:D6088)</f>
        <v>1920512394</v>
      </c>
      <c r="E6089" s="562">
        <f>SUM(E6074:E6088)</f>
        <v>433761280</v>
      </c>
      <c r="F6089" s="562">
        <f>SUM(F6074:F6088)</f>
        <v>2354279900</v>
      </c>
      <c r="G6089" s="562">
        <f>SUM(G6074:G6088)</f>
        <v>-6226</v>
      </c>
      <c r="H6089" s="530"/>
      <c r="I6089" s="530"/>
      <c r="J6089" s="530"/>
    </row>
    <row r="6090" spans="1:10" x14ac:dyDescent="0.25">
      <c r="A6090" s="362"/>
      <c r="B6090" s="609">
        <v>44492</v>
      </c>
      <c r="C6090" s="362" t="s">
        <v>86</v>
      </c>
      <c r="D6090" s="560">
        <v>69860032</v>
      </c>
      <c r="E6090" s="560">
        <v>10571572</v>
      </c>
      <c r="F6090" s="560"/>
      <c r="G6090" s="560">
        <f t="shared" si="127"/>
        <v>80431604</v>
      </c>
      <c r="H6090" s="362"/>
      <c r="I6090" s="362"/>
      <c r="J6090" s="362"/>
    </row>
    <row r="6091" spans="1:10" x14ac:dyDescent="0.25">
      <c r="A6091" s="362"/>
      <c r="B6091" s="609">
        <v>44492</v>
      </c>
      <c r="C6091" s="362" t="s">
        <v>87</v>
      </c>
      <c r="D6091" s="560">
        <v>42246449</v>
      </c>
      <c r="E6091" s="560">
        <v>60142588</v>
      </c>
      <c r="F6091" s="560"/>
      <c r="G6091" s="560">
        <f t="shared" si="127"/>
        <v>102389037</v>
      </c>
      <c r="H6091" s="362"/>
      <c r="I6091" s="362"/>
      <c r="J6091" s="362"/>
    </row>
    <row r="6092" spans="1:10" x14ac:dyDescent="0.25">
      <c r="A6092" s="362"/>
      <c r="B6092" s="609">
        <v>44492</v>
      </c>
      <c r="C6092" s="362" t="s">
        <v>88</v>
      </c>
      <c r="D6092" s="560">
        <v>117585220</v>
      </c>
      <c r="E6092" s="560">
        <v>45692318</v>
      </c>
      <c r="F6092" s="560"/>
      <c r="G6092" s="560">
        <f t="shared" ref="G6092:G6155" si="128">D6092+E6092-F6092</f>
        <v>163277538</v>
      </c>
      <c r="H6092" s="362"/>
      <c r="I6092" s="362"/>
      <c r="J6092" s="362"/>
    </row>
    <row r="6093" spans="1:10" x14ac:dyDescent="0.25">
      <c r="A6093" s="362"/>
      <c r="B6093" s="609">
        <v>44492</v>
      </c>
      <c r="C6093" s="362" t="s">
        <v>82</v>
      </c>
      <c r="D6093" s="560">
        <v>84823940</v>
      </c>
      <c r="E6093" s="560">
        <v>1423290</v>
      </c>
      <c r="F6093" s="560"/>
      <c r="G6093" s="560">
        <f t="shared" si="128"/>
        <v>86247230</v>
      </c>
      <c r="H6093" s="362"/>
      <c r="I6093" s="362"/>
      <c r="J6093" s="362"/>
    </row>
    <row r="6094" spans="1:10" x14ac:dyDescent="0.25">
      <c r="A6094" s="362"/>
      <c r="B6094" s="609">
        <v>44492</v>
      </c>
      <c r="C6094" s="362" t="s">
        <v>80</v>
      </c>
      <c r="D6094" s="560">
        <v>271301169</v>
      </c>
      <c r="E6094" s="560">
        <v>6740476</v>
      </c>
      <c r="F6094" s="560"/>
      <c r="G6094" s="560">
        <f t="shared" si="128"/>
        <v>278041645</v>
      </c>
      <c r="H6094" s="362"/>
      <c r="I6094" s="362"/>
      <c r="J6094" s="362"/>
    </row>
    <row r="6095" spans="1:10" x14ac:dyDescent="0.25">
      <c r="A6095" s="362"/>
      <c r="B6095" s="609">
        <v>44492</v>
      </c>
      <c r="C6095" s="362" t="s">
        <v>83</v>
      </c>
      <c r="D6095" s="560">
        <v>120646638</v>
      </c>
      <c r="E6095" s="560">
        <v>20635522</v>
      </c>
      <c r="F6095" s="560"/>
      <c r="G6095" s="560">
        <f t="shared" si="128"/>
        <v>141282160</v>
      </c>
      <c r="H6095" s="362"/>
      <c r="I6095" s="362"/>
      <c r="J6095" s="362"/>
    </row>
    <row r="6096" spans="1:10" x14ac:dyDescent="0.25">
      <c r="A6096" s="362"/>
      <c r="B6096" s="609">
        <v>44492</v>
      </c>
      <c r="C6096" s="362" t="s">
        <v>78</v>
      </c>
      <c r="D6096" s="560">
        <v>150281855</v>
      </c>
      <c r="E6096" s="560">
        <v>14534145</v>
      </c>
      <c r="F6096" s="560"/>
      <c r="G6096" s="560">
        <f t="shared" si="128"/>
        <v>164816000</v>
      </c>
      <c r="H6096" s="362"/>
      <c r="I6096" s="362"/>
      <c r="J6096" s="362"/>
    </row>
    <row r="6097" spans="1:10" x14ac:dyDescent="0.25">
      <c r="A6097" s="362"/>
      <c r="B6097" s="609">
        <v>44492</v>
      </c>
      <c r="C6097" s="362" t="s">
        <v>141</v>
      </c>
      <c r="D6097" s="560">
        <v>53452013</v>
      </c>
      <c r="E6097" s="560">
        <v>502221</v>
      </c>
      <c r="F6097" s="560"/>
      <c r="G6097" s="560">
        <f t="shared" si="128"/>
        <v>53954234</v>
      </c>
      <c r="H6097" s="362"/>
      <c r="I6097" s="362"/>
      <c r="J6097" s="362"/>
    </row>
    <row r="6098" spans="1:10" x14ac:dyDescent="0.25">
      <c r="A6098" s="362"/>
      <c r="B6098" s="609">
        <v>44492</v>
      </c>
      <c r="C6098" s="362" t="s">
        <v>89</v>
      </c>
      <c r="D6098" s="560">
        <v>139393790</v>
      </c>
      <c r="E6098" s="560">
        <v>27016510</v>
      </c>
      <c r="F6098" s="560"/>
      <c r="G6098" s="560">
        <f t="shared" si="128"/>
        <v>166410300</v>
      </c>
      <c r="H6098" s="362"/>
      <c r="I6098" s="362"/>
      <c r="J6098" s="362"/>
    </row>
    <row r="6099" spans="1:10" x14ac:dyDescent="0.25">
      <c r="A6099" s="362"/>
      <c r="B6099" s="609">
        <v>44492</v>
      </c>
      <c r="C6099" s="362" t="s">
        <v>81</v>
      </c>
      <c r="D6099" s="560">
        <v>170731220</v>
      </c>
      <c r="E6099" s="560">
        <v>24167843</v>
      </c>
      <c r="F6099" s="560"/>
      <c r="G6099" s="560">
        <f t="shared" si="128"/>
        <v>194899063</v>
      </c>
      <c r="H6099" s="362"/>
      <c r="I6099" s="362"/>
      <c r="J6099" s="362"/>
    </row>
    <row r="6100" spans="1:10" x14ac:dyDescent="0.25">
      <c r="A6100" s="362"/>
      <c r="B6100" s="609">
        <v>44492</v>
      </c>
      <c r="C6100" s="362" t="s">
        <v>84</v>
      </c>
      <c r="D6100" s="560">
        <v>158330257</v>
      </c>
      <c r="E6100" s="560">
        <v>8566620</v>
      </c>
      <c r="F6100" s="560"/>
      <c r="G6100" s="560">
        <f t="shared" si="128"/>
        <v>166896877</v>
      </c>
      <c r="H6100" s="362"/>
      <c r="I6100" s="362"/>
      <c r="J6100" s="362"/>
    </row>
    <row r="6101" spans="1:10" x14ac:dyDescent="0.25">
      <c r="A6101" s="362"/>
      <c r="B6101" s="609">
        <v>44492</v>
      </c>
      <c r="C6101" s="362" t="s">
        <v>4751</v>
      </c>
      <c r="D6101" s="560">
        <v>162059024</v>
      </c>
      <c r="E6101" s="560">
        <v>7398276</v>
      </c>
      <c r="F6101" s="560"/>
      <c r="G6101" s="560">
        <f t="shared" si="128"/>
        <v>169457300</v>
      </c>
      <c r="H6101" s="362"/>
      <c r="I6101" s="362"/>
      <c r="J6101" s="362"/>
    </row>
    <row r="6102" spans="1:10" x14ac:dyDescent="0.25">
      <c r="A6102" s="362"/>
      <c r="B6102" s="609">
        <v>44492</v>
      </c>
      <c r="C6102" s="362" t="s">
        <v>166</v>
      </c>
      <c r="D6102" s="560"/>
      <c r="E6102" s="560"/>
      <c r="F6102" s="560"/>
      <c r="G6102" s="560">
        <f t="shared" si="128"/>
        <v>0</v>
      </c>
      <c r="H6102" s="362"/>
      <c r="I6102" s="362"/>
      <c r="J6102" s="362"/>
    </row>
    <row r="6103" spans="1:10" x14ac:dyDescent="0.25">
      <c r="A6103" s="362"/>
      <c r="B6103" s="609">
        <v>44492</v>
      </c>
      <c r="C6103" s="362" t="s">
        <v>3435</v>
      </c>
      <c r="D6103" s="560"/>
      <c r="E6103" s="560"/>
      <c r="F6103" s="560"/>
      <c r="G6103" s="560">
        <f t="shared" si="128"/>
        <v>0</v>
      </c>
      <c r="H6103" s="362"/>
      <c r="I6103" s="362"/>
      <c r="J6103" s="362"/>
    </row>
    <row r="6104" spans="1:10" x14ac:dyDescent="0.25">
      <c r="A6104" s="362"/>
      <c r="B6104" s="609">
        <v>44492</v>
      </c>
      <c r="C6104" s="370" t="s">
        <v>85</v>
      </c>
      <c r="D6104" s="560">
        <v>27010300</v>
      </c>
      <c r="E6104" s="560"/>
      <c r="F6104" s="560"/>
      <c r="G6104" s="560">
        <f t="shared" si="128"/>
        <v>27010300</v>
      </c>
      <c r="H6104" s="362"/>
      <c r="I6104" s="362"/>
      <c r="J6104" s="362"/>
    </row>
    <row r="6105" spans="1:10" x14ac:dyDescent="0.25">
      <c r="A6105" s="530"/>
      <c r="B6105" s="530"/>
      <c r="C6105" s="530"/>
      <c r="D6105" s="562">
        <f>SUM(D6090:D6104)</f>
        <v>1567721907</v>
      </c>
      <c r="E6105" s="562">
        <f>SUM(E6090:E6104)</f>
        <v>227391381</v>
      </c>
      <c r="F6105" s="562">
        <f>SUM(F6090:F6104)</f>
        <v>0</v>
      </c>
      <c r="G6105" s="562">
        <f>SUM(G6090:G6104)</f>
        <v>1795113288</v>
      </c>
      <c r="H6105" s="530"/>
      <c r="I6105" s="530"/>
      <c r="J6105" s="530"/>
    </row>
    <row r="6106" spans="1:10" x14ac:dyDescent="0.25">
      <c r="A6106" s="362"/>
      <c r="B6106" s="609">
        <v>44494</v>
      </c>
      <c r="C6106" s="362" t="s">
        <v>86</v>
      </c>
      <c r="D6106" s="560">
        <v>48532605</v>
      </c>
      <c r="E6106" s="560">
        <v>192358000</v>
      </c>
      <c r="F6106" s="560">
        <v>240891000</v>
      </c>
      <c r="G6106" s="560">
        <f t="shared" si="128"/>
        <v>-395</v>
      </c>
      <c r="H6106" s="362"/>
      <c r="I6106" s="362"/>
      <c r="J6106" s="362"/>
    </row>
    <row r="6107" spans="1:10" x14ac:dyDescent="0.25">
      <c r="A6107" s="362"/>
      <c r="B6107" s="609">
        <v>44494</v>
      </c>
      <c r="C6107" s="362" t="s">
        <v>87</v>
      </c>
      <c r="D6107" s="560">
        <v>120054256</v>
      </c>
      <c r="E6107" s="560">
        <v>60647447</v>
      </c>
      <c r="F6107" s="560">
        <v>180702300</v>
      </c>
      <c r="G6107" s="560">
        <f t="shared" si="128"/>
        <v>-597</v>
      </c>
      <c r="H6107" s="362"/>
      <c r="I6107" s="362"/>
      <c r="J6107" s="362"/>
    </row>
    <row r="6108" spans="1:10" x14ac:dyDescent="0.25">
      <c r="A6108" s="362"/>
      <c r="B6108" s="609">
        <v>44494</v>
      </c>
      <c r="C6108" s="362" t="s">
        <v>88</v>
      </c>
      <c r="D6108" s="560">
        <v>267686689</v>
      </c>
      <c r="E6108" s="560">
        <v>145090176</v>
      </c>
      <c r="F6108" s="560">
        <v>412776900</v>
      </c>
      <c r="G6108" s="560">
        <f t="shared" si="128"/>
        <v>-35</v>
      </c>
      <c r="H6108" s="362"/>
      <c r="I6108" s="362"/>
      <c r="J6108" s="362"/>
    </row>
    <row r="6109" spans="1:10" x14ac:dyDescent="0.25">
      <c r="A6109" s="362"/>
      <c r="B6109" s="609">
        <v>44494</v>
      </c>
      <c r="C6109" s="362" t="s">
        <v>82</v>
      </c>
      <c r="D6109" s="560">
        <v>66374480</v>
      </c>
      <c r="E6109" s="560">
        <v>1212105</v>
      </c>
      <c r="F6109" s="560">
        <v>67586600</v>
      </c>
      <c r="G6109" s="560">
        <f t="shared" si="128"/>
        <v>-15</v>
      </c>
      <c r="H6109" s="362"/>
      <c r="I6109" s="362"/>
      <c r="J6109" s="362"/>
    </row>
    <row r="6110" spans="1:10" x14ac:dyDescent="0.25">
      <c r="A6110" s="362"/>
      <c r="B6110" s="609">
        <v>44494</v>
      </c>
      <c r="C6110" s="362" t="s">
        <v>80</v>
      </c>
      <c r="D6110" s="560">
        <v>201705200</v>
      </c>
      <c r="E6110" s="560"/>
      <c r="F6110" s="560">
        <v>201705200</v>
      </c>
      <c r="G6110" s="560">
        <f t="shared" si="128"/>
        <v>0</v>
      </c>
      <c r="H6110" s="362"/>
      <c r="I6110" s="362"/>
      <c r="J6110" s="362"/>
    </row>
    <row r="6111" spans="1:10" x14ac:dyDescent="0.25">
      <c r="A6111" s="362"/>
      <c r="B6111" s="609">
        <v>44494</v>
      </c>
      <c r="C6111" s="362" t="s">
        <v>83</v>
      </c>
      <c r="D6111" s="560">
        <v>209882774</v>
      </c>
      <c r="E6111" s="560">
        <v>11299688</v>
      </c>
      <c r="F6111" s="560">
        <v>221182500</v>
      </c>
      <c r="G6111" s="560">
        <f t="shared" si="128"/>
        <v>-38</v>
      </c>
      <c r="H6111" s="362"/>
      <c r="I6111" s="362"/>
      <c r="J6111" s="362"/>
    </row>
    <row r="6112" spans="1:10" x14ac:dyDescent="0.25">
      <c r="A6112" s="362"/>
      <c r="B6112" s="609">
        <v>44494</v>
      </c>
      <c r="C6112" s="362" t="s">
        <v>78</v>
      </c>
      <c r="D6112" s="560">
        <v>181507055</v>
      </c>
      <c r="E6112" s="560">
        <v>14887345</v>
      </c>
      <c r="F6112" s="560">
        <v>196394400</v>
      </c>
      <c r="G6112" s="560">
        <f t="shared" si="128"/>
        <v>0</v>
      </c>
      <c r="H6112" s="362"/>
      <c r="I6112" s="362"/>
      <c r="J6112" s="362"/>
    </row>
    <row r="6113" spans="1:10" x14ac:dyDescent="0.25">
      <c r="A6113" s="362"/>
      <c r="B6113" s="609">
        <v>44494</v>
      </c>
      <c r="C6113" s="362" t="s">
        <v>141</v>
      </c>
      <c r="D6113" s="560">
        <v>117513972</v>
      </c>
      <c r="E6113" s="560"/>
      <c r="F6113" s="560">
        <v>117514000</v>
      </c>
      <c r="G6113" s="560">
        <f t="shared" si="128"/>
        <v>-28</v>
      </c>
      <c r="H6113" s="362"/>
      <c r="I6113" s="362"/>
      <c r="J6113" s="362"/>
    </row>
    <row r="6114" spans="1:10" x14ac:dyDescent="0.25">
      <c r="A6114" s="362"/>
      <c r="B6114" s="609">
        <v>44494</v>
      </c>
      <c r="C6114" s="362" t="s">
        <v>89</v>
      </c>
      <c r="D6114" s="560">
        <v>148301544</v>
      </c>
      <c r="E6114" s="560">
        <v>10731856</v>
      </c>
      <c r="F6114" s="560">
        <v>159033400</v>
      </c>
      <c r="G6114" s="560">
        <f t="shared" si="128"/>
        <v>0</v>
      </c>
      <c r="H6114" s="362"/>
      <c r="I6114" s="362"/>
      <c r="J6114" s="362"/>
    </row>
    <row r="6115" spans="1:10" x14ac:dyDescent="0.25">
      <c r="A6115" s="362"/>
      <c r="B6115" s="609">
        <v>44494</v>
      </c>
      <c r="C6115" s="362" t="s">
        <v>81</v>
      </c>
      <c r="D6115" s="560">
        <v>119824284</v>
      </c>
      <c r="E6115" s="560">
        <v>14733243</v>
      </c>
      <c r="F6115" s="560">
        <v>134557600</v>
      </c>
      <c r="G6115" s="560">
        <f t="shared" si="128"/>
        <v>-73</v>
      </c>
      <c r="H6115" s="362"/>
      <c r="I6115" s="362"/>
      <c r="J6115" s="362"/>
    </row>
    <row r="6116" spans="1:10" x14ac:dyDescent="0.25">
      <c r="A6116" s="362"/>
      <c r="B6116" s="609">
        <v>44494</v>
      </c>
      <c r="C6116" s="362" t="s">
        <v>84</v>
      </c>
      <c r="D6116" s="560">
        <v>354056204</v>
      </c>
      <c r="E6116" s="560">
        <v>19841403</v>
      </c>
      <c r="F6116" s="560">
        <v>373897400</v>
      </c>
      <c r="G6116" s="560">
        <f t="shared" si="128"/>
        <v>207</v>
      </c>
      <c r="H6116" s="362"/>
      <c r="I6116" s="362"/>
      <c r="J6116" s="362"/>
    </row>
    <row r="6117" spans="1:10" x14ac:dyDescent="0.25">
      <c r="A6117" s="362"/>
      <c r="B6117" s="609">
        <v>44494</v>
      </c>
      <c r="C6117" s="362" t="s">
        <v>4751</v>
      </c>
      <c r="D6117" s="560">
        <v>192393969</v>
      </c>
      <c r="E6117" s="560">
        <v>13343831</v>
      </c>
      <c r="F6117" s="560">
        <v>205737800</v>
      </c>
      <c r="G6117" s="560">
        <f t="shared" si="128"/>
        <v>0</v>
      </c>
      <c r="H6117" s="362"/>
      <c r="I6117" s="362"/>
      <c r="J6117" s="362"/>
    </row>
    <row r="6118" spans="1:10" x14ac:dyDescent="0.25">
      <c r="A6118" s="362"/>
      <c r="B6118" s="609">
        <v>44494</v>
      </c>
      <c r="C6118" s="362" t="s">
        <v>166</v>
      </c>
      <c r="D6118" s="560">
        <v>84347201</v>
      </c>
      <c r="E6118" s="560"/>
      <c r="F6118" s="560">
        <v>84347200</v>
      </c>
      <c r="G6118" s="560">
        <f t="shared" si="128"/>
        <v>1</v>
      </c>
      <c r="H6118" s="362"/>
      <c r="I6118" s="362"/>
      <c r="J6118" s="362"/>
    </row>
    <row r="6119" spans="1:10" x14ac:dyDescent="0.25">
      <c r="A6119" s="362"/>
      <c r="B6119" s="609">
        <v>44494</v>
      </c>
      <c r="C6119" s="362" t="s">
        <v>3435</v>
      </c>
      <c r="D6119" s="560">
        <v>21786529</v>
      </c>
      <c r="E6119" s="560"/>
      <c r="F6119" s="560">
        <v>21786600</v>
      </c>
      <c r="G6119" s="560">
        <f t="shared" si="128"/>
        <v>-71</v>
      </c>
      <c r="H6119" s="362"/>
      <c r="I6119" s="362"/>
      <c r="J6119" s="362"/>
    </row>
    <row r="6120" spans="1:10" x14ac:dyDescent="0.25">
      <c r="A6120" s="362"/>
      <c r="B6120" s="609">
        <v>44494</v>
      </c>
      <c r="C6120" s="370" t="s">
        <v>85</v>
      </c>
      <c r="D6120" s="560">
        <v>41765900</v>
      </c>
      <c r="E6120" s="560"/>
      <c r="F6120" s="560">
        <v>41765900</v>
      </c>
      <c r="G6120" s="560">
        <f t="shared" si="128"/>
        <v>0</v>
      </c>
      <c r="H6120" s="362"/>
      <c r="I6120" s="362"/>
      <c r="J6120" s="362"/>
    </row>
    <row r="6121" spans="1:10" x14ac:dyDescent="0.25">
      <c r="A6121" s="530"/>
      <c r="B6121" s="530"/>
      <c r="C6121" s="530"/>
      <c r="D6121" s="562">
        <f>SUM(D6106:D6120)</f>
        <v>2175732662</v>
      </c>
      <c r="E6121" s="562">
        <f>SUM(E6106:E6120)</f>
        <v>484145094</v>
      </c>
      <c r="F6121" s="562">
        <f>SUM(F6106:F6120)</f>
        <v>2659878800</v>
      </c>
      <c r="G6121" s="562">
        <f>SUM(G6106:G6120)</f>
        <v>-1044</v>
      </c>
      <c r="H6121" s="530"/>
      <c r="I6121" s="530"/>
      <c r="J6121" s="530"/>
    </row>
    <row r="6122" spans="1:10" x14ac:dyDescent="0.25">
      <c r="A6122" s="362"/>
      <c r="B6122" s="609">
        <v>44495</v>
      </c>
      <c r="C6122" s="362" t="s">
        <v>86</v>
      </c>
      <c r="D6122" s="560">
        <v>38087559</v>
      </c>
      <c r="E6122" s="560">
        <v>64817991</v>
      </c>
      <c r="F6122" s="560"/>
      <c r="G6122" s="560">
        <f t="shared" si="128"/>
        <v>102905550</v>
      </c>
      <c r="H6122" s="362"/>
      <c r="I6122" s="362"/>
      <c r="J6122" s="362"/>
    </row>
    <row r="6123" spans="1:10" x14ac:dyDescent="0.25">
      <c r="A6123" s="362"/>
      <c r="B6123" s="609">
        <v>44495</v>
      </c>
      <c r="C6123" s="362" t="s">
        <v>87</v>
      </c>
      <c r="D6123" s="560">
        <v>106115004</v>
      </c>
      <c r="E6123" s="560">
        <v>85810266</v>
      </c>
      <c r="F6123" s="560"/>
      <c r="G6123" s="560">
        <f t="shared" si="128"/>
        <v>191925270</v>
      </c>
      <c r="H6123" s="362"/>
      <c r="I6123" s="362"/>
      <c r="J6123" s="362"/>
    </row>
    <row r="6124" spans="1:10" x14ac:dyDescent="0.25">
      <c r="A6124" s="362"/>
      <c r="B6124" s="609">
        <v>44495</v>
      </c>
      <c r="C6124" s="362" t="s">
        <v>88</v>
      </c>
      <c r="D6124" s="560">
        <v>176730698</v>
      </c>
      <c r="E6124" s="560">
        <v>19567939</v>
      </c>
      <c r="F6124" s="560"/>
      <c r="G6124" s="560">
        <f t="shared" si="128"/>
        <v>196298637</v>
      </c>
      <c r="H6124" s="362"/>
      <c r="I6124" s="362"/>
      <c r="J6124" s="362"/>
    </row>
    <row r="6125" spans="1:10" x14ac:dyDescent="0.25">
      <c r="A6125" s="362"/>
      <c r="B6125" s="609">
        <v>44495</v>
      </c>
      <c r="C6125" s="362" t="s">
        <v>82</v>
      </c>
      <c r="D6125" s="560">
        <v>76541253</v>
      </c>
      <c r="E6125" s="560">
        <v>9650593</v>
      </c>
      <c r="F6125" s="560"/>
      <c r="G6125" s="560">
        <f t="shared" si="128"/>
        <v>86191846</v>
      </c>
      <c r="H6125" s="362"/>
      <c r="I6125" s="362"/>
      <c r="J6125" s="362"/>
    </row>
    <row r="6126" spans="1:10" x14ac:dyDescent="0.25">
      <c r="A6126" s="362"/>
      <c r="B6126" s="609">
        <v>44495</v>
      </c>
      <c r="C6126" s="362" t="s">
        <v>80</v>
      </c>
      <c r="D6126" s="560">
        <v>287078762</v>
      </c>
      <c r="E6126" s="560">
        <v>86084940</v>
      </c>
      <c r="F6126" s="560"/>
      <c r="G6126" s="560">
        <f t="shared" si="128"/>
        <v>373163702</v>
      </c>
      <c r="H6126" s="362"/>
      <c r="I6126" s="362"/>
      <c r="J6126" s="362"/>
    </row>
    <row r="6127" spans="1:10" x14ac:dyDescent="0.25">
      <c r="A6127" s="362"/>
      <c r="B6127" s="609">
        <v>44495</v>
      </c>
      <c r="C6127" s="362" t="s">
        <v>83</v>
      </c>
      <c r="D6127" s="560">
        <v>193218182</v>
      </c>
      <c r="E6127" s="560">
        <v>12217560</v>
      </c>
      <c r="F6127" s="560"/>
      <c r="G6127" s="560">
        <f t="shared" si="128"/>
        <v>205435742</v>
      </c>
      <c r="H6127" s="362"/>
      <c r="I6127" s="362"/>
      <c r="J6127" s="362"/>
    </row>
    <row r="6128" spans="1:10" x14ac:dyDescent="0.25">
      <c r="A6128" s="362"/>
      <c r="B6128" s="609">
        <v>44495</v>
      </c>
      <c r="C6128" s="362" t="s">
        <v>78</v>
      </c>
      <c r="D6128" s="560">
        <v>137332789</v>
      </c>
      <c r="E6128" s="560">
        <v>1529611</v>
      </c>
      <c r="F6128" s="560"/>
      <c r="G6128" s="560">
        <f t="shared" si="128"/>
        <v>138862400</v>
      </c>
      <c r="H6128" s="362"/>
      <c r="I6128" s="362"/>
      <c r="J6128" s="362"/>
    </row>
    <row r="6129" spans="1:10" x14ac:dyDescent="0.25">
      <c r="A6129" s="362"/>
      <c r="B6129" s="609">
        <v>44495</v>
      </c>
      <c r="C6129" s="362" t="s">
        <v>141</v>
      </c>
      <c r="D6129" s="560">
        <v>79906110</v>
      </c>
      <c r="E6129" s="560"/>
      <c r="F6129" s="560"/>
      <c r="G6129" s="560">
        <f t="shared" si="128"/>
        <v>79906110</v>
      </c>
      <c r="H6129" s="362"/>
      <c r="I6129" s="362"/>
      <c r="J6129" s="362"/>
    </row>
    <row r="6130" spans="1:10" x14ac:dyDescent="0.25">
      <c r="A6130" s="362"/>
      <c r="B6130" s="609">
        <v>44495</v>
      </c>
      <c r="C6130" s="362" t="s">
        <v>89</v>
      </c>
      <c r="D6130" s="560">
        <v>101231936</v>
      </c>
      <c r="E6130" s="560">
        <v>15848964</v>
      </c>
      <c r="F6130" s="560"/>
      <c r="G6130" s="560">
        <f t="shared" si="128"/>
        <v>117080900</v>
      </c>
      <c r="H6130" s="362"/>
      <c r="I6130" s="362"/>
      <c r="J6130" s="362"/>
    </row>
    <row r="6131" spans="1:10" x14ac:dyDescent="0.25">
      <c r="A6131" s="362"/>
      <c r="B6131" s="609">
        <v>44495</v>
      </c>
      <c r="C6131" s="362" t="s">
        <v>81</v>
      </c>
      <c r="D6131" s="560">
        <v>70987130</v>
      </c>
      <c r="E6131" s="560">
        <v>9605826</v>
      </c>
      <c r="F6131" s="560"/>
      <c r="G6131" s="560">
        <f t="shared" si="128"/>
        <v>80592956</v>
      </c>
      <c r="H6131" s="362"/>
      <c r="I6131" s="362"/>
      <c r="J6131" s="362"/>
    </row>
    <row r="6132" spans="1:10" x14ac:dyDescent="0.25">
      <c r="A6132" s="362"/>
      <c r="B6132" s="609">
        <v>44495</v>
      </c>
      <c r="C6132" s="362" t="s">
        <v>84</v>
      </c>
      <c r="D6132" s="560">
        <v>275371405</v>
      </c>
      <c r="E6132" s="560">
        <v>16229126</v>
      </c>
      <c r="F6132" s="560"/>
      <c r="G6132" s="560">
        <f t="shared" si="128"/>
        <v>291600531</v>
      </c>
      <c r="H6132" s="362"/>
      <c r="I6132" s="362"/>
      <c r="J6132" s="362"/>
    </row>
    <row r="6133" spans="1:10" x14ac:dyDescent="0.25">
      <c r="A6133" s="362"/>
      <c r="B6133" s="609">
        <v>44495</v>
      </c>
      <c r="C6133" s="362" t="s">
        <v>4751</v>
      </c>
      <c r="D6133" s="560">
        <v>307269180</v>
      </c>
      <c r="E6133" s="560">
        <v>7357620</v>
      </c>
      <c r="F6133" s="560"/>
      <c r="G6133" s="560">
        <f t="shared" si="128"/>
        <v>314626800</v>
      </c>
      <c r="H6133" s="362"/>
      <c r="I6133" s="362"/>
      <c r="J6133" s="362"/>
    </row>
    <row r="6134" spans="1:10" x14ac:dyDescent="0.25">
      <c r="A6134" s="362"/>
      <c r="B6134" s="609">
        <v>44495</v>
      </c>
      <c r="C6134" s="362" t="s">
        <v>166</v>
      </c>
      <c r="D6134" s="560">
        <v>107778565</v>
      </c>
      <c r="E6134" s="560"/>
      <c r="F6134" s="560"/>
      <c r="G6134" s="560">
        <f t="shared" si="128"/>
        <v>107778565</v>
      </c>
      <c r="H6134" s="362"/>
      <c r="I6134" s="362"/>
      <c r="J6134" s="362"/>
    </row>
    <row r="6135" spans="1:10" x14ac:dyDescent="0.25">
      <c r="A6135" s="362"/>
      <c r="B6135" s="609">
        <v>44495</v>
      </c>
      <c r="C6135" s="362" t="s">
        <v>3435</v>
      </c>
      <c r="D6135" s="560">
        <v>28621041</v>
      </c>
      <c r="E6135" s="560"/>
      <c r="F6135" s="560"/>
      <c r="G6135" s="560">
        <f t="shared" si="128"/>
        <v>28621041</v>
      </c>
      <c r="H6135" s="362"/>
      <c r="I6135" s="362"/>
      <c r="J6135" s="362"/>
    </row>
    <row r="6136" spans="1:10" x14ac:dyDescent="0.25">
      <c r="A6136" s="362"/>
      <c r="B6136" s="609">
        <v>44495</v>
      </c>
      <c r="C6136" s="370" t="s">
        <v>85</v>
      </c>
      <c r="D6136" s="560">
        <v>41585000</v>
      </c>
      <c r="E6136" s="560"/>
      <c r="F6136" s="560"/>
      <c r="G6136" s="560">
        <f t="shared" si="128"/>
        <v>41585000</v>
      </c>
      <c r="H6136" s="362"/>
      <c r="I6136" s="362"/>
      <c r="J6136" s="362"/>
    </row>
    <row r="6137" spans="1:10" x14ac:dyDescent="0.25">
      <c r="A6137" s="530"/>
      <c r="B6137" s="530"/>
      <c r="C6137" s="530"/>
      <c r="D6137" s="562">
        <f>SUM(D6122:D6136)</f>
        <v>2027854614</v>
      </c>
      <c r="E6137" s="562">
        <f>SUM(E6122:E6136)</f>
        <v>328720436</v>
      </c>
      <c r="F6137" s="562">
        <f>SUM(F6122:F6136)</f>
        <v>0</v>
      </c>
      <c r="G6137" s="562">
        <f>SUM(G6122:G6136)</f>
        <v>2356575050</v>
      </c>
      <c r="H6137" s="530"/>
      <c r="I6137" s="530"/>
      <c r="J6137" s="530"/>
    </row>
    <row r="6138" spans="1:10" x14ac:dyDescent="0.25">
      <c r="A6138" s="362"/>
      <c r="B6138" s="609">
        <v>44496</v>
      </c>
      <c r="C6138" s="362" t="s">
        <v>86</v>
      </c>
      <c r="D6138" s="560">
        <v>81459756</v>
      </c>
      <c r="E6138" s="560">
        <v>130405387</v>
      </c>
      <c r="F6138" s="560"/>
      <c r="G6138" s="560">
        <f t="shared" si="128"/>
        <v>211865143</v>
      </c>
      <c r="H6138" s="362"/>
      <c r="I6138" s="362"/>
      <c r="J6138" s="362"/>
    </row>
    <row r="6139" spans="1:10" x14ac:dyDescent="0.25">
      <c r="A6139" s="362"/>
      <c r="B6139" s="609">
        <v>44496</v>
      </c>
      <c r="C6139" s="362" t="s">
        <v>87</v>
      </c>
      <c r="D6139" s="560">
        <v>68697381</v>
      </c>
      <c r="E6139" s="560">
        <v>58182811</v>
      </c>
      <c r="F6139" s="560"/>
      <c r="G6139" s="560">
        <f t="shared" si="128"/>
        <v>126880192</v>
      </c>
      <c r="H6139" s="362"/>
      <c r="I6139" s="362"/>
      <c r="J6139" s="362"/>
    </row>
    <row r="6140" spans="1:10" x14ac:dyDescent="0.25">
      <c r="A6140" s="362"/>
      <c r="B6140" s="609">
        <v>44496</v>
      </c>
      <c r="C6140" s="362" t="s">
        <v>88</v>
      </c>
      <c r="D6140" s="560">
        <v>186066387</v>
      </c>
      <c r="E6140" s="560">
        <v>8041241</v>
      </c>
      <c r="F6140" s="560"/>
      <c r="G6140" s="560">
        <f t="shared" si="128"/>
        <v>194107628</v>
      </c>
      <c r="H6140" s="362"/>
      <c r="I6140" s="362"/>
      <c r="J6140" s="362"/>
    </row>
    <row r="6141" spans="1:10" x14ac:dyDescent="0.25">
      <c r="A6141" s="362"/>
      <c r="B6141" s="609">
        <v>44496</v>
      </c>
      <c r="C6141" s="362" t="s">
        <v>82</v>
      </c>
      <c r="D6141" s="560">
        <v>127949167</v>
      </c>
      <c r="E6141" s="560">
        <v>2693420</v>
      </c>
      <c r="F6141" s="560"/>
      <c r="G6141" s="560">
        <f t="shared" si="128"/>
        <v>130642587</v>
      </c>
      <c r="H6141" s="362"/>
      <c r="I6141" s="362"/>
      <c r="J6141" s="362"/>
    </row>
    <row r="6142" spans="1:10" x14ac:dyDescent="0.25">
      <c r="A6142" s="362"/>
      <c r="B6142" s="609">
        <v>44496</v>
      </c>
      <c r="C6142" s="362" t="s">
        <v>80</v>
      </c>
      <c r="D6142" s="560">
        <v>369991312</v>
      </c>
      <c r="E6142" s="560">
        <v>7771388</v>
      </c>
      <c r="F6142" s="560"/>
      <c r="G6142" s="560">
        <f t="shared" si="128"/>
        <v>377762700</v>
      </c>
      <c r="H6142" s="362"/>
      <c r="I6142" s="362"/>
      <c r="J6142" s="362"/>
    </row>
    <row r="6143" spans="1:10" x14ac:dyDescent="0.25">
      <c r="A6143" s="362"/>
      <c r="B6143" s="609">
        <v>44496</v>
      </c>
      <c r="C6143" s="362" t="s">
        <v>83</v>
      </c>
      <c r="D6143" s="560">
        <v>253640312</v>
      </c>
      <c r="E6143" s="560">
        <v>300607818</v>
      </c>
      <c r="F6143" s="560"/>
      <c r="G6143" s="560">
        <f t="shared" si="128"/>
        <v>554248130</v>
      </c>
      <c r="H6143" s="362"/>
      <c r="I6143" s="362"/>
      <c r="J6143" s="362"/>
    </row>
    <row r="6144" spans="1:10" x14ac:dyDescent="0.25">
      <c r="A6144" s="362"/>
      <c r="B6144" s="609">
        <v>44496</v>
      </c>
      <c r="C6144" s="362" t="s">
        <v>78</v>
      </c>
      <c r="D6144" s="560">
        <v>200766774</v>
      </c>
      <c r="E6144" s="560">
        <v>9283626</v>
      </c>
      <c r="F6144" s="560"/>
      <c r="G6144" s="560">
        <f t="shared" si="128"/>
        <v>210050400</v>
      </c>
      <c r="H6144" s="362"/>
      <c r="I6144" s="362"/>
      <c r="J6144" s="362"/>
    </row>
    <row r="6145" spans="1:10" x14ac:dyDescent="0.25">
      <c r="A6145" s="362"/>
      <c r="B6145" s="609">
        <v>44496</v>
      </c>
      <c r="C6145" s="362" t="s">
        <v>141</v>
      </c>
      <c r="D6145" s="560">
        <v>160617978</v>
      </c>
      <c r="E6145" s="560">
        <v>773649</v>
      </c>
      <c r="F6145" s="560"/>
      <c r="G6145" s="560">
        <f t="shared" si="128"/>
        <v>161391627</v>
      </c>
      <c r="H6145" s="362"/>
      <c r="I6145" s="362"/>
      <c r="J6145" s="362"/>
    </row>
    <row r="6146" spans="1:10" x14ac:dyDescent="0.25">
      <c r="A6146" s="362"/>
      <c r="B6146" s="609">
        <v>44496</v>
      </c>
      <c r="C6146" s="362" t="s">
        <v>89</v>
      </c>
      <c r="D6146" s="560">
        <v>117926125</v>
      </c>
      <c r="E6146" s="560">
        <v>30572675</v>
      </c>
      <c r="F6146" s="560"/>
      <c r="G6146" s="560">
        <f t="shared" si="128"/>
        <v>148498800</v>
      </c>
      <c r="H6146" s="362"/>
      <c r="I6146" s="362"/>
      <c r="J6146" s="362"/>
    </row>
    <row r="6147" spans="1:10" x14ac:dyDescent="0.25">
      <c r="A6147" s="362"/>
      <c r="B6147" s="609">
        <v>44496</v>
      </c>
      <c r="C6147" s="362" t="s">
        <v>81</v>
      </c>
      <c r="D6147" s="560">
        <v>132098630</v>
      </c>
      <c r="E6147" s="560">
        <v>19424873</v>
      </c>
      <c r="F6147" s="560"/>
      <c r="G6147" s="560">
        <f t="shared" si="128"/>
        <v>151523503</v>
      </c>
      <c r="H6147" s="362"/>
      <c r="I6147" s="362"/>
      <c r="J6147" s="362"/>
    </row>
    <row r="6148" spans="1:10" x14ac:dyDescent="0.25">
      <c r="A6148" s="362"/>
      <c r="B6148" s="609">
        <v>44496</v>
      </c>
      <c r="C6148" s="362" t="s">
        <v>84</v>
      </c>
      <c r="D6148" s="560">
        <v>266279163</v>
      </c>
      <c r="E6148" s="560">
        <v>9602741</v>
      </c>
      <c r="F6148" s="560"/>
      <c r="G6148" s="560">
        <f t="shared" si="128"/>
        <v>275881904</v>
      </c>
      <c r="H6148" s="362"/>
      <c r="I6148" s="362"/>
      <c r="J6148" s="362"/>
    </row>
    <row r="6149" spans="1:10" x14ac:dyDescent="0.25">
      <c r="A6149" s="362"/>
      <c r="B6149" s="609">
        <v>44496</v>
      </c>
      <c r="C6149" s="362" t="s">
        <v>4751</v>
      </c>
      <c r="D6149" s="560">
        <v>185155896</v>
      </c>
      <c r="E6149" s="560">
        <v>16112204</v>
      </c>
      <c r="F6149" s="560"/>
      <c r="G6149" s="560">
        <f t="shared" si="128"/>
        <v>201268100</v>
      </c>
      <c r="H6149" s="362"/>
      <c r="I6149" s="362"/>
      <c r="J6149" s="362"/>
    </row>
    <row r="6150" spans="1:10" x14ac:dyDescent="0.25">
      <c r="A6150" s="362"/>
      <c r="B6150" s="609">
        <v>44496</v>
      </c>
      <c r="C6150" s="362" t="s">
        <v>166</v>
      </c>
      <c r="D6150" s="560">
        <v>58368945</v>
      </c>
      <c r="E6150" s="560"/>
      <c r="F6150" s="560"/>
      <c r="G6150" s="560">
        <f t="shared" si="128"/>
        <v>58368945</v>
      </c>
      <c r="H6150" s="362"/>
      <c r="I6150" s="362"/>
      <c r="J6150" s="362"/>
    </row>
    <row r="6151" spans="1:10" x14ac:dyDescent="0.25">
      <c r="A6151" s="362"/>
      <c r="B6151" s="609">
        <v>44496</v>
      </c>
      <c r="C6151" s="362" t="s">
        <v>3435</v>
      </c>
      <c r="D6151" s="560">
        <v>62791668</v>
      </c>
      <c r="E6151" s="560"/>
      <c r="F6151" s="560"/>
      <c r="G6151" s="560">
        <f t="shared" si="128"/>
        <v>62791668</v>
      </c>
      <c r="H6151" s="362"/>
      <c r="I6151" s="362"/>
      <c r="J6151" s="362"/>
    </row>
    <row r="6152" spans="1:10" x14ac:dyDescent="0.25">
      <c r="A6152" s="362"/>
      <c r="B6152" s="609">
        <v>44496</v>
      </c>
      <c r="C6152" s="370" t="s">
        <v>85</v>
      </c>
      <c r="D6152" s="560">
        <v>62760400</v>
      </c>
      <c r="E6152" s="560"/>
      <c r="F6152" s="560"/>
      <c r="G6152" s="560">
        <f t="shared" si="128"/>
        <v>62760400</v>
      </c>
      <c r="H6152" s="362"/>
      <c r="I6152" s="362"/>
      <c r="J6152" s="362"/>
    </row>
    <row r="6153" spans="1:10" x14ac:dyDescent="0.25">
      <c r="A6153" s="530"/>
      <c r="B6153" s="530"/>
      <c r="C6153" s="530"/>
      <c r="D6153" s="562">
        <f>SUM(D6138:D6152)</f>
        <v>2334569894</v>
      </c>
      <c r="E6153" s="562">
        <f>SUM(E6138:E6152)</f>
        <v>593471833</v>
      </c>
      <c r="F6153" s="562">
        <f>SUM(F6138:F6152)</f>
        <v>0</v>
      </c>
      <c r="G6153" s="562">
        <f>SUM(G6138:G6152)</f>
        <v>2928041727</v>
      </c>
      <c r="H6153" s="530"/>
      <c r="I6153" s="530"/>
      <c r="J6153" s="530"/>
    </row>
    <row r="6154" spans="1:10" x14ac:dyDescent="0.25">
      <c r="A6154" s="362"/>
      <c r="B6154" s="609">
        <v>44497</v>
      </c>
      <c r="C6154" s="362" t="s">
        <v>86</v>
      </c>
      <c r="D6154" s="560">
        <v>130243661</v>
      </c>
      <c r="E6154" s="560">
        <v>76461300</v>
      </c>
      <c r="F6154" s="560"/>
      <c r="G6154" s="560">
        <f t="shared" si="128"/>
        <v>206704961</v>
      </c>
      <c r="H6154" s="560"/>
      <c r="I6154" s="362"/>
      <c r="J6154" s="362"/>
    </row>
    <row r="6155" spans="1:10" x14ac:dyDescent="0.25">
      <c r="A6155" s="362"/>
      <c r="B6155" s="609">
        <v>44497</v>
      </c>
      <c r="C6155" s="362" t="s">
        <v>87</v>
      </c>
      <c r="D6155" s="560">
        <v>70234850</v>
      </c>
      <c r="E6155" s="560">
        <v>159036493</v>
      </c>
      <c r="F6155" s="560"/>
      <c r="G6155" s="560">
        <f t="shared" si="128"/>
        <v>229271343</v>
      </c>
      <c r="H6155" s="560"/>
      <c r="I6155" s="362"/>
      <c r="J6155" s="362"/>
    </row>
    <row r="6156" spans="1:10" x14ac:dyDescent="0.25">
      <c r="A6156" s="362"/>
      <c r="B6156" s="609">
        <v>44497</v>
      </c>
      <c r="C6156" s="362" t="s">
        <v>88</v>
      </c>
      <c r="D6156" s="560">
        <v>226550213</v>
      </c>
      <c r="E6156" s="560">
        <v>51645182</v>
      </c>
      <c r="F6156" s="560"/>
      <c r="G6156" s="560">
        <f t="shared" ref="G6156:G6219" si="129">D6156+E6156-F6156</f>
        <v>278195395</v>
      </c>
      <c r="H6156" s="560"/>
      <c r="I6156" s="362"/>
      <c r="J6156" s="362"/>
    </row>
    <row r="6157" spans="1:10" x14ac:dyDescent="0.25">
      <c r="A6157" s="362"/>
      <c r="B6157" s="609">
        <v>44497</v>
      </c>
      <c r="C6157" s="362" t="s">
        <v>82</v>
      </c>
      <c r="D6157" s="560">
        <v>150949523</v>
      </c>
      <c r="E6157" s="560">
        <v>2082690</v>
      </c>
      <c r="F6157" s="560"/>
      <c r="G6157" s="560">
        <f t="shared" si="129"/>
        <v>153032213</v>
      </c>
      <c r="H6157" s="560"/>
      <c r="I6157" s="362"/>
      <c r="J6157" s="362"/>
    </row>
    <row r="6158" spans="1:10" x14ac:dyDescent="0.25">
      <c r="A6158" s="362"/>
      <c r="B6158" s="609">
        <v>44497</v>
      </c>
      <c r="C6158" s="362" t="s">
        <v>80</v>
      </c>
      <c r="D6158" s="560">
        <v>370891800</v>
      </c>
      <c r="E6158" s="560">
        <v>14936200</v>
      </c>
      <c r="F6158" s="560"/>
      <c r="G6158" s="560">
        <f t="shared" si="129"/>
        <v>385828000</v>
      </c>
      <c r="H6158" s="560"/>
      <c r="I6158" s="362"/>
      <c r="J6158" s="362"/>
    </row>
    <row r="6159" spans="1:10" x14ac:dyDescent="0.25">
      <c r="A6159" s="362"/>
      <c r="B6159" s="609">
        <v>44497</v>
      </c>
      <c r="C6159" s="362" t="s">
        <v>83</v>
      </c>
      <c r="D6159" s="560">
        <v>188496262</v>
      </c>
      <c r="E6159" s="560">
        <v>59025735</v>
      </c>
      <c r="F6159" s="560"/>
      <c r="G6159" s="560">
        <f t="shared" si="129"/>
        <v>247521997</v>
      </c>
      <c r="H6159" s="560"/>
      <c r="I6159" s="362"/>
      <c r="J6159" s="362"/>
    </row>
    <row r="6160" spans="1:10" x14ac:dyDescent="0.25">
      <c r="A6160" s="362"/>
      <c r="B6160" s="609">
        <v>44497</v>
      </c>
      <c r="C6160" s="362" t="s">
        <v>78</v>
      </c>
      <c r="D6160" s="560">
        <v>100963535</v>
      </c>
      <c r="E6160" s="560">
        <v>490165</v>
      </c>
      <c r="F6160" s="560"/>
      <c r="G6160" s="560">
        <f t="shared" si="129"/>
        <v>101453700</v>
      </c>
      <c r="H6160" s="560"/>
      <c r="I6160" s="362"/>
      <c r="J6160" s="362"/>
    </row>
    <row r="6161" spans="1:10" x14ac:dyDescent="0.25">
      <c r="A6161" s="362"/>
      <c r="B6161" s="609">
        <v>44497</v>
      </c>
      <c r="C6161" s="362" t="s">
        <v>141</v>
      </c>
      <c r="D6161" s="560">
        <v>90630214</v>
      </c>
      <c r="E6161" s="560">
        <v>405942</v>
      </c>
      <c r="F6161" s="560"/>
      <c r="G6161" s="560">
        <f t="shared" si="129"/>
        <v>91036156</v>
      </c>
      <c r="H6161" s="560"/>
      <c r="I6161" s="362"/>
      <c r="J6161" s="362"/>
    </row>
    <row r="6162" spans="1:10" x14ac:dyDescent="0.25">
      <c r="A6162" s="362"/>
      <c r="B6162" s="609">
        <v>44497</v>
      </c>
      <c r="C6162" s="362" t="s">
        <v>89</v>
      </c>
      <c r="D6162" s="560">
        <v>130221946</v>
      </c>
      <c r="E6162" s="560">
        <v>47003954</v>
      </c>
      <c r="F6162" s="560"/>
      <c r="G6162" s="560">
        <f t="shared" si="129"/>
        <v>177225900</v>
      </c>
      <c r="H6162" s="560"/>
      <c r="I6162" s="362"/>
      <c r="J6162" s="362"/>
    </row>
    <row r="6163" spans="1:10" x14ac:dyDescent="0.25">
      <c r="A6163" s="362"/>
      <c r="B6163" s="609">
        <v>44497</v>
      </c>
      <c r="C6163" s="362" t="s">
        <v>81</v>
      </c>
      <c r="D6163" s="560">
        <v>126331950</v>
      </c>
      <c r="E6163" s="560">
        <v>66850782</v>
      </c>
      <c r="F6163" s="560"/>
      <c r="G6163" s="560">
        <f t="shared" si="129"/>
        <v>193182732</v>
      </c>
      <c r="H6163" s="560"/>
      <c r="I6163" s="362"/>
      <c r="J6163" s="362"/>
    </row>
    <row r="6164" spans="1:10" x14ac:dyDescent="0.25">
      <c r="A6164" s="362"/>
      <c r="B6164" s="609">
        <v>44497</v>
      </c>
      <c r="C6164" s="362" t="s">
        <v>84</v>
      </c>
      <c r="D6164" s="560">
        <v>312280895</v>
      </c>
      <c r="E6164" s="560">
        <v>20697785</v>
      </c>
      <c r="F6164" s="560"/>
      <c r="G6164" s="560">
        <f t="shared" si="129"/>
        <v>332978680</v>
      </c>
      <c r="H6164" s="560"/>
      <c r="I6164" s="362"/>
      <c r="J6164" s="362"/>
    </row>
    <row r="6165" spans="1:10" x14ac:dyDescent="0.25">
      <c r="A6165" s="362"/>
      <c r="B6165" s="609">
        <v>44497</v>
      </c>
      <c r="C6165" s="362" t="s">
        <v>4751</v>
      </c>
      <c r="D6165" s="560">
        <v>228973482</v>
      </c>
      <c r="E6165" s="560">
        <v>7496418</v>
      </c>
      <c r="F6165" s="560"/>
      <c r="G6165" s="560">
        <f t="shared" si="129"/>
        <v>236469900</v>
      </c>
      <c r="H6165" s="560"/>
      <c r="I6165" s="362"/>
      <c r="J6165" s="362"/>
    </row>
    <row r="6166" spans="1:10" x14ac:dyDescent="0.25">
      <c r="A6166" s="362"/>
      <c r="B6166" s="609">
        <v>44497</v>
      </c>
      <c r="C6166" s="362" t="s">
        <v>166</v>
      </c>
      <c r="D6166" s="560">
        <v>138601817</v>
      </c>
      <c r="E6166" s="560"/>
      <c r="F6166" s="560"/>
      <c r="G6166" s="560">
        <f t="shared" si="129"/>
        <v>138601817</v>
      </c>
      <c r="H6166" s="560"/>
      <c r="I6166" s="362"/>
      <c r="J6166" s="362"/>
    </row>
    <row r="6167" spans="1:10" x14ac:dyDescent="0.25">
      <c r="A6167" s="362"/>
      <c r="B6167" s="609">
        <v>44497</v>
      </c>
      <c r="C6167" s="362" t="s">
        <v>3435</v>
      </c>
      <c r="D6167" s="560">
        <v>77205426</v>
      </c>
      <c r="E6167" s="560"/>
      <c r="F6167" s="560"/>
      <c r="G6167" s="560">
        <f t="shared" si="129"/>
        <v>77205426</v>
      </c>
      <c r="H6167" s="560"/>
      <c r="I6167" s="362"/>
      <c r="J6167" s="362"/>
    </row>
    <row r="6168" spans="1:10" x14ac:dyDescent="0.25">
      <c r="A6168" s="362"/>
      <c r="B6168" s="609">
        <v>44497</v>
      </c>
      <c r="C6168" s="370" t="s">
        <v>85</v>
      </c>
      <c r="D6168" s="560">
        <v>32098400</v>
      </c>
      <c r="E6168" s="560"/>
      <c r="F6168" s="560"/>
      <c r="G6168" s="560">
        <f t="shared" si="129"/>
        <v>32098400</v>
      </c>
      <c r="H6168" s="560"/>
      <c r="I6168" s="362"/>
      <c r="J6168" s="362"/>
    </row>
    <row r="6169" spans="1:10" x14ac:dyDescent="0.25">
      <c r="A6169" s="530"/>
      <c r="B6169" s="530"/>
      <c r="C6169" s="530"/>
      <c r="D6169" s="562">
        <f>SUM(D6154:D6168)</f>
        <v>2374673974</v>
      </c>
      <c r="E6169" s="562">
        <f>SUM(E6154:E6168)</f>
        <v>506132646</v>
      </c>
      <c r="F6169" s="562">
        <f>SUM(F6154:F6168)</f>
        <v>0</v>
      </c>
      <c r="G6169" s="562">
        <f>SUM(G6154:G6168)</f>
        <v>2880806620</v>
      </c>
      <c r="H6169" s="562"/>
      <c r="I6169" s="530"/>
      <c r="J6169" s="530"/>
    </row>
    <row r="6170" spans="1:10" x14ac:dyDescent="0.25">
      <c r="A6170" s="362"/>
      <c r="B6170" s="609">
        <v>44498</v>
      </c>
      <c r="C6170" s="362" t="s">
        <v>86</v>
      </c>
      <c r="D6170" s="560">
        <v>98960424</v>
      </c>
      <c r="E6170" s="560">
        <v>152473900</v>
      </c>
      <c r="F6170" s="560">
        <v>251434300</v>
      </c>
      <c r="G6170" s="560">
        <f t="shared" si="129"/>
        <v>24</v>
      </c>
      <c r="H6170" s="560"/>
      <c r="I6170" s="362"/>
      <c r="J6170" s="362"/>
    </row>
    <row r="6171" spans="1:10" x14ac:dyDescent="0.25">
      <c r="A6171" s="362"/>
      <c r="B6171" s="609">
        <v>44498</v>
      </c>
      <c r="C6171" s="362" t="s">
        <v>87</v>
      </c>
      <c r="D6171" s="560">
        <v>120436909</v>
      </c>
      <c r="E6171" s="560">
        <v>95722074</v>
      </c>
      <c r="F6171" s="560">
        <v>216159000</v>
      </c>
      <c r="G6171" s="560">
        <f t="shared" si="129"/>
        <v>-17</v>
      </c>
      <c r="H6171" s="560"/>
      <c r="I6171" s="362"/>
      <c r="J6171" s="362"/>
    </row>
    <row r="6172" spans="1:10" x14ac:dyDescent="0.25">
      <c r="A6172" s="362"/>
      <c r="B6172" s="609">
        <v>44498</v>
      </c>
      <c r="C6172" s="362" t="s">
        <v>88</v>
      </c>
      <c r="D6172" s="560">
        <v>110871742</v>
      </c>
      <c r="E6172" s="560">
        <v>171679165</v>
      </c>
      <c r="F6172" s="560">
        <v>282551000</v>
      </c>
      <c r="G6172" s="560">
        <f t="shared" si="129"/>
        <v>-93</v>
      </c>
      <c r="H6172" s="560"/>
      <c r="I6172" s="362"/>
      <c r="J6172" s="362"/>
    </row>
    <row r="6173" spans="1:10" x14ac:dyDescent="0.25">
      <c r="A6173" s="362"/>
      <c r="B6173" s="609">
        <v>44498</v>
      </c>
      <c r="C6173" s="362" t="s">
        <v>82</v>
      </c>
      <c r="D6173" s="560">
        <v>141489947</v>
      </c>
      <c r="E6173" s="560">
        <v>2469033</v>
      </c>
      <c r="F6173" s="560">
        <v>143956000</v>
      </c>
      <c r="G6173" s="560">
        <f t="shared" si="129"/>
        <v>2980</v>
      </c>
      <c r="H6173" s="560"/>
      <c r="I6173" s="362"/>
      <c r="J6173" s="362"/>
    </row>
    <row r="6174" spans="1:10" x14ac:dyDescent="0.25">
      <c r="A6174" s="362"/>
      <c r="B6174" s="609">
        <v>44498</v>
      </c>
      <c r="C6174" s="362" t="s">
        <v>80</v>
      </c>
      <c r="D6174" s="560">
        <v>341850743</v>
      </c>
      <c r="E6174" s="560"/>
      <c r="F6174" s="560">
        <v>341850900</v>
      </c>
      <c r="G6174" s="560">
        <f t="shared" si="129"/>
        <v>-157</v>
      </c>
      <c r="H6174" s="560"/>
      <c r="I6174" s="362"/>
      <c r="J6174" s="362"/>
    </row>
    <row r="6175" spans="1:10" x14ac:dyDescent="0.25">
      <c r="A6175" s="362"/>
      <c r="B6175" s="609">
        <v>44498</v>
      </c>
      <c r="C6175" s="362" t="s">
        <v>83</v>
      </c>
      <c r="D6175" s="560">
        <v>187751196</v>
      </c>
      <c r="E6175" s="560">
        <v>238781103</v>
      </c>
      <c r="F6175" s="560">
        <v>426532300</v>
      </c>
      <c r="G6175" s="560">
        <f t="shared" si="129"/>
        <v>-1</v>
      </c>
      <c r="H6175" s="560"/>
      <c r="I6175" s="362"/>
      <c r="J6175" s="362"/>
    </row>
    <row r="6176" spans="1:10" x14ac:dyDescent="0.25">
      <c r="A6176" s="362"/>
      <c r="B6176" s="609">
        <v>44498</v>
      </c>
      <c r="C6176" s="362" t="s">
        <v>78</v>
      </c>
      <c r="D6176" s="560">
        <v>176210361</v>
      </c>
      <c r="E6176" s="560">
        <v>863739</v>
      </c>
      <c r="F6176" s="560">
        <v>177074100</v>
      </c>
      <c r="G6176" s="560">
        <f t="shared" si="129"/>
        <v>0</v>
      </c>
      <c r="H6176" s="560"/>
      <c r="I6176" s="362"/>
      <c r="J6176" s="362"/>
    </row>
    <row r="6177" spans="1:10" x14ac:dyDescent="0.25">
      <c r="A6177" s="362"/>
      <c r="B6177" s="609">
        <v>44498</v>
      </c>
      <c r="C6177" s="362" t="s">
        <v>141</v>
      </c>
      <c r="D6177" s="560">
        <v>123950888</v>
      </c>
      <c r="E6177" s="560">
        <v>1619352</v>
      </c>
      <c r="F6177" s="560">
        <v>125570300</v>
      </c>
      <c r="G6177" s="560">
        <f t="shared" si="129"/>
        <v>-60</v>
      </c>
      <c r="H6177" s="560"/>
      <c r="I6177" s="362"/>
      <c r="J6177" s="362"/>
    </row>
    <row r="6178" spans="1:10" x14ac:dyDescent="0.25">
      <c r="A6178" s="362"/>
      <c r="B6178" s="609">
        <v>44498</v>
      </c>
      <c r="C6178" s="362" t="s">
        <v>89</v>
      </c>
      <c r="D6178" s="560">
        <v>129644555</v>
      </c>
      <c r="E6178" s="560">
        <v>51390345</v>
      </c>
      <c r="F6178" s="560">
        <v>181034800</v>
      </c>
      <c r="G6178" s="560">
        <f t="shared" si="129"/>
        <v>100</v>
      </c>
      <c r="H6178" s="560"/>
      <c r="I6178" s="362"/>
      <c r="J6178" s="362"/>
    </row>
    <row r="6179" spans="1:10" x14ac:dyDescent="0.25">
      <c r="A6179" s="362"/>
      <c r="B6179" s="609">
        <v>44498</v>
      </c>
      <c r="C6179" s="362" t="s">
        <v>81</v>
      </c>
      <c r="D6179" s="560">
        <v>112681246</v>
      </c>
      <c r="E6179" s="560">
        <v>103727121</v>
      </c>
      <c r="F6179" s="560">
        <v>216408400</v>
      </c>
      <c r="G6179" s="560">
        <f t="shared" si="129"/>
        <v>-33</v>
      </c>
      <c r="H6179" s="560"/>
      <c r="I6179" s="362"/>
      <c r="J6179" s="362"/>
    </row>
    <row r="6180" spans="1:10" x14ac:dyDescent="0.25">
      <c r="A6180" s="362"/>
      <c r="B6180" s="609">
        <v>44498</v>
      </c>
      <c r="C6180" s="362" t="s">
        <v>84</v>
      </c>
      <c r="D6180" s="560">
        <v>304179855</v>
      </c>
      <c r="E6180" s="560">
        <v>16390269</v>
      </c>
      <c r="F6180" s="560">
        <v>320569900</v>
      </c>
      <c r="G6180" s="560">
        <f t="shared" si="129"/>
        <v>224</v>
      </c>
      <c r="H6180" s="560"/>
      <c r="I6180" s="362"/>
      <c r="J6180" s="362"/>
    </row>
    <row r="6181" spans="1:10" x14ac:dyDescent="0.25">
      <c r="A6181" s="362"/>
      <c r="B6181" s="609">
        <v>44498</v>
      </c>
      <c r="C6181" s="362" t="s">
        <v>4751</v>
      </c>
      <c r="D6181" s="560">
        <v>124389158</v>
      </c>
      <c r="E6181" s="560">
        <v>14693942</v>
      </c>
      <c r="F6181" s="560">
        <v>139083100</v>
      </c>
      <c r="G6181" s="560">
        <f t="shared" si="129"/>
        <v>0</v>
      </c>
      <c r="H6181" s="560"/>
      <c r="I6181" s="362"/>
      <c r="J6181" s="362"/>
    </row>
    <row r="6182" spans="1:10" x14ac:dyDescent="0.25">
      <c r="A6182" s="362"/>
      <c r="B6182" s="609">
        <v>44498</v>
      </c>
      <c r="C6182" s="362" t="s">
        <v>166</v>
      </c>
      <c r="D6182" s="560">
        <v>47577076</v>
      </c>
      <c r="E6182" s="560"/>
      <c r="F6182" s="560">
        <v>47577000</v>
      </c>
      <c r="G6182" s="560">
        <f t="shared" si="129"/>
        <v>76</v>
      </c>
      <c r="H6182" s="560"/>
      <c r="I6182" s="362"/>
      <c r="J6182" s="362"/>
    </row>
    <row r="6183" spans="1:10" x14ac:dyDescent="0.25">
      <c r="A6183" s="362"/>
      <c r="B6183" s="609">
        <v>44498</v>
      </c>
      <c r="C6183" s="362" t="s">
        <v>3435</v>
      </c>
      <c r="D6183" s="560">
        <v>76589239</v>
      </c>
      <c r="E6183" s="560"/>
      <c r="F6183" s="560">
        <v>76589300</v>
      </c>
      <c r="G6183" s="560">
        <f t="shared" si="129"/>
        <v>-61</v>
      </c>
      <c r="H6183" s="560"/>
      <c r="I6183" s="362"/>
      <c r="J6183" s="362"/>
    </row>
    <row r="6184" spans="1:10" x14ac:dyDescent="0.25">
      <c r="A6184" s="362"/>
      <c r="B6184" s="609">
        <v>44498</v>
      </c>
      <c r="C6184" s="370" t="s">
        <v>85</v>
      </c>
      <c r="D6184" s="560">
        <v>30678400</v>
      </c>
      <c r="E6184" s="560"/>
      <c r="F6184" s="560">
        <v>30678400</v>
      </c>
      <c r="G6184" s="560">
        <f t="shared" si="129"/>
        <v>0</v>
      </c>
      <c r="H6184" s="560"/>
      <c r="I6184" s="362"/>
      <c r="J6184" s="362"/>
    </row>
    <row r="6185" spans="1:10" x14ac:dyDescent="0.25">
      <c r="A6185" s="530"/>
      <c r="B6185" s="530"/>
      <c r="C6185" s="530"/>
      <c r="D6185" s="562">
        <f>SUM(D6170:D6184)</f>
        <v>2127261739</v>
      </c>
      <c r="E6185" s="562">
        <f>SUM(E6170:E6184)</f>
        <v>849810043</v>
      </c>
      <c r="F6185" s="562">
        <f>SUM(F6170:F6184)</f>
        <v>2977068800</v>
      </c>
      <c r="G6185" s="562">
        <f>SUM(G6170:G6184)</f>
        <v>2982</v>
      </c>
      <c r="H6185" s="562"/>
      <c r="I6185" s="530"/>
      <c r="J6185" s="530"/>
    </row>
    <row r="6186" spans="1:10" x14ac:dyDescent="0.25">
      <c r="A6186" s="362"/>
      <c r="B6186" s="609">
        <v>44499</v>
      </c>
      <c r="C6186" s="362" t="s">
        <v>86</v>
      </c>
      <c r="D6186" s="560">
        <v>47768557</v>
      </c>
      <c r="E6186" s="560">
        <v>52829200</v>
      </c>
      <c r="F6186" s="560">
        <v>100597800</v>
      </c>
      <c r="G6186" s="560">
        <f t="shared" si="129"/>
        <v>-43</v>
      </c>
      <c r="H6186" s="560"/>
      <c r="I6186" s="362"/>
      <c r="J6186" s="362"/>
    </row>
    <row r="6187" spans="1:10" x14ac:dyDescent="0.25">
      <c r="A6187" s="362"/>
      <c r="B6187" s="609">
        <v>44499</v>
      </c>
      <c r="C6187" s="362" t="s">
        <v>87</v>
      </c>
      <c r="D6187" s="560">
        <v>113199547</v>
      </c>
      <c r="E6187" s="560">
        <v>135438107</v>
      </c>
      <c r="F6187" s="560">
        <v>248637700</v>
      </c>
      <c r="G6187" s="560">
        <f t="shared" si="129"/>
        <v>-46</v>
      </c>
      <c r="H6187" s="362"/>
      <c r="I6187" s="362"/>
      <c r="J6187" s="362"/>
    </row>
    <row r="6188" spans="1:10" x14ac:dyDescent="0.25">
      <c r="A6188" s="362"/>
      <c r="B6188" s="609">
        <v>44499</v>
      </c>
      <c r="C6188" s="362" t="s">
        <v>88</v>
      </c>
      <c r="D6188" s="560">
        <v>102929552</v>
      </c>
      <c r="E6188" s="560">
        <v>10574177</v>
      </c>
      <c r="F6188" s="560">
        <v>113503800</v>
      </c>
      <c r="G6188" s="560">
        <f t="shared" si="129"/>
        <v>-71</v>
      </c>
      <c r="H6188" s="362"/>
      <c r="I6188" s="362"/>
      <c r="J6188" s="362"/>
    </row>
    <row r="6189" spans="1:10" x14ac:dyDescent="0.25">
      <c r="A6189" s="362"/>
      <c r="B6189" s="609">
        <v>44499</v>
      </c>
      <c r="C6189" s="362" t="s">
        <v>82</v>
      </c>
      <c r="D6189" s="560">
        <v>46578570</v>
      </c>
      <c r="E6189" s="560">
        <v>66269145</v>
      </c>
      <c r="F6189" s="560">
        <v>112847800</v>
      </c>
      <c r="G6189" s="560">
        <f t="shared" si="129"/>
        <v>-85</v>
      </c>
      <c r="H6189" s="362"/>
      <c r="I6189" s="362"/>
      <c r="J6189" s="362"/>
    </row>
    <row r="6190" spans="1:10" x14ac:dyDescent="0.25">
      <c r="A6190" s="362"/>
      <c r="B6190" s="609">
        <v>44499</v>
      </c>
      <c r="C6190" s="362" t="s">
        <v>80</v>
      </c>
      <c r="D6190" s="560">
        <v>324490800</v>
      </c>
      <c r="E6190" s="560"/>
      <c r="F6190" s="560">
        <v>324490800</v>
      </c>
      <c r="G6190" s="560">
        <f t="shared" si="129"/>
        <v>0</v>
      </c>
      <c r="H6190" s="362"/>
      <c r="I6190" s="362"/>
      <c r="J6190" s="362"/>
    </row>
    <row r="6191" spans="1:10" x14ac:dyDescent="0.25">
      <c r="A6191" s="362"/>
      <c r="B6191" s="609">
        <v>44499</v>
      </c>
      <c r="C6191" s="362" t="s">
        <v>83</v>
      </c>
      <c r="D6191" s="560">
        <v>165398705</v>
      </c>
      <c r="E6191" s="560">
        <v>207467695</v>
      </c>
      <c r="F6191" s="560">
        <v>372866400</v>
      </c>
      <c r="G6191" s="560">
        <f t="shared" si="129"/>
        <v>0</v>
      </c>
      <c r="H6191" s="362"/>
      <c r="I6191" s="362"/>
      <c r="J6191" s="362"/>
    </row>
    <row r="6192" spans="1:10" x14ac:dyDescent="0.25">
      <c r="A6192" s="362"/>
      <c r="B6192" s="609">
        <v>44499</v>
      </c>
      <c r="C6192" s="362" t="s">
        <v>78</v>
      </c>
      <c r="D6192" s="560">
        <v>171920731</v>
      </c>
      <c r="E6192" s="560">
        <v>4322969</v>
      </c>
      <c r="F6192" s="560">
        <v>176243700</v>
      </c>
      <c r="G6192" s="560">
        <f t="shared" si="129"/>
        <v>0</v>
      </c>
      <c r="H6192" s="362"/>
      <c r="I6192" s="362"/>
      <c r="J6192" s="362"/>
    </row>
    <row r="6193" spans="1:10" x14ac:dyDescent="0.25">
      <c r="A6193" s="362"/>
      <c r="B6193" s="609">
        <v>44499</v>
      </c>
      <c r="C6193" s="362" t="s">
        <v>141</v>
      </c>
      <c r="D6193" s="560">
        <v>59483454</v>
      </c>
      <c r="E6193" s="560">
        <v>744070</v>
      </c>
      <c r="F6193" s="560">
        <v>60227600</v>
      </c>
      <c r="G6193" s="560">
        <f t="shared" si="129"/>
        <v>-76</v>
      </c>
      <c r="H6193" s="362"/>
      <c r="I6193" s="362"/>
      <c r="J6193" s="362"/>
    </row>
    <row r="6194" spans="1:10" x14ac:dyDescent="0.25">
      <c r="A6194" s="362"/>
      <c r="B6194" s="609">
        <v>44499</v>
      </c>
      <c r="C6194" s="362" t="s">
        <v>89</v>
      </c>
      <c r="D6194" s="560">
        <v>74678361</v>
      </c>
      <c r="E6194" s="560">
        <v>47359739</v>
      </c>
      <c r="F6194" s="560">
        <v>122038200</v>
      </c>
      <c r="G6194" s="560">
        <f t="shared" si="129"/>
        <v>-100</v>
      </c>
      <c r="H6194" s="362"/>
      <c r="I6194" s="362"/>
      <c r="J6194" s="362"/>
    </row>
    <row r="6195" spans="1:10" x14ac:dyDescent="0.25">
      <c r="A6195" s="362"/>
      <c r="B6195" s="609">
        <v>44499</v>
      </c>
      <c r="C6195" s="362" t="s">
        <v>81</v>
      </c>
      <c r="D6195" s="560">
        <v>114168525</v>
      </c>
      <c r="E6195" s="560">
        <v>15405579</v>
      </c>
      <c r="F6195" s="560">
        <f>48894300+80681700</f>
        <v>129576000</v>
      </c>
      <c r="G6195" s="560">
        <f t="shared" si="129"/>
        <v>-1896</v>
      </c>
      <c r="H6195" s="362"/>
      <c r="I6195" s="362"/>
      <c r="J6195" s="362"/>
    </row>
    <row r="6196" spans="1:10" x14ac:dyDescent="0.25">
      <c r="A6196" s="362"/>
      <c r="B6196" s="609">
        <v>44499</v>
      </c>
      <c r="C6196" s="362" t="s">
        <v>84</v>
      </c>
      <c r="D6196" s="560">
        <v>150224006</v>
      </c>
      <c r="E6196" s="560">
        <v>15779385</v>
      </c>
      <c r="F6196" s="560">
        <v>166003400</v>
      </c>
      <c r="G6196" s="560">
        <f t="shared" si="129"/>
        <v>-9</v>
      </c>
      <c r="H6196" s="362"/>
      <c r="I6196" s="362"/>
      <c r="J6196" s="362"/>
    </row>
    <row r="6197" spans="1:10" x14ac:dyDescent="0.25">
      <c r="A6197" s="362"/>
      <c r="B6197" s="609">
        <v>44499</v>
      </c>
      <c r="C6197" s="362" t="s">
        <v>4751</v>
      </c>
      <c r="D6197" s="560">
        <v>134925045</v>
      </c>
      <c r="E6197" s="560">
        <v>7134455</v>
      </c>
      <c r="F6197" s="560">
        <v>142059500</v>
      </c>
      <c r="G6197" s="560">
        <f t="shared" si="129"/>
        <v>0</v>
      </c>
      <c r="H6197" s="362"/>
      <c r="I6197" s="362"/>
      <c r="J6197" s="362"/>
    </row>
    <row r="6198" spans="1:10" x14ac:dyDescent="0.25">
      <c r="A6198" s="362"/>
      <c r="B6198" s="609">
        <v>44499</v>
      </c>
      <c r="C6198" s="362" t="s">
        <v>166</v>
      </c>
      <c r="D6198" s="560"/>
      <c r="E6198" s="560"/>
      <c r="F6198" s="560"/>
      <c r="G6198" s="560">
        <f t="shared" si="129"/>
        <v>0</v>
      </c>
      <c r="H6198" s="362"/>
      <c r="I6198" s="362"/>
      <c r="J6198" s="362"/>
    </row>
    <row r="6199" spans="1:10" x14ac:dyDescent="0.25">
      <c r="A6199" s="362"/>
      <c r="B6199" s="609">
        <v>44499</v>
      </c>
      <c r="C6199" s="362" t="s">
        <v>3435</v>
      </c>
      <c r="D6199" s="560"/>
      <c r="E6199" s="560"/>
      <c r="F6199" s="560"/>
      <c r="G6199" s="560">
        <f t="shared" si="129"/>
        <v>0</v>
      </c>
      <c r="H6199" s="362"/>
      <c r="I6199" s="362"/>
      <c r="J6199" s="362"/>
    </row>
    <row r="6200" spans="1:10" x14ac:dyDescent="0.25">
      <c r="A6200" s="362"/>
      <c r="B6200" s="609">
        <v>44499</v>
      </c>
      <c r="C6200" s="370" t="s">
        <v>85</v>
      </c>
      <c r="D6200" s="560">
        <v>42287500</v>
      </c>
      <c r="E6200" s="560"/>
      <c r="F6200" s="560">
        <v>42287500</v>
      </c>
      <c r="G6200" s="560">
        <f t="shared" si="129"/>
        <v>0</v>
      </c>
      <c r="H6200" s="362"/>
      <c r="I6200" s="362"/>
      <c r="J6200" s="362"/>
    </row>
    <row r="6201" spans="1:10" x14ac:dyDescent="0.25">
      <c r="A6201" s="530"/>
      <c r="B6201" s="530"/>
      <c r="C6201" s="530"/>
      <c r="D6201" s="562">
        <f>SUM(D6186:D6200)</f>
        <v>1548053353</v>
      </c>
      <c r="E6201" s="562">
        <f>SUM(E6186:E6200)</f>
        <v>563324521</v>
      </c>
      <c r="F6201" s="562">
        <f>SUM(F6186:F6200)</f>
        <v>2111380200</v>
      </c>
      <c r="G6201" s="562">
        <f>SUM(G6186:G6200)</f>
        <v>-2326</v>
      </c>
      <c r="H6201" s="530"/>
      <c r="I6201" s="530"/>
      <c r="J6201" s="530"/>
    </row>
    <row r="6202" spans="1:10" x14ac:dyDescent="0.25">
      <c r="A6202" s="362"/>
      <c r="B6202" s="609">
        <v>44501</v>
      </c>
      <c r="C6202" s="362" t="s">
        <v>86</v>
      </c>
      <c r="D6202" s="560">
        <v>27003436</v>
      </c>
      <c r="E6202" s="560">
        <v>36696284</v>
      </c>
      <c r="F6202" s="560">
        <v>63699800</v>
      </c>
      <c r="G6202" s="560">
        <f t="shared" si="129"/>
        <v>-80</v>
      </c>
      <c r="H6202" s="362"/>
      <c r="I6202" s="362"/>
      <c r="J6202" s="362"/>
    </row>
    <row r="6203" spans="1:10" x14ac:dyDescent="0.25">
      <c r="A6203" s="362"/>
      <c r="B6203" s="609">
        <v>44501</v>
      </c>
      <c r="C6203" s="362" t="s">
        <v>87</v>
      </c>
      <c r="D6203" s="560">
        <v>103455309</v>
      </c>
      <c r="E6203" s="560">
        <v>31346399</v>
      </c>
      <c r="F6203" s="560">
        <v>134801800</v>
      </c>
      <c r="G6203" s="560">
        <f t="shared" si="129"/>
        <v>-92</v>
      </c>
      <c r="H6203" s="362"/>
      <c r="I6203" s="362"/>
      <c r="J6203" s="362"/>
    </row>
    <row r="6204" spans="1:10" x14ac:dyDescent="0.25">
      <c r="A6204" s="362"/>
      <c r="B6204" s="609">
        <v>44501</v>
      </c>
      <c r="C6204" s="362" t="s">
        <v>88</v>
      </c>
      <c r="D6204" s="560">
        <v>172506034</v>
      </c>
      <c r="E6204" s="560">
        <v>28157005</v>
      </c>
      <c r="F6204" s="560">
        <v>200663100</v>
      </c>
      <c r="G6204" s="560">
        <f t="shared" si="129"/>
        <v>-61</v>
      </c>
      <c r="H6204" s="362"/>
      <c r="I6204" s="362"/>
      <c r="J6204" s="362"/>
    </row>
    <row r="6205" spans="1:10" x14ac:dyDescent="0.25">
      <c r="A6205" s="362"/>
      <c r="B6205" s="609">
        <v>44501</v>
      </c>
      <c r="C6205" s="362" t="s">
        <v>82</v>
      </c>
      <c r="D6205" s="560">
        <v>59728813</v>
      </c>
      <c r="E6205" s="560">
        <v>6777170</v>
      </c>
      <c r="F6205" s="560">
        <v>66506000</v>
      </c>
      <c r="G6205" s="560">
        <f t="shared" si="129"/>
        <v>-17</v>
      </c>
      <c r="H6205" s="362"/>
      <c r="I6205" s="362"/>
      <c r="J6205" s="362"/>
    </row>
    <row r="6206" spans="1:10" x14ac:dyDescent="0.25">
      <c r="A6206" s="362"/>
      <c r="B6206" s="609">
        <v>44501</v>
      </c>
      <c r="C6206" s="362" t="s">
        <v>80</v>
      </c>
      <c r="D6206" s="560">
        <v>198521616</v>
      </c>
      <c r="E6206" s="560">
        <v>114701460</v>
      </c>
      <c r="F6206" s="560">
        <v>313221900</v>
      </c>
      <c r="G6206" s="560">
        <f t="shared" si="129"/>
        <v>1176</v>
      </c>
      <c r="H6206" s="362"/>
      <c r="I6206" s="362"/>
      <c r="J6206" s="362"/>
    </row>
    <row r="6207" spans="1:10" x14ac:dyDescent="0.25">
      <c r="A6207" s="362"/>
      <c r="B6207" s="609">
        <v>44501</v>
      </c>
      <c r="C6207" s="362" t="s">
        <v>83</v>
      </c>
      <c r="D6207" s="560">
        <v>170616501</v>
      </c>
      <c r="E6207" s="560">
        <v>9754700</v>
      </c>
      <c r="F6207" s="560">
        <v>180371200</v>
      </c>
      <c r="G6207" s="560">
        <f t="shared" si="129"/>
        <v>1</v>
      </c>
      <c r="H6207" s="362"/>
      <c r="I6207" s="362"/>
      <c r="J6207" s="362"/>
    </row>
    <row r="6208" spans="1:10" x14ac:dyDescent="0.25">
      <c r="A6208" s="362"/>
      <c r="B6208" s="609">
        <v>44501</v>
      </c>
      <c r="C6208" s="362" t="s">
        <v>78</v>
      </c>
      <c r="D6208" s="560">
        <v>81304885</v>
      </c>
      <c r="E6208" s="560">
        <v>851215</v>
      </c>
      <c r="F6208" s="560">
        <v>82156100</v>
      </c>
      <c r="G6208" s="560">
        <f t="shared" si="129"/>
        <v>0</v>
      </c>
      <c r="H6208" s="362"/>
      <c r="I6208" s="362"/>
      <c r="J6208" s="362"/>
    </row>
    <row r="6209" spans="1:10" x14ac:dyDescent="0.25">
      <c r="A6209" s="362"/>
      <c r="B6209" s="609">
        <v>44501</v>
      </c>
      <c r="C6209" s="362" t="s">
        <v>141</v>
      </c>
      <c r="D6209" s="560">
        <v>56332407</v>
      </c>
      <c r="E6209" s="560">
        <v>1496686</v>
      </c>
      <c r="F6209" s="560">
        <v>57829100</v>
      </c>
      <c r="G6209" s="560">
        <f t="shared" si="129"/>
        <v>-7</v>
      </c>
      <c r="H6209" s="362"/>
      <c r="I6209" s="362"/>
      <c r="J6209" s="362"/>
    </row>
    <row r="6210" spans="1:10" x14ac:dyDescent="0.25">
      <c r="A6210" s="362"/>
      <c r="B6210" s="609">
        <v>44501</v>
      </c>
      <c r="C6210" s="362" t="s">
        <v>89</v>
      </c>
      <c r="D6210" s="560">
        <v>138124852</v>
      </c>
      <c r="E6210" s="560">
        <v>101806248</v>
      </c>
      <c r="F6210" s="560">
        <v>239931100</v>
      </c>
      <c r="G6210" s="560">
        <f t="shared" si="129"/>
        <v>0</v>
      </c>
      <c r="H6210" s="362"/>
      <c r="I6210" s="362"/>
      <c r="J6210" s="362"/>
    </row>
    <row r="6211" spans="1:10" x14ac:dyDescent="0.25">
      <c r="A6211" s="362"/>
      <c r="B6211" s="609">
        <v>44501</v>
      </c>
      <c r="C6211" s="362" t="s">
        <v>81</v>
      </c>
      <c r="D6211" s="560">
        <v>88584197</v>
      </c>
      <c r="E6211" s="560">
        <v>16330803</v>
      </c>
      <c r="F6211" s="560">
        <v>104915000</v>
      </c>
      <c r="G6211" s="560">
        <f t="shared" si="129"/>
        <v>0</v>
      </c>
      <c r="H6211" s="362"/>
      <c r="I6211" s="362"/>
      <c r="J6211" s="362"/>
    </row>
    <row r="6212" spans="1:10" x14ac:dyDescent="0.25">
      <c r="A6212" s="362"/>
      <c r="B6212" s="609">
        <v>44501</v>
      </c>
      <c r="C6212" s="362" t="s">
        <v>84</v>
      </c>
      <c r="D6212" s="560">
        <v>258295545</v>
      </c>
      <c r="E6212" s="560">
        <v>9544381</v>
      </c>
      <c r="F6212" s="560">
        <v>267840000</v>
      </c>
      <c r="G6212" s="560">
        <f t="shared" si="129"/>
        <v>-74</v>
      </c>
      <c r="H6212" s="362"/>
      <c r="I6212" s="362"/>
      <c r="J6212" s="362"/>
    </row>
    <row r="6213" spans="1:10" x14ac:dyDescent="0.25">
      <c r="A6213" s="362"/>
      <c r="B6213" s="609">
        <v>44501</v>
      </c>
      <c r="C6213" s="362" t="s">
        <v>4751</v>
      </c>
      <c r="D6213" s="560">
        <v>148094849</v>
      </c>
      <c r="E6213" s="560">
        <v>12622251</v>
      </c>
      <c r="F6213" s="560">
        <v>160717100</v>
      </c>
      <c r="G6213" s="560">
        <f t="shared" si="129"/>
        <v>0</v>
      </c>
      <c r="H6213" s="362"/>
      <c r="I6213" s="362"/>
      <c r="J6213" s="362"/>
    </row>
    <row r="6214" spans="1:10" x14ac:dyDescent="0.25">
      <c r="A6214" s="362"/>
      <c r="B6214" s="609">
        <v>44501</v>
      </c>
      <c r="C6214" s="362" t="s">
        <v>166</v>
      </c>
      <c r="D6214" s="560">
        <v>61882103</v>
      </c>
      <c r="E6214" s="560"/>
      <c r="F6214" s="560">
        <v>61882500</v>
      </c>
      <c r="G6214" s="560">
        <f t="shared" si="129"/>
        <v>-397</v>
      </c>
      <c r="H6214" s="362"/>
      <c r="I6214" s="362"/>
      <c r="J6214" s="362"/>
    </row>
    <row r="6215" spans="1:10" x14ac:dyDescent="0.25">
      <c r="A6215" s="362"/>
      <c r="B6215" s="609">
        <v>44501</v>
      </c>
      <c r="C6215" s="362" t="s">
        <v>3435</v>
      </c>
      <c r="D6215" s="560">
        <v>30243372</v>
      </c>
      <c r="E6215" s="560"/>
      <c r="F6215" s="560">
        <v>30243400</v>
      </c>
      <c r="G6215" s="560">
        <f t="shared" si="129"/>
        <v>-28</v>
      </c>
      <c r="H6215" s="362"/>
      <c r="I6215" s="362"/>
      <c r="J6215" s="362"/>
    </row>
    <row r="6216" spans="1:10" x14ac:dyDescent="0.25">
      <c r="A6216" s="362"/>
      <c r="B6216" s="609">
        <v>44501</v>
      </c>
      <c r="C6216" s="370" t="s">
        <v>85</v>
      </c>
      <c r="D6216" s="560">
        <v>66568300</v>
      </c>
      <c r="E6216" s="560"/>
      <c r="F6216" s="560">
        <v>66517700</v>
      </c>
      <c r="G6216" s="560">
        <f t="shared" si="129"/>
        <v>50600</v>
      </c>
      <c r="H6216" s="362"/>
      <c r="I6216" s="362"/>
      <c r="J6216" s="362"/>
    </row>
    <row r="6217" spans="1:10" x14ac:dyDescent="0.25">
      <c r="A6217" s="530"/>
      <c r="B6217" s="530"/>
      <c r="C6217" s="530"/>
      <c r="D6217" s="562">
        <f>SUM(D6202:D6216)</f>
        <v>1661262219</v>
      </c>
      <c r="E6217" s="562">
        <f>SUM(E6202:E6216)</f>
        <v>370084602</v>
      </c>
      <c r="F6217" s="562">
        <f>SUM(F6202:F6216)</f>
        <v>2031295800</v>
      </c>
      <c r="G6217" s="562">
        <f>SUM(G6202:G6216)</f>
        <v>51021</v>
      </c>
      <c r="H6217" s="530"/>
      <c r="I6217" s="530"/>
      <c r="J6217" s="530"/>
    </row>
    <row r="6218" spans="1:10" x14ac:dyDescent="0.25">
      <c r="A6218" s="362"/>
      <c r="B6218" s="609">
        <v>44502</v>
      </c>
      <c r="C6218" s="362" t="s">
        <v>86</v>
      </c>
      <c r="D6218" s="560">
        <v>139768297</v>
      </c>
      <c r="E6218" s="560">
        <v>15115660</v>
      </c>
      <c r="F6218" s="560"/>
      <c r="G6218" s="560">
        <f t="shared" si="129"/>
        <v>154883957</v>
      </c>
      <c r="H6218" s="362"/>
      <c r="I6218" s="362"/>
      <c r="J6218" s="362"/>
    </row>
    <row r="6219" spans="1:10" x14ac:dyDescent="0.25">
      <c r="A6219" s="362"/>
      <c r="B6219" s="609">
        <v>44502</v>
      </c>
      <c r="C6219" s="362" t="s">
        <v>87</v>
      </c>
      <c r="D6219" s="560">
        <v>76389462</v>
      </c>
      <c r="E6219" s="560">
        <v>28169532</v>
      </c>
      <c r="F6219" s="560"/>
      <c r="G6219" s="560">
        <f t="shared" si="129"/>
        <v>104558994</v>
      </c>
      <c r="H6219" s="362"/>
      <c r="I6219" s="362"/>
      <c r="J6219" s="362"/>
    </row>
    <row r="6220" spans="1:10" x14ac:dyDescent="0.25">
      <c r="A6220" s="362"/>
      <c r="B6220" s="609">
        <v>44502</v>
      </c>
      <c r="C6220" s="362" t="s">
        <v>88</v>
      </c>
      <c r="D6220" s="560">
        <v>237210889</v>
      </c>
      <c r="E6220" s="560">
        <v>34874732</v>
      </c>
      <c r="F6220" s="560"/>
      <c r="G6220" s="560">
        <f t="shared" ref="G6220:G6283" si="130">D6220+E6220-F6220</f>
        <v>272085621</v>
      </c>
      <c r="H6220" s="362"/>
      <c r="I6220" s="362"/>
      <c r="J6220" s="362"/>
    </row>
    <row r="6221" spans="1:10" x14ac:dyDescent="0.25">
      <c r="A6221" s="362"/>
      <c r="B6221" s="609">
        <v>44502</v>
      </c>
      <c r="C6221" s="362" t="s">
        <v>82</v>
      </c>
      <c r="D6221" s="560">
        <v>91221457</v>
      </c>
      <c r="E6221" s="560">
        <v>2142320</v>
      </c>
      <c r="F6221" s="560"/>
      <c r="G6221" s="560">
        <f t="shared" si="130"/>
        <v>93363777</v>
      </c>
      <c r="H6221" s="362"/>
      <c r="I6221" s="362"/>
      <c r="J6221" s="362"/>
    </row>
    <row r="6222" spans="1:10" x14ac:dyDescent="0.25">
      <c r="A6222" s="362"/>
      <c r="B6222" s="609">
        <v>44502</v>
      </c>
      <c r="C6222" s="362" t="s">
        <v>80</v>
      </c>
      <c r="D6222" s="560">
        <v>239733411</v>
      </c>
      <c r="E6222" s="560">
        <v>47422180</v>
      </c>
      <c r="F6222" s="560"/>
      <c r="G6222" s="560">
        <f t="shared" si="130"/>
        <v>287155591</v>
      </c>
      <c r="H6222" s="362"/>
      <c r="I6222" s="362"/>
      <c r="J6222" s="362"/>
    </row>
    <row r="6223" spans="1:10" x14ac:dyDescent="0.25">
      <c r="A6223" s="362"/>
      <c r="B6223" s="609">
        <v>44502</v>
      </c>
      <c r="C6223" s="362" t="s">
        <v>83</v>
      </c>
      <c r="D6223" s="560">
        <v>170728418</v>
      </c>
      <c r="E6223" s="560">
        <v>10172978</v>
      </c>
      <c r="F6223" s="560"/>
      <c r="G6223" s="560">
        <f t="shared" si="130"/>
        <v>180901396</v>
      </c>
      <c r="H6223" s="362"/>
      <c r="I6223" s="362"/>
      <c r="J6223" s="362"/>
    </row>
    <row r="6224" spans="1:10" x14ac:dyDescent="0.25">
      <c r="A6224" s="362"/>
      <c r="B6224" s="609">
        <v>44502</v>
      </c>
      <c r="C6224" s="362" t="s">
        <v>78</v>
      </c>
      <c r="D6224" s="560">
        <v>121075103</v>
      </c>
      <c r="E6224" s="560">
        <v>2617397</v>
      </c>
      <c r="F6224" s="560"/>
      <c r="G6224" s="560">
        <f t="shared" si="130"/>
        <v>123692500</v>
      </c>
      <c r="H6224" s="362"/>
      <c r="I6224" s="362"/>
      <c r="J6224" s="362"/>
    </row>
    <row r="6225" spans="1:10" x14ac:dyDescent="0.25">
      <c r="A6225" s="362"/>
      <c r="B6225" s="609">
        <v>44502</v>
      </c>
      <c r="C6225" s="362" t="s">
        <v>141</v>
      </c>
      <c r="D6225" s="560">
        <v>125682997</v>
      </c>
      <c r="E6225" s="560">
        <v>1179984</v>
      </c>
      <c r="F6225" s="560"/>
      <c r="G6225" s="560">
        <f t="shared" si="130"/>
        <v>126862981</v>
      </c>
      <c r="H6225" s="362"/>
      <c r="I6225" s="362"/>
      <c r="J6225" s="362"/>
    </row>
    <row r="6226" spans="1:10" x14ac:dyDescent="0.25">
      <c r="A6226" s="362"/>
      <c r="B6226" s="609">
        <v>44502</v>
      </c>
      <c r="C6226" s="362" t="s">
        <v>89</v>
      </c>
      <c r="D6226" s="560">
        <v>161720779</v>
      </c>
      <c r="E6226" s="560">
        <v>31223221</v>
      </c>
      <c r="F6226" s="560"/>
      <c r="G6226" s="560">
        <f t="shared" si="130"/>
        <v>192944000</v>
      </c>
      <c r="H6226" s="362"/>
      <c r="I6226" s="362"/>
      <c r="J6226" s="362"/>
    </row>
    <row r="6227" spans="1:10" x14ac:dyDescent="0.25">
      <c r="A6227" s="362"/>
      <c r="B6227" s="609">
        <v>44502</v>
      </c>
      <c r="C6227" s="362" t="s">
        <v>81</v>
      </c>
      <c r="D6227" s="560">
        <v>115948191</v>
      </c>
      <c r="E6227" s="560">
        <v>11630444</v>
      </c>
      <c r="F6227" s="560"/>
      <c r="G6227" s="560">
        <f t="shared" si="130"/>
        <v>127578635</v>
      </c>
      <c r="H6227" s="362"/>
      <c r="I6227" s="362"/>
      <c r="J6227" s="362"/>
    </row>
    <row r="6228" spans="1:10" x14ac:dyDescent="0.25">
      <c r="A6228" s="362"/>
      <c r="B6228" s="609">
        <v>44502</v>
      </c>
      <c r="C6228" s="362" t="s">
        <v>84</v>
      </c>
      <c r="D6228" s="560">
        <v>287238225</v>
      </c>
      <c r="E6228" s="560">
        <v>18290081</v>
      </c>
      <c r="F6228" s="560"/>
      <c r="G6228" s="560">
        <f t="shared" si="130"/>
        <v>305528306</v>
      </c>
      <c r="H6228" s="362"/>
      <c r="I6228" s="362"/>
      <c r="J6228" s="362"/>
    </row>
    <row r="6229" spans="1:10" x14ac:dyDescent="0.25">
      <c r="A6229" s="362"/>
      <c r="B6229" s="609">
        <v>44502</v>
      </c>
      <c r="C6229" s="362" t="s">
        <v>4751</v>
      </c>
      <c r="D6229" s="560">
        <v>167446820</v>
      </c>
      <c r="E6229" s="560">
        <v>7487180</v>
      </c>
      <c r="F6229" s="560"/>
      <c r="G6229" s="560">
        <f t="shared" si="130"/>
        <v>174934000</v>
      </c>
      <c r="H6229" s="362"/>
      <c r="I6229" s="362"/>
      <c r="J6229" s="362"/>
    </row>
    <row r="6230" spans="1:10" x14ac:dyDescent="0.25">
      <c r="A6230" s="362"/>
      <c r="B6230" s="609">
        <v>44502</v>
      </c>
      <c r="C6230" s="362" t="s">
        <v>166</v>
      </c>
      <c r="D6230" s="560">
        <v>72257570</v>
      </c>
      <c r="E6230" s="560"/>
      <c r="F6230" s="560"/>
      <c r="G6230" s="560">
        <f t="shared" si="130"/>
        <v>72257570</v>
      </c>
      <c r="H6230" s="362"/>
      <c r="I6230" s="362"/>
      <c r="J6230" s="362"/>
    </row>
    <row r="6231" spans="1:10" x14ac:dyDescent="0.25">
      <c r="A6231" s="362"/>
      <c r="B6231" s="609">
        <v>44502</v>
      </c>
      <c r="C6231" s="362" t="s">
        <v>3435</v>
      </c>
      <c r="D6231" s="560">
        <v>91583589</v>
      </c>
      <c r="E6231" s="560"/>
      <c r="F6231" s="560"/>
      <c r="G6231" s="560">
        <f t="shared" si="130"/>
        <v>91583589</v>
      </c>
      <c r="H6231" s="362"/>
      <c r="I6231" s="362"/>
      <c r="J6231" s="362"/>
    </row>
    <row r="6232" spans="1:10" x14ac:dyDescent="0.25">
      <c r="A6232" s="362"/>
      <c r="B6232" s="609">
        <v>44502</v>
      </c>
      <c r="C6232" s="370" t="s">
        <v>85</v>
      </c>
      <c r="D6232" s="560">
        <v>43538200</v>
      </c>
      <c r="E6232" s="560"/>
      <c r="F6232" s="560"/>
      <c r="G6232" s="560">
        <f t="shared" si="130"/>
        <v>43538200</v>
      </c>
      <c r="H6232" s="362"/>
      <c r="I6232" s="362"/>
      <c r="J6232" s="362"/>
    </row>
    <row r="6233" spans="1:10" x14ac:dyDescent="0.25">
      <c r="A6233" s="530"/>
      <c r="B6233" s="530"/>
      <c r="C6233" s="530"/>
      <c r="D6233" s="562">
        <f>SUM(D6218:D6232)</f>
        <v>2141543408</v>
      </c>
      <c r="E6233" s="562">
        <f>SUM(E6218:E6232)</f>
        <v>210325709</v>
      </c>
      <c r="F6233" s="562">
        <f>SUM(F6218:F6232)</f>
        <v>0</v>
      </c>
      <c r="G6233" s="562">
        <f>SUM(G6218:G6232)</f>
        <v>2351869117</v>
      </c>
      <c r="H6233" s="530"/>
      <c r="I6233" s="530"/>
      <c r="J6233" s="530"/>
    </row>
    <row r="6234" spans="1:10" x14ac:dyDescent="0.25">
      <c r="A6234" s="362"/>
      <c r="B6234" s="609">
        <v>44503</v>
      </c>
      <c r="C6234" s="362" t="s">
        <v>86</v>
      </c>
      <c r="D6234" s="560">
        <v>85819005</v>
      </c>
      <c r="E6234" s="560">
        <v>105468668</v>
      </c>
      <c r="F6234" s="560"/>
      <c r="G6234" s="560">
        <f t="shared" si="130"/>
        <v>191287673</v>
      </c>
      <c r="H6234" s="362"/>
      <c r="I6234" s="362"/>
      <c r="J6234" s="362"/>
    </row>
    <row r="6235" spans="1:10" x14ac:dyDescent="0.25">
      <c r="A6235" s="362"/>
      <c r="B6235" s="609">
        <v>44503</v>
      </c>
      <c r="C6235" s="362" t="s">
        <v>87</v>
      </c>
      <c r="D6235" s="560">
        <v>134454875</v>
      </c>
      <c r="E6235" s="560">
        <v>105310808</v>
      </c>
      <c r="F6235" s="560"/>
      <c r="G6235" s="560">
        <f t="shared" si="130"/>
        <v>239765683</v>
      </c>
      <c r="H6235" s="362"/>
      <c r="I6235" s="362"/>
      <c r="J6235" s="362"/>
    </row>
    <row r="6236" spans="1:10" x14ac:dyDescent="0.25">
      <c r="A6236" s="362"/>
      <c r="B6236" s="609">
        <v>44503</v>
      </c>
      <c r="C6236" s="362" t="s">
        <v>88</v>
      </c>
      <c r="D6236" s="560">
        <v>144172459</v>
      </c>
      <c r="E6236" s="560">
        <v>131075359</v>
      </c>
      <c r="F6236" s="560"/>
      <c r="G6236" s="560">
        <f t="shared" si="130"/>
        <v>275247818</v>
      </c>
      <c r="H6236" s="362"/>
      <c r="I6236" s="362"/>
      <c r="J6236" s="362"/>
    </row>
    <row r="6237" spans="1:10" x14ac:dyDescent="0.25">
      <c r="A6237" s="362"/>
      <c r="B6237" s="609">
        <v>44503</v>
      </c>
      <c r="C6237" s="362" t="s">
        <v>82</v>
      </c>
      <c r="D6237" s="560">
        <v>106353321</v>
      </c>
      <c r="E6237" s="560">
        <v>2485903</v>
      </c>
      <c r="F6237" s="560"/>
      <c r="G6237" s="560">
        <f t="shared" si="130"/>
        <v>108839224</v>
      </c>
      <c r="H6237" s="362"/>
      <c r="I6237" s="362"/>
      <c r="J6237" s="362"/>
    </row>
    <row r="6238" spans="1:10" x14ac:dyDescent="0.25">
      <c r="A6238" s="362"/>
      <c r="B6238" s="609">
        <v>44503</v>
      </c>
      <c r="C6238" s="362" t="s">
        <v>80</v>
      </c>
      <c r="D6238" s="560">
        <v>378425906</v>
      </c>
      <c r="E6238" s="560">
        <v>46223340</v>
      </c>
      <c r="F6238" s="560"/>
      <c r="G6238" s="560">
        <f t="shared" si="130"/>
        <v>424649246</v>
      </c>
      <c r="H6238" s="362"/>
      <c r="I6238" s="362"/>
      <c r="J6238" s="362"/>
    </row>
    <row r="6239" spans="1:10" x14ac:dyDescent="0.25">
      <c r="A6239" s="362"/>
      <c r="B6239" s="609">
        <v>44503</v>
      </c>
      <c r="C6239" s="362" t="s">
        <v>83</v>
      </c>
      <c r="D6239" s="560">
        <v>104480469</v>
      </c>
      <c r="E6239" s="560">
        <v>8901307</v>
      </c>
      <c r="F6239" s="560"/>
      <c r="G6239" s="560">
        <f t="shared" si="130"/>
        <v>113381776</v>
      </c>
      <c r="H6239" s="362"/>
      <c r="I6239" s="362"/>
      <c r="J6239" s="362"/>
    </row>
    <row r="6240" spans="1:10" x14ac:dyDescent="0.25">
      <c r="A6240" s="362"/>
      <c r="B6240" s="609">
        <v>44503</v>
      </c>
      <c r="C6240" s="362" t="s">
        <v>78</v>
      </c>
      <c r="D6240" s="560">
        <v>137413746</v>
      </c>
      <c r="E6240" s="560">
        <v>19010654</v>
      </c>
      <c r="F6240" s="560"/>
      <c r="G6240" s="560">
        <f t="shared" si="130"/>
        <v>156424400</v>
      </c>
      <c r="H6240" s="362"/>
      <c r="I6240" s="362"/>
      <c r="J6240" s="362"/>
    </row>
    <row r="6241" spans="1:10" x14ac:dyDescent="0.25">
      <c r="A6241" s="362"/>
      <c r="B6241" s="609">
        <v>44503</v>
      </c>
      <c r="C6241" s="362" t="s">
        <v>141</v>
      </c>
      <c r="D6241" s="560">
        <v>90652598</v>
      </c>
      <c r="E6241" s="560">
        <v>1169341</v>
      </c>
      <c r="F6241" s="362"/>
      <c r="G6241" s="560">
        <f t="shared" si="130"/>
        <v>91821939</v>
      </c>
      <c r="H6241" s="362"/>
      <c r="I6241" s="362"/>
      <c r="J6241" s="362"/>
    </row>
    <row r="6242" spans="1:10" x14ac:dyDescent="0.25">
      <c r="A6242" s="362"/>
      <c r="B6242" s="609">
        <v>44503</v>
      </c>
      <c r="C6242" s="362" t="s">
        <v>89</v>
      </c>
      <c r="D6242" s="560">
        <v>115799580</v>
      </c>
      <c r="E6242" s="560">
        <v>167934120</v>
      </c>
      <c r="F6242" s="362"/>
      <c r="G6242" s="560">
        <f t="shared" si="130"/>
        <v>283733700</v>
      </c>
      <c r="H6242" s="362"/>
      <c r="I6242" s="362"/>
      <c r="J6242" s="362"/>
    </row>
    <row r="6243" spans="1:10" x14ac:dyDescent="0.25">
      <c r="A6243" s="362"/>
      <c r="B6243" s="609">
        <v>44503</v>
      </c>
      <c r="C6243" s="362" t="s">
        <v>81</v>
      </c>
      <c r="D6243" s="560">
        <v>144730038</v>
      </c>
      <c r="E6243" s="560">
        <v>32702556</v>
      </c>
      <c r="F6243" s="362"/>
      <c r="G6243" s="560">
        <f t="shared" si="130"/>
        <v>177432594</v>
      </c>
      <c r="H6243" s="362"/>
      <c r="I6243" s="362"/>
      <c r="J6243" s="362"/>
    </row>
    <row r="6244" spans="1:10" x14ac:dyDescent="0.25">
      <c r="A6244" s="362"/>
      <c r="B6244" s="609">
        <v>44503</v>
      </c>
      <c r="C6244" s="362" t="s">
        <v>84</v>
      </c>
      <c r="D6244" s="560">
        <v>267491949</v>
      </c>
      <c r="E6244" s="560">
        <v>18160699</v>
      </c>
      <c r="F6244" s="362"/>
      <c r="G6244" s="560">
        <f t="shared" si="130"/>
        <v>285652648</v>
      </c>
      <c r="H6244" s="362"/>
      <c r="I6244" s="362"/>
      <c r="J6244" s="362"/>
    </row>
    <row r="6245" spans="1:10" x14ac:dyDescent="0.25">
      <c r="A6245" s="362"/>
      <c r="B6245" s="609">
        <v>44503</v>
      </c>
      <c r="C6245" s="362" t="s">
        <v>4751</v>
      </c>
      <c r="D6245" s="560">
        <v>259146405</v>
      </c>
      <c r="E6245" s="560">
        <v>14567595</v>
      </c>
      <c r="F6245" s="362"/>
      <c r="G6245" s="560">
        <f t="shared" si="130"/>
        <v>273714000</v>
      </c>
      <c r="H6245" s="362"/>
      <c r="I6245" s="362"/>
      <c r="J6245" s="362"/>
    </row>
    <row r="6246" spans="1:10" x14ac:dyDescent="0.25">
      <c r="A6246" s="362"/>
      <c r="B6246" s="609">
        <v>44503</v>
      </c>
      <c r="C6246" s="362" t="s">
        <v>166</v>
      </c>
      <c r="D6246" s="560">
        <v>64195433</v>
      </c>
      <c r="E6246" s="560"/>
      <c r="F6246" s="362"/>
      <c r="G6246" s="560">
        <f t="shared" si="130"/>
        <v>64195433</v>
      </c>
      <c r="H6246" s="362"/>
      <c r="I6246" s="362"/>
      <c r="J6246" s="362"/>
    </row>
    <row r="6247" spans="1:10" x14ac:dyDescent="0.25">
      <c r="A6247" s="362"/>
      <c r="B6247" s="609">
        <v>44503</v>
      </c>
      <c r="C6247" s="362" t="s">
        <v>3435</v>
      </c>
      <c r="D6247" s="560">
        <v>123740994</v>
      </c>
      <c r="E6247" s="560"/>
      <c r="F6247" s="362"/>
      <c r="G6247" s="560">
        <f t="shared" si="130"/>
        <v>123740994</v>
      </c>
      <c r="H6247" s="362"/>
      <c r="I6247" s="362"/>
      <c r="J6247" s="362"/>
    </row>
    <row r="6248" spans="1:10" x14ac:dyDescent="0.25">
      <c r="A6248" s="362"/>
      <c r="B6248" s="609">
        <v>44503</v>
      </c>
      <c r="C6248" s="370" t="s">
        <v>85</v>
      </c>
      <c r="D6248" s="560">
        <v>53609100</v>
      </c>
      <c r="E6248" s="560"/>
      <c r="F6248" s="362"/>
      <c r="G6248" s="560">
        <f t="shared" si="130"/>
        <v>53609100</v>
      </c>
      <c r="H6248" s="362"/>
      <c r="I6248" s="362"/>
      <c r="J6248" s="362"/>
    </row>
    <row r="6249" spans="1:10" x14ac:dyDescent="0.25">
      <c r="A6249" s="530"/>
      <c r="B6249" s="530"/>
      <c r="C6249" s="530"/>
      <c r="D6249" s="562">
        <f>SUM(D6234:D6248)</f>
        <v>2210485878</v>
      </c>
      <c r="E6249" s="562">
        <f>SUM(E6234:E6248)</f>
        <v>653010350</v>
      </c>
      <c r="F6249" s="562">
        <f>SUM(F6234:F6248)</f>
        <v>0</v>
      </c>
      <c r="G6249" s="562">
        <f>SUM(G6234:G6248)</f>
        <v>2863496228</v>
      </c>
      <c r="H6249" s="530"/>
      <c r="I6249" s="530"/>
      <c r="J6249" s="530"/>
    </row>
    <row r="6250" spans="1:10" x14ac:dyDescent="0.25">
      <c r="A6250" s="362"/>
      <c r="B6250" s="609">
        <v>44504</v>
      </c>
      <c r="C6250" s="362" t="s">
        <v>86</v>
      </c>
      <c r="D6250" s="560">
        <v>104071082</v>
      </c>
      <c r="E6250" s="560">
        <v>73790000</v>
      </c>
      <c r="F6250" s="362"/>
      <c r="G6250" s="560">
        <f t="shared" si="130"/>
        <v>177861082</v>
      </c>
      <c r="H6250" s="362"/>
      <c r="I6250" s="362"/>
      <c r="J6250" s="362"/>
    </row>
    <row r="6251" spans="1:10" x14ac:dyDescent="0.25">
      <c r="A6251" s="362"/>
      <c r="B6251" s="609">
        <v>44504</v>
      </c>
      <c r="C6251" s="362" t="s">
        <v>87</v>
      </c>
      <c r="D6251" s="560">
        <v>60275703</v>
      </c>
      <c r="E6251" s="560">
        <v>33729543</v>
      </c>
      <c r="F6251" s="362"/>
      <c r="G6251" s="560">
        <f t="shared" si="130"/>
        <v>94005246</v>
      </c>
      <c r="H6251" s="362"/>
      <c r="I6251" s="362"/>
      <c r="J6251" s="362"/>
    </row>
    <row r="6252" spans="1:10" x14ac:dyDescent="0.25">
      <c r="A6252" s="362"/>
      <c r="B6252" s="609">
        <v>44504</v>
      </c>
      <c r="C6252" s="362" t="s">
        <v>88</v>
      </c>
      <c r="D6252" s="560">
        <v>180354607</v>
      </c>
      <c r="E6252" s="560">
        <v>45940286</v>
      </c>
      <c r="F6252" s="362"/>
      <c r="G6252" s="560">
        <f t="shared" si="130"/>
        <v>226294893</v>
      </c>
      <c r="H6252" s="362"/>
      <c r="I6252" s="362"/>
      <c r="J6252" s="362"/>
    </row>
    <row r="6253" spans="1:10" x14ac:dyDescent="0.25">
      <c r="A6253" s="362"/>
      <c r="B6253" s="609">
        <v>44504</v>
      </c>
      <c r="C6253" s="362" t="s">
        <v>82</v>
      </c>
      <c r="D6253" s="560">
        <v>152390695</v>
      </c>
      <c r="E6253" s="560">
        <v>2686709</v>
      </c>
      <c r="F6253" s="362"/>
      <c r="G6253" s="560">
        <f t="shared" si="130"/>
        <v>155077404</v>
      </c>
      <c r="H6253" s="362"/>
      <c r="I6253" s="362"/>
      <c r="J6253" s="362"/>
    </row>
    <row r="6254" spans="1:10" x14ac:dyDescent="0.25">
      <c r="A6254" s="362"/>
      <c r="B6254" s="609">
        <v>44504</v>
      </c>
      <c r="C6254" s="362" t="s">
        <v>80</v>
      </c>
      <c r="D6254" s="560">
        <v>327320928</v>
      </c>
      <c r="E6254" s="560"/>
      <c r="F6254" s="362"/>
      <c r="G6254" s="560">
        <f t="shared" si="130"/>
        <v>327320928</v>
      </c>
      <c r="H6254" s="362"/>
      <c r="I6254" s="362"/>
      <c r="J6254" s="362"/>
    </row>
    <row r="6255" spans="1:10" x14ac:dyDescent="0.25">
      <c r="A6255" s="362"/>
      <c r="B6255" s="609">
        <v>44504</v>
      </c>
      <c r="C6255" s="362" t="s">
        <v>83</v>
      </c>
      <c r="D6255" s="560">
        <v>151046991</v>
      </c>
      <c r="E6255" s="560">
        <v>123998327</v>
      </c>
      <c r="F6255" s="362"/>
      <c r="G6255" s="560">
        <f t="shared" si="130"/>
        <v>275045318</v>
      </c>
      <c r="H6255" s="362"/>
      <c r="I6255" s="362"/>
      <c r="J6255" s="362"/>
    </row>
    <row r="6256" spans="1:10" x14ac:dyDescent="0.25">
      <c r="A6256" s="362"/>
      <c r="B6256" s="609">
        <v>44504</v>
      </c>
      <c r="C6256" s="362" t="s">
        <v>78</v>
      </c>
      <c r="D6256" s="560">
        <v>227189275</v>
      </c>
      <c r="E6256" s="560">
        <v>2002825</v>
      </c>
      <c r="F6256" s="362"/>
      <c r="G6256" s="560">
        <f t="shared" si="130"/>
        <v>229192100</v>
      </c>
      <c r="H6256" s="362"/>
      <c r="I6256" s="362"/>
      <c r="J6256" s="362"/>
    </row>
    <row r="6257" spans="1:10" x14ac:dyDescent="0.25">
      <c r="A6257" s="362"/>
      <c r="B6257" s="609">
        <v>44504</v>
      </c>
      <c r="C6257" s="362" t="s">
        <v>141</v>
      </c>
      <c r="D6257" s="560">
        <v>96244013</v>
      </c>
      <c r="E6257" s="560">
        <v>1371828</v>
      </c>
      <c r="F6257" s="362"/>
      <c r="G6257" s="560">
        <f t="shared" si="130"/>
        <v>97615841</v>
      </c>
      <c r="H6257" s="362"/>
      <c r="I6257" s="362"/>
      <c r="J6257" s="362"/>
    </row>
    <row r="6258" spans="1:10" x14ac:dyDescent="0.25">
      <c r="A6258" s="362"/>
      <c r="B6258" s="609">
        <v>44504</v>
      </c>
      <c r="C6258" s="362" t="s">
        <v>89</v>
      </c>
      <c r="D6258" s="560">
        <v>164739790</v>
      </c>
      <c r="E6258" s="560">
        <v>7203010</v>
      </c>
      <c r="F6258" s="362"/>
      <c r="G6258" s="560">
        <f t="shared" si="130"/>
        <v>171942800</v>
      </c>
      <c r="H6258" s="362"/>
      <c r="I6258" s="362"/>
      <c r="J6258" s="362"/>
    </row>
    <row r="6259" spans="1:10" x14ac:dyDescent="0.25">
      <c r="A6259" s="362"/>
      <c r="B6259" s="609">
        <v>44504</v>
      </c>
      <c r="C6259" s="362" t="s">
        <v>81</v>
      </c>
      <c r="D6259" s="560">
        <v>107849904</v>
      </c>
      <c r="E6259" s="560">
        <v>11391123</v>
      </c>
      <c r="F6259" s="362"/>
      <c r="G6259" s="560">
        <f t="shared" si="130"/>
        <v>119241027</v>
      </c>
      <c r="H6259" s="362"/>
      <c r="I6259" s="362"/>
      <c r="J6259" s="362"/>
    </row>
    <row r="6260" spans="1:10" x14ac:dyDescent="0.25">
      <c r="A6260" s="362"/>
      <c r="B6260" s="609">
        <v>44504</v>
      </c>
      <c r="C6260" s="362" t="s">
        <v>84</v>
      </c>
      <c r="D6260" s="560">
        <v>264638887</v>
      </c>
      <c r="E6260" s="560">
        <v>22214720</v>
      </c>
      <c r="F6260" s="362"/>
      <c r="G6260" s="560">
        <f t="shared" si="130"/>
        <v>286853607</v>
      </c>
      <c r="H6260" s="362"/>
      <c r="I6260" s="362"/>
      <c r="J6260" s="362"/>
    </row>
    <row r="6261" spans="1:10" x14ac:dyDescent="0.25">
      <c r="A6261" s="362"/>
      <c r="B6261" s="609">
        <v>44504</v>
      </c>
      <c r="C6261" s="362" t="s">
        <v>4751</v>
      </c>
      <c r="D6261" s="560">
        <v>266603645</v>
      </c>
      <c r="E6261" s="560">
        <v>27059155</v>
      </c>
      <c r="F6261" s="362"/>
      <c r="G6261" s="560">
        <f t="shared" si="130"/>
        <v>293662800</v>
      </c>
      <c r="H6261" s="362"/>
      <c r="I6261" s="362"/>
      <c r="J6261" s="362"/>
    </row>
    <row r="6262" spans="1:10" x14ac:dyDescent="0.25">
      <c r="A6262" s="362"/>
      <c r="B6262" s="609">
        <v>44504</v>
      </c>
      <c r="C6262" s="362" t="s">
        <v>166</v>
      </c>
      <c r="D6262" s="560">
        <v>139590855</v>
      </c>
      <c r="E6262" s="560"/>
      <c r="F6262" s="362"/>
      <c r="G6262" s="560">
        <f t="shared" si="130"/>
        <v>139590855</v>
      </c>
      <c r="H6262" s="362"/>
      <c r="I6262" s="362"/>
      <c r="J6262" s="362"/>
    </row>
    <row r="6263" spans="1:10" x14ac:dyDescent="0.25">
      <c r="A6263" s="362"/>
      <c r="B6263" s="609">
        <v>44504</v>
      </c>
      <c r="C6263" s="362" t="s">
        <v>3435</v>
      </c>
      <c r="D6263" s="560">
        <v>55199678</v>
      </c>
      <c r="E6263" s="560"/>
      <c r="F6263" s="362"/>
      <c r="G6263" s="560">
        <f t="shared" si="130"/>
        <v>55199678</v>
      </c>
      <c r="H6263" s="362"/>
      <c r="I6263" s="362"/>
      <c r="J6263" s="362"/>
    </row>
    <row r="6264" spans="1:10" x14ac:dyDescent="0.25">
      <c r="A6264" s="362"/>
      <c r="B6264" s="609">
        <v>44504</v>
      </c>
      <c r="C6264" s="370" t="s">
        <v>85</v>
      </c>
      <c r="D6264" s="560">
        <v>33386800</v>
      </c>
      <c r="E6264" s="560"/>
      <c r="F6264" s="362"/>
      <c r="G6264" s="560">
        <f t="shared" si="130"/>
        <v>33386800</v>
      </c>
      <c r="H6264" s="362"/>
      <c r="I6264" s="362"/>
      <c r="J6264" s="362"/>
    </row>
    <row r="6265" spans="1:10" x14ac:dyDescent="0.25">
      <c r="A6265" s="530"/>
      <c r="B6265" s="530"/>
      <c r="C6265" s="530"/>
      <c r="D6265" s="562">
        <f>SUM(D6250:D6264)</f>
        <v>2330902853</v>
      </c>
      <c r="E6265" s="562">
        <f>SUM(E6250:E6264)</f>
        <v>351387526</v>
      </c>
      <c r="F6265" s="562">
        <f>SUM(F6250:F6264)</f>
        <v>0</v>
      </c>
      <c r="G6265" s="562">
        <f>SUM(G6250:G6264)</f>
        <v>2682290379</v>
      </c>
      <c r="H6265" s="530"/>
      <c r="I6265" s="530"/>
      <c r="J6265" s="530"/>
    </row>
    <row r="6266" spans="1:10" x14ac:dyDescent="0.25">
      <c r="A6266" s="362"/>
      <c r="B6266" s="609">
        <v>44505</v>
      </c>
      <c r="C6266" s="362" t="s">
        <v>86</v>
      </c>
      <c r="D6266" s="560">
        <v>62628581</v>
      </c>
      <c r="E6266" s="560">
        <v>74216542</v>
      </c>
      <c r="F6266" s="560">
        <v>136845200</v>
      </c>
      <c r="G6266" s="560">
        <f t="shared" si="130"/>
        <v>-77</v>
      </c>
      <c r="H6266" s="362"/>
      <c r="I6266" s="362"/>
      <c r="J6266" s="362"/>
    </row>
    <row r="6267" spans="1:10" x14ac:dyDescent="0.25">
      <c r="A6267" s="362"/>
      <c r="B6267" s="609">
        <v>44505</v>
      </c>
      <c r="C6267" s="362" t="s">
        <v>87</v>
      </c>
      <c r="D6267" s="560">
        <v>109769677</v>
      </c>
      <c r="E6267" s="560">
        <v>10274610</v>
      </c>
      <c r="F6267" s="560">
        <v>120044300</v>
      </c>
      <c r="G6267" s="560">
        <f t="shared" si="130"/>
        <v>-13</v>
      </c>
      <c r="H6267" s="362"/>
      <c r="I6267" s="362"/>
      <c r="J6267" s="362"/>
    </row>
    <row r="6268" spans="1:10" x14ac:dyDescent="0.25">
      <c r="A6268" s="362"/>
      <c r="B6268" s="609">
        <v>44505</v>
      </c>
      <c r="C6268" s="362" t="s">
        <v>88</v>
      </c>
      <c r="D6268" s="560">
        <v>99837808</v>
      </c>
      <c r="E6268" s="560">
        <v>87143286</v>
      </c>
      <c r="F6268" s="560">
        <v>186981100</v>
      </c>
      <c r="G6268" s="560">
        <f t="shared" si="130"/>
        <v>-6</v>
      </c>
      <c r="H6268" s="362"/>
      <c r="I6268" s="362"/>
      <c r="J6268" s="362"/>
    </row>
    <row r="6269" spans="1:10" x14ac:dyDescent="0.25">
      <c r="A6269" s="362"/>
      <c r="B6269" s="609">
        <v>44505</v>
      </c>
      <c r="C6269" s="362" t="s">
        <v>82</v>
      </c>
      <c r="D6269" s="560">
        <v>114517283</v>
      </c>
      <c r="E6269" s="560">
        <v>24633195</v>
      </c>
      <c r="F6269" s="560">
        <v>139150500</v>
      </c>
      <c r="G6269" s="560">
        <f t="shared" si="130"/>
        <v>-22</v>
      </c>
      <c r="H6269" s="362"/>
      <c r="I6269" s="362"/>
      <c r="J6269" s="362"/>
    </row>
    <row r="6270" spans="1:10" x14ac:dyDescent="0.25">
      <c r="A6270" s="362"/>
      <c r="B6270" s="609">
        <v>44505</v>
      </c>
      <c r="C6270" s="362" t="s">
        <v>80</v>
      </c>
      <c r="D6270" s="560">
        <v>254313400</v>
      </c>
      <c r="E6270" s="560"/>
      <c r="F6270" s="560">
        <v>254313400</v>
      </c>
      <c r="G6270" s="560">
        <f t="shared" si="130"/>
        <v>0</v>
      </c>
      <c r="H6270" s="362"/>
      <c r="I6270" s="362"/>
      <c r="J6270" s="362"/>
    </row>
    <row r="6271" spans="1:10" x14ac:dyDescent="0.25">
      <c r="A6271" s="362"/>
      <c r="B6271" s="609">
        <v>44505</v>
      </c>
      <c r="C6271" s="362" t="s">
        <v>83</v>
      </c>
      <c r="D6271" s="560">
        <v>144801045</v>
      </c>
      <c r="E6271" s="560">
        <v>161125170</v>
      </c>
      <c r="F6271" s="560">
        <v>305926200</v>
      </c>
      <c r="G6271" s="560">
        <f t="shared" si="130"/>
        <v>15</v>
      </c>
      <c r="H6271" s="362"/>
      <c r="I6271" s="362"/>
      <c r="J6271" s="362"/>
    </row>
    <row r="6272" spans="1:10" x14ac:dyDescent="0.25">
      <c r="A6272" s="362"/>
      <c r="B6272" s="609">
        <v>44505</v>
      </c>
      <c r="C6272" s="362" t="s">
        <v>78</v>
      </c>
      <c r="D6272" s="560">
        <v>127398106</v>
      </c>
      <c r="E6272" s="560">
        <v>253094</v>
      </c>
      <c r="F6272" s="560">
        <v>127649200</v>
      </c>
      <c r="G6272" s="560">
        <f t="shared" si="130"/>
        <v>2000</v>
      </c>
      <c r="H6272" s="362"/>
      <c r="I6272" s="362"/>
      <c r="J6272" s="362"/>
    </row>
    <row r="6273" spans="1:10" x14ac:dyDescent="0.25">
      <c r="A6273" s="362"/>
      <c r="B6273" s="609">
        <v>44505</v>
      </c>
      <c r="C6273" s="362" t="s">
        <v>141</v>
      </c>
      <c r="D6273" s="560">
        <v>74563705</v>
      </c>
      <c r="E6273" s="560">
        <v>1358952</v>
      </c>
      <c r="F6273" s="560">
        <v>75922700</v>
      </c>
      <c r="G6273" s="560">
        <f t="shared" si="130"/>
        <v>-43</v>
      </c>
      <c r="H6273" s="362"/>
      <c r="I6273" s="362"/>
      <c r="J6273" s="362"/>
    </row>
    <row r="6274" spans="1:10" x14ac:dyDescent="0.25">
      <c r="A6274" s="362"/>
      <c r="B6274" s="609">
        <v>44505</v>
      </c>
      <c r="C6274" s="362" t="s">
        <v>89</v>
      </c>
      <c r="D6274" s="560">
        <v>154055102</v>
      </c>
      <c r="E6274" s="560">
        <v>27268998</v>
      </c>
      <c r="F6274" s="560">
        <v>181324000</v>
      </c>
      <c r="G6274" s="560">
        <f t="shared" si="130"/>
        <v>100</v>
      </c>
      <c r="H6274" s="362"/>
      <c r="I6274" s="362"/>
      <c r="J6274" s="362"/>
    </row>
    <row r="6275" spans="1:10" x14ac:dyDescent="0.25">
      <c r="A6275" s="362"/>
      <c r="B6275" s="609">
        <v>44505</v>
      </c>
      <c r="C6275" s="362" t="s">
        <v>81</v>
      </c>
      <c r="D6275" s="560">
        <v>74991041</v>
      </c>
      <c r="E6275" s="560">
        <v>5058916</v>
      </c>
      <c r="F6275" s="560">
        <v>80050000</v>
      </c>
      <c r="G6275" s="560">
        <f t="shared" si="130"/>
        <v>-43</v>
      </c>
      <c r="H6275" s="362"/>
      <c r="I6275" s="362"/>
      <c r="J6275" s="362"/>
    </row>
    <row r="6276" spans="1:10" x14ac:dyDescent="0.25">
      <c r="A6276" s="362"/>
      <c r="B6276" s="609">
        <v>44505</v>
      </c>
      <c r="C6276" s="362" t="s">
        <v>84</v>
      </c>
      <c r="D6276" s="560">
        <v>299788559</v>
      </c>
      <c r="E6276" s="560">
        <v>16116009</v>
      </c>
      <c r="F6276" s="560">
        <v>315904600</v>
      </c>
      <c r="G6276" s="560">
        <f t="shared" si="130"/>
        <v>-32</v>
      </c>
      <c r="H6276" s="362"/>
      <c r="I6276" s="362"/>
      <c r="J6276" s="362"/>
    </row>
    <row r="6277" spans="1:10" x14ac:dyDescent="0.25">
      <c r="A6277" s="362"/>
      <c r="B6277" s="609">
        <v>44505</v>
      </c>
      <c r="C6277" s="362" t="s">
        <v>4751</v>
      </c>
      <c r="D6277" s="560">
        <v>130723643</v>
      </c>
      <c r="E6277" s="560">
        <v>13806657</v>
      </c>
      <c r="F6277" s="560">
        <v>144530300</v>
      </c>
      <c r="G6277" s="560">
        <f t="shared" si="130"/>
        <v>0</v>
      </c>
      <c r="H6277" s="362"/>
      <c r="I6277" s="362"/>
      <c r="J6277" s="362"/>
    </row>
    <row r="6278" spans="1:10" x14ac:dyDescent="0.25">
      <c r="A6278" s="362"/>
      <c r="B6278" s="609">
        <v>44505</v>
      </c>
      <c r="C6278" s="362" t="s">
        <v>166</v>
      </c>
      <c r="D6278" s="560">
        <v>56436723</v>
      </c>
      <c r="E6278" s="560"/>
      <c r="F6278" s="560">
        <v>56436800</v>
      </c>
      <c r="G6278" s="560">
        <f t="shared" si="130"/>
        <v>-77</v>
      </c>
      <c r="H6278" s="362"/>
      <c r="I6278" s="362"/>
      <c r="J6278" s="362"/>
    </row>
    <row r="6279" spans="1:10" x14ac:dyDescent="0.25">
      <c r="A6279" s="362"/>
      <c r="B6279" s="609">
        <v>44505</v>
      </c>
      <c r="C6279" s="362" t="s">
        <v>3435</v>
      </c>
      <c r="D6279" s="560">
        <v>43494927</v>
      </c>
      <c r="E6279" s="560"/>
      <c r="F6279" s="560">
        <v>43495000</v>
      </c>
      <c r="G6279" s="560">
        <f t="shared" si="130"/>
        <v>-73</v>
      </c>
      <c r="H6279" s="362"/>
      <c r="I6279" s="362"/>
      <c r="J6279" s="362"/>
    </row>
    <row r="6280" spans="1:10" x14ac:dyDescent="0.25">
      <c r="A6280" s="362"/>
      <c r="B6280" s="609">
        <v>44505</v>
      </c>
      <c r="C6280" s="370" t="s">
        <v>85</v>
      </c>
      <c r="D6280" s="560">
        <v>33026000</v>
      </c>
      <c r="E6280" s="560"/>
      <c r="F6280" s="560">
        <v>33026000</v>
      </c>
      <c r="G6280" s="560">
        <f t="shared" si="130"/>
        <v>0</v>
      </c>
      <c r="H6280" s="362"/>
      <c r="I6280" s="362"/>
      <c r="J6280" s="362"/>
    </row>
    <row r="6281" spans="1:10" x14ac:dyDescent="0.25">
      <c r="A6281" s="530"/>
      <c r="B6281" s="530"/>
      <c r="C6281" s="530"/>
      <c r="D6281" s="562">
        <f>SUM(D6266:D6280)</f>
        <v>1780345600</v>
      </c>
      <c r="E6281" s="562">
        <f>SUM(E6266:E6280)</f>
        <v>421255429</v>
      </c>
      <c r="F6281" s="562">
        <f>SUM(F6266:F6280)</f>
        <v>2201599300</v>
      </c>
      <c r="G6281" s="562">
        <f>SUM(G6266:G6280)</f>
        <v>1729</v>
      </c>
      <c r="H6281" s="530"/>
      <c r="I6281" s="530"/>
      <c r="J6281" s="530"/>
    </row>
    <row r="6282" spans="1:10" x14ac:dyDescent="0.25">
      <c r="A6282" s="362"/>
      <c r="B6282" s="609">
        <v>44506</v>
      </c>
      <c r="C6282" s="362" t="s">
        <v>86</v>
      </c>
      <c r="D6282" s="560">
        <v>58776029</v>
      </c>
      <c r="E6282" s="560">
        <v>63453953</v>
      </c>
      <c r="F6282" s="560"/>
      <c r="G6282" s="560">
        <f t="shared" si="130"/>
        <v>122229982</v>
      </c>
      <c r="H6282" s="362"/>
      <c r="I6282" s="362"/>
      <c r="J6282" s="362"/>
    </row>
    <row r="6283" spans="1:10" x14ac:dyDescent="0.25">
      <c r="A6283" s="362"/>
      <c r="B6283" s="609">
        <v>44506</v>
      </c>
      <c r="C6283" s="362" t="s">
        <v>87</v>
      </c>
      <c r="D6283" s="560">
        <v>54671681</v>
      </c>
      <c r="E6283" s="560">
        <v>58687841</v>
      </c>
      <c r="F6283" s="560"/>
      <c r="G6283" s="560">
        <f t="shared" si="130"/>
        <v>113359522</v>
      </c>
      <c r="H6283" s="362"/>
      <c r="I6283" s="362"/>
      <c r="J6283" s="362"/>
    </row>
    <row r="6284" spans="1:10" x14ac:dyDescent="0.25">
      <c r="A6284" s="362"/>
      <c r="B6284" s="609">
        <v>44506</v>
      </c>
      <c r="C6284" s="362" t="s">
        <v>88</v>
      </c>
      <c r="D6284" s="560">
        <v>452463166</v>
      </c>
      <c r="E6284" s="560">
        <v>49009100</v>
      </c>
      <c r="F6284" s="560"/>
      <c r="G6284" s="560">
        <f t="shared" ref="G6284:G6347" si="131">D6284+E6284-F6284</f>
        <v>501472266</v>
      </c>
      <c r="H6284" s="362"/>
      <c r="I6284" s="362"/>
      <c r="J6284" s="362"/>
    </row>
    <row r="6285" spans="1:10" x14ac:dyDescent="0.25">
      <c r="A6285" s="362"/>
      <c r="B6285" s="609">
        <v>44506</v>
      </c>
      <c r="C6285" s="362" t="s">
        <v>82</v>
      </c>
      <c r="D6285" s="560">
        <v>126145100</v>
      </c>
      <c r="E6285" s="560">
        <v>2068522</v>
      </c>
      <c r="F6285" s="560"/>
      <c r="G6285" s="560">
        <f t="shared" si="131"/>
        <v>128213622</v>
      </c>
      <c r="H6285" s="362"/>
      <c r="I6285" s="362"/>
      <c r="J6285" s="362"/>
    </row>
    <row r="6286" spans="1:10" x14ac:dyDescent="0.25">
      <c r="A6286" s="362"/>
      <c r="B6286" s="609">
        <v>44506</v>
      </c>
      <c r="C6286" s="362" t="s">
        <v>80</v>
      </c>
      <c r="D6286" s="560">
        <v>307374593</v>
      </c>
      <c r="E6286" s="560">
        <v>18683597</v>
      </c>
      <c r="F6286" s="560"/>
      <c r="G6286" s="560">
        <f t="shared" si="131"/>
        <v>326058190</v>
      </c>
      <c r="H6286" s="362"/>
      <c r="I6286" s="362"/>
      <c r="J6286" s="362"/>
    </row>
    <row r="6287" spans="1:10" x14ac:dyDescent="0.25">
      <c r="A6287" s="362"/>
      <c r="B6287" s="609">
        <v>44506</v>
      </c>
      <c r="C6287" s="362" t="s">
        <v>83</v>
      </c>
      <c r="D6287" s="560">
        <v>143614215</v>
      </c>
      <c r="E6287" s="560">
        <v>108292771</v>
      </c>
      <c r="F6287" s="560"/>
      <c r="G6287" s="560">
        <f t="shared" si="131"/>
        <v>251906986</v>
      </c>
      <c r="H6287" s="362"/>
      <c r="I6287" s="362"/>
      <c r="J6287" s="362"/>
    </row>
    <row r="6288" spans="1:10" x14ac:dyDescent="0.25">
      <c r="A6288" s="362"/>
      <c r="B6288" s="609">
        <v>44506</v>
      </c>
      <c r="C6288" s="362" t="s">
        <v>78</v>
      </c>
      <c r="D6288" s="560">
        <v>143472811</v>
      </c>
      <c r="E6288" s="560">
        <v>18083889</v>
      </c>
      <c r="F6288" s="560"/>
      <c r="G6288" s="560">
        <f t="shared" si="131"/>
        <v>161556700</v>
      </c>
      <c r="H6288" s="362"/>
      <c r="I6288" s="362"/>
      <c r="J6288" s="362"/>
    </row>
    <row r="6289" spans="1:10" x14ac:dyDescent="0.25">
      <c r="A6289" s="362"/>
      <c r="B6289" s="609">
        <v>44506</v>
      </c>
      <c r="C6289" s="362" t="s">
        <v>141</v>
      </c>
      <c r="D6289" s="560">
        <v>61319534</v>
      </c>
      <c r="E6289" s="560">
        <v>1263967</v>
      </c>
      <c r="F6289" s="560"/>
      <c r="G6289" s="560">
        <f t="shared" si="131"/>
        <v>62583501</v>
      </c>
      <c r="H6289" s="362"/>
      <c r="I6289" s="362"/>
      <c r="J6289" s="362"/>
    </row>
    <row r="6290" spans="1:10" x14ac:dyDescent="0.25">
      <c r="A6290" s="362"/>
      <c r="B6290" s="609">
        <v>44506</v>
      </c>
      <c r="C6290" s="362" t="s">
        <v>89</v>
      </c>
      <c r="D6290" s="560">
        <v>113122582</v>
      </c>
      <c r="E6290" s="560">
        <v>26716918</v>
      </c>
      <c r="F6290" s="560"/>
      <c r="G6290" s="560">
        <f t="shared" si="131"/>
        <v>139839500</v>
      </c>
      <c r="H6290" s="362"/>
      <c r="I6290" s="362"/>
      <c r="J6290" s="362"/>
    </row>
    <row r="6291" spans="1:10" x14ac:dyDescent="0.25">
      <c r="A6291" s="362"/>
      <c r="B6291" s="609">
        <v>44506</v>
      </c>
      <c r="C6291" s="362" t="s">
        <v>81</v>
      </c>
      <c r="D6291" s="560">
        <v>191232803</v>
      </c>
      <c r="E6291" s="560">
        <v>12202987</v>
      </c>
      <c r="F6291" s="560"/>
      <c r="G6291" s="560">
        <f t="shared" si="131"/>
        <v>203435790</v>
      </c>
      <c r="H6291" s="362"/>
      <c r="I6291" s="362"/>
      <c r="J6291" s="362"/>
    </row>
    <row r="6292" spans="1:10" x14ac:dyDescent="0.25">
      <c r="A6292" s="362"/>
      <c r="B6292" s="609">
        <v>44506</v>
      </c>
      <c r="C6292" s="362" t="s">
        <v>84</v>
      </c>
      <c r="D6292" s="560">
        <v>215393116</v>
      </c>
      <c r="E6292" s="560">
        <v>11386924</v>
      </c>
      <c r="F6292" s="560"/>
      <c r="G6292" s="560">
        <f t="shared" si="131"/>
        <v>226780040</v>
      </c>
      <c r="H6292" s="362"/>
      <c r="I6292" s="362"/>
      <c r="J6292" s="362"/>
    </row>
    <row r="6293" spans="1:10" x14ac:dyDescent="0.25">
      <c r="A6293" s="362"/>
      <c r="B6293" s="609">
        <v>44506</v>
      </c>
      <c r="C6293" s="362" t="s">
        <v>4751</v>
      </c>
      <c r="D6293" s="560">
        <v>223311727</v>
      </c>
      <c r="E6293" s="560">
        <v>64662173</v>
      </c>
      <c r="F6293" s="560"/>
      <c r="G6293" s="560">
        <f t="shared" si="131"/>
        <v>287973900</v>
      </c>
      <c r="H6293" s="362"/>
      <c r="I6293" s="362"/>
      <c r="J6293" s="362"/>
    </row>
    <row r="6294" spans="1:10" x14ac:dyDescent="0.25">
      <c r="A6294" s="362"/>
      <c r="B6294" s="609">
        <v>44506</v>
      </c>
      <c r="C6294" s="362" t="s">
        <v>166</v>
      </c>
      <c r="D6294" s="560"/>
      <c r="E6294" s="560"/>
      <c r="F6294" s="560"/>
      <c r="G6294" s="560">
        <f t="shared" si="131"/>
        <v>0</v>
      </c>
      <c r="H6294" s="362"/>
      <c r="I6294" s="362"/>
      <c r="J6294" s="362"/>
    </row>
    <row r="6295" spans="1:10" x14ac:dyDescent="0.25">
      <c r="A6295" s="362"/>
      <c r="B6295" s="609">
        <v>44506</v>
      </c>
      <c r="C6295" s="362" t="s">
        <v>3435</v>
      </c>
      <c r="D6295" s="560"/>
      <c r="E6295" s="560"/>
      <c r="F6295" s="560"/>
      <c r="G6295" s="560">
        <f t="shared" si="131"/>
        <v>0</v>
      </c>
      <c r="H6295" s="362"/>
      <c r="I6295" s="362"/>
      <c r="J6295" s="362"/>
    </row>
    <row r="6296" spans="1:10" x14ac:dyDescent="0.25">
      <c r="A6296" s="362"/>
      <c r="B6296" s="609">
        <v>44506</v>
      </c>
      <c r="C6296" s="370" t="s">
        <v>85</v>
      </c>
      <c r="D6296" s="560">
        <v>24267300</v>
      </c>
      <c r="E6296" s="560"/>
      <c r="F6296" s="560"/>
      <c r="G6296" s="560">
        <f t="shared" si="131"/>
        <v>24267300</v>
      </c>
      <c r="H6296" s="362"/>
      <c r="I6296" s="362"/>
      <c r="J6296" s="362"/>
    </row>
    <row r="6297" spans="1:10" x14ac:dyDescent="0.25">
      <c r="A6297" s="530"/>
      <c r="B6297" s="530"/>
      <c r="C6297" s="530"/>
      <c r="D6297" s="562">
        <f>SUM(D6282:D6296)</f>
        <v>2115164657</v>
      </c>
      <c r="E6297" s="562">
        <f>SUM(E6282:E6296)</f>
        <v>434512642</v>
      </c>
      <c r="F6297" s="562">
        <f>SUM(F6282:F6296)</f>
        <v>0</v>
      </c>
      <c r="G6297" s="562">
        <f>SUM(G6282:G6296)</f>
        <v>2549677299</v>
      </c>
      <c r="H6297" s="530"/>
      <c r="I6297" s="530"/>
      <c r="J6297" s="530"/>
    </row>
    <row r="6298" spans="1:10" x14ac:dyDescent="0.25">
      <c r="A6298" s="362"/>
      <c r="B6298" s="609">
        <v>44508</v>
      </c>
      <c r="C6298" s="362" t="s">
        <v>86</v>
      </c>
      <c r="D6298" s="560">
        <v>61789378</v>
      </c>
      <c r="E6298" s="560">
        <v>26300780</v>
      </c>
      <c r="F6298" s="560">
        <v>88090100</v>
      </c>
      <c r="G6298" s="560">
        <f t="shared" si="131"/>
        <v>58</v>
      </c>
      <c r="H6298" s="362"/>
      <c r="I6298" s="362"/>
      <c r="J6298" s="362"/>
    </row>
    <row r="6299" spans="1:10" x14ac:dyDescent="0.25">
      <c r="A6299" s="362"/>
      <c r="B6299" s="609">
        <v>44508</v>
      </c>
      <c r="C6299" s="362" t="s">
        <v>87</v>
      </c>
      <c r="D6299" s="560">
        <v>119226310</v>
      </c>
      <c r="E6299" s="560">
        <v>47960204</v>
      </c>
      <c r="F6299" s="560">
        <v>167186600</v>
      </c>
      <c r="G6299" s="560">
        <f t="shared" si="131"/>
        <v>-86</v>
      </c>
      <c r="H6299" s="362"/>
      <c r="I6299" s="362"/>
      <c r="J6299" s="362"/>
    </row>
    <row r="6300" spans="1:10" x14ac:dyDescent="0.25">
      <c r="A6300" s="362"/>
      <c r="B6300" s="609">
        <v>44508</v>
      </c>
      <c r="C6300" s="362" t="s">
        <v>88</v>
      </c>
      <c r="D6300" s="560">
        <v>167792377</v>
      </c>
      <c r="E6300" s="560">
        <v>67089388</v>
      </c>
      <c r="F6300" s="560">
        <v>234881800</v>
      </c>
      <c r="G6300" s="560">
        <f t="shared" si="131"/>
        <v>-35</v>
      </c>
      <c r="H6300" s="362"/>
      <c r="I6300" s="362"/>
      <c r="J6300" s="362"/>
    </row>
    <row r="6301" spans="1:10" x14ac:dyDescent="0.25">
      <c r="A6301" s="362"/>
      <c r="B6301" s="609">
        <v>44508</v>
      </c>
      <c r="C6301" s="362" t="s">
        <v>82</v>
      </c>
      <c r="D6301" s="560">
        <v>62399163</v>
      </c>
      <c r="E6301" s="560"/>
      <c r="F6301" s="560">
        <v>62399200</v>
      </c>
      <c r="G6301" s="560">
        <f t="shared" si="131"/>
        <v>-37</v>
      </c>
      <c r="H6301" s="362"/>
      <c r="I6301" s="362"/>
      <c r="J6301" s="362"/>
    </row>
    <row r="6302" spans="1:10" x14ac:dyDescent="0.25">
      <c r="A6302" s="362"/>
      <c r="B6302" s="609">
        <v>44508</v>
      </c>
      <c r="C6302" s="362" t="s">
        <v>80</v>
      </c>
      <c r="D6302" s="560">
        <v>248312624</v>
      </c>
      <c r="E6302" s="560"/>
      <c r="F6302" s="560">
        <v>248312700</v>
      </c>
      <c r="G6302" s="560">
        <f t="shared" si="131"/>
        <v>-76</v>
      </c>
      <c r="H6302" s="362"/>
      <c r="I6302" s="362"/>
      <c r="J6302" s="362"/>
    </row>
    <row r="6303" spans="1:10" x14ac:dyDescent="0.25">
      <c r="A6303" s="362"/>
      <c r="B6303" s="609">
        <v>44508</v>
      </c>
      <c r="C6303" s="362" t="s">
        <v>83</v>
      </c>
      <c r="D6303" s="560">
        <v>185421905</v>
      </c>
      <c r="E6303" s="560">
        <v>43481461</v>
      </c>
      <c r="F6303" s="560">
        <v>228903400</v>
      </c>
      <c r="G6303" s="560">
        <f t="shared" si="131"/>
        <v>-34</v>
      </c>
      <c r="H6303" s="362"/>
      <c r="I6303" s="362"/>
      <c r="J6303" s="362"/>
    </row>
    <row r="6304" spans="1:10" x14ac:dyDescent="0.25">
      <c r="A6304" s="362"/>
      <c r="B6304" s="609">
        <v>44508</v>
      </c>
      <c r="C6304" s="362" t="s">
        <v>78</v>
      </c>
      <c r="D6304" s="560">
        <v>154213820</v>
      </c>
      <c r="E6304" s="560">
        <v>1942980</v>
      </c>
      <c r="F6304" s="560">
        <v>156156800</v>
      </c>
      <c r="G6304" s="560">
        <f t="shared" si="131"/>
        <v>0</v>
      </c>
      <c r="H6304" s="362"/>
      <c r="I6304" s="362"/>
      <c r="J6304" s="362"/>
    </row>
    <row r="6305" spans="1:11" x14ac:dyDescent="0.25">
      <c r="A6305" s="362"/>
      <c r="B6305" s="609">
        <v>44508</v>
      </c>
      <c r="C6305" s="362" t="s">
        <v>141</v>
      </c>
      <c r="D6305" s="560">
        <v>134967036</v>
      </c>
      <c r="E6305" s="560">
        <v>1414062</v>
      </c>
      <c r="F6305" s="560">
        <v>136381100</v>
      </c>
      <c r="G6305" s="560">
        <f t="shared" si="131"/>
        <v>-2</v>
      </c>
      <c r="H6305" s="362"/>
      <c r="I6305" s="362"/>
      <c r="J6305" s="362"/>
    </row>
    <row r="6306" spans="1:11" x14ac:dyDescent="0.25">
      <c r="A6306" s="362"/>
      <c r="B6306" s="609">
        <v>44508</v>
      </c>
      <c r="C6306" s="362" t="s">
        <v>89</v>
      </c>
      <c r="D6306" s="560">
        <v>122992651</v>
      </c>
      <c r="E6306" s="560">
        <v>55526149</v>
      </c>
      <c r="F6306" s="560">
        <v>178518700</v>
      </c>
      <c r="G6306" s="560">
        <f t="shared" si="131"/>
        <v>100</v>
      </c>
      <c r="H6306" s="362"/>
      <c r="I6306" s="362"/>
      <c r="J6306" s="362"/>
    </row>
    <row r="6307" spans="1:11" x14ac:dyDescent="0.25">
      <c r="A6307" s="362"/>
      <c r="B6307" s="609">
        <v>44508</v>
      </c>
      <c r="C6307" s="362" t="s">
        <v>81</v>
      </c>
      <c r="D6307" s="560">
        <v>179715430</v>
      </c>
      <c r="E6307" s="560">
        <v>30871473</v>
      </c>
      <c r="F6307" s="560">
        <v>210586900</v>
      </c>
      <c r="G6307" s="560">
        <f t="shared" si="131"/>
        <v>3</v>
      </c>
      <c r="H6307" s="362"/>
      <c r="I6307" s="362"/>
      <c r="J6307" s="362"/>
    </row>
    <row r="6308" spans="1:11" x14ac:dyDescent="0.25">
      <c r="A6308" s="362"/>
      <c r="B6308" s="609">
        <v>44508</v>
      </c>
      <c r="C6308" s="362" t="s">
        <v>84</v>
      </c>
      <c r="D6308" s="560">
        <v>219518940</v>
      </c>
      <c r="E6308" s="560">
        <v>17065381</v>
      </c>
      <c r="F6308" s="560">
        <v>236584400</v>
      </c>
      <c r="G6308" s="560">
        <f t="shared" si="131"/>
        <v>-79</v>
      </c>
      <c r="H6308" s="362"/>
      <c r="I6308" s="362"/>
      <c r="J6308" s="362"/>
    </row>
    <row r="6309" spans="1:11" x14ac:dyDescent="0.25">
      <c r="A6309" s="362"/>
      <c r="B6309" s="609">
        <v>44508</v>
      </c>
      <c r="C6309" s="362" t="s">
        <v>4751</v>
      </c>
      <c r="D6309" s="560">
        <v>231320071</v>
      </c>
      <c r="E6309" s="560">
        <v>11848329</v>
      </c>
      <c r="F6309" s="560">
        <v>243168400</v>
      </c>
      <c r="G6309" s="560">
        <f t="shared" si="131"/>
        <v>0</v>
      </c>
      <c r="H6309" s="362"/>
      <c r="I6309" s="362"/>
      <c r="J6309" s="362"/>
    </row>
    <row r="6310" spans="1:11" x14ac:dyDescent="0.25">
      <c r="A6310" s="362"/>
      <c r="B6310" s="609">
        <v>44508</v>
      </c>
      <c r="C6310" s="362" t="s">
        <v>166</v>
      </c>
      <c r="D6310" s="560">
        <v>78018603</v>
      </c>
      <c r="E6310" s="560"/>
      <c r="F6310" s="560">
        <v>78018600</v>
      </c>
      <c r="G6310" s="560">
        <f t="shared" si="131"/>
        <v>3</v>
      </c>
      <c r="H6310" s="362"/>
      <c r="I6310" s="362"/>
      <c r="J6310" s="362"/>
    </row>
    <row r="6311" spans="1:11" x14ac:dyDescent="0.25">
      <c r="A6311" s="362"/>
      <c r="B6311" s="609">
        <v>44508</v>
      </c>
      <c r="C6311" s="362" t="s">
        <v>3435</v>
      </c>
      <c r="D6311" s="560">
        <v>25737835</v>
      </c>
      <c r="E6311" s="560"/>
      <c r="F6311" s="560">
        <v>25737900</v>
      </c>
      <c r="G6311" s="560">
        <f t="shared" si="131"/>
        <v>-65</v>
      </c>
      <c r="H6311" s="362"/>
      <c r="I6311" s="362"/>
      <c r="J6311" s="362"/>
    </row>
    <row r="6312" spans="1:11" x14ac:dyDescent="0.25">
      <c r="A6312" s="362"/>
      <c r="B6312" s="609">
        <v>44508</v>
      </c>
      <c r="C6312" s="370" t="s">
        <v>85</v>
      </c>
      <c r="D6312" s="560">
        <v>51630400</v>
      </c>
      <c r="E6312" s="560"/>
      <c r="F6312" s="560">
        <v>51630400</v>
      </c>
      <c r="G6312" s="560">
        <f t="shared" si="131"/>
        <v>0</v>
      </c>
      <c r="H6312" s="362"/>
      <c r="I6312" s="362"/>
      <c r="J6312" s="362"/>
    </row>
    <row r="6313" spans="1:11" x14ac:dyDescent="0.25">
      <c r="A6313" s="530"/>
      <c r="B6313" s="530"/>
      <c r="C6313" s="530"/>
      <c r="D6313" s="562">
        <f>SUM(D6298:D6312)</f>
        <v>2043056543</v>
      </c>
      <c r="E6313" s="562">
        <f>SUM(E6298:E6312)</f>
        <v>303500207</v>
      </c>
      <c r="F6313" s="562">
        <f>SUM(F6298:F6312)</f>
        <v>2346557000</v>
      </c>
      <c r="G6313" s="562">
        <f>SUM(G6298:G6312)</f>
        <v>-250</v>
      </c>
      <c r="H6313" s="530"/>
      <c r="I6313" s="530"/>
      <c r="J6313" s="530"/>
      <c r="K6313" s="736"/>
    </row>
    <row r="6314" spans="1:11" x14ac:dyDescent="0.25">
      <c r="A6314" s="362"/>
      <c r="B6314" s="609">
        <v>44509</v>
      </c>
      <c r="C6314" s="362" t="s">
        <v>86</v>
      </c>
      <c r="D6314" s="560">
        <v>63795171</v>
      </c>
      <c r="E6314" s="560">
        <v>20979320</v>
      </c>
      <c r="F6314" s="560"/>
      <c r="G6314" s="560">
        <f t="shared" si="131"/>
        <v>84774491</v>
      </c>
      <c r="H6314" s="362"/>
      <c r="I6314" s="362"/>
      <c r="J6314" s="362"/>
    </row>
    <row r="6315" spans="1:11" x14ac:dyDescent="0.25">
      <c r="A6315" s="362"/>
      <c r="B6315" s="609">
        <v>44509</v>
      </c>
      <c r="C6315" s="362" t="s">
        <v>87</v>
      </c>
      <c r="D6315" s="560">
        <v>97893797</v>
      </c>
      <c r="E6315" s="560">
        <v>39125877</v>
      </c>
      <c r="F6315" s="560"/>
      <c r="G6315" s="560">
        <f t="shared" si="131"/>
        <v>137019674</v>
      </c>
      <c r="H6315" s="362"/>
      <c r="I6315" s="362"/>
      <c r="J6315" s="362"/>
    </row>
    <row r="6316" spans="1:11" x14ac:dyDescent="0.25">
      <c r="A6316" s="362"/>
      <c r="B6316" s="609">
        <v>44509</v>
      </c>
      <c r="C6316" s="362" t="s">
        <v>88</v>
      </c>
      <c r="D6316" s="560">
        <v>142405252</v>
      </c>
      <c r="E6316" s="560">
        <v>209989571</v>
      </c>
      <c r="F6316" s="560"/>
      <c r="G6316" s="560">
        <f t="shared" si="131"/>
        <v>352394823</v>
      </c>
      <c r="H6316" s="362"/>
      <c r="I6316" s="362"/>
      <c r="J6316" s="362"/>
    </row>
    <row r="6317" spans="1:11" x14ac:dyDescent="0.25">
      <c r="A6317" s="362"/>
      <c r="B6317" s="609">
        <v>44509</v>
      </c>
      <c r="C6317" s="362" t="s">
        <v>82</v>
      </c>
      <c r="D6317" s="560">
        <v>73252202</v>
      </c>
      <c r="E6317" s="560">
        <v>3922491</v>
      </c>
      <c r="F6317" s="560"/>
      <c r="G6317" s="560">
        <f t="shared" si="131"/>
        <v>77174693</v>
      </c>
      <c r="H6317" s="362"/>
      <c r="I6317" s="362"/>
      <c r="J6317" s="362"/>
    </row>
    <row r="6318" spans="1:11" x14ac:dyDescent="0.25">
      <c r="A6318" s="362"/>
      <c r="B6318" s="609">
        <v>44509</v>
      </c>
      <c r="C6318" s="362" t="s">
        <v>80</v>
      </c>
      <c r="D6318" s="560">
        <v>287782150</v>
      </c>
      <c r="E6318" s="560">
        <v>107778450</v>
      </c>
      <c r="F6318" s="560"/>
      <c r="G6318" s="560">
        <f t="shared" si="131"/>
        <v>395560600</v>
      </c>
      <c r="H6318" s="362"/>
      <c r="I6318" s="362"/>
      <c r="J6318" s="362"/>
    </row>
    <row r="6319" spans="1:11" x14ac:dyDescent="0.25">
      <c r="A6319" s="362"/>
      <c r="B6319" s="609">
        <v>44509</v>
      </c>
      <c r="C6319" s="362" t="s">
        <v>83</v>
      </c>
      <c r="D6319" s="560">
        <v>154663647</v>
      </c>
      <c r="E6319" s="560">
        <v>15274020</v>
      </c>
      <c r="F6319" s="560"/>
      <c r="G6319" s="560">
        <f t="shared" si="131"/>
        <v>169937667</v>
      </c>
      <c r="H6319" s="362"/>
      <c r="I6319" s="362"/>
      <c r="J6319" s="362"/>
    </row>
    <row r="6320" spans="1:11" x14ac:dyDescent="0.25">
      <c r="A6320" s="362"/>
      <c r="B6320" s="609">
        <v>44509</v>
      </c>
      <c r="C6320" s="362" t="s">
        <v>78</v>
      </c>
      <c r="D6320" s="560">
        <v>138280652</v>
      </c>
      <c r="E6320" s="560">
        <v>3253448</v>
      </c>
      <c r="F6320" s="560"/>
      <c r="G6320" s="560">
        <f t="shared" si="131"/>
        <v>141534100</v>
      </c>
      <c r="H6320" s="362"/>
      <c r="I6320" s="362"/>
      <c r="J6320" s="362"/>
    </row>
    <row r="6321" spans="1:10" x14ac:dyDescent="0.25">
      <c r="A6321" s="362"/>
      <c r="B6321" s="609">
        <v>44509</v>
      </c>
      <c r="C6321" s="362" t="s">
        <v>141</v>
      </c>
      <c r="D6321" s="560">
        <v>59712560</v>
      </c>
      <c r="E6321" s="560">
        <v>1491789</v>
      </c>
      <c r="F6321" s="560"/>
      <c r="G6321" s="560">
        <f t="shared" si="131"/>
        <v>61204349</v>
      </c>
      <c r="H6321" s="362"/>
      <c r="I6321" s="362"/>
      <c r="J6321" s="362"/>
    </row>
    <row r="6322" spans="1:10" x14ac:dyDescent="0.25">
      <c r="A6322" s="362"/>
      <c r="B6322" s="609">
        <v>44509</v>
      </c>
      <c r="C6322" s="362" t="s">
        <v>89</v>
      </c>
      <c r="D6322" s="560">
        <v>104228430</v>
      </c>
      <c r="E6322" s="560">
        <v>5135970</v>
      </c>
      <c r="F6322" s="560"/>
      <c r="G6322" s="560">
        <f t="shared" si="131"/>
        <v>109364400</v>
      </c>
      <c r="H6322" s="362"/>
      <c r="I6322" s="362"/>
      <c r="J6322" s="362"/>
    </row>
    <row r="6323" spans="1:10" x14ac:dyDescent="0.25">
      <c r="A6323" s="362"/>
      <c r="B6323" s="609">
        <v>44509</v>
      </c>
      <c r="C6323" s="362" t="s">
        <v>81</v>
      </c>
      <c r="D6323" s="560">
        <v>90173263</v>
      </c>
      <c r="E6323" s="560">
        <v>9483115</v>
      </c>
      <c r="F6323" s="560"/>
      <c r="G6323" s="560">
        <f t="shared" si="131"/>
        <v>99656378</v>
      </c>
      <c r="H6323" s="362"/>
      <c r="I6323" s="362"/>
      <c r="J6323" s="362"/>
    </row>
    <row r="6324" spans="1:10" x14ac:dyDescent="0.25">
      <c r="A6324" s="362"/>
      <c r="B6324" s="609">
        <v>44509</v>
      </c>
      <c r="C6324" s="362" t="s">
        <v>84</v>
      </c>
      <c r="D6324" s="560">
        <v>458199154</v>
      </c>
      <c r="E6324" s="560">
        <v>12111019</v>
      </c>
      <c r="F6324" s="560"/>
      <c r="G6324" s="560">
        <f t="shared" si="131"/>
        <v>470310173</v>
      </c>
      <c r="H6324" s="362"/>
      <c r="I6324" s="362"/>
      <c r="J6324" s="362"/>
    </row>
    <row r="6325" spans="1:10" x14ac:dyDescent="0.25">
      <c r="A6325" s="362"/>
      <c r="B6325" s="609">
        <v>44509</v>
      </c>
      <c r="C6325" s="362" t="s">
        <v>4751</v>
      </c>
      <c r="D6325" s="560">
        <v>220478807</v>
      </c>
      <c r="E6325" s="560">
        <v>10075793</v>
      </c>
      <c r="F6325" s="560"/>
      <c r="G6325" s="560">
        <f t="shared" si="131"/>
        <v>230554600</v>
      </c>
      <c r="H6325" s="362"/>
      <c r="I6325" s="362"/>
      <c r="J6325" s="362"/>
    </row>
    <row r="6326" spans="1:10" x14ac:dyDescent="0.25">
      <c r="A6326" s="362"/>
      <c r="B6326" s="609">
        <v>44509</v>
      </c>
      <c r="C6326" s="362" t="s">
        <v>166</v>
      </c>
      <c r="D6326" s="560">
        <v>156360561</v>
      </c>
      <c r="E6326" s="560"/>
      <c r="F6326" s="560"/>
      <c r="G6326" s="560">
        <f t="shared" si="131"/>
        <v>156360561</v>
      </c>
      <c r="H6326" s="362"/>
      <c r="I6326" s="362"/>
      <c r="J6326" s="362"/>
    </row>
    <row r="6327" spans="1:10" x14ac:dyDescent="0.25">
      <c r="A6327" s="362"/>
      <c r="B6327" s="609">
        <v>44509</v>
      </c>
      <c r="C6327" s="362" t="s">
        <v>3435</v>
      </c>
      <c r="D6327" s="560">
        <v>91079246</v>
      </c>
      <c r="E6327" s="560"/>
      <c r="F6327" s="560"/>
      <c r="G6327" s="560">
        <f t="shared" si="131"/>
        <v>91079246</v>
      </c>
      <c r="H6327" s="362"/>
      <c r="I6327" s="362"/>
      <c r="J6327" s="362"/>
    </row>
    <row r="6328" spans="1:10" x14ac:dyDescent="0.25">
      <c r="A6328" s="362"/>
      <c r="B6328" s="609">
        <v>44509</v>
      </c>
      <c r="C6328" s="370" t="s">
        <v>85</v>
      </c>
      <c r="D6328" s="560">
        <v>37870700</v>
      </c>
      <c r="E6328" s="560"/>
      <c r="F6328" s="560"/>
      <c r="G6328" s="560">
        <f t="shared" si="131"/>
        <v>37870700</v>
      </c>
      <c r="H6328" s="362"/>
      <c r="I6328" s="362"/>
      <c r="J6328" s="362"/>
    </row>
    <row r="6329" spans="1:10" x14ac:dyDescent="0.25">
      <c r="A6329" s="530"/>
      <c r="B6329" s="530"/>
      <c r="C6329" s="530"/>
      <c r="D6329" s="562">
        <f>SUM(D6314:D6328)</f>
        <v>2176175592</v>
      </c>
      <c r="E6329" s="562">
        <f>SUM(E6314:E6328)</f>
        <v>438620863</v>
      </c>
      <c r="F6329" s="562">
        <f>SUM(F6314:F6328)</f>
        <v>0</v>
      </c>
      <c r="G6329" s="562">
        <f>SUM(G6314:G6328)</f>
        <v>2614796455</v>
      </c>
      <c r="H6329" s="530"/>
      <c r="I6329" s="530"/>
      <c r="J6329" s="530"/>
    </row>
    <row r="6330" spans="1:10" x14ac:dyDescent="0.25">
      <c r="A6330" s="362"/>
      <c r="B6330" s="609">
        <v>44510</v>
      </c>
      <c r="C6330" s="362" t="s">
        <v>86</v>
      </c>
      <c r="D6330" s="560">
        <v>127477297</v>
      </c>
      <c r="E6330" s="560">
        <v>161578692</v>
      </c>
      <c r="F6330" s="560"/>
      <c r="G6330" s="560">
        <f t="shared" si="131"/>
        <v>289055989</v>
      </c>
      <c r="H6330" s="362"/>
      <c r="I6330" s="362"/>
      <c r="J6330" s="362"/>
    </row>
    <row r="6331" spans="1:10" x14ac:dyDescent="0.25">
      <c r="A6331" s="362"/>
      <c r="B6331" s="609">
        <v>44510</v>
      </c>
      <c r="C6331" s="362" t="s">
        <v>87</v>
      </c>
      <c r="D6331" s="560">
        <v>64009028</v>
      </c>
      <c r="E6331" s="560">
        <v>123773116</v>
      </c>
      <c r="F6331" s="560"/>
      <c r="G6331" s="560">
        <f t="shared" si="131"/>
        <v>187782144</v>
      </c>
      <c r="H6331" s="362"/>
      <c r="I6331" s="362"/>
      <c r="J6331" s="362"/>
    </row>
    <row r="6332" spans="1:10" x14ac:dyDescent="0.25">
      <c r="A6332" s="362"/>
      <c r="B6332" s="609">
        <v>44510</v>
      </c>
      <c r="C6332" s="362" t="s">
        <v>88</v>
      </c>
      <c r="D6332" s="560">
        <v>210041838</v>
      </c>
      <c r="E6332" s="560">
        <v>20694077</v>
      </c>
      <c r="F6332" s="560"/>
      <c r="G6332" s="560">
        <f t="shared" si="131"/>
        <v>230735915</v>
      </c>
      <c r="H6332" s="362"/>
      <c r="I6332" s="362"/>
      <c r="J6332" s="362"/>
    </row>
    <row r="6333" spans="1:10" x14ac:dyDescent="0.25">
      <c r="A6333" s="362"/>
      <c r="B6333" s="609">
        <v>44510</v>
      </c>
      <c r="C6333" s="362" t="s">
        <v>82</v>
      </c>
      <c r="D6333" s="560">
        <v>113233932</v>
      </c>
      <c r="E6333" s="560"/>
      <c r="F6333" s="560"/>
      <c r="G6333" s="560">
        <f t="shared" si="131"/>
        <v>113233932</v>
      </c>
      <c r="H6333" s="362"/>
      <c r="I6333" s="362"/>
      <c r="J6333" s="362"/>
    </row>
    <row r="6334" spans="1:10" x14ac:dyDescent="0.25">
      <c r="A6334" s="362"/>
      <c r="B6334" s="609">
        <v>44510</v>
      </c>
      <c r="C6334" s="362" t="s">
        <v>80</v>
      </c>
      <c r="D6334" s="560">
        <v>379374620</v>
      </c>
      <c r="E6334" s="560"/>
      <c r="F6334" s="560"/>
      <c r="G6334" s="560">
        <f t="shared" si="131"/>
        <v>379374620</v>
      </c>
      <c r="H6334" s="362"/>
      <c r="I6334" s="362"/>
      <c r="J6334" s="362"/>
    </row>
    <row r="6335" spans="1:10" x14ac:dyDescent="0.25">
      <c r="A6335" s="362"/>
      <c r="B6335" s="609">
        <v>44510</v>
      </c>
      <c r="C6335" s="362" t="s">
        <v>83</v>
      </c>
      <c r="D6335" s="560">
        <v>179394749</v>
      </c>
      <c r="E6335" s="560">
        <v>26796087</v>
      </c>
      <c r="F6335" s="560"/>
      <c r="G6335" s="560">
        <f t="shared" si="131"/>
        <v>206190836</v>
      </c>
      <c r="H6335" s="362"/>
      <c r="I6335" s="362"/>
      <c r="J6335" s="362"/>
    </row>
    <row r="6336" spans="1:10" x14ac:dyDescent="0.25">
      <c r="A6336" s="362"/>
      <c r="B6336" s="609">
        <v>44510</v>
      </c>
      <c r="C6336" s="362" t="s">
        <v>78</v>
      </c>
      <c r="D6336" s="560">
        <v>107003519</v>
      </c>
      <c r="E6336" s="560">
        <v>7344881</v>
      </c>
      <c r="F6336" s="560"/>
      <c r="G6336" s="560">
        <f t="shared" si="131"/>
        <v>114348400</v>
      </c>
      <c r="H6336" s="362"/>
      <c r="I6336" s="362"/>
      <c r="J6336" s="362"/>
    </row>
    <row r="6337" spans="1:10" x14ac:dyDescent="0.25">
      <c r="A6337" s="362"/>
      <c r="B6337" s="609">
        <v>44510</v>
      </c>
      <c r="C6337" s="362" t="s">
        <v>141</v>
      </c>
      <c r="D6337" s="560">
        <v>128118895</v>
      </c>
      <c r="E6337" s="560">
        <v>1526841</v>
      </c>
      <c r="F6337" s="560"/>
      <c r="G6337" s="560">
        <f t="shared" si="131"/>
        <v>129645736</v>
      </c>
      <c r="H6337" s="362"/>
      <c r="I6337" s="362"/>
      <c r="J6337" s="362"/>
    </row>
    <row r="6338" spans="1:10" x14ac:dyDescent="0.25">
      <c r="A6338" s="362"/>
      <c r="B6338" s="609">
        <v>44510</v>
      </c>
      <c r="C6338" s="362" t="s">
        <v>89</v>
      </c>
      <c r="D6338" s="560">
        <v>149658871</v>
      </c>
      <c r="E6338" s="560">
        <v>18478629</v>
      </c>
      <c r="F6338" s="560"/>
      <c r="G6338" s="560">
        <f t="shared" si="131"/>
        <v>168137500</v>
      </c>
      <c r="H6338" s="362"/>
      <c r="I6338" s="362"/>
      <c r="J6338" s="362"/>
    </row>
    <row r="6339" spans="1:10" x14ac:dyDescent="0.25">
      <c r="A6339" s="362"/>
      <c r="B6339" s="609">
        <v>44510</v>
      </c>
      <c r="C6339" s="362" t="s">
        <v>81</v>
      </c>
      <c r="D6339" s="560">
        <v>89858409</v>
      </c>
      <c r="E6339" s="560">
        <v>34702231</v>
      </c>
      <c r="F6339" s="560"/>
      <c r="G6339" s="560">
        <f t="shared" si="131"/>
        <v>124560640</v>
      </c>
      <c r="H6339" s="362"/>
      <c r="I6339" s="362"/>
      <c r="J6339" s="362"/>
    </row>
    <row r="6340" spans="1:10" x14ac:dyDescent="0.25">
      <c r="A6340" s="362"/>
      <c r="B6340" s="609">
        <v>44510</v>
      </c>
      <c r="C6340" s="362" t="s">
        <v>84</v>
      </c>
      <c r="D6340" s="560">
        <v>326856015</v>
      </c>
      <c r="E6340" s="560">
        <v>11546482</v>
      </c>
      <c r="F6340" s="560"/>
      <c r="G6340" s="560">
        <f t="shared" si="131"/>
        <v>338402497</v>
      </c>
      <c r="H6340" s="362"/>
      <c r="I6340" s="362"/>
      <c r="J6340" s="362"/>
    </row>
    <row r="6341" spans="1:10" x14ac:dyDescent="0.25">
      <c r="A6341" s="362"/>
      <c r="B6341" s="609">
        <v>44510</v>
      </c>
      <c r="C6341" s="362" t="s">
        <v>4751</v>
      </c>
      <c r="D6341" s="560">
        <v>159673921</v>
      </c>
      <c r="E6341" s="560">
        <v>17037179</v>
      </c>
      <c r="F6341" s="560"/>
      <c r="G6341" s="560">
        <f t="shared" si="131"/>
        <v>176711100</v>
      </c>
      <c r="H6341" s="362"/>
      <c r="I6341" s="362"/>
      <c r="J6341" s="362"/>
    </row>
    <row r="6342" spans="1:10" x14ac:dyDescent="0.25">
      <c r="A6342" s="362"/>
      <c r="B6342" s="609">
        <v>44510</v>
      </c>
      <c r="C6342" s="362" t="s">
        <v>166</v>
      </c>
      <c r="D6342" s="560">
        <v>81448424</v>
      </c>
      <c r="E6342" s="560"/>
      <c r="F6342" s="560"/>
      <c r="G6342" s="560">
        <f t="shared" si="131"/>
        <v>81448424</v>
      </c>
      <c r="H6342" s="362"/>
      <c r="I6342" s="362"/>
      <c r="J6342" s="362"/>
    </row>
    <row r="6343" spans="1:10" x14ac:dyDescent="0.25">
      <c r="A6343" s="362"/>
      <c r="B6343" s="609">
        <v>44510</v>
      </c>
      <c r="C6343" s="362" t="s">
        <v>3435</v>
      </c>
      <c r="D6343" s="560">
        <v>87129072</v>
      </c>
      <c r="E6343" s="560"/>
      <c r="F6343" s="560"/>
      <c r="G6343" s="560">
        <f t="shared" si="131"/>
        <v>87129072</v>
      </c>
      <c r="H6343" s="362"/>
      <c r="I6343" s="362"/>
      <c r="J6343" s="362"/>
    </row>
    <row r="6344" spans="1:10" x14ac:dyDescent="0.25">
      <c r="A6344" s="362"/>
      <c r="B6344" s="609">
        <v>44510</v>
      </c>
      <c r="C6344" s="370" t="s">
        <v>85</v>
      </c>
      <c r="D6344" s="560">
        <v>52679900</v>
      </c>
      <c r="E6344" s="560"/>
      <c r="F6344" s="560"/>
      <c r="G6344" s="560">
        <f t="shared" si="131"/>
        <v>52679900</v>
      </c>
      <c r="H6344" s="362"/>
      <c r="I6344" s="362"/>
      <c r="J6344" s="362"/>
    </row>
    <row r="6345" spans="1:10" x14ac:dyDescent="0.25">
      <c r="A6345" s="530"/>
      <c r="B6345" s="530"/>
      <c r="C6345" s="530"/>
      <c r="D6345" s="562">
        <f>SUM(D6330:D6344)</f>
        <v>2255958490</v>
      </c>
      <c r="E6345" s="562">
        <f>SUM(E6330:E6344)</f>
        <v>423478215</v>
      </c>
      <c r="F6345" s="562">
        <f>SUM(F6330:F6344)</f>
        <v>0</v>
      </c>
      <c r="G6345" s="562">
        <f>SUM(G6330:G6344)</f>
        <v>2679436705</v>
      </c>
      <c r="H6345" s="530"/>
      <c r="I6345" s="530"/>
      <c r="J6345" s="530"/>
    </row>
    <row r="6346" spans="1:10" x14ac:dyDescent="0.25">
      <c r="A6346" s="362"/>
      <c r="B6346" s="609">
        <v>44511</v>
      </c>
      <c r="C6346" s="362" t="s">
        <v>86</v>
      </c>
      <c r="D6346" s="560">
        <v>110011497</v>
      </c>
      <c r="E6346" s="560">
        <v>35367648</v>
      </c>
      <c r="F6346" s="560"/>
      <c r="G6346" s="560">
        <f t="shared" si="131"/>
        <v>145379145</v>
      </c>
      <c r="H6346" s="362"/>
      <c r="I6346" s="362"/>
      <c r="J6346" s="362"/>
    </row>
    <row r="6347" spans="1:10" x14ac:dyDescent="0.25">
      <c r="A6347" s="362"/>
      <c r="B6347" s="609">
        <v>44511</v>
      </c>
      <c r="C6347" s="362" t="s">
        <v>87</v>
      </c>
      <c r="D6347" s="560">
        <v>52882631</v>
      </c>
      <c r="E6347" s="560">
        <v>156851342</v>
      </c>
      <c r="F6347" s="560"/>
      <c r="G6347" s="560">
        <f t="shared" si="131"/>
        <v>209733973</v>
      </c>
      <c r="H6347" s="362"/>
      <c r="I6347" s="362"/>
      <c r="J6347" s="362"/>
    </row>
    <row r="6348" spans="1:10" x14ac:dyDescent="0.25">
      <c r="A6348" s="362"/>
      <c r="B6348" s="609">
        <v>44511</v>
      </c>
      <c r="C6348" s="362" t="s">
        <v>88</v>
      </c>
      <c r="D6348" s="560">
        <v>206931744</v>
      </c>
      <c r="E6348" s="560">
        <v>34243004</v>
      </c>
      <c r="F6348" s="560"/>
      <c r="G6348" s="560">
        <f t="shared" ref="G6348:G6411" si="132">D6348+E6348-F6348</f>
        <v>241174748</v>
      </c>
      <c r="H6348" s="362"/>
      <c r="I6348" s="362"/>
      <c r="J6348" s="362"/>
    </row>
    <row r="6349" spans="1:10" x14ac:dyDescent="0.25">
      <c r="A6349" s="362"/>
      <c r="B6349" s="609">
        <v>44511</v>
      </c>
      <c r="C6349" s="362" t="s">
        <v>82</v>
      </c>
      <c r="D6349" s="560">
        <v>93837037</v>
      </c>
      <c r="E6349" s="560">
        <v>16605810</v>
      </c>
      <c r="F6349" s="560"/>
      <c r="G6349" s="560">
        <f t="shared" si="132"/>
        <v>110442847</v>
      </c>
      <c r="H6349" s="362"/>
      <c r="I6349" s="362"/>
      <c r="J6349" s="362"/>
    </row>
    <row r="6350" spans="1:10" x14ac:dyDescent="0.25">
      <c r="A6350" s="362"/>
      <c r="B6350" s="609">
        <v>44511</v>
      </c>
      <c r="C6350" s="362" t="s">
        <v>80</v>
      </c>
      <c r="D6350" s="560">
        <v>299850413</v>
      </c>
      <c r="E6350" s="560">
        <v>17985877</v>
      </c>
      <c r="F6350" s="560"/>
      <c r="G6350" s="560">
        <f t="shared" si="132"/>
        <v>317836290</v>
      </c>
      <c r="H6350" s="362"/>
      <c r="I6350" s="362"/>
      <c r="J6350" s="362"/>
    </row>
    <row r="6351" spans="1:10" x14ac:dyDescent="0.25">
      <c r="A6351" s="362"/>
      <c r="B6351" s="609">
        <v>44511</v>
      </c>
      <c r="C6351" s="362" t="s">
        <v>83</v>
      </c>
      <c r="D6351" s="560">
        <v>148425191</v>
      </c>
      <c r="E6351" s="560">
        <v>241577609</v>
      </c>
      <c r="F6351" s="560"/>
      <c r="G6351" s="560">
        <f t="shared" si="132"/>
        <v>390002800</v>
      </c>
      <c r="H6351" s="362"/>
      <c r="I6351" s="362"/>
      <c r="J6351" s="362"/>
    </row>
    <row r="6352" spans="1:10" x14ac:dyDescent="0.25">
      <c r="A6352" s="362"/>
      <c r="B6352" s="609">
        <v>44511</v>
      </c>
      <c r="C6352" s="362" t="s">
        <v>78</v>
      </c>
      <c r="D6352" s="560">
        <v>83749985</v>
      </c>
      <c r="E6352" s="560">
        <v>112515</v>
      </c>
      <c r="F6352" s="560"/>
      <c r="G6352" s="560">
        <f t="shared" si="132"/>
        <v>83862500</v>
      </c>
      <c r="H6352" s="362"/>
      <c r="I6352" s="362"/>
      <c r="J6352" s="362"/>
    </row>
    <row r="6353" spans="1:10" x14ac:dyDescent="0.25">
      <c r="A6353" s="362"/>
      <c r="B6353" s="609">
        <v>44511</v>
      </c>
      <c r="C6353" s="362" t="s">
        <v>141</v>
      </c>
      <c r="D6353" s="560">
        <v>92391207</v>
      </c>
      <c r="E6353" s="560">
        <v>1179360</v>
      </c>
      <c r="F6353" s="560"/>
      <c r="G6353" s="560">
        <f t="shared" si="132"/>
        <v>93570567</v>
      </c>
      <c r="H6353" s="362"/>
      <c r="I6353" s="362"/>
      <c r="J6353" s="362"/>
    </row>
    <row r="6354" spans="1:10" x14ac:dyDescent="0.25">
      <c r="A6354" s="362"/>
      <c r="B6354" s="609">
        <v>44511</v>
      </c>
      <c r="C6354" s="362" t="s">
        <v>89</v>
      </c>
      <c r="D6354" s="560">
        <v>118640815</v>
      </c>
      <c r="E6354" s="560">
        <v>25047385</v>
      </c>
      <c r="F6354" s="560"/>
      <c r="G6354" s="560">
        <f t="shared" si="132"/>
        <v>143688200</v>
      </c>
      <c r="H6354" s="362"/>
      <c r="I6354" s="362"/>
      <c r="J6354" s="362"/>
    </row>
    <row r="6355" spans="1:10" x14ac:dyDescent="0.25">
      <c r="A6355" s="362"/>
      <c r="B6355" s="609">
        <v>44511</v>
      </c>
      <c r="C6355" s="362" t="s">
        <v>81</v>
      </c>
      <c r="D6355" s="560">
        <v>169014020</v>
      </c>
      <c r="E6355" s="560">
        <v>95399777</v>
      </c>
      <c r="F6355" s="560"/>
      <c r="G6355" s="560">
        <f t="shared" si="132"/>
        <v>264413797</v>
      </c>
      <c r="H6355" s="362"/>
      <c r="I6355" s="362"/>
      <c r="J6355" s="362"/>
    </row>
    <row r="6356" spans="1:10" x14ac:dyDescent="0.25">
      <c r="A6356" s="362"/>
      <c r="B6356" s="609">
        <v>44511</v>
      </c>
      <c r="C6356" s="362" t="s">
        <v>84</v>
      </c>
      <c r="D6356" s="560">
        <v>194352623</v>
      </c>
      <c r="E6356" s="560">
        <v>17891211</v>
      </c>
      <c r="F6356" s="560"/>
      <c r="G6356" s="560">
        <f t="shared" si="132"/>
        <v>212243834</v>
      </c>
      <c r="H6356" s="362"/>
      <c r="I6356" s="362"/>
      <c r="J6356" s="362"/>
    </row>
    <row r="6357" spans="1:10" x14ac:dyDescent="0.25">
      <c r="A6357" s="362"/>
      <c r="B6357" s="609">
        <v>44511</v>
      </c>
      <c r="C6357" s="362" t="s">
        <v>4751</v>
      </c>
      <c r="D6357" s="560">
        <v>234269358</v>
      </c>
      <c r="E6357" s="560">
        <v>20728042</v>
      </c>
      <c r="F6357" s="560"/>
      <c r="G6357" s="560">
        <f t="shared" si="132"/>
        <v>254997400</v>
      </c>
      <c r="H6357" s="362"/>
      <c r="I6357" s="362"/>
      <c r="J6357" s="362"/>
    </row>
    <row r="6358" spans="1:10" x14ac:dyDescent="0.25">
      <c r="A6358" s="362"/>
      <c r="B6358" s="609">
        <v>44511</v>
      </c>
      <c r="C6358" s="362" t="s">
        <v>166</v>
      </c>
      <c r="D6358" s="560">
        <v>82656073</v>
      </c>
      <c r="E6358" s="560"/>
      <c r="F6358" s="560"/>
      <c r="G6358" s="560">
        <f t="shared" si="132"/>
        <v>82656073</v>
      </c>
      <c r="H6358" s="362"/>
      <c r="I6358" s="362"/>
      <c r="J6358" s="362"/>
    </row>
    <row r="6359" spans="1:10" x14ac:dyDescent="0.25">
      <c r="A6359" s="362"/>
      <c r="B6359" s="609">
        <v>44511</v>
      </c>
      <c r="C6359" s="362" t="s">
        <v>3435</v>
      </c>
      <c r="D6359" s="560">
        <v>51535362</v>
      </c>
      <c r="E6359" s="560"/>
      <c r="F6359" s="560"/>
      <c r="G6359" s="560">
        <f t="shared" si="132"/>
        <v>51535362</v>
      </c>
      <c r="H6359" s="362"/>
      <c r="I6359" s="362"/>
      <c r="J6359" s="362"/>
    </row>
    <row r="6360" spans="1:10" x14ac:dyDescent="0.25">
      <c r="A6360" s="362"/>
      <c r="B6360" s="609">
        <v>44511</v>
      </c>
      <c r="C6360" s="370" t="s">
        <v>85</v>
      </c>
      <c r="D6360" s="560">
        <v>26475300</v>
      </c>
      <c r="E6360" s="560"/>
      <c r="F6360" s="560"/>
      <c r="G6360" s="560">
        <f t="shared" si="132"/>
        <v>26475300</v>
      </c>
      <c r="H6360" s="362"/>
      <c r="I6360" s="362"/>
      <c r="J6360" s="362"/>
    </row>
    <row r="6361" spans="1:10" x14ac:dyDescent="0.25">
      <c r="A6361" s="530"/>
      <c r="B6361" s="530"/>
      <c r="C6361" s="530"/>
      <c r="D6361" s="562">
        <f>SUM(D6346:D6360)</f>
        <v>1965023256</v>
      </c>
      <c r="E6361" s="562">
        <f>SUM(E6346:E6360)</f>
        <v>662989580</v>
      </c>
      <c r="F6361" s="562">
        <f>SUM(F6346:F6360)</f>
        <v>0</v>
      </c>
      <c r="G6361" s="562">
        <f>SUM(G6346:G6360)</f>
        <v>2628012836</v>
      </c>
      <c r="H6361" s="530"/>
      <c r="I6361" s="530"/>
      <c r="J6361" s="530"/>
    </row>
    <row r="6362" spans="1:10" x14ac:dyDescent="0.25">
      <c r="A6362" s="362"/>
      <c r="B6362" s="609">
        <v>44512</v>
      </c>
      <c r="C6362" s="362" t="s">
        <v>86</v>
      </c>
      <c r="D6362" s="560">
        <v>38074567</v>
      </c>
      <c r="E6362" s="560">
        <v>58704301</v>
      </c>
      <c r="F6362" s="560">
        <v>96779000</v>
      </c>
      <c r="G6362" s="560">
        <f t="shared" si="132"/>
        <v>-132</v>
      </c>
      <c r="H6362" s="362"/>
      <c r="I6362" s="362"/>
      <c r="J6362" s="362"/>
    </row>
    <row r="6363" spans="1:10" x14ac:dyDescent="0.25">
      <c r="A6363" s="362"/>
      <c r="B6363" s="609">
        <v>44512</v>
      </c>
      <c r="C6363" s="362" t="s">
        <v>87</v>
      </c>
      <c r="D6363" s="560">
        <v>105158671</v>
      </c>
      <c r="E6363" s="560">
        <v>6108202</v>
      </c>
      <c r="F6363" s="560">
        <v>111266900</v>
      </c>
      <c r="G6363" s="560">
        <f t="shared" si="132"/>
        <v>-27</v>
      </c>
      <c r="H6363" s="362"/>
      <c r="I6363" s="362"/>
      <c r="J6363" s="362"/>
    </row>
    <row r="6364" spans="1:10" x14ac:dyDescent="0.25">
      <c r="A6364" s="362"/>
      <c r="B6364" s="609">
        <v>44512</v>
      </c>
      <c r="C6364" s="362" t="s">
        <v>88</v>
      </c>
      <c r="D6364" s="560">
        <v>122788479</v>
      </c>
      <c r="E6364" s="560">
        <v>22367050</v>
      </c>
      <c r="F6364" s="560">
        <v>145155600</v>
      </c>
      <c r="G6364" s="560">
        <f t="shared" si="132"/>
        <v>-71</v>
      </c>
      <c r="H6364" s="362"/>
      <c r="I6364" s="362"/>
      <c r="J6364" s="362"/>
    </row>
    <row r="6365" spans="1:10" x14ac:dyDescent="0.25">
      <c r="A6365" s="362"/>
      <c r="B6365" s="609">
        <v>44512</v>
      </c>
      <c r="C6365" s="362" t="s">
        <v>82</v>
      </c>
      <c r="D6365" s="560">
        <v>122474888</v>
      </c>
      <c r="E6365" s="560">
        <v>59165</v>
      </c>
      <c r="F6365" s="560">
        <v>122534100</v>
      </c>
      <c r="G6365" s="560">
        <f t="shared" si="132"/>
        <v>-47</v>
      </c>
      <c r="H6365" s="362"/>
      <c r="I6365" s="362"/>
      <c r="J6365" s="362"/>
    </row>
    <row r="6366" spans="1:10" x14ac:dyDescent="0.25">
      <c r="A6366" s="362"/>
      <c r="B6366" s="609">
        <v>44512</v>
      </c>
      <c r="C6366" s="362" t="s">
        <v>80</v>
      </c>
      <c r="D6366" s="560">
        <v>383583982</v>
      </c>
      <c r="E6366" s="560">
        <v>44263512</v>
      </c>
      <c r="F6366" s="560">
        <v>427847500</v>
      </c>
      <c r="G6366" s="560">
        <f t="shared" si="132"/>
        <v>-6</v>
      </c>
      <c r="H6366" s="362"/>
      <c r="I6366" s="362"/>
      <c r="J6366" s="362"/>
    </row>
    <row r="6367" spans="1:10" x14ac:dyDescent="0.25">
      <c r="A6367" s="362"/>
      <c r="B6367" s="609">
        <v>44512</v>
      </c>
      <c r="C6367" s="362" t="s">
        <v>83</v>
      </c>
      <c r="D6367" s="560">
        <v>129777381</v>
      </c>
      <c r="E6367" s="560">
        <v>18949663</v>
      </c>
      <c r="F6367" s="560">
        <v>148727100</v>
      </c>
      <c r="G6367" s="560">
        <f t="shared" si="132"/>
        <v>-56</v>
      </c>
      <c r="H6367" s="362"/>
      <c r="I6367" s="362"/>
      <c r="J6367" s="362"/>
    </row>
    <row r="6368" spans="1:10" x14ac:dyDescent="0.25">
      <c r="A6368" s="362"/>
      <c r="B6368" s="609">
        <v>44512</v>
      </c>
      <c r="C6368" s="362" t="s">
        <v>78</v>
      </c>
      <c r="D6368" s="560">
        <v>239145285</v>
      </c>
      <c r="E6368" s="560">
        <v>35826615</v>
      </c>
      <c r="F6368" s="560">
        <v>274971900</v>
      </c>
      <c r="G6368" s="560">
        <f t="shared" si="132"/>
        <v>0</v>
      </c>
      <c r="H6368" s="362"/>
      <c r="I6368" s="362"/>
      <c r="J6368" s="362"/>
    </row>
    <row r="6369" spans="1:10" x14ac:dyDescent="0.25">
      <c r="A6369" s="362"/>
      <c r="B6369" s="609">
        <v>44512</v>
      </c>
      <c r="C6369" s="362" t="s">
        <v>141</v>
      </c>
      <c r="D6369" s="560">
        <v>100271826</v>
      </c>
      <c r="E6369" s="560">
        <v>847288</v>
      </c>
      <c r="F6369" s="560">
        <v>101119200</v>
      </c>
      <c r="G6369" s="560">
        <f t="shared" si="132"/>
        <v>-86</v>
      </c>
      <c r="H6369" s="362"/>
      <c r="I6369" s="362"/>
      <c r="J6369" s="362"/>
    </row>
    <row r="6370" spans="1:10" x14ac:dyDescent="0.25">
      <c r="A6370" s="362"/>
      <c r="B6370" s="609">
        <v>44512</v>
      </c>
      <c r="C6370" s="362" t="s">
        <v>89</v>
      </c>
      <c r="D6370" s="560">
        <v>139949178</v>
      </c>
      <c r="E6370" s="560">
        <v>58047822</v>
      </c>
      <c r="F6370" s="560">
        <v>197997000</v>
      </c>
      <c r="G6370" s="560">
        <f t="shared" si="132"/>
        <v>0</v>
      </c>
      <c r="H6370" s="362"/>
      <c r="I6370" s="362"/>
      <c r="J6370" s="362"/>
    </row>
    <row r="6371" spans="1:10" x14ac:dyDescent="0.25">
      <c r="A6371" s="362"/>
      <c r="B6371" s="609">
        <v>44512</v>
      </c>
      <c r="C6371" s="362" t="s">
        <v>81</v>
      </c>
      <c r="D6371" s="560">
        <v>77760244</v>
      </c>
      <c r="E6371" s="560">
        <v>8621685</v>
      </c>
      <c r="F6371" s="560">
        <v>86372000</v>
      </c>
      <c r="G6371" s="560">
        <f t="shared" si="132"/>
        <v>9929</v>
      </c>
      <c r="H6371" s="362"/>
      <c r="I6371" s="362"/>
      <c r="J6371" s="362"/>
    </row>
    <row r="6372" spans="1:10" x14ac:dyDescent="0.25">
      <c r="A6372" s="362"/>
      <c r="B6372" s="609">
        <v>44512</v>
      </c>
      <c r="C6372" s="362" t="s">
        <v>84</v>
      </c>
      <c r="D6372" s="560">
        <v>255755178</v>
      </c>
      <c r="E6372" s="560">
        <v>11812674</v>
      </c>
      <c r="F6372" s="560">
        <v>267567900</v>
      </c>
      <c r="G6372" s="560">
        <f t="shared" si="132"/>
        <v>-48</v>
      </c>
      <c r="H6372" s="362"/>
      <c r="I6372" s="362"/>
      <c r="J6372" s="362"/>
    </row>
    <row r="6373" spans="1:10" x14ac:dyDescent="0.25">
      <c r="A6373" s="362"/>
      <c r="B6373" s="609">
        <v>44512</v>
      </c>
      <c r="C6373" s="362" t="s">
        <v>4751</v>
      </c>
      <c r="D6373" s="560">
        <v>138363011</v>
      </c>
      <c r="E6373" s="560">
        <v>9229089</v>
      </c>
      <c r="F6373" s="560">
        <v>147592100</v>
      </c>
      <c r="G6373" s="560">
        <f t="shared" si="132"/>
        <v>0</v>
      </c>
      <c r="H6373" s="362"/>
      <c r="I6373" s="362"/>
      <c r="J6373" s="362"/>
    </row>
    <row r="6374" spans="1:10" x14ac:dyDescent="0.25">
      <c r="A6374" s="362"/>
      <c r="B6374" s="609">
        <v>44512</v>
      </c>
      <c r="C6374" s="362" t="s">
        <v>166</v>
      </c>
      <c r="D6374" s="560">
        <v>45060377</v>
      </c>
      <c r="E6374" s="560"/>
      <c r="F6374" s="560">
        <v>45060500</v>
      </c>
      <c r="G6374" s="560">
        <f t="shared" si="132"/>
        <v>-123</v>
      </c>
      <c r="H6374" s="362"/>
      <c r="I6374" s="362"/>
      <c r="J6374" s="362"/>
    </row>
    <row r="6375" spans="1:10" x14ac:dyDescent="0.25">
      <c r="A6375" s="362"/>
      <c r="B6375" s="609">
        <v>44512</v>
      </c>
      <c r="C6375" s="362" t="s">
        <v>3435</v>
      </c>
      <c r="D6375" s="560">
        <v>25101329</v>
      </c>
      <c r="E6375" s="560"/>
      <c r="F6375" s="560">
        <v>25101400</v>
      </c>
      <c r="G6375" s="560">
        <f t="shared" si="132"/>
        <v>-71</v>
      </c>
      <c r="H6375" s="362"/>
      <c r="I6375" s="362"/>
      <c r="J6375" s="362"/>
    </row>
    <row r="6376" spans="1:10" x14ac:dyDescent="0.25">
      <c r="A6376" s="362"/>
      <c r="B6376" s="609">
        <v>44512</v>
      </c>
      <c r="C6376" s="370" t="s">
        <v>85</v>
      </c>
      <c r="D6376" s="362">
        <v>24340000</v>
      </c>
      <c r="E6376" s="362"/>
      <c r="F6376" s="362">
        <v>24340000</v>
      </c>
      <c r="G6376" s="560">
        <f t="shared" si="132"/>
        <v>0</v>
      </c>
      <c r="H6376" s="362"/>
      <c r="I6376" s="362"/>
      <c r="J6376" s="362"/>
    </row>
    <row r="6377" spans="1:10" x14ac:dyDescent="0.25">
      <c r="A6377" s="530"/>
      <c r="B6377" s="530"/>
      <c r="C6377" s="530"/>
      <c r="D6377" s="630">
        <f>SUM(D6362:D6376)</f>
        <v>1947604396</v>
      </c>
      <c r="E6377" s="630">
        <f>SUM(E6362:E6376)</f>
        <v>274837066</v>
      </c>
      <c r="F6377" s="630">
        <f>SUM(F6362:F6376)</f>
        <v>2222432200</v>
      </c>
      <c r="G6377" s="630">
        <f>SUM(G6362:G6376)</f>
        <v>9262</v>
      </c>
      <c r="H6377" s="530"/>
      <c r="I6377" s="530"/>
      <c r="J6377" s="530"/>
    </row>
    <row r="6378" spans="1:10" x14ac:dyDescent="0.25">
      <c r="A6378" s="362"/>
      <c r="B6378" s="609">
        <v>44513</v>
      </c>
      <c r="C6378" s="362" t="s">
        <v>86</v>
      </c>
      <c r="D6378" s="560">
        <v>46728514</v>
      </c>
      <c r="E6378" s="560">
        <v>65557305</v>
      </c>
      <c r="F6378" s="560"/>
      <c r="G6378" s="560">
        <f t="shared" si="132"/>
        <v>112285819</v>
      </c>
      <c r="H6378" s="362"/>
      <c r="I6378" s="362"/>
      <c r="J6378" s="362"/>
    </row>
    <row r="6379" spans="1:10" x14ac:dyDescent="0.25">
      <c r="A6379" s="362"/>
      <c r="B6379" s="609">
        <v>44513</v>
      </c>
      <c r="C6379" s="362" t="s">
        <v>87</v>
      </c>
      <c r="D6379" s="560">
        <v>48720751</v>
      </c>
      <c r="E6379" s="560">
        <v>206014091</v>
      </c>
      <c r="F6379" s="560"/>
      <c r="G6379" s="560">
        <f t="shared" si="132"/>
        <v>254734842</v>
      </c>
      <c r="H6379" s="362"/>
      <c r="I6379" s="362"/>
      <c r="J6379" s="362"/>
    </row>
    <row r="6380" spans="1:10" x14ac:dyDescent="0.25">
      <c r="A6380" s="362"/>
      <c r="B6380" s="609">
        <v>44513</v>
      </c>
      <c r="C6380" s="362" t="s">
        <v>88</v>
      </c>
      <c r="D6380" s="560">
        <v>149263447</v>
      </c>
      <c r="E6380" s="560">
        <v>6400511</v>
      </c>
      <c r="F6380" s="560"/>
      <c r="G6380" s="560">
        <f t="shared" si="132"/>
        <v>155663958</v>
      </c>
      <c r="H6380" s="362"/>
      <c r="I6380" s="362"/>
      <c r="J6380" s="362"/>
    </row>
    <row r="6381" spans="1:10" x14ac:dyDescent="0.25">
      <c r="A6381" s="362"/>
      <c r="B6381" s="609">
        <v>44513</v>
      </c>
      <c r="C6381" s="362" t="s">
        <v>82</v>
      </c>
      <c r="D6381" s="560">
        <v>61335544</v>
      </c>
      <c r="E6381" s="560">
        <v>21255075</v>
      </c>
      <c r="F6381" s="560"/>
      <c r="G6381" s="560">
        <f t="shared" si="132"/>
        <v>82590619</v>
      </c>
      <c r="H6381" s="362"/>
      <c r="I6381" s="362"/>
      <c r="J6381" s="362"/>
    </row>
    <row r="6382" spans="1:10" x14ac:dyDescent="0.25">
      <c r="A6382" s="362"/>
      <c r="B6382" s="609">
        <v>44513</v>
      </c>
      <c r="C6382" s="362" t="s">
        <v>80</v>
      </c>
      <c r="D6382" s="560">
        <v>219972923</v>
      </c>
      <c r="E6382" s="560">
        <v>40290000</v>
      </c>
      <c r="F6382" s="560"/>
      <c r="G6382" s="560">
        <f t="shared" si="132"/>
        <v>260262923</v>
      </c>
      <c r="H6382" s="362"/>
      <c r="I6382" s="362"/>
      <c r="J6382" s="362"/>
    </row>
    <row r="6383" spans="1:10" x14ac:dyDescent="0.25">
      <c r="A6383" s="362"/>
      <c r="B6383" s="609">
        <v>44513</v>
      </c>
      <c r="C6383" s="362" t="s">
        <v>83</v>
      </c>
      <c r="D6383" s="560">
        <v>129095324</v>
      </c>
      <c r="E6383" s="560">
        <v>150484966</v>
      </c>
      <c r="F6383" s="560"/>
      <c r="G6383" s="560">
        <f t="shared" si="132"/>
        <v>279580290</v>
      </c>
      <c r="H6383" s="362"/>
      <c r="I6383" s="362"/>
      <c r="J6383" s="362"/>
    </row>
    <row r="6384" spans="1:10" x14ac:dyDescent="0.25">
      <c r="A6384" s="362"/>
      <c r="B6384" s="609">
        <v>44513</v>
      </c>
      <c r="C6384" s="362" t="s">
        <v>78</v>
      </c>
      <c r="D6384" s="560">
        <v>136662039</v>
      </c>
      <c r="E6384" s="560">
        <v>9887361</v>
      </c>
      <c r="F6384" s="560"/>
      <c r="G6384" s="560">
        <f t="shared" si="132"/>
        <v>146549400</v>
      </c>
      <c r="H6384" s="362"/>
      <c r="I6384" s="362"/>
      <c r="J6384" s="362"/>
    </row>
    <row r="6385" spans="1:10" x14ac:dyDescent="0.25">
      <c r="A6385" s="362"/>
      <c r="B6385" s="609">
        <v>44513</v>
      </c>
      <c r="C6385" s="362" t="s">
        <v>141</v>
      </c>
      <c r="D6385" s="560">
        <v>41084827</v>
      </c>
      <c r="E6385" s="560">
        <v>1419214</v>
      </c>
      <c r="F6385" s="560"/>
      <c r="G6385" s="560">
        <f t="shared" si="132"/>
        <v>42504041</v>
      </c>
      <c r="H6385" s="362"/>
      <c r="I6385" s="362"/>
      <c r="J6385" s="362"/>
    </row>
    <row r="6386" spans="1:10" x14ac:dyDescent="0.25">
      <c r="A6386" s="362"/>
      <c r="B6386" s="609">
        <v>44513</v>
      </c>
      <c r="C6386" s="362" t="s">
        <v>89</v>
      </c>
      <c r="D6386" s="560">
        <v>89706130</v>
      </c>
      <c r="E6386" s="560">
        <v>58712070</v>
      </c>
      <c r="F6386" s="560"/>
      <c r="G6386" s="560">
        <f t="shared" si="132"/>
        <v>148418200</v>
      </c>
      <c r="H6386" s="362"/>
      <c r="I6386" s="362"/>
      <c r="J6386" s="362"/>
    </row>
    <row r="6387" spans="1:10" x14ac:dyDescent="0.25">
      <c r="A6387" s="362"/>
      <c r="B6387" s="609">
        <v>44513</v>
      </c>
      <c r="C6387" s="362" t="s">
        <v>81</v>
      </c>
      <c r="D6387" s="560">
        <v>143403378</v>
      </c>
      <c r="E6387" s="560">
        <v>8626562</v>
      </c>
      <c r="F6387" s="560"/>
      <c r="G6387" s="560">
        <f t="shared" si="132"/>
        <v>152029940</v>
      </c>
      <c r="H6387" s="362"/>
      <c r="I6387" s="362"/>
      <c r="J6387" s="362"/>
    </row>
    <row r="6388" spans="1:10" x14ac:dyDescent="0.25">
      <c r="A6388" s="362"/>
      <c r="B6388" s="609">
        <v>44513</v>
      </c>
      <c r="C6388" s="362" t="s">
        <v>84</v>
      </c>
      <c r="D6388" s="560">
        <v>193232988</v>
      </c>
      <c r="E6388" s="560">
        <v>21680290</v>
      </c>
      <c r="F6388" s="560"/>
      <c r="G6388" s="560">
        <f t="shared" si="132"/>
        <v>214913278</v>
      </c>
      <c r="H6388" s="362"/>
      <c r="I6388" s="362"/>
      <c r="J6388" s="362"/>
    </row>
    <row r="6389" spans="1:10" x14ac:dyDescent="0.25">
      <c r="A6389" s="362"/>
      <c r="B6389" s="609">
        <v>44513</v>
      </c>
      <c r="C6389" s="362" t="s">
        <v>4751</v>
      </c>
      <c r="D6389" s="560">
        <v>229205537</v>
      </c>
      <c r="E6389" s="560">
        <v>6212463</v>
      </c>
      <c r="F6389" s="560"/>
      <c r="G6389" s="560">
        <f t="shared" si="132"/>
        <v>235418000</v>
      </c>
      <c r="H6389" s="362"/>
      <c r="I6389" s="362"/>
      <c r="J6389" s="362"/>
    </row>
    <row r="6390" spans="1:10" x14ac:dyDescent="0.25">
      <c r="A6390" s="362"/>
      <c r="B6390" s="609">
        <v>44513</v>
      </c>
      <c r="C6390" s="362" t="s">
        <v>166</v>
      </c>
      <c r="D6390" s="560"/>
      <c r="E6390" s="560"/>
      <c r="F6390" s="560"/>
      <c r="G6390" s="560">
        <f t="shared" si="132"/>
        <v>0</v>
      </c>
      <c r="H6390" s="362"/>
      <c r="I6390" s="362"/>
      <c r="J6390" s="362"/>
    </row>
    <row r="6391" spans="1:10" x14ac:dyDescent="0.25">
      <c r="A6391" s="362"/>
      <c r="B6391" s="609">
        <v>44513</v>
      </c>
      <c r="C6391" s="362" t="s">
        <v>3435</v>
      </c>
      <c r="D6391" s="560"/>
      <c r="E6391" s="560"/>
      <c r="F6391" s="560"/>
      <c r="G6391" s="560">
        <f t="shared" si="132"/>
        <v>0</v>
      </c>
      <c r="H6391" s="362"/>
      <c r="I6391" s="362"/>
      <c r="J6391" s="362"/>
    </row>
    <row r="6392" spans="1:10" x14ac:dyDescent="0.25">
      <c r="A6392" s="362"/>
      <c r="B6392" s="609">
        <v>44513</v>
      </c>
      <c r="C6392" s="370" t="s">
        <v>85</v>
      </c>
      <c r="D6392" s="560">
        <v>42894800</v>
      </c>
      <c r="E6392" s="560"/>
      <c r="F6392" s="560"/>
      <c r="G6392" s="560">
        <f t="shared" si="132"/>
        <v>42894800</v>
      </c>
      <c r="H6392" s="362"/>
      <c r="I6392" s="362"/>
      <c r="J6392" s="362"/>
    </row>
    <row r="6393" spans="1:10" x14ac:dyDescent="0.25">
      <c r="A6393" s="530"/>
      <c r="B6393" s="530"/>
      <c r="C6393" s="530"/>
      <c r="D6393" s="562">
        <f>SUM(D6378:D6392)</f>
        <v>1531306202</v>
      </c>
      <c r="E6393" s="562">
        <f>SUM(E6378:E6392)</f>
        <v>596539908</v>
      </c>
      <c r="F6393" s="562">
        <f>SUM(F6378:F6392)</f>
        <v>0</v>
      </c>
      <c r="G6393" s="562">
        <f>SUM(G6378:G6392)</f>
        <v>2127846110</v>
      </c>
      <c r="H6393" s="530"/>
      <c r="I6393" s="530"/>
      <c r="J6393" s="530"/>
    </row>
    <row r="6394" spans="1:10" x14ac:dyDescent="0.25">
      <c r="A6394" s="362"/>
      <c r="B6394" s="609">
        <v>44515</v>
      </c>
      <c r="C6394" s="362" t="s">
        <v>86</v>
      </c>
      <c r="D6394" s="560">
        <v>36083126</v>
      </c>
      <c r="E6394" s="560">
        <v>7403416</v>
      </c>
      <c r="F6394" s="560"/>
      <c r="G6394" s="560">
        <f t="shared" si="132"/>
        <v>43486542</v>
      </c>
      <c r="H6394" s="362"/>
      <c r="I6394" s="362"/>
      <c r="J6394" s="362"/>
    </row>
    <row r="6395" spans="1:10" x14ac:dyDescent="0.25">
      <c r="A6395" s="362"/>
      <c r="B6395" s="609">
        <v>44515</v>
      </c>
      <c r="C6395" s="362" t="s">
        <v>87</v>
      </c>
      <c r="D6395" s="560">
        <v>91814207</v>
      </c>
      <c r="E6395" s="560">
        <v>19642413</v>
      </c>
      <c r="F6395" s="560"/>
      <c r="G6395" s="560">
        <f t="shared" si="132"/>
        <v>111456620</v>
      </c>
      <c r="H6395" s="362"/>
      <c r="I6395" s="362"/>
      <c r="J6395" s="362"/>
    </row>
    <row r="6396" spans="1:10" x14ac:dyDescent="0.25">
      <c r="A6396" s="362"/>
      <c r="B6396" s="609">
        <v>44515</v>
      </c>
      <c r="C6396" s="362" t="s">
        <v>88</v>
      </c>
      <c r="D6396" s="560">
        <v>139349523</v>
      </c>
      <c r="E6396" s="560">
        <v>61977432</v>
      </c>
      <c r="F6396" s="560"/>
      <c r="G6396" s="560">
        <f t="shared" si="132"/>
        <v>201326955</v>
      </c>
      <c r="H6396" s="362"/>
      <c r="I6396" s="362"/>
      <c r="J6396" s="362"/>
    </row>
    <row r="6397" spans="1:10" x14ac:dyDescent="0.25">
      <c r="A6397" s="362"/>
      <c r="B6397" s="609">
        <v>44515</v>
      </c>
      <c r="C6397" s="362" t="s">
        <v>82</v>
      </c>
      <c r="D6397" s="560">
        <v>55384532</v>
      </c>
      <c r="E6397" s="560">
        <v>12298909</v>
      </c>
      <c r="F6397" s="560"/>
      <c r="G6397" s="560">
        <f t="shared" si="132"/>
        <v>67683441</v>
      </c>
      <c r="H6397" s="362"/>
      <c r="I6397" s="362"/>
      <c r="J6397" s="362"/>
    </row>
    <row r="6398" spans="1:10" x14ac:dyDescent="0.25">
      <c r="A6398" s="362"/>
      <c r="B6398" s="609">
        <v>44515</v>
      </c>
      <c r="C6398" s="362" t="s">
        <v>80</v>
      </c>
      <c r="D6398" s="560">
        <v>260053717</v>
      </c>
      <c r="E6398" s="560"/>
      <c r="F6398" s="560"/>
      <c r="G6398" s="560">
        <f t="shared" si="132"/>
        <v>260053717</v>
      </c>
      <c r="H6398" s="362"/>
      <c r="I6398" s="362"/>
      <c r="J6398" s="362"/>
    </row>
    <row r="6399" spans="1:10" x14ac:dyDescent="0.25">
      <c r="A6399" s="362"/>
      <c r="B6399" s="609">
        <v>44515</v>
      </c>
      <c r="C6399" s="362" t="s">
        <v>83</v>
      </c>
      <c r="D6399" s="560">
        <v>165118896</v>
      </c>
      <c r="E6399" s="560">
        <v>80503213</v>
      </c>
      <c r="F6399" s="560"/>
      <c r="G6399" s="560">
        <f t="shared" si="132"/>
        <v>245622109</v>
      </c>
      <c r="H6399" s="362"/>
      <c r="I6399" s="362"/>
      <c r="J6399" s="362"/>
    </row>
    <row r="6400" spans="1:10" x14ac:dyDescent="0.25">
      <c r="A6400" s="362"/>
      <c r="B6400" s="609">
        <v>44515</v>
      </c>
      <c r="C6400" s="362" t="s">
        <v>78</v>
      </c>
      <c r="D6400" s="560">
        <v>76136118</v>
      </c>
      <c r="E6400" s="560">
        <v>913482</v>
      </c>
      <c r="F6400" s="560"/>
      <c r="G6400" s="560">
        <f t="shared" si="132"/>
        <v>77049600</v>
      </c>
      <c r="H6400" s="362"/>
      <c r="I6400" s="362"/>
      <c r="J6400" s="362"/>
    </row>
    <row r="6401" spans="1:10" x14ac:dyDescent="0.25">
      <c r="A6401" s="362"/>
      <c r="B6401" s="609">
        <v>44515</v>
      </c>
      <c r="C6401" s="362" t="s">
        <v>141</v>
      </c>
      <c r="D6401" s="560">
        <v>58516867</v>
      </c>
      <c r="E6401" s="560">
        <v>1166124</v>
      </c>
      <c r="F6401" s="560"/>
      <c r="G6401" s="560">
        <f t="shared" si="132"/>
        <v>59682991</v>
      </c>
      <c r="H6401" s="362"/>
      <c r="I6401" s="362"/>
      <c r="J6401" s="362"/>
    </row>
    <row r="6402" spans="1:10" x14ac:dyDescent="0.25">
      <c r="A6402" s="362"/>
      <c r="B6402" s="609">
        <v>44515</v>
      </c>
      <c r="C6402" s="362" t="s">
        <v>89</v>
      </c>
      <c r="D6402" s="560">
        <v>123891247</v>
      </c>
      <c r="E6402" s="560">
        <v>41416153</v>
      </c>
      <c r="F6402" s="560"/>
      <c r="G6402" s="560">
        <f t="shared" si="132"/>
        <v>165307400</v>
      </c>
      <c r="H6402" s="362"/>
      <c r="I6402" s="362"/>
      <c r="J6402" s="362"/>
    </row>
    <row r="6403" spans="1:10" x14ac:dyDescent="0.25">
      <c r="A6403" s="362"/>
      <c r="B6403" s="609">
        <v>44515</v>
      </c>
      <c r="C6403" s="362" t="s">
        <v>81</v>
      </c>
      <c r="D6403" s="560">
        <v>133562075</v>
      </c>
      <c r="E6403" s="560">
        <v>49314447</v>
      </c>
      <c r="F6403" s="560"/>
      <c r="G6403" s="560">
        <f t="shared" si="132"/>
        <v>182876522</v>
      </c>
      <c r="H6403" s="362"/>
      <c r="I6403" s="362"/>
      <c r="J6403" s="362"/>
    </row>
    <row r="6404" spans="1:10" x14ac:dyDescent="0.25">
      <c r="A6404" s="362"/>
      <c r="B6404" s="609">
        <v>44515</v>
      </c>
      <c r="C6404" s="362" t="s">
        <v>84</v>
      </c>
      <c r="D6404" s="560">
        <v>334126818</v>
      </c>
      <c r="E6404" s="560">
        <v>25546725</v>
      </c>
      <c r="F6404" s="560"/>
      <c r="G6404" s="560">
        <f t="shared" si="132"/>
        <v>359673543</v>
      </c>
      <c r="H6404" s="362"/>
      <c r="I6404" s="362"/>
      <c r="J6404" s="362"/>
    </row>
    <row r="6405" spans="1:10" x14ac:dyDescent="0.25">
      <c r="A6405" s="362"/>
      <c r="B6405" s="609">
        <v>44515</v>
      </c>
      <c r="C6405" s="362" t="s">
        <v>4751</v>
      </c>
      <c r="D6405" s="560">
        <v>187972765</v>
      </c>
      <c r="E6405" s="560">
        <v>17016135</v>
      </c>
      <c r="F6405" s="560"/>
      <c r="G6405" s="560">
        <f t="shared" si="132"/>
        <v>204988900</v>
      </c>
      <c r="H6405" s="362"/>
      <c r="I6405" s="362"/>
      <c r="J6405" s="362"/>
    </row>
    <row r="6406" spans="1:10" x14ac:dyDescent="0.25">
      <c r="A6406" s="362"/>
      <c r="B6406" s="609">
        <v>44515</v>
      </c>
      <c r="C6406" s="362" t="s">
        <v>166</v>
      </c>
      <c r="D6406" s="560">
        <v>63556905</v>
      </c>
      <c r="E6406" s="560"/>
      <c r="F6406" s="560"/>
      <c r="G6406" s="560">
        <f t="shared" si="132"/>
        <v>63556905</v>
      </c>
      <c r="H6406" s="362"/>
      <c r="I6406" s="362"/>
      <c r="J6406" s="362"/>
    </row>
    <row r="6407" spans="1:10" x14ac:dyDescent="0.25">
      <c r="A6407" s="362"/>
      <c r="B6407" s="609">
        <v>44515</v>
      </c>
      <c r="C6407" s="362" t="s">
        <v>3435</v>
      </c>
      <c r="D6407" s="560">
        <v>23591746</v>
      </c>
      <c r="E6407" s="560"/>
      <c r="F6407" s="560"/>
      <c r="G6407" s="560">
        <f t="shared" si="132"/>
        <v>23591746</v>
      </c>
      <c r="H6407" s="362"/>
      <c r="I6407" s="362"/>
      <c r="J6407" s="362"/>
    </row>
    <row r="6408" spans="1:10" x14ac:dyDescent="0.25">
      <c r="A6408" s="362"/>
      <c r="B6408" s="609">
        <v>44515</v>
      </c>
      <c r="C6408" s="370" t="s">
        <v>85</v>
      </c>
      <c r="D6408" s="560">
        <v>52965400</v>
      </c>
      <c r="E6408" s="560"/>
      <c r="F6408" s="560"/>
      <c r="G6408" s="560">
        <f t="shared" si="132"/>
        <v>52965400</v>
      </c>
      <c r="H6408" s="362"/>
      <c r="I6408" s="362"/>
      <c r="J6408" s="362"/>
    </row>
    <row r="6409" spans="1:10" x14ac:dyDescent="0.25">
      <c r="A6409" s="530"/>
      <c r="B6409" s="530"/>
      <c r="C6409" s="530"/>
      <c r="D6409" s="562">
        <f>SUM(D6394:D6408)</f>
        <v>1802123942</v>
      </c>
      <c r="E6409" s="562">
        <f>SUM(E6394:E6408)</f>
        <v>317198449</v>
      </c>
      <c r="F6409" s="562">
        <f>SUM(F6394:F6408)</f>
        <v>0</v>
      </c>
      <c r="G6409" s="562">
        <f>SUM(G6394:G6408)</f>
        <v>2119322391</v>
      </c>
      <c r="H6409" s="530"/>
      <c r="I6409" s="530"/>
      <c r="J6409" s="530"/>
    </row>
    <row r="6410" spans="1:10" x14ac:dyDescent="0.25">
      <c r="A6410" s="362"/>
      <c r="B6410" s="609">
        <v>44516</v>
      </c>
      <c r="C6410" s="362" t="s">
        <v>86</v>
      </c>
      <c r="D6410" s="560">
        <v>82180014</v>
      </c>
      <c r="E6410" s="560">
        <v>37320940</v>
      </c>
      <c r="F6410" s="560"/>
      <c r="G6410" s="560">
        <f t="shared" si="132"/>
        <v>119500954</v>
      </c>
      <c r="H6410" s="362"/>
      <c r="I6410" s="362"/>
      <c r="J6410" s="362"/>
    </row>
    <row r="6411" spans="1:10" x14ac:dyDescent="0.25">
      <c r="A6411" s="362"/>
      <c r="B6411" s="609">
        <v>44516</v>
      </c>
      <c r="C6411" s="362" t="s">
        <v>87</v>
      </c>
      <c r="D6411" s="560">
        <v>93058132</v>
      </c>
      <c r="E6411" s="560">
        <v>82401400</v>
      </c>
      <c r="F6411" s="560"/>
      <c r="G6411" s="560">
        <f t="shared" si="132"/>
        <v>175459532</v>
      </c>
      <c r="H6411" s="362"/>
      <c r="I6411" s="362"/>
      <c r="J6411" s="362"/>
    </row>
    <row r="6412" spans="1:10" x14ac:dyDescent="0.25">
      <c r="A6412" s="362"/>
      <c r="B6412" s="609">
        <v>44516</v>
      </c>
      <c r="C6412" s="362" t="s">
        <v>88</v>
      </c>
      <c r="D6412" s="560">
        <v>262074416</v>
      </c>
      <c r="E6412" s="560">
        <v>53032832</v>
      </c>
      <c r="F6412" s="560"/>
      <c r="G6412" s="560">
        <f t="shared" ref="G6412:G6475" si="133">D6412+E6412-F6412</f>
        <v>315107248</v>
      </c>
      <c r="H6412" s="362"/>
      <c r="I6412" s="362"/>
      <c r="J6412" s="362"/>
    </row>
    <row r="6413" spans="1:10" x14ac:dyDescent="0.25">
      <c r="A6413" s="362"/>
      <c r="B6413" s="609">
        <v>44516</v>
      </c>
      <c r="C6413" s="362" t="s">
        <v>82</v>
      </c>
      <c r="D6413" s="560">
        <v>67638956</v>
      </c>
      <c r="E6413" s="560">
        <v>5409775</v>
      </c>
      <c r="F6413" s="560"/>
      <c r="G6413" s="560">
        <f t="shared" si="133"/>
        <v>73048731</v>
      </c>
      <c r="H6413" s="362"/>
      <c r="I6413" s="362"/>
      <c r="J6413" s="362"/>
    </row>
    <row r="6414" spans="1:10" x14ac:dyDescent="0.25">
      <c r="A6414" s="362"/>
      <c r="B6414" s="609">
        <v>44516</v>
      </c>
      <c r="C6414" s="362" t="s">
        <v>80</v>
      </c>
      <c r="D6414" s="560">
        <v>281468959</v>
      </c>
      <c r="E6414" s="560">
        <v>20340993</v>
      </c>
      <c r="F6414" s="560"/>
      <c r="G6414" s="560">
        <f t="shared" si="133"/>
        <v>301809952</v>
      </c>
      <c r="H6414" s="362"/>
      <c r="I6414" s="362"/>
      <c r="J6414" s="362"/>
    </row>
    <row r="6415" spans="1:10" x14ac:dyDescent="0.25">
      <c r="A6415" s="362"/>
      <c r="B6415" s="609">
        <v>44516</v>
      </c>
      <c r="C6415" s="362" t="s">
        <v>83</v>
      </c>
      <c r="D6415" s="560">
        <v>136244159</v>
      </c>
      <c r="E6415" s="560">
        <v>14788411</v>
      </c>
      <c r="F6415" s="560"/>
      <c r="G6415" s="560">
        <f t="shared" si="133"/>
        <v>151032570</v>
      </c>
      <c r="H6415" s="362"/>
      <c r="I6415" s="362"/>
      <c r="J6415" s="362"/>
    </row>
    <row r="6416" spans="1:10" x14ac:dyDescent="0.25">
      <c r="A6416" s="362"/>
      <c r="B6416" s="609">
        <v>44516</v>
      </c>
      <c r="C6416" s="362" t="s">
        <v>78</v>
      </c>
      <c r="D6416" s="560">
        <v>180107854</v>
      </c>
      <c r="E6416" s="560">
        <v>1190846</v>
      </c>
      <c r="F6416" s="560"/>
      <c r="G6416" s="560">
        <f t="shared" si="133"/>
        <v>181298700</v>
      </c>
      <c r="H6416" s="362"/>
      <c r="I6416" s="362"/>
      <c r="J6416" s="362"/>
    </row>
    <row r="6417" spans="1:10" x14ac:dyDescent="0.25">
      <c r="A6417" s="362"/>
      <c r="B6417" s="609">
        <v>44516</v>
      </c>
      <c r="C6417" s="362" t="s">
        <v>141</v>
      </c>
      <c r="D6417" s="560">
        <v>107570050</v>
      </c>
      <c r="E6417" s="560">
        <v>1282040</v>
      </c>
      <c r="F6417" s="560"/>
      <c r="G6417" s="560">
        <f t="shared" si="133"/>
        <v>108852090</v>
      </c>
      <c r="H6417" s="362"/>
      <c r="I6417" s="362"/>
      <c r="J6417" s="362"/>
    </row>
    <row r="6418" spans="1:10" x14ac:dyDescent="0.25">
      <c r="A6418" s="362"/>
      <c r="B6418" s="609">
        <v>44516</v>
      </c>
      <c r="C6418" s="362" t="s">
        <v>89</v>
      </c>
      <c r="D6418" s="560">
        <v>146709450</v>
      </c>
      <c r="E6418" s="560">
        <v>5242950</v>
      </c>
      <c r="F6418" s="560"/>
      <c r="G6418" s="560">
        <f t="shared" si="133"/>
        <v>151952400</v>
      </c>
      <c r="H6418" s="362"/>
      <c r="I6418" s="362"/>
      <c r="J6418" s="362"/>
    </row>
    <row r="6419" spans="1:10" x14ac:dyDescent="0.25">
      <c r="A6419" s="362"/>
      <c r="B6419" s="609">
        <v>44516</v>
      </c>
      <c r="C6419" s="362" t="s">
        <v>81</v>
      </c>
      <c r="D6419" s="560">
        <v>121936969</v>
      </c>
      <c r="E6419" s="560">
        <v>19969324</v>
      </c>
      <c r="F6419" s="560"/>
      <c r="G6419" s="560">
        <f t="shared" si="133"/>
        <v>141906293</v>
      </c>
      <c r="H6419" s="362"/>
      <c r="I6419" s="362"/>
      <c r="J6419" s="362"/>
    </row>
    <row r="6420" spans="1:10" x14ac:dyDescent="0.25">
      <c r="A6420" s="362"/>
      <c r="B6420" s="609">
        <v>44516</v>
      </c>
      <c r="C6420" s="362" t="s">
        <v>84</v>
      </c>
      <c r="D6420" s="560">
        <v>237073911</v>
      </c>
      <c r="E6420" s="560">
        <v>12287151</v>
      </c>
      <c r="F6420" s="560"/>
      <c r="G6420" s="560">
        <f t="shared" si="133"/>
        <v>249361062</v>
      </c>
      <c r="H6420" s="362"/>
      <c r="I6420" s="362"/>
      <c r="J6420" s="362"/>
    </row>
    <row r="6421" spans="1:10" x14ac:dyDescent="0.25">
      <c r="A6421" s="362"/>
      <c r="B6421" s="609">
        <v>44516</v>
      </c>
      <c r="C6421" s="362" t="s">
        <v>4751</v>
      </c>
      <c r="D6421" s="560">
        <v>248080227</v>
      </c>
      <c r="E6421" s="560">
        <v>7954273</v>
      </c>
      <c r="F6421" s="560"/>
      <c r="G6421" s="560">
        <f t="shared" si="133"/>
        <v>256034500</v>
      </c>
      <c r="H6421" s="362"/>
      <c r="I6421" s="362"/>
      <c r="J6421" s="362"/>
    </row>
    <row r="6422" spans="1:10" x14ac:dyDescent="0.25">
      <c r="A6422" s="362"/>
      <c r="B6422" s="609">
        <v>44516</v>
      </c>
      <c r="C6422" s="362" t="s">
        <v>166</v>
      </c>
      <c r="D6422" s="560">
        <v>88217022</v>
      </c>
      <c r="E6422" s="560"/>
      <c r="F6422" s="560"/>
      <c r="G6422" s="560">
        <f t="shared" si="133"/>
        <v>88217022</v>
      </c>
      <c r="H6422" s="362"/>
      <c r="I6422" s="362"/>
      <c r="J6422" s="362"/>
    </row>
    <row r="6423" spans="1:10" x14ac:dyDescent="0.25">
      <c r="A6423" s="362"/>
      <c r="B6423" s="609">
        <v>44516</v>
      </c>
      <c r="C6423" s="362" t="s">
        <v>3435</v>
      </c>
      <c r="D6423" s="560">
        <v>40539624</v>
      </c>
      <c r="E6423" s="560"/>
      <c r="F6423" s="560"/>
      <c r="G6423" s="560">
        <f t="shared" si="133"/>
        <v>40539624</v>
      </c>
      <c r="H6423" s="362"/>
      <c r="I6423" s="362"/>
      <c r="J6423" s="362"/>
    </row>
    <row r="6424" spans="1:10" x14ac:dyDescent="0.25">
      <c r="A6424" s="362"/>
      <c r="B6424" s="609">
        <v>44516</v>
      </c>
      <c r="C6424" s="370" t="s">
        <v>85</v>
      </c>
      <c r="D6424" s="560">
        <v>39742300</v>
      </c>
      <c r="E6424" s="560"/>
      <c r="F6424" s="560"/>
      <c r="G6424" s="560">
        <f t="shared" si="133"/>
        <v>39742300</v>
      </c>
      <c r="H6424" s="362"/>
      <c r="I6424" s="362"/>
      <c r="J6424" s="362"/>
    </row>
    <row r="6425" spans="1:10" x14ac:dyDescent="0.25">
      <c r="A6425" s="530"/>
      <c r="B6425" s="530"/>
      <c r="C6425" s="530"/>
      <c r="D6425" s="562">
        <f>SUM(D6410:D6424)</f>
        <v>2132642043</v>
      </c>
      <c r="E6425" s="562">
        <f>SUM(E6410:E6424)</f>
        <v>261220935</v>
      </c>
      <c r="F6425" s="562">
        <f>SUM(F6410:F6424)</f>
        <v>0</v>
      </c>
      <c r="G6425" s="562">
        <f>SUM(G6410:G6424)</f>
        <v>2393862978</v>
      </c>
      <c r="H6425" s="530"/>
      <c r="I6425" s="530"/>
      <c r="J6425" s="530"/>
    </row>
    <row r="6426" spans="1:10" x14ac:dyDescent="0.25">
      <c r="A6426" s="362"/>
      <c r="B6426" s="609">
        <v>44517</v>
      </c>
      <c r="C6426" s="362" t="s">
        <v>86</v>
      </c>
      <c r="D6426" s="560">
        <v>96941132</v>
      </c>
      <c r="E6426" s="560">
        <v>128773041</v>
      </c>
      <c r="F6426" s="560"/>
      <c r="G6426" s="560">
        <f t="shared" si="133"/>
        <v>225714173</v>
      </c>
      <c r="H6426" s="362"/>
      <c r="I6426" s="362"/>
      <c r="J6426" s="362"/>
    </row>
    <row r="6427" spans="1:10" x14ac:dyDescent="0.25">
      <c r="A6427" s="362"/>
      <c r="B6427" s="609">
        <v>44517</v>
      </c>
      <c r="C6427" s="362" t="s">
        <v>87</v>
      </c>
      <c r="D6427" s="560">
        <v>71942454</v>
      </c>
      <c r="E6427" s="560">
        <v>106270165</v>
      </c>
      <c r="F6427" s="560"/>
      <c r="G6427" s="560">
        <f t="shared" si="133"/>
        <v>178212619</v>
      </c>
      <c r="H6427" s="362"/>
      <c r="I6427" s="362"/>
      <c r="J6427" s="362"/>
    </row>
    <row r="6428" spans="1:10" x14ac:dyDescent="0.25">
      <c r="A6428" s="362"/>
      <c r="B6428" s="609">
        <v>44517</v>
      </c>
      <c r="C6428" s="362" t="s">
        <v>88</v>
      </c>
      <c r="D6428" s="560">
        <v>128405665</v>
      </c>
      <c r="E6428" s="560">
        <v>16539029</v>
      </c>
      <c r="F6428" s="560"/>
      <c r="G6428" s="560">
        <f t="shared" si="133"/>
        <v>144944694</v>
      </c>
      <c r="H6428" s="362"/>
      <c r="I6428" s="362"/>
      <c r="J6428" s="362"/>
    </row>
    <row r="6429" spans="1:10" x14ac:dyDescent="0.25">
      <c r="A6429" s="362"/>
      <c r="B6429" s="609">
        <v>44517</v>
      </c>
      <c r="C6429" s="362" t="s">
        <v>82</v>
      </c>
      <c r="D6429" s="560">
        <v>66805219</v>
      </c>
      <c r="E6429" s="560">
        <v>2941360</v>
      </c>
      <c r="F6429" s="560"/>
      <c r="G6429" s="560">
        <f t="shared" si="133"/>
        <v>69746579</v>
      </c>
      <c r="H6429" s="362"/>
      <c r="I6429" s="362"/>
      <c r="J6429" s="362"/>
    </row>
    <row r="6430" spans="1:10" x14ac:dyDescent="0.25">
      <c r="A6430" s="362"/>
      <c r="B6430" s="609">
        <v>44517</v>
      </c>
      <c r="C6430" s="362" t="s">
        <v>80</v>
      </c>
      <c r="D6430" s="560">
        <v>288050545</v>
      </c>
      <c r="E6430" s="560">
        <v>39839786</v>
      </c>
      <c r="F6430" s="560"/>
      <c r="G6430" s="560">
        <f t="shared" si="133"/>
        <v>327890331</v>
      </c>
      <c r="H6430" s="362"/>
      <c r="I6430" s="362"/>
      <c r="J6430" s="362"/>
    </row>
    <row r="6431" spans="1:10" x14ac:dyDescent="0.25">
      <c r="A6431" s="362"/>
      <c r="B6431" s="609">
        <v>44517</v>
      </c>
      <c r="C6431" s="362" t="s">
        <v>83</v>
      </c>
      <c r="D6431" s="560">
        <v>120115764</v>
      </c>
      <c r="E6431" s="560">
        <v>119605124</v>
      </c>
      <c r="F6431" s="560"/>
      <c r="G6431" s="560">
        <f t="shared" si="133"/>
        <v>239720888</v>
      </c>
      <c r="H6431" s="362"/>
      <c r="I6431" s="362"/>
      <c r="J6431" s="362"/>
    </row>
    <row r="6432" spans="1:10" x14ac:dyDescent="0.25">
      <c r="A6432" s="362"/>
      <c r="B6432" s="609">
        <v>44517</v>
      </c>
      <c r="C6432" s="362" t="s">
        <v>78</v>
      </c>
      <c r="D6432" s="560">
        <v>93664881</v>
      </c>
      <c r="E6432" s="560">
        <v>8925819</v>
      </c>
      <c r="F6432" s="560"/>
      <c r="G6432" s="560">
        <f t="shared" si="133"/>
        <v>102590700</v>
      </c>
      <c r="H6432" s="362"/>
      <c r="I6432" s="362"/>
      <c r="J6432" s="362"/>
    </row>
    <row r="6433" spans="1:10" x14ac:dyDescent="0.25">
      <c r="A6433" s="362"/>
      <c r="B6433" s="609">
        <v>44517</v>
      </c>
      <c r="C6433" s="362" t="s">
        <v>141</v>
      </c>
      <c r="D6433" s="560">
        <v>94991329</v>
      </c>
      <c r="E6433" s="560">
        <v>1397148</v>
      </c>
      <c r="F6433" s="560"/>
      <c r="G6433" s="560">
        <f t="shared" si="133"/>
        <v>96388477</v>
      </c>
      <c r="H6433" s="362"/>
      <c r="I6433" s="362"/>
      <c r="J6433" s="362"/>
    </row>
    <row r="6434" spans="1:10" x14ac:dyDescent="0.25">
      <c r="A6434" s="362"/>
      <c r="B6434" s="609">
        <v>44517</v>
      </c>
      <c r="C6434" s="362" t="s">
        <v>89</v>
      </c>
      <c r="D6434" s="560">
        <v>126080959</v>
      </c>
      <c r="E6434" s="560">
        <v>23910741</v>
      </c>
      <c r="F6434" s="560"/>
      <c r="G6434" s="560">
        <f t="shared" si="133"/>
        <v>149991700</v>
      </c>
      <c r="H6434" s="362"/>
      <c r="I6434" s="362"/>
      <c r="J6434" s="362"/>
    </row>
    <row r="6435" spans="1:10" x14ac:dyDescent="0.25">
      <c r="A6435" s="362"/>
      <c r="B6435" s="609">
        <v>44517</v>
      </c>
      <c r="C6435" s="362" t="s">
        <v>81</v>
      </c>
      <c r="D6435" s="560">
        <v>173856907</v>
      </c>
      <c r="E6435" s="560">
        <v>49858511</v>
      </c>
      <c r="F6435" s="560"/>
      <c r="G6435" s="560">
        <f t="shared" si="133"/>
        <v>223715418</v>
      </c>
      <c r="H6435" s="362"/>
      <c r="I6435" s="362"/>
      <c r="J6435" s="362"/>
    </row>
    <row r="6436" spans="1:10" x14ac:dyDescent="0.25">
      <c r="A6436" s="362"/>
      <c r="B6436" s="609">
        <v>44517</v>
      </c>
      <c r="C6436" s="362" t="s">
        <v>84</v>
      </c>
      <c r="D6436" s="560">
        <v>251787035</v>
      </c>
      <c r="E6436" s="560">
        <v>18573419</v>
      </c>
      <c r="F6436" s="560"/>
      <c r="G6436" s="560">
        <f t="shared" si="133"/>
        <v>270360454</v>
      </c>
      <c r="H6436" s="362"/>
      <c r="I6436" s="362"/>
      <c r="J6436" s="362"/>
    </row>
    <row r="6437" spans="1:10" x14ac:dyDescent="0.25">
      <c r="A6437" s="362"/>
      <c r="B6437" s="609">
        <v>44517</v>
      </c>
      <c r="C6437" s="362" t="s">
        <v>4751</v>
      </c>
      <c r="D6437" s="560">
        <v>220125471</v>
      </c>
      <c r="E6437" s="560">
        <v>12567129</v>
      </c>
      <c r="F6437" s="560"/>
      <c r="G6437" s="560">
        <f t="shared" si="133"/>
        <v>232692600</v>
      </c>
      <c r="H6437" s="362"/>
      <c r="I6437" s="362"/>
      <c r="J6437" s="362"/>
    </row>
    <row r="6438" spans="1:10" x14ac:dyDescent="0.25">
      <c r="A6438" s="362"/>
      <c r="B6438" s="609">
        <v>44517</v>
      </c>
      <c r="C6438" s="362" t="s">
        <v>166</v>
      </c>
      <c r="D6438" s="560">
        <v>86989798</v>
      </c>
      <c r="E6438" s="560"/>
      <c r="F6438" s="560"/>
      <c r="G6438" s="560">
        <f t="shared" si="133"/>
        <v>86989798</v>
      </c>
      <c r="H6438" s="362"/>
      <c r="I6438" s="362"/>
      <c r="J6438" s="362"/>
    </row>
    <row r="6439" spans="1:10" x14ac:dyDescent="0.25">
      <c r="A6439" s="362"/>
      <c r="B6439" s="609">
        <v>44517</v>
      </c>
      <c r="C6439" s="362" t="s">
        <v>3435</v>
      </c>
      <c r="D6439" s="560">
        <v>90816653</v>
      </c>
      <c r="E6439" s="560"/>
      <c r="F6439" s="560"/>
      <c r="G6439" s="560">
        <f t="shared" si="133"/>
        <v>90816653</v>
      </c>
      <c r="H6439" s="362"/>
      <c r="I6439" s="362"/>
      <c r="J6439" s="362"/>
    </row>
    <row r="6440" spans="1:10" x14ac:dyDescent="0.25">
      <c r="A6440" s="362"/>
      <c r="B6440" s="609">
        <v>44517</v>
      </c>
      <c r="C6440" s="370" t="s">
        <v>85</v>
      </c>
      <c r="D6440" s="560">
        <v>42833600</v>
      </c>
      <c r="E6440" s="560"/>
      <c r="F6440" s="560"/>
      <c r="G6440" s="560">
        <f t="shared" si="133"/>
        <v>42833600</v>
      </c>
      <c r="H6440" s="362"/>
      <c r="I6440" s="362"/>
      <c r="J6440" s="362"/>
    </row>
    <row r="6441" spans="1:10" x14ac:dyDescent="0.25">
      <c r="A6441" s="530"/>
      <c r="B6441" s="530"/>
      <c r="C6441" s="530"/>
      <c r="D6441" s="562">
        <f t="shared" ref="D6441:I6441" si="134">SUM(D6426:D6440)</f>
        <v>1953407412</v>
      </c>
      <c r="E6441" s="562">
        <f t="shared" si="134"/>
        <v>529201272</v>
      </c>
      <c r="F6441" s="562">
        <f t="shared" si="134"/>
        <v>0</v>
      </c>
      <c r="G6441" s="562">
        <f t="shared" si="134"/>
        <v>2482608684</v>
      </c>
      <c r="H6441" s="630">
        <f t="shared" si="134"/>
        <v>0</v>
      </c>
      <c r="I6441" s="630">
        <f t="shared" si="134"/>
        <v>0</v>
      </c>
      <c r="J6441" s="530"/>
    </row>
    <row r="6442" spans="1:10" x14ac:dyDescent="0.25">
      <c r="A6442" s="362"/>
      <c r="B6442" s="609">
        <v>44518</v>
      </c>
      <c r="C6442" s="362" t="s">
        <v>86</v>
      </c>
      <c r="D6442" s="560">
        <v>79724699</v>
      </c>
      <c r="E6442" s="560">
        <v>15731897</v>
      </c>
      <c r="F6442" s="560"/>
      <c r="G6442" s="560">
        <f t="shared" si="133"/>
        <v>95456596</v>
      </c>
      <c r="H6442" s="362"/>
      <c r="I6442" s="362"/>
      <c r="J6442" s="362"/>
    </row>
    <row r="6443" spans="1:10" x14ac:dyDescent="0.25">
      <c r="A6443" s="362"/>
      <c r="B6443" s="609">
        <v>44518</v>
      </c>
      <c r="C6443" s="362" t="s">
        <v>87</v>
      </c>
      <c r="D6443" s="560">
        <v>56429431</v>
      </c>
      <c r="E6443" s="560">
        <v>107551631</v>
      </c>
      <c r="F6443" s="560"/>
      <c r="G6443" s="560">
        <f t="shared" si="133"/>
        <v>163981062</v>
      </c>
      <c r="H6443" s="362"/>
      <c r="I6443" s="362"/>
      <c r="J6443" s="362"/>
    </row>
    <row r="6444" spans="1:10" x14ac:dyDescent="0.25">
      <c r="A6444" s="362"/>
      <c r="B6444" s="609">
        <v>44518</v>
      </c>
      <c r="C6444" s="362" t="s">
        <v>88</v>
      </c>
      <c r="D6444" s="560">
        <v>234388201</v>
      </c>
      <c r="E6444" s="560">
        <v>13303962</v>
      </c>
      <c r="F6444" s="560"/>
      <c r="G6444" s="560">
        <f t="shared" si="133"/>
        <v>247692163</v>
      </c>
      <c r="H6444" s="362"/>
      <c r="I6444" s="362"/>
      <c r="J6444" s="362"/>
    </row>
    <row r="6445" spans="1:10" x14ac:dyDescent="0.25">
      <c r="A6445" s="362"/>
      <c r="B6445" s="609">
        <v>44518</v>
      </c>
      <c r="C6445" s="362" t="s">
        <v>82</v>
      </c>
      <c r="D6445" s="560">
        <v>166006145</v>
      </c>
      <c r="E6445" s="560">
        <v>3373409</v>
      </c>
      <c r="F6445" s="560"/>
      <c r="G6445" s="560">
        <f t="shared" si="133"/>
        <v>169379554</v>
      </c>
      <c r="H6445" s="362"/>
      <c r="I6445" s="362"/>
      <c r="J6445" s="362"/>
    </row>
    <row r="6446" spans="1:10" x14ac:dyDescent="0.25">
      <c r="A6446" s="362"/>
      <c r="B6446" s="609">
        <v>44518</v>
      </c>
      <c r="C6446" s="362" t="s">
        <v>80</v>
      </c>
      <c r="D6446" s="560">
        <v>232058400</v>
      </c>
      <c r="E6446" s="560"/>
      <c r="F6446" s="560"/>
      <c r="G6446" s="560">
        <f t="shared" si="133"/>
        <v>232058400</v>
      </c>
      <c r="H6446" s="362"/>
      <c r="I6446" s="362"/>
      <c r="J6446" s="362"/>
    </row>
    <row r="6447" spans="1:10" x14ac:dyDescent="0.25">
      <c r="A6447" s="362"/>
      <c r="B6447" s="609">
        <v>44518</v>
      </c>
      <c r="C6447" s="362" t="s">
        <v>83</v>
      </c>
      <c r="D6447" s="560">
        <v>117873679</v>
      </c>
      <c r="E6447" s="560">
        <v>16119879</v>
      </c>
      <c r="F6447" s="560"/>
      <c r="G6447" s="560">
        <f t="shared" si="133"/>
        <v>133993558</v>
      </c>
      <c r="H6447" s="362"/>
      <c r="I6447" s="362"/>
      <c r="J6447" s="362"/>
    </row>
    <row r="6448" spans="1:10" x14ac:dyDescent="0.25">
      <c r="A6448" s="362"/>
      <c r="B6448" s="609">
        <v>44518</v>
      </c>
      <c r="C6448" s="362" t="s">
        <v>78</v>
      </c>
      <c r="D6448" s="560">
        <v>133436840</v>
      </c>
      <c r="E6448" s="560">
        <v>3757360</v>
      </c>
      <c r="F6448" s="560"/>
      <c r="G6448" s="560">
        <f t="shared" si="133"/>
        <v>137194200</v>
      </c>
      <c r="H6448" s="362"/>
      <c r="I6448" s="362"/>
      <c r="J6448" s="362"/>
    </row>
    <row r="6449" spans="1:10" x14ac:dyDescent="0.25">
      <c r="A6449" s="362"/>
      <c r="B6449" s="609">
        <v>44518</v>
      </c>
      <c r="C6449" s="362" t="s">
        <v>141</v>
      </c>
      <c r="D6449" s="560">
        <v>127447598</v>
      </c>
      <c r="E6449" s="560">
        <v>1742794</v>
      </c>
      <c r="F6449" s="560"/>
      <c r="G6449" s="560">
        <f t="shared" si="133"/>
        <v>129190392</v>
      </c>
      <c r="H6449" s="362"/>
      <c r="I6449" s="362"/>
      <c r="J6449" s="362"/>
    </row>
    <row r="6450" spans="1:10" x14ac:dyDescent="0.25">
      <c r="A6450" s="362"/>
      <c r="B6450" s="609">
        <v>44518</v>
      </c>
      <c r="C6450" s="362" t="s">
        <v>89</v>
      </c>
      <c r="D6450" s="560">
        <v>175871012</v>
      </c>
      <c r="E6450" s="560">
        <v>17547888</v>
      </c>
      <c r="F6450" s="560"/>
      <c r="G6450" s="560">
        <f t="shared" si="133"/>
        <v>193418900</v>
      </c>
      <c r="H6450" s="362"/>
      <c r="I6450" s="362"/>
      <c r="J6450" s="362"/>
    </row>
    <row r="6451" spans="1:10" x14ac:dyDescent="0.25">
      <c r="A6451" s="362"/>
      <c r="B6451" s="609">
        <v>44518</v>
      </c>
      <c r="C6451" s="362" t="s">
        <v>81</v>
      </c>
      <c r="D6451" s="560">
        <v>84674599</v>
      </c>
      <c r="E6451" s="560">
        <v>10287052</v>
      </c>
      <c r="F6451" s="560"/>
      <c r="G6451" s="560">
        <f t="shared" si="133"/>
        <v>94961651</v>
      </c>
      <c r="H6451" s="362"/>
      <c r="I6451" s="362"/>
      <c r="J6451" s="362"/>
    </row>
    <row r="6452" spans="1:10" x14ac:dyDescent="0.25">
      <c r="A6452" s="362"/>
      <c r="B6452" s="609">
        <v>44518</v>
      </c>
      <c r="C6452" s="362" t="s">
        <v>84</v>
      </c>
      <c r="D6452" s="560">
        <v>337597844</v>
      </c>
      <c r="E6452" s="560">
        <v>12474234</v>
      </c>
      <c r="F6452" s="560"/>
      <c r="G6452" s="560">
        <f t="shared" si="133"/>
        <v>350072078</v>
      </c>
      <c r="H6452" s="362"/>
      <c r="I6452" s="362"/>
      <c r="J6452" s="362"/>
    </row>
    <row r="6453" spans="1:10" x14ac:dyDescent="0.25">
      <c r="A6453" s="362"/>
      <c r="B6453" s="609">
        <v>44518</v>
      </c>
      <c r="C6453" s="362" t="s">
        <v>4751</v>
      </c>
      <c r="D6453" s="560">
        <v>277034099</v>
      </c>
      <c r="E6453" s="560">
        <v>6835901</v>
      </c>
      <c r="F6453" s="560"/>
      <c r="G6453" s="560">
        <f t="shared" si="133"/>
        <v>283870000</v>
      </c>
      <c r="H6453" s="362"/>
      <c r="I6453" s="362"/>
      <c r="J6453" s="362"/>
    </row>
    <row r="6454" spans="1:10" x14ac:dyDescent="0.25">
      <c r="A6454" s="362"/>
      <c r="B6454" s="609">
        <v>44518</v>
      </c>
      <c r="C6454" s="362" t="s">
        <v>166</v>
      </c>
      <c r="D6454" s="560">
        <v>89398593</v>
      </c>
      <c r="E6454" s="560"/>
      <c r="F6454" s="560"/>
      <c r="G6454" s="560">
        <f t="shared" si="133"/>
        <v>89398593</v>
      </c>
      <c r="H6454" s="362"/>
      <c r="I6454" s="362"/>
      <c r="J6454" s="362"/>
    </row>
    <row r="6455" spans="1:10" x14ac:dyDescent="0.25">
      <c r="A6455" s="362"/>
      <c r="B6455" s="609">
        <v>44518</v>
      </c>
      <c r="C6455" s="362" t="s">
        <v>3435</v>
      </c>
      <c r="D6455" s="560">
        <v>137217810</v>
      </c>
      <c r="E6455" s="560"/>
      <c r="F6455" s="560"/>
      <c r="G6455" s="560">
        <f t="shared" si="133"/>
        <v>137217810</v>
      </c>
      <c r="H6455" s="362"/>
      <c r="I6455" s="362"/>
      <c r="J6455" s="362"/>
    </row>
    <row r="6456" spans="1:10" x14ac:dyDescent="0.25">
      <c r="A6456" s="362"/>
      <c r="B6456" s="609">
        <v>44518</v>
      </c>
      <c r="C6456" s="370" t="s">
        <v>85</v>
      </c>
      <c r="D6456" s="560">
        <v>36041400</v>
      </c>
      <c r="E6456" s="560"/>
      <c r="F6456" s="560"/>
      <c r="G6456" s="560">
        <f t="shared" si="133"/>
        <v>36041400</v>
      </c>
      <c r="H6456" s="362"/>
      <c r="I6456" s="362"/>
      <c r="J6456" s="362"/>
    </row>
    <row r="6457" spans="1:10" x14ac:dyDescent="0.25">
      <c r="A6457" s="530"/>
      <c r="B6457" s="530"/>
      <c r="C6457" s="530"/>
      <c r="D6457" s="562">
        <f>SUM(D6442:D6456)</f>
        <v>2285200350</v>
      </c>
      <c r="E6457" s="562">
        <f>SUM(E6442:E6456)</f>
        <v>208726007</v>
      </c>
      <c r="F6457" s="562">
        <f>SUM(F6442:F6456)</f>
        <v>0</v>
      </c>
      <c r="G6457" s="562">
        <f>SUM(G6442:G6456)</f>
        <v>2493926357</v>
      </c>
      <c r="H6457" s="530"/>
      <c r="I6457" s="530"/>
      <c r="J6457" s="530"/>
    </row>
    <row r="6458" spans="1:10" x14ac:dyDescent="0.25">
      <c r="A6458" s="362"/>
      <c r="B6458" s="609">
        <v>44519</v>
      </c>
      <c r="C6458" s="362" t="s">
        <v>86</v>
      </c>
      <c r="D6458" s="560">
        <v>96067016</v>
      </c>
      <c r="E6458" s="560">
        <v>36514280</v>
      </c>
      <c r="F6458" s="560"/>
      <c r="G6458" s="560">
        <f t="shared" si="133"/>
        <v>132581296</v>
      </c>
      <c r="H6458" s="362"/>
      <c r="I6458" s="362"/>
      <c r="J6458" s="362"/>
    </row>
    <row r="6459" spans="1:10" x14ac:dyDescent="0.25">
      <c r="A6459" s="362"/>
      <c r="B6459" s="609">
        <v>44519</v>
      </c>
      <c r="C6459" s="362" t="s">
        <v>87</v>
      </c>
      <c r="D6459" s="560">
        <v>79190227</v>
      </c>
      <c r="E6459" s="560">
        <v>48972225</v>
      </c>
      <c r="F6459" s="560"/>
      <c r="G6459" s="560">
        <f t="shared" si="133"/>
        <v>128162452</v>
      </c>
      <c r="H6459" s="362"/>
      <c r="I6459" s="362"/>
      <c r="J6459" s="362"/>
    </row>
    <row r="6460" spans="1:10" x14ac:dyDescent="0.25">
      <c r="A6460" s="362"/>
      <c r="B6460" s="609">
        <v>44519</v>
      </c>
      <c r="C6460" s="362" t="s">
        <v>88</v>
      </c>
      <c r="D6460" s="560">
        <v>117080388</v>
      </c>
      <c r="E6460" s="560">
        <v>35093563</v>
      </c>
      <c r="F6460" s="560"/>
      <c r="G6460" s="560">
        <f t="shared" si="133"/>
        <v>152173951</v>
      </c>
      <c r="H6460" s="362"/>
      <c r="I6460" s="362"/>
      <c r="J6460" s="362"/>
    </row>
    <row r="6461" spans="1:10" x14ac:dyDescent="0.25">
      <c r="A6461" s="362"/>
      <c r="B6461" s="609">
        <v>44519</v>
      </c>
      <c r="C6461" s="362" t="s">
        <v>82</v>
      </c>
      <c r="D6461" s="560">
        <v>70052885</v>
      </c>
      <c r="E6461" s="560">
        <v>2027145</v>
      </c>
      <c r="F6461" s="560"/>
      <c r="G6461" s="560">
        <f t="shared" si="133"/>
        <v>72080030</v>
      </c>
      <c r="H6461" s="362"/>
      <c r="I6461" s="362"/>
      <c r="J6461" s="362"/>
    </row>
    <row r="6462" spans="1:10" x14ac:dyDescent="0.25">
      <c r="A6462" s="362"/>
      <c r="B6462" s="609">
        <v>44519</v>
      </c>
      <c r="C6462" s="362" t="s">
        <v>80</v>
      </c>
      <c r="D6462" s="560">
        <v>208897516</v>
      </c>
      <c r="E6462" s="560">
        <v>3120000</v>
      </c>
      <c r="F6462" s="560"/>
      <c r="G6462" s="560">
        <f t="shared" si="133"/>
        <v>212017516</v>
      </c>
      <c r="H6462" s="560"/>
      <c r="I6462" s="362"/>
      <c r="J6462" s="362"/>
    </row>
    <row r="6463" spans="1:10" x14ac:dyDescent="0.25">
      <c r="A6463" s="362"/>
      <c r="B6463" s="609">
        <v>44519</v>
      </c>
      <c r="C6463" s="362" t="s">
        <v>83</v>
      </c>
      <c r="D6463" s="560">
        <v>101811445</v>
      </c>
      <c r="E6463" s="560">
        <v>62751341</v>
      </c>
      <c r="F6463" s="560"/>
      <c r="G6463" s="560">
        <f t="shared" si="133"/>
        <v>164562786</v>
      </c>
      <c r="H6463" s="560"/>
      <c r="I6463" s="362"/>
      <c r="J6463" s="362"/>
    </row>
    <row r="6464" spans="1:10" x14ac:dyDescent="0.25">
      <c r="A6464" s="362"/>
      <c r="B6464" s="609">
        <v>44519</v>
      </c>
      <c r="C6464" s="362" t="s">
        <v>78</v>
      </c>
      <c r="D6464" s="560">
        <v>97316127</v>
      </c>
      <c r="E6464" s="560">
        <v>9854073</v>
      </c>
      <c r="F6464" s="560"/>
      <c r="G6464" s="560">
        <f t="shared" si="133"/>
        <v>107170200</v>
      </c>
      <c r="H6464" s="560"/>
      <c r="I6464" s="362"/>
      <c r="J6464" s="362"/>
    </row>
    <row r="6465" spans="1:10" x14ac:dyDescent="0.25">
      <c r="A6465" s="362"/>
      <c r="B6465" s="609">
        <v>44519</v>
      </c>
      <c r="C6465" s="362" t="s">
        <v>141</v>
      </c>
      <c r="D6465" s="560">
        <v>83832156</v>
      </c>
      <c r="E6465" s="560">
        <v>1430608</v>
      </c>
      <c r="F6465" s="560"/>
      <c r="G6465" s="560">
        <f t="shared" si="133"/>
        <v>85262764</v>
      </c>
      <c r="H6465" s="560"/>
      <c r="I6465" s="362"/>
      <c r="J6465" s="362"/>
    </row>
    <row r="6466" spans="1:10" x14ac:dyDescent="0.25">
      <c r="A6466" s="362"/>
      <c r="B6466" s="609">
        <v>44519</v>
      </c>
      <c r="C6466" s="362" t="s">
        <v>89</v>
      </c>
      <c r="D6466" s="560">
        <v>189334935</v>
      </c>
      <c r="E6466" s="560">
        <v>100163655</v>
      </c>
      <c r="F6466" s="560"/>
      <c r="G6466" s="560">
        <f t="shared" si="133"/>
        <v>289498590</v>
      </c>
      <c r="H6466" s="560"/>
      <c r="I6466" s="362"/>
      <c r="J6466" s="362"/>
    </row>
    <row r="6467" spans="1:10" x14ac:dyDescent="0.25">
      <c r="A6467" s="362"/>
      <c r="B6467" s="609">
        <v>44519</v>
      </c>
      <c r="C6467" s="362" t="s">
        <v>81</v>
      </c>
      <c r="D6467" s="560">
        <v>67997516</v>
      </c>
      <c r="E6467" s="560">
        <v>44944403</v>
      </c>
      <c r="F6467" s="560"/>
      <c r="G6467" s="560">
        <f t="shared" si="133"/>
        <v>112941919</v>
      </c>
      <c r="H6467" s="560"/>
      <c r="I6467" s="362"/>
      <c r="J6467" s="362"/>
    </row>
    <row r="6468" spans="1:10" x14ac:dyDescent="0.25">
      <c r="A6468" s="362"/>
      <c r="B6468" s="609">
        <v>44519</v>
      </c>
      <c r="C6468" s="362" t="s">
        <v>84</v>
      </c>
      <c r="D6468" s="560">
        <v>472461850</v>
      </c>
      <c r="E6468" s="560">
        <v>19695023</v>
      </c>
      <c r="F6468" s="560"/>
      <c r="G6468" s="560">
        <f t="shared" si="133"/>
        <v>492156873</v>
      </c>
      <c r="H6468" s="560"/>
      <c r="I6468" s="362"/>
      <c r="J6468" s="362"/>
    </row>
    <row r="6469" spans="1:10" x14ac:dyDescent="0.25">
      <c r="A6469" s="362"/>
      <c r="B6469" s="609">
        <v>44519</v>
      </c>
      <c r="C6469" s="362" t="s">
        <v>4751</v>
      </c>
      <c r="D6469" s="560">
        <v>223855024</v>
      </c>
      <c r="E6469" s="560">
        <v>10845076</v>
      </c>
      <c r="F6469" s="560"/>
      <c r="G6469" s="560">
        <f t="shared" si="133"/>
        <v>234700100</v>
      </c>
      <c r="H6469" s="560"/>
      <c r="I6469" s="362"/>
      <c r="J6469" s="362"/>
    </row>
    <row r="6470" spans="1:10" x14ac:dyDescent="0.25">
      <c r="A6470" s="362"/>
      <c r="B6470" s="609">
        <v>44519</v>
      </c>
      <c r="C6470" s="362" t="s">
        <v>166</v>
      </c>
      <c r="D6470" s="560">
        <v>54154427</v>
      </c>
      <c r="E6470" s="560"/>
      <c r="F6470" s="560"/>
      <c r="G6470" s="560">
        <f t="shared" si="133"/>
        <v>54154427</v>
      </c>
      <c r="H6470" s="560"/>
      <c r="I6470" s="362"/>
      <c r="J6470" s="362"/>
    </row>
    <row r="6471" spans="1:10" x14ac:dyDescent="0.25">
      <c r="A6471" s="362"/>
      <c r="B6471" s="609">
        <v>44519</v>
      </c>
      <c r="C6471" s="362" t="s">
        <v>3435</v>
      </c>
      <c r="D6471" s="560">
        <v>120624151</v>
      </c>
      <c r="E6471" s="560"/>
      <c r="F6471" s="560"/>
      <c r="G6471" s="560">
        <f t="shared" si="133"/>
        <v>120624151</v>
      </c>
      <c r="H6471" s="560"/>
      <c r="I6471" s="362"/>
      <c r="J6471" s="362"/>
    </row>
    <row r="6472" spans="1:10" x14ac:dyDescent="0.25">
      <c r="A6472" s="362"/>
      <c r="B6472" s="609">
        <v>44519</v>
      </c>
      <c r="C6472" s="370" t="s">
        <v>85</v>
      </c>
      <c r="D6472" s="560">
        <v>36571600</v>
      </c>
      <c r="E6472" s="560"/>
      <c r="F6472" s="560"/>
      <c r="G6472" s="560">
        <f t="shared" si="133"/>
        <v>36571600</v>
      </c>
      <c r="H6472" s="560"/>
      <c r="I6472" s="362"/>
      <c r="J6472" s="362"/>
    </row>
    <row r="6473" spans="1:10" x14ac:dyDescent="0.25">
      <c r="A6473" s="530"/>
      <c r="B6473" s="530"/>
      <c r="C6473" s="530"/>
      <c r="D6473" s="562">
        <f>SUM(D6458:D6472)</f>
        <v>2019247263</v>
      </c>
      <c r="E6473" s="562">
        <f>SUM(E6458:E6472)</f>
        <v>375411392</v>
      </c>
      <c r="F6473" s="562">
        <f>SUM(F6458:F6472)</f>
        <v>0</v>
      </c>
      <c r="G6473" s="562">
        <f>SUM(G6458:G6472)</f>
        <v>2394658655</v>
      </c>
      <c r="H6473" s="562"/>
      <c r="I6473" s="530"/>
      <c r="J6473" s="530"/>
    </row>
    <row r="6474" spans="1:10" x14ac:dyDescent="0.25">
      <c r="A6474" s="362"/>
      <c r="B6474" s="609">
        <v>44520</v>
      </c>
      <c r="C6474" s="362" t="s">
        <v>86</v>
      </c>
      <c r="D6474" s="560">
        <v>50899854</v>
      </c>
      <c r="E6474" s="560">
        <v>36378990</v>
      </c>
      <c r="F6474" s="560"/>
      <c r="G6474" s="560">
        <f t="shared" si="133"/>
        <v>87278844</v>
      </c>
      <c r="H6474" s="560"/>
      <c r="I6474" s="362"/>
      <c r="J6474" s="362"/>
    </row>
    <row r="6475" spans="1:10" x14ac:dyDescent="0.25">
      <c r="A6475" s="362"/>
      <c r="B6475" s="609">
        <v>44520</v>
      </c>
      <c r="C6475" s="362" t="s">
        <v>87</v>
      </c>
      <c r="D6475" s="560">
        <v>54270909</v>
      </c>
      <c r="E6475" s="560">
        <v>108586384</v>
      </c>
      <c r="F6475" s="560"/>
      <c r="G6475" s="560">
        <f t="shared" si="133"/>
        <v>162857293</v>
      </c>
      <c r="H6475" s="560"/>
      <c r="I6475" s="362"/>
      <c r="J6475" s="362"/>
    </row>
    <row r="6476" spans="1:10" x14ac:dyDescent="0.25">
      <c r="A6476" s="362"/>
      <c r="B6476" s="609">
        <v>44520</v>
      </c>
      <c r="C6476" s="362" t="s">
        <v>88</v>
      </c>
      <c r="D6476" s="560">
        <v>116572086</v>
      </c>
      <c r="E6476" s="560">
        <v>14657242</v>
      </c>
      <c r="F6476" s="560"/>
      <c r="G6476" s="560">
        <f t="shared" ref="G6476:G6487" si="135">D6476+E6476-F6476</f>
        <v>131229328</v>
      </c>
      <c r="H6476" s="560"/>
      <c r="I6476" s="362"/>
      <c r="J6476" s="362"/>
    </row>
    <row r="6477" spans="1:10" x14ac:dyDescent="0.25">
      <c r="A6477" s="362"/>
      <c r="B6477" s="609">
        <v>44520</v>
      </c>
      <c r="C6477" s="362" t="s">
        <v>82</v>
      </c>
      <c r="D6477" s="560">
        <v>44382407</v>
      </c>
      <c r="E6477" s="560">
        <v>24285299</v>
      </c>
      <c r="F6477" s="560"/>
      <c r="G6477" s="560">
        <f t="shared" si="135"/>
        <v>68667706</v>
      </c>
      <c r="H6477" s="560"/>
      <c r="I6477" s="362"/>
      <c r="J6477" s="362"/>
    </row>
    <row r="6478" spans="1:10" x14ac:dyDescent="0.25">
      <c r="A6478" s="362"/>
      <c r="B6478" s="609">
        <v>44520</v>
      </c>
      <c r="C6478" s="362" t="s">
        <v>80</v>
      </c>
      <c r="D6478" s="560">
        <v>281326573</v>
      </c>
      <c r="E6478" s="560"/>
      <c r="F6478" s="560"/>
      <c r="G6478" s="560">
        <f t="shared" si="135"/>
        <v>281326573</v>
      </c>
      <c r="H6478" s="560"/>
      <c r="I6478" s="362"/>
      <c r="J6478" s="362"/>
    </row>
    <row r="6479" spans="1:10" x14ac:dyDescent="0.25">
      <c r="A6479" s="362"/>
      <c r="B6479" s="609">
        <v>44520</v>
      </c>
      <c r="C6479" s="362" t="s">
        <v>83</v>
      </c>
      <c r="D6479" s="560">
        <v>134551630</v>
      </c>
      <c r="E6479" s="560">
        <v>13397104</v>
      </c>
      <c r="F6479" s="560"/>
      <c r="G6479" s="560">
        <f t="shared" si="135"/>
        <v>147948734</v>
      </c>
      <c r="H6479" s="560"/>
      <c r="I6479" s="362"/>
      <c r="J6479" s="362"/>
    </row>
    <row r="6480" spans="1:10" x14ac:dyDescent="0.25">
      <c r="A6480" s="362"/>
      <c r="B6480" s="609">
        <v>44520</v>
      </c>
      <c r="C6480" s="362" t="s">
        <v>78</v>
      </c>
      <c r="D6480" s="560">
        <v>132709064</v>
      </c>
      <c r="E6480" s="560">
        <v>7685336</v>
      </c>
      <c r="F6480" s="560"/>
      <c r="G6480" s="560">
        <f t="shared" si="135"/>
        <v>140394400</v>
      </c>
      <c r="H6480" s="560"/>
      <c r="I6480" s="362"/>
      <c r="J6480" s="362"/>
    </row>
    <row r="6481" spans="1:12" x14ac:dyDescent="0.25">
      <c r="A6481" s="362"/>
      <c r="B6481" s="609">
        <v>44520</v>
      </c>
      <c r="C6481" s="362" t="s">
        <v>141</v>
      </c>
      <c r="D6481" s="560">
        <v>61151409</v>
      </c>
      <c r="E6481" s="560">
        <v>1324261</v>
      </c>
      <c r="F6481" s="560"/>
      <c r="G6481" s="560">
        <f t="shared" si="135"/>
        <v>62475670</v>
      </c>
      <c r="H6481" s="560"/>
      <c r="I6481" s="362"/>
      <c r="J6481" s="362"/>
    </row>
    <row r="6482" spans="1:12" x14ac:dyDescent="0.25">
      <c r="A6482" s="362"/>
      <c r="B6482" s="609">
        <v>44520</v>
      </c>
      <c r="C6482" s="362" t="s">
        <v>89</v>
      </c>
      <c r="D6482" s="560">
        <v>103290505</v>
      </c>
      <c r="E6482" s="560">
        <v>52927695</v>
      </c>
      <c r="F6482" s="560"/>
      <c r="G6482" s="560">
        <f t="shared" si="135"/>
        <v>156218200</v>
      </c>
      <c r="H6482" s="560"/>
      <c r="I6482" s="362"/>
      <c r="J6482" s="362"/>
      <c r="L6482" s="254" t="s">
        <v>6201</v>
      </c>
    </row>
    <row r="6483" spans="1:12" x14ac:dyDescent="0.25">
      <c r="A6483" s="362"/>
      <c r="B6483" s="609">
        <v>44520</v>
      </c>
      <c r="C6483" s="362" t="s">
        <v>81</v>
      </c>
      <c r="D6483" s="560">
        <v>119559262</v>
      </c>
      <c r="E6483" s="560">
        <v>43364015</v>
      </c>
      <c r="F6483" s="560"/>
      <c r="G6483" s="560">
        <f t="shared" si="135"/>
        <v>162923277</v>
      </c>
      <c r="H6483" s="362"/>
      <c r="I6483" s="362"/>
      <c r="J6483" s="362"/>
    </row>
    <row r="6484" spans="1:12" x14ac:dyDescent="0.25">
      <c r="A6484" s="362"/>
      <c r="B6484" s="609">
        <v>44520</v>
      </c>
      <c r="C6484" s="362" t="s">
        <v>84</v>
      </c>
      <c r="D6484" s="560">
        <v>307790730</v>
      </c>
      <c r="E6484" s="560">
        <v>18143761</v>
      </c>
      <c r="F6484" s="560"/>
      <c r="G6484" s="560">
        <f t="shared" si="135"/>
        <v>325934491</v>
      </c>
      <c r="H6484" s="362"/>
      <c r="I6484" s="362"/>
      <c r="J6484" s="362"/>
    </row>
    <row r="6485" spans="1:12" x14ac:dyDescent="0.25">
      <c r="A6485" s="362"/>
      <c r="B6485" s="609">
        <v>44520</v>
      </c>
      <c r="C6485" s="362" t="s">
        <v>4751</v>
      </c>
      <c r="D6485" s="560">
        <v>235344600</v>
      </c>
      <c r="E6485" s="560">
        <v>19587200</v>
      </c>
      <c r="F6485" s="560"/>
      <c r="G6485" s="560">
        <f t="shared" si="135"/>
        <v>254931800</v>
      </c>
      <c r="H6485" s="362"/>
      <c r="I6485" s="362"/>
      <c r="J6485" s="362"/>
    </row>
    <row r="6486" spans="1:12" x14ac:dyDescent="0.25">
      <c r="A6486" s="362"/>
      <c r="B6486" s="609">
        <v>44520</v>
      </c>
      <c r="C6486" s="362" t="s">
        <v>166</v>
      </c>
      <c r="D6486" s="560"/>
      <c r="E6486" s="560"/>
      <c r="F6486" s="560"/>
      <c r="G6486" s="560">
        <f t="shared" si="135"/>
        <v>0</v>
      </c>
      <c r="H6486" s="362"/>
      <c r="I6486" s="362"/>
      <c r="J6486" s="362"/>
    </row>
    <row r="6487" spans="1:12" x14ac:dyDescent="0.25">
      <c r="A6487" s="362"/>
      <c r="B6487" s="609">
        <v>44520</v>
      </c>
      <c r="C6487" s="362" t="s">
        <v>3435</v>
      </c>
      <c r="D6487" s="560"/>
      <c r="E6487" s="560"/>
      <c r="F6487" s="560"/>
      <c r="G6487" s="560">
        <f t="shared" si="135"/>
        <v>0</v>
      </c>
      <c r="H6487" s="362"/>
      <c r="I6487" s="362"/>
      <c r="J6487" s="362"/>
    </row>
    <row r="6488" spans="1:12" x14ac:dyDescent="0.25">
      <c r="A6488" s="362"/>
      <c r="B6488" s="609">
        <v>44520</v>
      </c>
      <c r="C6488" s="370" t="s">
        <v>85</v>
      </c>
      <c r="D6488" s="560">
        <v>28476100</v>
      </c>
      <c r="E6488" s="560"/>
      <c r="F6488" s="560"/>
      <c r="G6488" s="560">
        <f>D6488+E6488-F6488</f>
        <v>28476100</v>
      </c>
      <c r="H6488" s="362"/>
      <c r="I6488" s="362"/>
      <c r="J6488" s="362"/>
    </row>
    <row r="6489" spans="1:12" x14ac:dyDescent="0.25">
      <c r="A6489" s="530"/>
      <c r="B6489" s="530"/>
      <c r="C6489" s="530"/>
      <c r="D6489" s="562">
        <f>SUM(D6474:D6488)</f>
        <v>1670325129</v>
      </c>
      <c r="E6489" s="562">
        <f>SUM(E6474:E6488)</f>
        <v>340337287</v>
      </c>
      <c r="F6489" s="562">
        <f>SUM(F6474:F6488)</f>
        <v>0</v>
      </c>
      <c r="G6489" s="562">
        <f>SUM(G6474:G6488)</f>
        <v>2010662416</v>
      </c>
      <c r="H6489" s="530"/>
      <c r="I6489" s="530"/>
      <c r="J6489" s="530"/>
    </row>
    <row r="6490" spans="1:12" x14ac:dyDescent="0.25">
      <c r="A6490" s="362"/>
      <c r="B6490" s="609">
        <v>44522</v>
      </c>
      <c r="C6490" s="362" t="s">
        <v>86</v>
      </c>
      <c r="D6490" s="560">
        <v>80706040</v>
      </c>
      <c r="E6490" s="560">
        <v>60467046</v>
      </c>
      <c r="F6490" s="560"/>
      <c r="G6490" s="560">
        <f>D6490+E6490-F6490</f>
        <v>141173086</v>
      </c>
      <c r="H6490" s="362"/>
      <c r="I6490" s="362"/>
      <c r="J6490" s="362"/>
    </row>
    <row r="6491" spans="1:12" x14ac:dyDescent="0.25">
      <c r="A6491" s="362"/>
      <c r="B6491" s="609">
        <v>44522</v>
      </c>
      <c r="C6491" s="362" t="s">
        <v>87</v>
      </c>
      <c r="D6491" s="560">
        <v>127643077</v>
      </c>
      <c r="E6491" s="560">
        <v>41280236</v>
      </c>
      <c r="F6491" s="560"/>
      <c r="G6491" s="560">
        <f t="shared" ref="G6491:G6503" si="136">D6491+E6491-F6491</f>
        <v>168923313</v>
      </c>
      <c r="H6491" s="362"/>
      <c r="I6491" s="362"/>
      <c r="J6491" s="362"/>
    </row>
    <row r="6492" spans="1:12" x14ac:dyDescent="0.25">
      <c r="A6492" s="362"/>
      <c r="B6492" s="609">
        <v>44522</v>
      </c>
      <c r="C6492" s="362" t="s">
        <v>88</v>
      </c>
      <c r="D6492" s="560">
        <v>272068629</v>
      </c>
      <c r="E6492" s="560">
        <v>112235339</v>
      </c>
      <c r="F6492" s="560"/>
      <c r="G6492" s="560">
        <f t="shared" si="136"/>
        <v>384303968</v>
      </c>
      <c r="H6492" s="362"/>
      <c r="I6492" s="362"/>
      <c r="J6492" s="362"/>
    </row>
    <row r="6493" spans="1:12" x14ac:dyDescent="0.25">
      <c r="A6493" s="362"/>
      <c r="B6493" s="609">
        <v>44522</v>
      </c>
      <c r="C6493" s="362" t="s">
        <v>82</v>
      </c>
      <c r="D6493" s="560">
        <v>58907434</v>
      </c>
      <c r="E6493" s="560">
        <v>1960760</v>
      </c>
      <c r="F6493" s="560"/>
      <c r="G6493" s="560">
        <f t="shared" si="136"/>
        <v>60868194</v>
      </c>
      <c r="H6493" s="362"/>
      <c r="I6493" s="362"/>
      <c r="J6493" s="362"/>
    </row>
    <row r="6494" spans="1:12" x14ac:dyDescent="0.25">
      <c r="A6494" s="362"/>
      <c r="B6494" s="609">
        <v>44522</v>
      </c>
      <c r="C6494" s="362" t="s">
        <v>80</v>
      </c>
      <c r="D6494" s="560">
        <v>344540791</v>
      </c>
      <c r="E6494" s="560"/>
      <c r="F6494" s="560"/>
      <c r="G6494" s="560">
        <f t="shared" si="136"/>
        <v>344540791</v>
      </c>
      <c r="H6494" s="362"/>
      <c r="I6494" s="362"/>
      <c r="J6494" s="362"/>
    </row>
    <row r="6495" spans="1:12" x14ac:dyDescent="0.25">
      <c r="A6495" s="362"/>
      <c r="B6495" s="609">
        <v>44522</v>
      </c>
      <c r="C6495" s="362" t="s">
        <v>83</v>
      </c>
      <c r="D6495" s="560">
        <v>227349684</v>
      </c>
      <c r="E6495" s="560">
        <v>130737665</v>
      </c>
      <c r="F6495" s="560"/>
      <c r="G6495" s="560">
        <f t="shared" si="136"/>
        <v>358087349</v>
      </c>
      <c r="H6495" s="362"/>
      <c r="I6495" s="362"/>
      <c r="J6495" s="362"/>
    </row>
    <row r="6496" spans="1:12" x14ac:dyDescent="0.25">
      <c r="A6496" s="362"/>
      <c r="B6496" s="609">
        <v>44522</v>
      </c>
      <c r="C6496" s="362" t="s">
        <v>78</v>
      </c>
      <c r="D6496" s="560">
        <v>220518076</v>
      </c>
      <c r="E6496" s="560">
        <v>7769824</v>
      </c>
      <c r="F6496" s="560"/>
      <c r="G6496" s="560">
        <f t="shared" si="136"/>
        <v>228287900</v>
      </c>
      <c r="H6496" s="362"/>
      <c r="I6496" s="362"/>
      <c r="J6496" s="362"/>
    </row>
    <row r="6497" spans="1:10" x14ac:dyDescent="0.25">
      <c r="A6497" s="362"/>
      <c r="B6497" s="609">
        <v>44522</v>
      </c>
      <c r="C6497" s="362" t="s">
        <v>141</v>
      </c>
      <c r="D6497" s="560">
        <v>188351471</v>
      </c>
      <c r="E6497" s="560">
        <v>1795282</v>
      </c>
      <c r="F6497" s="560"/>
      <c r="G6497" s="560">
        <f t="shared" si="136"/>
        <v>190146753</v>
      </c>
      <c r="H6497" s="362"/>
      <c r="I6497" s="362"/>
      <c r="J6497" s="362"/>
    </row>
    <row r="6498" spans="1:10" x14ac:dyDescent="0.25">
      <c r="A6498" s="362"/>
      <c r="B6498" s="609">
        <v>44522</v>
      </c>
      <c r="C6498" s="362" t="s">
        <v>89</v>
      </c>
      <c r="D6498" s="560">
        <v>148711800</v>
      </c>
      <c r="E6498" s="560"/>
      <c r="F6498" s="560"/>
      <c r="G6498" s="560">
        <f t="shared" si="136"/>
        <v>148711800</v>
      </c>
      <c r="H6498" s="362"/>
      <c r="I6498" s="362"/>
      <c r="J6498" s="362"/>
    </row>
    <row r="6499" spans="1:10" x14ac:dyDescent="0.25">
      <c r="A6499" s="362"/>
      <c r="B6499" s="609">
        <v>44522</v>
      </c>
      <c r="C6499" s="362" t="s">
        <v>81</v>
      </c>
      <c r="D6499" s="560">
        <v>103948669</v>
      </c>
      <c r="E6499" s="560">
        <v>22659217</v>
      </c>
      <c r="F6499" s="560"/>
      <c r="G6499" s="560">
        <f t="shared" si="136"/>
        <v>126607886</v>
      </c>
      <c r="H6499" s="362"/>
      <c r="I6499" s="362"/>
      <c r="J6499" s="362"/>
    </row>
    <row r="6500" spans="1:10" x14ac:dyDescent="0.25">
      <c r="A6500" s="362"/>
      <c r="B6500" s="609">
        <v>44522</v>
      </c>
      <c r="C6500" s="362" t="s">
        <v>84</v>
      </c>
      <c r="D6500" s="560">
        <v>256453207</v>
      </c>
      <c r="E6500" s="560">
        <v>17937759</v>
      </c>
      <c r="F6500" s="560"/>
      <c r="G6500" s="560">
        <f t="shared" si="136"/>
        <v>274390966</v>
      </c>
      <c r="H6500" s="362"/>
      <c r="I6500" s="362"/>
      <c r="J6500" s="362"/>
    </row>
    <row r="6501" spans="1:10" x14ac:dyDescent="0.25">
      <c r="A6501" s="362"/>
      <c r="B6501" s="609">
        <v>44522</v>
      </c>
      <c r="C6501" s="362" t="s">
        <v>4751</v>
      </c>
      <c r="D6501" s="560">
        <v>216107275</v>
      </c>
      <c r="E6501" s="560">
        <v>14805125</v>
      </c>
      <c r="F6501" s="560"/>
      <c r="G6501" s="560">
        <f t="shared" si="136"/>
        <v>230912400</v>
      </c>
      <c r="H6501" s="362"/>
      <c r="I6501" s="362"/>
      <c r="J6501" s="362"/>
    </row>
    <row r="6502" spans="1:10" x14ac:dyDescent="0.25">
      <c r="A6502" s="362"/>
      <c r="B6502" s="609">
        <v>44522</v>
      </c>
      <c r="C6502" s="362" t="s">
        <v>166</v>
      </c>
      <c r="D6502" s="560">
        <v>84641414</v>
      </c>
      <c r="E6502" s="560"/>
      <c r="F6502" s="560"/>
      <c r="G6502" s="560">
        <f t="shared" si="136"/>
        <v>84641414</v>
      </c>
      <c r="H6502" s="362"/>
      <c r="I6502" s="362"/>
      <c r="J6502" s="362"/>
    </row>
    <row r="6503" spans="1:10" x14ac:dyDescent="0.25">
      <c r="A6503" s="362"/>
      <c r="B6503" s="609">
        <v>44522</v>
      </c>
      <c r="C6503" s="362" t="s">
        <v>3435</v>
      </c>
      <c r="D6503" s="560">
        <v>22508651</v>
      </c>
      <c r="E6503" s="560"/>
      <c r="F6503" s="560"/>
      <c r="G6503" s="560">
        <f t="shared" si="136"/>
        <v>22508651</v>
      </c>
      <c r="H6503" s="362"/>
      <c r="I6503" s="362"/>
      <c r="J6503" s="362"/>
    </row>
    <row r="6504" spans="1:10" x14ac:dyDescent="0.25">
      <c r="A6504" s="362"/>
      <c r="B6504" s="609">
        <v>44522</v>
      </c>
      <c r="C6504" s="370" t="s">
        <v>85</v>
      </c>
      <c r="D6504" s="560">
        <v>59984100</v>
      </c>
      <c r="E6504" s="560"/>
      <c r="F6504" s="560"/>
      <c r="G6504" s="560">
        <f>D6504+E6504-F6504</f>
        <v>59984100</v>
      </c>
      <c r="H6504" s="362"/>
      <c r="I6504" s="362"/>
      <c r="J6504" s="362"/>
    </row>
    <row r="6505" spans="1:10" x14ac:dyDescent="0.25">
      <c r="A6505" s="530"/>
      <c r="B6505" s="530"/>
      <c r="C6505" s="530"/>
      <c r="D6505" s="562">
        <f>SUM(D6490:D6504)</f>
        <v>2412440318</v>
      </c>
      <c r="E6505" s="562">
        <f>SUM(E6490:E6504)</f>
        <v>411648253</v>
      </c>
      <c r="F6505" s="562">
        <f>SUM(F6490:F6504)</f>
        <v>0</v>
      </c>
      <c r="G6505" s="562">
        <f>SUM(G6490:G6504)</f>
        <v>2824088571</v>
      </c>
      <c r="H6505" s="530"/>
      <c r="I6505" s="530"/>
      <c r="J6505" s="530"/>
    </row>
    <row r="6506" spans="1:10" x14ac:dyDescent="0.25">
      <c r="A6506" s="362"/>
      <c r="B6506" s="609">
        <v>44523</v>
      </c>
      <c r="C6506" s="362" t="s">
        <v>86</v>
      </c>
      <c r="D6506" s="560">
        <v>93135968</v>
      </c>
      <c r="E6506" s="560">
        <v>41521056</v>
      </c>
      <c r="F6506" s="560"/>
      <c r="G6506" s="560">
        <f>D6506+E6506-F6506</f>
        <v>134657024</v>
      </c>
      <c r="H6506" s="362"/>
      <c r="I6506" s="362"/>
      <c r="J6506" s="362"/>
    </row>
    <row r="6507" spans="1:10" x14ac:dyDescent="0.25">
      <c r="A6507" s="362"/>
      <c r="B6507" s="609">
        <v>44523</v>
      </c>
      <c r="C6507" s="362" t="s">
        <v>87</v>
      </c>
      <c r="D6507" s="560">
        <v>107331353</v>
      </c>
      <c r="E6507" s="560">
        <v>14818930</v>
      </c>
      <c r="F6507" s="560"/>
      <c r="G6507" s="560">
        <f t="shared" ref="G6507:G6519" si="137">D6507+E6507-F6507</f>
        <v>122150283</v>
      </c>
      <c r="H6507" s="362"/>
      <c r="I6507" s="362"/>
      <c r="J6507" s="362"/>
    </row>
    <row r="6508" spans="1:10" x14ac:dyDescent="0.25">
      <c r="A6508" s="362"/>
      <c r="B6508" s="609">
        <v>44523</v>
      </c>
      <c r="C6508" s="362" t="s">
        <v>88</v>
      </c>
      <c r="D6508" s="560">
        <v>246137286</v>
      </c>
      <c r="E6508" s="560">
        <v>6822797</v>
      </c>
      <c r="F6508" s="560"/>
      <c r="G6508" s="560">
        <f t="shared" si="137"/>
        <v>252960083</v>
      </c>
      <c r="H6508" s="362"/>
      <c r="I6508" s="362"/>
      <c r="J6508" s="362"/>
    </row>
    <row r="6509" spans="1:10" x14ac:dyDescent="0.25">
      <c r="A6509" s="362"/>
      <c r="B6509" s="609">
        <v>44523</v>
      </c>
      <c r="C6509" s="362" t="s">
        <v>82</v>
      </c>
      <c r="D6509" s="560">
        <v>109385643</v>
      </c>
      <c r="E6509" s="560">
        <v>10173625</v>
      </c>
      <c r="F6509" s="560"/>
      <c r="G6509" s="560">
        <f t="shared" si="137"/>
        <v>119559268</v>
      </c>
      <c r="H6509" s="362"/>
      <c r="I6509" s="362"/>
      <c r="J6509" s="362"/>
    </row>
    <row r="6510" spans="1:10" x14ac:dyDescent="0.25">
      <c r="A6510" s="362"/>
      <c r="B6510" s="609">
        <v>44523</v>
      </c>
      <c r="C6510" s="362" t="s">
        <v>80</v>
      </c>
      <c r="D6510" s="560">
        <v>479819236</v>
      </c>
      <c r="E6510" s="560"/>
      <c r="F6510" s="560"/>
      <c r="G6510" s="560">
        <f t="shared" si="137"/>
        <v>479819236</v>
      </c>
      <c r="H6510" s="362"/>
      <c r="I6510" s="362"/>
      <c r="J6510" s="362"/>
    </row>
    <row r="6511" spans="1:10" x14ac:dyDescent="0.25">
      <c r="A6511" s="362"/>
      <c r="B6511" s="609">
        <v>44523</v>
      </c>
      <c r="C6511" s="362" t="s">
        <v>83</v>
      </c>
      <c r="D6511" s="560">
        <v>192122942</v>
      </c>
      <c r="E6511" s="560">
        <v>64810008</v>
      </c>
      <c r="F6511" s="560"/>
      <c r="G6511" s="560">
        <f t="shared" si="137"/>
        <v>256932950</v>
      </c>
      <c r="H6511" s="362"/>
      <c r="I6511" s="362"/>
      <c r="J6511" s="362"/>
    </row>
    <row r="6512" spans="1:10" x14ac:dyDescent="0.25">
      <c r="A6512" s="362"/>
      <c r="B6512" s="609">
        <v>44523</v>
      </c>
      <c r="C6512" s="362" t="s">
        <v>78</v>
      </c>
      <c r="D6512" s="560">
        <v>115553422</v>
      </c>
      <c r="E6512" s="560">
        <v>15847478</v>
      </c>
      <c r="F6512" s="560"/>
      <c r="G6512" s="560">
        <f t="shared" si="137"/>
        <v>131400900</v>
      </c>
      <c r="H6512" s="362"/>
      <c r="I6512" s="362"/>
      <c r="J6512" s="362"/>
    </row>
    <row r="6513" spans="1:10" x14ac:dyDescent="0.25">
      <c r="A6513" s="362"/>
      <c r="B6513" s="609">
        <v>44523</v>
      </c>
      <c r="C6513" s="362" t="s">
        <v>141</v>
      </c>
      <c r="D6513" s="560">
        <v>60049761</v>
      </c>
      <c r="E6513" s="560">
        <v>846384</v>
      </c>
      <c r="F6513" s="560"/>
      <c r="G6513" s="560">
        <f t="shared" si="137"/>
        <v>60896145</v>
      </c>
      <c r="H6513" s="362"/>
      <c r="I6513" s="362"/>
      <c r="J6513" s="362"/>
    </row>
    <row r="6514" spans="1:10" x14ac:dyDescent="0.25">
      <c r="A6514" s="362"/>
      <c r="B6514" s="609">
        <v>44523</v>
      </c>
      <c r="C6514" s="362" t="s">
        <v>89</v>
      </c>
      <c r="D6514" s="560">
        <v>100004273</v>
      </c>
      <c r="E6514" s="560">
        <v>77557127</v>
      </c>
      <c r="F6514" s="560"/>
      <c r="G6514" s="560">
        <f t="shared" si="137"/>
        <v>177561400</v>
      </c>
      <c r="H6514" s="362"/>
      <c r="I6514" s="362"/>
      <c r="J6514" s="362"/>
    </row>
    <row r="6515" spans="1:10" x14ac:dyDescent="0.25">
      <c r="A6515" s="362"/>
      <c r="B6515" s="609">
        <v>44523</v>
      </c>
      <c r="C6515" s="362" t="s">
        <v>81</v>
      </c>
      <c r="D6515" s="560">
        <v>87310876</v>
      </c>
      <c r="E6515" s="560">
        <v>77777318</v>
      </c>
      <c r="F6515" s="560"/>
      <c r="G6515" s="560">
        <f t="shared" si="137"/>
        <v>165088194</v>
      </c>
      <c r="H6515" s="362"/>
      <c r="I6515" s="362"/>
      <c r="J6515" s="362"/>
    </row>
    <row r="6516" spans="1:10" x14ac:dyDescent="0.25">
      <c r="A6516" s="362"/>
      <c r="B6516" s="609">
        <v>44523</v>
      </c>
      <c r="C6516" s="362" t="s">
        <v>84</v>
      </c>
      <c r="D6516" s="560">
        <v>180282813</v>
      </c>
      <c r="E6516" s="560">
        <v>15378697</v>
      </c>
      <c r="F6516" s="560"/>
      <c r="G6516" s="560">
        <f t="shared" si="137"/>
        <v>195661510</v>
      </c>
      <c r="H6516" s="362"/>
      <c r="I6516" s="362"/>
      <c r="J6516" s="362"/>
    </row>
    <row r="6517" spans="1:10" x14ac:dyDescent="0.25">
      <c r="A6517" s="362"/>
      <c r="B6517" s="609">
        <v>44523</v>
      </c>
      <c r="C6517" s="362" t="s">
        <v>4751</v>
      </c>
      <c r="D6517" s="560">
        <v>198616648</v>
      </c>
      <c r="E6517" s="560">
        <v>12401652</v>
      </c>
      <c r="F6517" s="560"/>
      <c r="G6517" s="560">
        <f t="shared" si="137"/>
        <v>211018300</v>
      </c>
      <c r="H6517" s="362"/>
      <c r="I6517" s="362"/>
      <c r="J6517" s="362"/>
    </row>
    <row r="6518" spans="1:10" x14ac:dyDescent="0.25">
      <c r="A6518" s="362"/>
      <c r="B6518" s="609">
        <v>44523</v>
      </c>
      <c r="C6518" s="362" t="s">
        <v>166</v>
      </c>
      <c r="D6518" s="560">
        <v>94540549</v>
      </c>
      <c r="E6518" s="560"/>
      <c r="F6518" s="560"/>
      <c r="G6518" s="560">
        <f t="shared" si="137"/>
        <v>94540549</v>
      </c>
      <c r="H6518" s="362"/>
      <c r="I6518" s="362"/>
      <c r="J6518" s="362"/>
    </row>
    <row r="6519" spans="1:10" x14ac:dyDescent="0.25">
      <c r="A6519" s="362"/>
      <c r="B6519" s="609">
        <v>44523</v>
      </c>
      <c r="C6519" s="362" t="s">
        <v>3435</v>
      </c>
      <c r="D6519" s="560">
        <v>78899028</v>
      </c>
      <c r="E6519" s="560"/>
      <c r="F6519" s="560"/>
      <c r="G6519" s="560">
        <f t="shared" si="137"/>
        <v>78899028</v>
      </c>
      <c r="H6519" s="362"/>
      <c r="I6519" s="362"/>
      <c r="J6519" s="362"/>
    </row>
    <row r="6520" spans="1:10" x14ac:dyDescent="0.25">
      <c r="A6520" s="362"/>
      <c r="B6520" s="609">
        <v>44523</v>
      </c>
      <c r="C6520" s="370" t="s">
        <v>85</v>
      </c>
      <c r="D6520" s="560">
        <v>39702000</v>
      </c>
      <c r="E6520" s="560"/>
      <c r="F6520" s="560"/>
      <c r="G6520" s="560">
        <f>D6520+E6520-F6520</f>
        <v>39702000</v>
      </c>
      <c r="H6520" s="362"/>
      <c r="I6520" s="362"/>
      <c r="J6520" s="362"/>
    </row>
    <row r="6521" spans="1:10" x14ac:dyDescent="0.25">
      <c r="A6521" s="530"/>
      <c r="B6521" s="530"/>
      <c r="C6521" s="530"/>
      <c r="D6521" s="562">
        <f>SUM(D6506:D6520)</f>
        <v>2182891798</v>
      </c>
      <c r="E6521" s="562">
        <f>SUM(E6506:E6520)</f>
        <v>337955072</v>
      </c>
      <c r="F6521" s="562">
        <f>SUM(F6506:F6520)</f>
        <v>0</v>
      </c>
      <c r="G6521" s="562">
        <f>SUM(G6506:G6520)</f>
        <v>2520846870</v>
      </c>
      <c r="H6521" s="530"/>
      <c r="I6521" s="530"/>
      <c r="J6521" s="530"/>
    </row>
    <row r="6522" spans="1:10" x14ac:dyDescent="0.25">
      <c r="A6522" s="362"/>
      <c r="B6522" s="609">
        <v>44524</v>
      </c>
      <c r="C6522" s="362" t="s">
        <v>86</v>
      </c>
      <c r="D6522" s="560">
        <v>65687124</v>
      </c>
      <c r="E6522" s="560">
        <v>69472401</v>
      </c>
      <c r="F6522" s="560"/>
      <c r="G6522" s="560">
        <f>D6522+E6522-F6522</f>
        <v>135159525</v>
      </c>
      <c r="H6522" s="362"/>
      <c r="I6522" s="362"/>
      <c r="J6522" s="362"/>
    </row>
    <row r="6523" spans="1:10" x14ac:dyDescent="0.25">
      <c r="A6523" s="362"/>
      <c r="B6523" s="609">
        <v>44524</v>
      </c>
      <c r="C6523" s="362" t="s">
        <v>87</v>
      </c>
      <c r="D6523" s="560">
        <v>112937308</v>
      </c>
      <c r="E6523" s="560">
        <v>31638594</v>
      </c>
      <c r="F6523" s="560"/>
      <c r="G6523" s="560">
        <f t="shared" ref="G6523:G6551" si="138">D6523+E6523-F6523</f>
        <v>144575902</v>
      </c>
      <c r="H6523" s="362"/>
      <c r="I6523" s="362"/>
      <c r="J6523" s="362"/>
    </row>
    <row r="6524" spans="1:10" x14ac:dyDescent="0.25">
      <c r="A6524" s="362"/>
      <c r="B6524" s="609">
        <v>44524</v>
      </c>
      <c r="C6524" s="362" t="s">
        <v>88</v>
      </c>
      <c r="D6524" s="560">
        <v>104691409</v>
      </c>
      <c r="E6524" s="560">
        <v>60313599</v>
      </c>
      <c r="F6524" s="560"/>
      <c r="G6524" s="560">
        <f t="shared" si="138"/>
        <v>165005008</v>
      </c>
      <c r="H6524" s="362"/>
      <c r="I6524" s="362"/>
      <c r="J6524" s="362"/>
    </row>
    <row r="6525" spans="1:10" x14ac:dyDescent="0.25">
      <c r="A6525" s="362"/>
      <c r="B6525" s="609">
        <v>44524</v>
      </c>
      <c r="C6525" s="362" t="s">
        <v>82</v>
      </c>
      <c r="D6525" s="560">
        <v>100491507</v>
      </c>
      <c r="E6525" s="560">
        <v>1107860</v>
      </c>
      <c r="F6525" s="560"/>
      <c r="G6525" s="560">
        <f t="shared" si="138"/>
        <v>101599367</v>
      </c>
      <c r="H6525" s="362"/>
      <c r="I6525" s="362"/>
      <c r="J6525" s="362"/>
    </row>
    <row r="6526" spans="1:10" x14ac:dyDescent="0.25">
      <c r="A6526" s="362"/>
      <c r="B6526" s="609">
        <v>44524</v>
      </c>
      <c r="C6526" s="362" t="s">
        <v>80</v>
      </c>
      <c r="D6526" s="560">
        <v>372683700</v>
      </c>
      <c r="E6526" s="560"/>
      <c r="F6526" s="560"/>
      <c r="G6526" s="560">
        <f t="shared" si="138"/>
        <v>372683700</v>
      </c>
      <c r="H6526" s="362"/>
      <c r="I6526" s="362"/>
      <c r="J6526" s="362"/>
    </row>
    <row r="6527" spans="1:10" x14ac:dyDescent="0.25">
      <c r="A6527" s="362"/>
      <c r="B6527" s="609">
        <v>44524</v>
      </c>
      <c r="C6527" s="362" t="s">
        <v>83</v>
      </c>
      <c r="D6527" s="560">
        <v>157357067</v>
      </c>
      <c r="E6527" s="560">
        <v>107162113</v>
      </c>
      <c r="F6527" s="560"/>
      <c r="G6527" s="560">
        <f t="shared" si="138"/>
        <v>264519180</v>
      </c>
      <c r="H6527" s="362"/>
      <c r="I6527" s="362"/>
      <c r="J6527" s="362"/>
    </row>
    <row r="6528" spans="1:10" x14ac:dyDescent="0.25">
      <c r="A6528" s="362"/>
      <c r="B6528" s="609">
        <v>44524</v>
      </c>
      <c r="C6528" s="362" t="s">
        <v>78</v>
      </c>
      <c r="D6528" s="560">
        <v>180800809</v>
      </c>
      <c r="E6528" s="560">
        <v>4120291</v>
      </c>
      <c r="F6528" s="560"/>
      <c r="G6528" s="560">
        <f t="shared" si="138"/>
        <v>184921100</v>
      </c>
      <c r="H6528" s="362"/>
      <c r="I6528" s="362"/>
      <c r="J6528" s="362"/>
    </row>
    <row r="6529" spans="1:10" x14ac:dyDescent="0.25">
      <c r="A6529" s="362"/>
      <c r="B6529" s="609">
        <v>44524</v>
      </c>
      <c r="C6529" s="362" t="s">
        <v>141</v>
      </c>
      <c r="D6529" s="560">
        <v>156402363</v>
      </c>
      <c r="E6529" s="560">
        <v>1569142</v>
      </c>
      <c r="F6529" s="560"/>
      <c r="G6529" s="560">
        <f t="shared" si="138"/>
        <v>157971505</v>
      </c>
      <c r="H6529" s="362"/>
      <c r="I6529" s="362"/>
      <c r="J6529" s="362"/>
    </row>
    <row r="6530" spans="1:10" x14ac:dyDescent="0.25">
      <c r="A6530" s="362"/>
      <c r="B6530" s="609">
        <v>44524</v>
      </c>
      <c r="C6530" s="362" t="s">
        <v>89</v>
      </c>
      <c r="D6530" s="560">
        <v>115680502</v>
      </c>
      <c r="E6530" s="560">
        <v>48665298</v>
      </c>
      <c r="F6530" s="560"/>
      <c r="G6530" s="560">
        <f t="shared" si="138"/>
        <v>164345800</v>
      </c>
      <c r="H6530" s="362"/>
      <c r="I6530" s="362"/>
      <c r="J6530" s="362"/>
    </row>
    <row r="6531" spans="1:10" x14ac:dyDescent="0.25">
      <c r="A6531" s="362"/>
      <c r="B6531" s="609">
        <v>44524</v>
      </c>
      <c r="C6531" s="362" t="s">
        <v>81</v>
      </c>
      <c r="D6531" s="560">
        <v>137109430</v>
      </c>
      <c r="E6531" s="560">
        <v>31775219</v>
      </c>
      <c r="F6531" s="560"/>
      <c r="G6531" s="560">
        <f t="shared" si="138"/>
        <v>168884649</v>
      </c>
      <c r="H6531" s="362"/>
      <c r="I6531" s="362"/>
      <c r="J6531" s="362"/>
    </row>
    <row r="6532" spans="1:10" x14ac:dyDescent="0.25">
      <c r="A6532" s="362"/>
      <c r="B6532" s="609">
        <v>44524</v>
      </c>
      <c r="C6532" s="362" t="s">
        <v>84</v>
      </c>
      <c r="D6532" s="560">
        <v>238725462</v>
      </c>
      <c r="E6532" s="560">
        <v>18482953</v>
      </c>
      <c r="F6532" s="560"/>
      <c r="G6532" s="560">
        <f t="shared" si="138"/>
        <v>257208415</v>
      </c>
      <c r="H6532" s="362"/>
      <c r="I6532" s="362"/>
      <c r="J6532" s="362"/>
    </row>
    <row r="6533" spans="1:10" x14ac:dyDescent="0.25">
      <c r="A6533" s="362"/>
      <c r="B6533" s="609">
        <v>44524</v>
      </c>
      <c r="C6533" s="362" t="s">
        <v>4751</v>
      </c>
      <c r="D6533" s="560">
        <v>155971831</v>
      </c>
      <c r="E6533" s="560">
        <v>7279469</v>
      </c>
      <c r="F6533" s="560"/>
      <c r="G6533" s="560">
        <f t="shared" si="138"/>
        <v>163251300</v>
      </c>
      <c r="H6533" s="362"/>
      <c r="I6533" s="362"/>
      <c r="J6533" s="362"/>
    </row>
    <row r="6534" spans="1:10" x14ac:dyDescent="0.25">
      <c r="A6534" s="362"/>
      <c r="B6534" s="609">
        <v>44524</v>
      </c>
      <c r="C6534" s="362" t="s">
        <v>166</v>
      </c>
      <c r="D6534" s="560">
        <v>66038262</v>
      </c>
      <c r="E6534" s="560"/>
      <c r="F6534" s="560"/>
      <c r="G6534" s="560">
        <f t="shared" si="138"/>
        <v>66038262</v>
      </c>
      <c r="H6534" s="362"/>
      <c r="I6534" s="362"/>
      <c r="J6534" s="362"/>
    </row>
    <row r="6535" spans="1:10" x14ac:dyDescent="0.25">
      <c r="A6535" s="362"/>
      <c r="B6535" s="609">
        <v>44524</v>
      </c>
      <c r="C6535" s="362" t="s">
        <v>3435</v>
      </c>
      <c r="D6535" s="560">
        <v>86677161</v>
      </c>
      <c r="E6535" s="560"/>
      <c r="F6535" s="560"/>
      <c r="G6535" s="560">
        <f t="shared" si="138"/>
        <v>86677161</v>
      </c>
      <c r="H6535" s="362"/>
      <c r="I6535" s="362"/>
      <c r="J6535" s="362"/>
    </row>
    <row r="6536" spans="1:10" x14ac:dyDescent="0.25">
      <c r="A6536" s="362"/>
      <c r="B6536" s="609">
        <v>44524</v>
      </c>
      <c r="C6536" s="370" t="s">
        <v>85</v>
      </c>
      <c r="D6536" s="560">
        <v>55580400</v>
      </c>
      <c r="E6536" s="560"/>
      <c r="F6536" s="560"/>
      <c r="G6536" s="560">
        <f t="shared" si="138"/>
        <v>55580400</v>
      </c>
      <c r="H6536" s="362"/>
      <c r="I6536" s="362"/>
      <c r="J6536" s="362"/>
    </row>
    <row r="6537" spans="1:10" x14ac:dyDescent="0.25">
      <c r="A6537" s="530"/>
      <c r="B6537" s="530"/>
      <c r="C6537" s="530"/>
      <c r="D6537" s="562">
        <f>SUM(D6522:D6536)</f>
        <v>2106834335</v>
      </c>
      <c r="E6537" s="562">
        <f>SUM(E6522:E6536)</f>
        <v>381586939</v>
      </c>
      <c r="F6537" s="562">
        <f>SUM(F6522:F6536)</f>
        <v>0</v>
      </c>
      <c r="G6537" s="562">
        <f>SUM(G6522:G6536)</f>
        <v>2488421274</v>
      </c>
      <c r="H6537" s="530"/>
      <c r="I6537" s="530"/>
      <c r="J6537" s="530"/>
    </row>
    <row r="6538" spans="1:10" x14ac:dyDescent="0.25">
      <c r="A6538" s="362"/>
      <c r="B6538" s="609">
        <v>44525</v>
      </c>
      <c r="C6538" s="362" t="s">
        <v>86</v>
      </c>
      <c r="D6538" s="560">
        <v>121255147</v>
      </c>
      <c r="E6538" s="560">
        <v>42825232</v>
      </c>
      <c r="F6538" s="560"/>
      <c r="G6538" s="560">
        <f t="shared" si="138"/>
        <v>164080379</v>
      </c>
      <c r="H6538" s="362"/>
      <c r="I6538" s="362"/>
      <c r="J6538" s="362"/>
    </row>
    <row r="6539" spans="1:10" x14ac:dyDescent="0.25">
      <c r="A6539" s="362"/>
      <c r="B6539" s="609">
        <v>44525</v>
      </c>
      <c r="C6539" s="362" t="s">
        <v>87</v>
      </c>
      <c r="D6539" s="560">
        <v>60000551</v>
      </c>
      <c r="E6539" s="560">
        <v>79667075</v>
      </c>
      <c r="F6539" s="560"/>
      <c r="G6539" s="560">
        <f t="shared" si="138"/>
        <v>139667626</v>
      </c>
      <c r="H6539" s="362"/>
      <c r="I6539" s="362"/>
      <c r="J6539" s="362"/>
    </row>
    <row r="6540" spans="1:10" x14ac:dyDescent="0.25">
      <c r="A6540" s="362"/>
      <c r="B6540" s="609">
        <v>44525</v>
      </c>
      <c r="C6540" s="362" t="s">
        <v>88</v>
      </c>
      <c r="D6540" s="560">
        <v>174888876</v>
      </c>
      <c r="E6540" s="560">
        <v>10092356</v>
      </c>
      <c r="F6540" s="560"/>
      <c r="G6540" s="560">
        <f t="shared" si="138"/>
        <v>184981232</v>
      </c>
      <c r="H6540" s="362"/>
      <c r="I6540" s="362"/>
      <c r="J6540" s="362"/>
    </row>
    <row r="6541" spans="1:10" x14ac:dyDescent="0.25">
      <c r="A6541" s="362"/>
      <c r="B6541" s="609">
        <v>44525</v>
      </c>
      <c r="C6541" s="362" t="s">
        <v>82</v>
      </c>
      <c r="D6541" s="560">
        <v>92543940</v>
      </c>
      <c r="E6541" s="560">
        <v>3264840</v>
      </c>
      <c r="F6541" s="560"/>
      <c r="G6541" s="560">
        <f t="shared" si="138"/>
        <v>95808780</v>
      </c>
      <c r="H6541" s="362"/>
      <c r="I6541" s="362"/>
      <c r="J6541" s="362"/>
    </row>
    <row r="6542" spans="1:10" x14ac:dyDescent="0.25">
      <c r="A6542" s="362"/>
      <c r="B6542" s="609">
        <v>44525</v>
      </c>
      <c r="C6542" s="362" t="s">
        <v>80</v>
      </c>
      <c r="D6542" s="560">
        <v>389322934</v>
      </c>
      <c r="E6542" s="560"/>
      <c r="F6542" s="560"/>
      <c r="G6542" s="560">
        <f t="shared" si="138"/>
        <v>389322934</v>
      </c>
      <c r="H6542" s="362"/>
      <c r="I6542" s="362"/>
      <c r="J6542" s="362"/>
    </row>
    <row r="6543" spans="1:10" x14ac:dyDescent="0.25">
      <c r="A6543" s="362"/>
      <c r="B6543" s="609">
        <v>44525</v>
      </c>
      <c r="C6543" s="362" t="s">
        <v>83</v>
      </c>
      <c r="D6543" s="560">
        <v>190543991</v>
      </c>
      <c r="E6543" s="560">
        <v>113728783</v>
      </c>
      <c r="F6543" s="560"/>
      <c r="G6543" s="560">
        <f t="shared" si="138"/>
        <v>304272774</v>
      </c>
      <c r="H6543" s="362"/>
      <c r="I6543" s="362"/>
      <c r="J6543" s="362"/>
    </row>
    <row r="6544" spans="1:10" x14ac:dyDescent="0.25">
      <c r="A6544" s="362"/>
      <c r="B6544" s="609">
        <v>44525</v>
      </c>
      <c r="C6544" s="362" t="s">
        <v>78</v>
      </c>
      <c r="D6544" s="560">
        <v>119190144</v>
      </c>
      <c r="E6544" s="560">
        <v>58356</v>
      </c>
      <c r="F6544" s="560"/>
      <c r="G6544" s="560">
        <f t="shared" si="138"/>
        <v>119248500</v>
      </c>
      <c r="H6544" s="362"/>
      <c r="I6544" s="362"/>
      <c r="J6544" s="362"/>
    </row>
    <row r="6545" spans="1:10" x14ac:dyDescent="0.25">
      <c r="A6545" s="362"/>
      <c r="B6545" s="609">
        <v>44525</v>
      </c>
      <c r="C6545" s="362" t="s">
        <v>141</v>
      </c>
      <c r="D6545" s="560">
        <v>126125583</v>
      </c>
      <c r="E6545" s="560">
        <v>1753461</v>
      </c>
      <c r="F6545" s="560"/>
      <c r="G6545" s="560">
        <f t="shared" si="138"/>
        <v>127879044</v>
      </c>
      <c r="H6545" s="362"/>
      <c r="I6545" s="362"/>
      <c r="J6545" s="362"/>
    </row>
    <row r="6546" spans="1:10" x14ac:dyDescent="0.25">
      <c r="A6546" s="362"/>
      <c r="B6546" s="609">
        <v>44525</v>
      </c>
      <c r="C6546" s="362" t="s">
        <v>89</v>
      </c>
      <c r="D6546" s="560">
        <v>120900054</v>
      </c>
      <c r="E6546" s="560">
        <v>38701246</v>
      </c>
      <c r="F6546" s="560"/>
      <c r="G6546" s="560">
        <f t="shared" si="138"/>
        <v>159601300</v>
      </c>
      <c r="H6546" s="362"/>
      <c r="I6546" s="362"/>
      <c r="J6546" s="362"/>
    </row>
    <row r="6547" spans="1:10" x14ac:dyDescent="0.25">
      <c r="A6547" s="362"/>
      <c r="B6547" s="609">
        <v>44525</v>
      </c>
      <c r="C6547" s="362" t="s">
        <v>81</v>
      </c>
      <c r="D6547" s="560">
        <v>136826609</v>
      </c>
      <c r="E6547" s="560">
        <v>21983015</v>
      </c>
      <c r="F6547" s="560"/>
      <c r="G6547" s="560">
        <f t="shared" si="138"/>
        <v>158809624</v>
      </c>
      <c r="H6547" s="362"/>
      <c r="I6547" s="362"/>
      <c r="J6547" s="362"/>
    </row>
    <row r="6548" spans="1:10" x14ac:dyDescent="0.25">
      <c r="A6548" s="362"/>
      <c r="B6548" s="609">
        <v>44525</v>
      </c>
      <c r="C6548" s="362" t="s">
        <v>84</v>
      </c>
      <c r="D6548" s="560">
        <v>244282360</v>
      </c>
      <c r="E6548" s="560">
        <v>13943556</v>
      </c>
      <c r="F6548" s="560"/>
      <c r="G6548" s="560">
        <f t="shared" si="138"/>
        <v>258225916</v>
      </c>
      <c r="H6548" s="362"/>
      <c r="I6548" s="362"/>
      <c r="J6548" s="362"/>
    </row>
    <row r="6549" spans="1:10" x14ac:dyDescent="0.25">
      <c r="A6549" s="362"/>
      <c r="B6549" s="609">
        <v>44525</v>
      </c>
      <c r="C6549" s="362" t="s">
        <v>4751</v>
      </c>
      <c r="D6549" s="560">
        <v>127580062</v>
      </c>
      <c r="E6549" s="560">
        <v>7906338</v>
      </c>
      <c r="F6549" s="560"/>
      <c r="G6549" s="560">
        <f t="shared" si="138"/>
        <v>135486400</v>
      </c>
      <c r="H6549" s="362"/>
      <c r="I6549" s="362"/>
      <c r="J6549" s="362"/>
    </row>
    <row r="6550" spans="1:10" x14ac:dyDescent="0.25">
      <c r="A6550" s="362"/>
      <c r="B6550" s="609">
        <v>44525</v>
      </c>
      <c r="C6550" s="362" t="s">
        <v>166</v>
      </c>
      <c r="D6550" s="560">
        <v>96895933</v>
      </c>
      <c r="E6550" s="560"/>
      <c r="F6550" s="560"/>
      <c r="G6550" s="560">
        <f t="shared" si="138"/>
        <v>96895933</v>
      </c>
      <c r="H6550" s="362"/>
      <c r="I6550" s="362"/>
      <c r="J6550" s="362"/>
    </row>
    <row r="6551" spans="1:10" x14ac:dyDescent="0.25">
      <c r="A6551" s="362"/>
      <c r="B6551" s="609">
        <v>44525</v>
      </c>
      <c r="C6551" s="362" t="s">
        <v>3435</v>
      </c>
      <c r="D6551" s="560">
        <v>52308067</v>
      </c>
      <c r="E6551" s="560"/>
      <c r="F6551" s="560"/>
      <c r="G6551" s="560">
        <f t="shared" si="138"/>
        <v>52308067</v>
      </c>
      <c r="H6551" s="362"/>
      <c r="I6551" s="362"/>
      <c r="J6551" s="362"/>
    </row>
    <row r="6552" spans="1:10" x14ac:dyDescent="0.25">
      <c r="A6552" s="362"/>
      <c r="B6552" s="609">
        <v>44525</v>
      </c>
      <c r="C6552" s="370" t="s">
        <v>85</v>
      </c>
      <c r="D6552" s="560">
        <v>23101200</v>
      </c>
      <c r="E6552" s="560"/>
      <c r="F6552" s="560"/>
      <c r="G6552" s="560">
        <f>D6552+E6552-F6552</f>
        <v>23101200</v>
      </c>
      <c r="H6552" s="362"/>
      <c r="I6552" s="362"/>
      <c r="J6552" s="362"/>
    </row>
    <row r="6553" spans="1:10" x14ac:dyDescent="0.25">
      <c r="A6553" s="530"/>
      <c r="B6553" s="530"/>
      <c r="C6553" s="530"/>
      <c r="D6553" s="562">
        <f>SUM(D6538:D6552)</f>
        <v>2075765451</v>
      </c>
      <c r="E6553" s="562">
        <f>SUM(E6538:E6552)</f>
        <v>333924258</v>
      </c>
      <c r="F6553" s="562">
        <f>SUM(F6538:F6552)</f>
        <v>0</v>
      </c>
      <c r="G6553" s="562">
        <f>SUM(G6538:G6552)</f>
        <v>2409689709</v>
      </c>
      <c r="H6553" s="530"/>
      <c r="I6553" s="530"/>
      <c r="J6553" s="530"/>
    </row>
    <row r="6554" spans="1:10" x14ac:dyDescent="0.25">
      <c r="A6554" s="362"/>
      <c r="B6554" s="609">
        <v>44526</v>
      </c>
      <c r="C6554" s="362" t="s">
        <v>86</v>
      </c>
      <c r="D6554" s="560">
        <v>37073676</v>
      </c>
      <c r="E6554" s="560">
        <v>179211914</v>
      </c>
      <c r="F6554" s="560">
        <v>216285600</v>
      </c>
      <c r="G6554" s="560">
        <f t="shared" ref="G6554:G6615" si="139">D6554+E6554-F6554</f>
        <v>-10</v>
      </c>
      <c r="H6554" s="362"/>
      <c r="I6554" s="362"/>
      <c r="J6554" s="362"/>
    </row>
    <row r="6555" spans="1:10" x14ac:dyDescent="0.25">
      <c r="A6555" s="362"/>
      <c r="B6555" s="609">
        <v>44526</v>
      </c>
      <c r="C6555" s="362" t="s">
        <v>87</v>
      </c>
      <c r="D6555" s="560">
        <v>96983830</v>
      </c>
      <c r="E6555" s="560">
        <v>41077298</v>
      </c>
      <c r="F6555" s="560">
        <v>138061100</v>
      </c>
      <c r="G6555" s="560">
        <f t="shared" si="139"/>
        <v>28</v>
      </c>
      <c r="H6555" s="362"/>
      <c r="I6555" s="362"/>
      <c r="J6555" s="362"/>
    </row>
    <row r="6556" spans="1:10" x14ac:dyDescent="0.25">
      <c r="A6556" s="362"/>
      <c r="B6556" s="609">
        <v>44526</v>
      </c>
      <c r="C6556" s="362" t="s">
        <v>88</v>
      </c>
      <c r="D6556" s="560">
        <v>137684049</v>
      </c>
      <c r="E6556" s="560">
        <v>333825258</v>
      </c>
      <c r="F6556" s="560">
        <v>471509400</v>
      </c>
      <c r="G6556" s="560">
        <f t="shared" si="139"/>
        <v>-93</v>
      </c>
      <c r="H6556" s="362"/>
      <c r="I6556" s="362"/>
      <c r="J6556" s="362"/>
    </row>
    <row r="6557" spans="1:10" x14ac:dyDescent="0.25">
      <c r="A6557" s="362"/>
      <c r="B6557" s="609">
        <v>44526</v>
      </c>
      <c r="C6557" s="362" t="s">
        <v>82</v>
      </c>
      <c r="D6557" s="560">
        <v>134003732</v>
      </c>
      <c r="E6557" s="560">
        <v>2495254</v>
      </c>
      <c r="F6557" s="560">
        <v>136499000</v>
      </c>
      <c r="G6557" s="560">
        <f t="shared" si="139"/>
        <v>-14</v>
      </c>
      <c r="H6557" s="362"/>
      <c r="I6557" s="362"/>
      <c r="J6557" s="362"/>
    </row>
    <row r="6558" spans="1:10" x14ac:dyDescent="0.25">
      <c r="A6558" s="362"/>
      <c r="B6558" s="609">
        <v>44526</v>
      </c>
      <c r="C6558" s="362" t="s">
        <v>80</v>
      </c>
      <c r="D6558" s="560">
        <v>442999012</v>
      </c>
      <c r="E6558" s="560"/>
      <c r="F6558" s="560">
        <v>442999100</v>
      </c>
      <c r="G6558" s="560">
        <f t="shared" si="139"/>
        <v>-88</v>
      </c>
      <c r="H6558" s="362"/>
      <c r="I6558" s="362"/>
      <c r="J6558" s="362"/>
    </row>
    <row r="6559" spans="1:10" x14ac:dyDescent="0.25">
      <c r="A6559" s="362"/>
      <c r="B6559" s="609">
        <v>44526</v>
      </c>
      <c r="C6559" s="362" t="s">
        <v>83</v>
      </c>
      <c r="D6559" s="560">
        <v>162819405</v>
      </c>
      <c r="E6559" s="560">
        <v>120838538</v>
      </c>
      <c r="F6559" s="560">
        <v>283658000</v>
      </c>
      <c r="G6559" s="560">
        <f t="shared" si="139"/>
        <v>-57</v>
      </c>
      <c r="H6559" s="362"/>
      <c r="I6559" s="362"/>
      <c r="J6559" s="362"/>
    </row>
    <row r="6560" spans="1:10" x14ac:dyDescent="0.25">
      <c r="A6560" s="362"/>
      <c r="B6560" s="609">
        <v>44526</v>
      </c>
      <c r="C6560" s="362" t="s">
        <v>78</v>
      </c>
      <c r="D6560" s="560">
        <v>231673771</v>
      </c>
      <c r="E6560" s="560">
        <v>188629</v>
      </c>
      <c r="F6560" s="560">
        <v>231862400</v>
      </c>
      <c r="G6560" s="560">
        <f t="shared" si="139"/>
        <v>0</v>
      </c>
      <c r="H6560" s="362"/>
      <c r="I6560" s="362"/>
      <c r="J6560" s="362"/>
    </row>
    <row r="6561" spans="1:10" x14ac:dyDescent="0.25">
      <c r="A6561" s="362"/>
      <c r="B6561" s="609">
        <v>44526</v>
      </c>
      <c r="C6561" s="362" t="s">
        <v>141</v>
      </c>
      <c r="D6561" s="560">
        <v>93321885</v>
      </c>
      <c r="E6561" s="560">
        <v>781600</v>
      </c>
      <c r="F6561" s="560">
        <v>94103500</v>
      </c>
      <c r="G6561" s="560">
        <f t="shared" si="139"/>
        <v>-15</v>
      </c>
      <c r="H6561" s="362"/>
      <c r="I6561" s="362"/>
      <c r="J6561" s="362"/>
    </row>
    <row r="6562" spans="1:10" x14ac:dyDescent="0.25">
      <c r="A6562" s="362"/>
      <c r="B6562" s="609">
        <v>44526</v>
      </c>
      <c r="C6562" s="362" t="s">
        <v>89</v>
      </c>
      <c r="D6562" s="560">
        <v>123330616</v>
      </c>
      <c r="E6562" s="560">
        <v>30942984</v>
      </c>
      <c r="F6562" s="560">
        <v>154273500</v>
      </c>
      <c r="G6562" s="560">
        <f t="shared" si="139"/>
        <v>100</v>
      </c>
      <c r="H6562" s="362"/>
      <c r="I6562" s="362"/>
      <c r="J6562" s="362"/>
    </row>
    <row r="6563" spans="1:10" x14ac:dyDescent="0.25">
      <c r="A6563" s="362"/>
      <c r="B6563" s="609">
        <v>44526</v>
      </c>
      <c r="C6563" s="362" t="s">
        <v>81</v>
      </c>
      <c r="D6563" s="560">
        <v>70399618</v>
      </c>
      <c r="E6563" s="560">
        <v>31078017</v>
      </c>
      <c r="F6563" s="560">
        <v>101477700</v>
      </c>
      <c r="G6563" s="560">
        <f t="shared" si="139"/>
        <v>-65</v>
      </c>
      <c r="H6563" s="362"/>
      <c r="I6563" s="362"/>
      <c r="J6563" s="362"/>
    </row>
    <row r="6564" spans="1:10" x14ac:dyDescent="0.25">
      <c r="A6564" s="362"/>
      <c r="B6564" s="609">
        <v>44526</v>
      </c>
      <c r="C6564" s="362" t="s">
        <v>84</v>
      </c>
      <c r="D6564" s="560">
        <v>291846849</v>
      </c>
      <c r="E6564" s="560">
        <v>12766408</v>
      </c>
      <c r="F6564" s="560">
        <v>304763300</v>
      </c>
      <c r="G6564" s="560">
        <f t="shared" si="139"/>
        <v>-150043</v>
      </c>
      <c r="H6564" s="362"/>
      <c r="I6564" s="362"/>
      <c r="J6564" s="362"/>
    </row>
    <row r="6565" spans="1:10" x14ac:dyDescent="0.25">
      <c r="A6565" s="362"/>
      <c r="B6565" s="609">
        <v>44526</v>
      </c>
      <c r="C6565" s="362" t="s">
        <v>4751</v>
      </c>
      <c r="D6565" s="560">
        <v>127307057</v>
      </c>
      <c r="E6565" s="560">
        <v>19166043</v>
      </c>
      <c r="F6565" s="560">
        <v>146473100</v>
      </c>
      <c r="G6565" s="560">
        <f t="shared" si="139"/>
        <v>0</v>
      </c>
      <c r="H6565" s="362"/>
      <c r="I6565" s="362"/>
      <c r="J6565" s="362"/>
    </row>
    <row r="6566" spans="1:10" x14ac:dyDescent="0.25">
      <c r="A6566" s="362"/>
      <c r="B6566" s="609">
        <v>44526</v>
      </c>
      <c r="C6566" s="362" t="s">
        <v>166</v>
      </c>
      <c r="D6566" s="560">
        <v>40996978</v>
      </c>
      <c r="E6566" s="560"/>
      <c r="F6566" s="560">
        <v>40997000</v>
      </c>
      <c r="G6566" s="560">
        <f t="shared" si="139"/>
        <v>-22</v>
      </c>
      <c r="H6566" s="362"/>
      <c r="I6566" s="362"/>
      <c r="J6566" s="362"/>
    </row>
    <row r="6567" spans="1:10" x14ac:dyDescent="0.25">
      <c r="A6567" s="362"/>
      <c r="B6567" s="609">
        <v>44526</v>
      </c>
      <c r="C6567" s="362" t="s">
        <v>3435</v>
      </c>
      <c r="D6567" s="560">
        <v>173679299</v>
      </c>
      <c r="E6567" s="560"/>
      <c r="F6567" s="560">
        <v>173679300</v>
      </c>
      <c r="G6567" s="560">
        <f t="shared" si="139"/>
        <v>-1</v>
      </c>
      <c r="H6567" s="362"/>
      <c r="I6567" s="362"/>
      <c r="J6567" s="362"/>
    </row>
    <row r="6568" spans="1:10" x14ac:dyDescent="0.25">
      <c r="A6568" s="362"/>
      <c r="B6568" s="609">
        <v>44526</v>
      </c>
      <c r="C6568" s="370" t="s">
        <v>85</v>
      </c>
      <c r="D6568" s="560">
        <v>27258600</v>
      </c>
      <c r="E6568" s="560"/>
      <c r="F6568" s="560">
        <v>27258600</v>
      </c>
      <c r="G6568" s="560">
        <f t="shared" si="139"/>
        <v>0</v>
      </c>
      <c r="H6568" s="362"/>
      <c r="I6568" s="362"/>
      <c r="J6568" s="362"/>
    </row>
    <row r="6569" spans="1:10" x14ac:dyDescent="0.25">
      <c r="A6569" s="530"/>
      <c r="B6569" s="530"/>
      <c r="C6569" s="530"/>
      <c r="D6569" s="562">
        <f>SUM(D6554:D6568)</f>
        <v>2191378377</v>
      </c>
      <c r="E6569" s="562">
        <f>SUM(E6554:E6568)</f>
        <v>772371943</v>
      </c>
      <c r="F6569" s="562">
        <f>SUM(F6554:F6568)</f>
        <v>2963900600</v>
      </c>
      <c r="G6569" s="562">
        <f>SUM(G6554:G6568)</f>
        <v>-150280</v>
      </c>
      <c r="H6569" s="530"/>
      <c r="I6569" s="530"/>
      <c r="J6569" s="530"/>
    </row>
    <row r="6570" spans="1:10" x14ac:dyDescent="0.25">
      <c r="A6570" s="362"/>
      <c r="B6570" s="609">
        <v>44527</v>
      </c>
      <c r="C6570" s="362" t="s">
        <v>86</v>
      </c>
      <c r="D6570" s="560">
        <v>75494500</v>
      </c>
      <c r="E6570" s="560">
        <v>217765512</v>
      </c>
      <c r="F6570" s="560">
        <v>293260100</v>
      </c>
      <c r="G6570" s="560">
        <f t="shared" si="139"/>
        <v>-88</v>
      </c>
      <c r="H6570" s="362"/>
      <c r="I6570" s="362"/>
      <c r="J6570" s="362"/>
    </row>
    <row r="6571" spans="1:10" x14ac:dyDescent="0.25">
      <c r="A6571" s="362"/>
      <c r="B6571" s="609">
        <v>44527</v>
      </c>
      <c r="C6571" s="362" t="s">
        <v>87</v>
      </c>
      <c r="D6571" s="560">
        <v>95053769</v>
      </c>
      <c r="E6571" s="560">
        <v>113447257</v>
      </c>
      <c r="F6571" s="560">
        <v>208501200</v>
      </c>
      <c r="G6571" s="560">
        <f t="shared" si="139"/>
        <v>-174</v>
      </c>
      <c r="H6571" s="362"/>
      <c r="I6571" s="362"/>
      <c r="J6571" s="362"/>
    </row>
    <row r="6572" spans="1:10" x14ac:dyDescent="0.25">
      <c r="A6572" s="362"/>
      <c r="B6572" s="609">
        <v>44527</v>
      </c>
      <c r="C6572" s="362" t="s">
        <v>88</v>
      </c>
      <c r="D6572" s="560">
        <v>183584923</v>
      </c>
      <c r="E6572" s="560">
        <v>5506149</v>
      </c>
      <c r="F6572" s="560">
        <v>189110800</v>
      </c>
      <c r="G6572" s="560">
        <f t="shared" si="139"/>
        <v>-19728</v>
      </c>
      <c r="H6572" s="362"/>
      <c r="I6572" s="362"/>
      <c r="J6572" s="362"/>
    </row>
    <row r="6573" spans="1:10" x14ac:dyDescent="0.25">
      <c r="A6573" s="362"/>
      <c r="B6573" s="609">
        <v>44527</v>
      </c>
      <c r="C6573" s="362" t="s">
        <v>82</v>
      </c>
      <c r="D6573" s="560">
        <v>86562117</v>
      </c>
      <c r="E6573" s="560">
        <v>22386276</v>
      </c>
      <c r="F6573" s="560">
        <v>108948500</v>
      </c>
      <c r="G6573" s="560">
        <f t="shared" si="139"/>
        <v>-107</v>
      </c>
      <c r="H6573" s="362"/>
      <c r="I6573" s="362"/>
      <c r="J6573" s="362"/>
    </row>
    <row r="6574" spans="1:10" x14ac:dyDescent="0.25">
      <c r="A6574" s="362"/>
      <c r="B6574" s="609">
        <v>44527</v>
      </c>
      <c r="C6574" s="362" t="s">
        <v>80</v>
      </c>
      <c r="D6574" s="560">
        <v>218689400</v>
      </c>
      <c r="E6574" s="560"/>
      <c r="F6574" s="560">
        <v>218689400</v>
      </c>
      <c r="G6574" s="560">
        <f t="shared" si="139"/>
        <v>0</v>
      </c>
      <c r="H6574" s="362"/>
      <c r="I6574" s="362"/>
      <c r="J6574" s="362"/>
    </row>
    <row r="6575" spans="1:10" x14ac:dyDescent="0.25">
      <c r="A6575" s="362"/>
      <c r="B6575" s="609">
        <v>44527</v>
      </c>
      <c r="C6575" s="362" t="s">
        <v>83</v>
      </c>
      <c r="D6575" s="560">
        <v>120332944</v>
      </c>
      <c r="E6575" s="560">
        <v>163000056</v>
      </c>
      <c r="F6575" s="560">
        <v>283333000</v>
      </c>
      <c r="G6575" s="560">
        <f t="shared" si="139"/>
        <v>0</v>
      </c>
      <c r="H6575" s="362"/>
      <c r="I6575" s="362"/>
      <c r="J6575" s="362"/>
    </row>
    <row r="6576" spans="1:10" x14ac:dyDescent="0.25">
      <c r="A6576" s="362"/>
      <c r="B6576" s="609">
        <v>44527</v>
      </c>
      <c r="C6576" s="362" t="s">
        <v>78</v>
      </c>
      <c r="D6576" s="560">
        <v>173923061</v>
      </c>
      <c r="E6576" s="560">
        <v>2409839</v>
      </c>
      <c r="F6576" s="560">
        <v>176332900</v>
      </c>
      <c r="G6576" s="560">
        <f t="shared" si="139"/>
        <v>0</v>
      </c>
      <c r="H6576" s="362"/>
      <c r="I6576" s="362"/>
      <c r="J6576" s="362"/>
    </row>
    <row r="6577" spans="1:10" x14ac:dyDescent="0.25">
      <c r="A6577" s="362"/>
      <c r="B6577" s="609">
        <v>44527</v>
      </c>
      <c r="C6577" s="362" t="s">
        <v>141</v>
      </c>
      <c r="D6577" s="560">
        <v>56019945</v>
      </c>
      <c r="E6577" s="560">
        <v>777400</v>
      </c>
      <c r="F6577" s="560">
        <v>56797400</v>
      </c>
      <c r="G6577" s="560">
        <f t="shared" si="139"/>
        <v>-55</v>
      </c>
      <c r="H6577" s="362"/>
      <c r="I6577" s="362"/>
      <c r="J6577" s="362"/>
    </row>
    <row r="6578" spans="1:10" x14ac:dyDescent="0.25">
      <c r="A6578" s="362"/>
      <c r="B6578" s="609">
        <v>44527</v>
      </c>
      <c r="C6578" s="362" t="s">
        <v>89</v>
      </c>
      <c r="D6578" s="560">
        <v>81640077</v>
      </c>
      <c r="E6578" s="560">
        <v>23580823</v>
      </c>
      <c r="F6578" s="560">
        <v>105220900</v>
      </c>
      <c r="G6578" s="560">
        <f t="shared" si="139"/>
        <v>0</v>
      </c>
      <c r="H6578" s="362"/>
      <c r="I6578" s="362"/>
      <c r="J6578" s="362"/>
    </row>
    <row r="6579" spans="1:10" x14ac:dyDescent="0.25">
      <c r="A6579" s="362"/>
      <c r="B6579" s="609">
        <v>44527</v>
      </c>
      <c r="C6579" s="362" t="s">
        <v>81</v>
      </c>
      <c r="D6579" s="560">
        <v>85767836</v>
      </c>
      <c r="E6579" s="560">
        <v>131439678</v>
      </c>
      <c r="F6579" s="560">
        <f>33048200+184159400</f>
        <v>217207600</v>
      </c>
      <c r="G6579" s="560">
        <f t="shared" si="139"/>
        <v>-86</v>
      </c>
      <c r="H6579" s="362"/>
      <c r="I6579" s="362"/>
      <c r="J6579" s="362"/>
    </row>
    <row r="6580" spans="1:10" x14ac:dyDescent="0.25">
      <c r="A6580" s="362"/>
      <c r="B6580" s="609">
        <v>44527</v>
      </c>
      <c r="C6580" s="362" t="s">
        <v>84</v>
      </c>
      <c r="D6580" s="560">
        <v>198066888</v>
      </c>
      <c r="E6580" s="560">
        <v>12281504</v>
      </c>
      <c r="F6580" s="560">
        <v>210348500</v>
      </c>
      <c r="G6580" s="560">
        <f t="shared" si="139"/>
        <v>-108</v>
      </c>
      <c r="H6580" s="362"/>
      <c r="I6580" s="362"/>
      <c r="J6580" s="362"/>
    </row>
    <row r="6581" spans="1:10" x14ac:dyDescent="0.25">
      <c r="A6581" s="362"/>
      <c r="B6581" s="609">
        <v>44527</v>
      </c>
      <c r="C6581" s="362" t="s">
        <v>4751</v>
      </c>
      <c r="D6581" s="560">
        <v>165978385</v>
      </c>
      <c r="E6581" s="560">
        <v>17094315</v>
      </c>
      <c r="F6581" s="560">
        <v>183072700</v>
      </c>
      <c r="G6581" s="560">
        <f t="shared" si="139"/>
        <v>0</v>
      </c>
      <c r="H6581" s="362"/>
      <c r="I6581" s="362"/>
      <c r="J6581" s="362"/>
    </row>
    <row r="6582" spans="1:10" x14ac:dyDescent="0.25">
      <c r="A6582" s="362"/>
      <c r="B6582" s="609">
        <v>44527</v>
      </c>
      <c r="C6582" s="362" t="s">
        <v>166</v>
      </c>
      <c r="D6582" s="560"/>
      <c r="E6582" s="560"/>
      <c r="F6582" s="560"/>
      <c r="G6582" s="560">
        <f t="shared" si="139"/>
        <v>0</v>
      </c>
      <c r="H6582" s="362"/>
      <c r="I6582" s="362"/>
      <c r="J6582" s="362"/>
    </row>
    <row r="6583" spans="1:10" x14ac:dyDescent="0.25">
      <c r="A6583" s="362"/>
      <c r="B6583" s="609">
        <v>44527</v>
      </c>
      <c r="C6583" s="362" t="s">
        <v>3435</v>
      </c>
      <c r="D6583" s="560"/>
      <c r="E6583" s="560"/>
      <c r="F6583" s="560"/>
      <c r="G6583" s="560">
        <f t="shared" si="139"/>
        <v>0</v>
      </c>
      <c r="H6583" s="362"/>
      <c r="I6583" s="362"/>
      <c r="J6583" s="362"/>
    </row>
    <row r="6584" spans="1:10" x14ac:dyDescent="0.25">
      <c r="A6584" s="362"/>
      <c r="B6584" s="609">
        <v>44527</v>
      </c>
      <c r="C6584" s="370" t="s">
        <v>85</v>
      </c>
      <c r="D6584" s="560">
        <v>38539400</v>
      </c>
      <c r="E6584" s="560"/>
      <c r="F6584" s="560">
        <v>38539400</v>
      </c>
      <c r="G6584" s="560">
        <f t="shared" si="139"/>
        <v>0</v>
      </c>
      <c r="H6584" s="362"/>
      <c r="I6584" s="362"/>
      <c r="J6584" s="362"/>
    </row>
    <row r="6585" spans="1:10" x14ac:dyDescent="0.25">
      <c r="A6585" s="530"/>
      <c r="B6585" s="530"/>
      <c r="C6585" s="530"/>
      <c r="D6585" s="562">
        <f>SUM(D6570:D6584)</f>
        <v>1579653245</v>
      </c>
      <c r="E6585" s="562">
        <f>SUM(E6570:E6584)</f>
        <v>709688809</v>
      </c>
      <c r="F6585" s="562">
        <f>SUM(F6570:F6584)</f>
        <v>2289362400</v>
      </c>
      <c r="G6585" s="562">
        <f>SUM(G6570:G6584)</f>
        <v>-20346</v>
      </c>
      <c r="H6585" s="530"/>
      <c r="I6585" s="530"/>
      <c r="J6585" s="530"/>
    </row>
    <row r="6586" spans="1:10" x14ac:dyDescent="0.25">
      <c r="A6586" s="362"/>
      <c r="B6586" s="609">
        <v>44529</v>
      </c>
      <c r="C6586" s="362" t="s">
        <v>86</v>
      </c>
      <c r="D6586" s="560">
        <v>42494864</v>
      </c>
      <c r="E6586" s="560">
        <v>8262740</v>
      </c>
      <c r="F6586" s="560"/>
      <c r="G6586" s="560">
        <f t="shared" si="139"/>
        <v>50757604</v>
      </c>
      <c r="H6586" s="362"/>
      <c r="I6586" s="362"/>
      <c r="J6586" s="362"/>
    </row>
    <row r="6587" spans="1:10" x14ac:dyDescent="0.25">
      <c r="A6587" s="362"/>
      <c r="B6587" s="609">
        <v>44529</v>
      </c>
      <c r="C6587" s="362" t="s">
        <v>87</v>
      </c>
      <c r="D6587" s="560">
        <v>50015230</v>
      </c>
      <c r="E6587" s="560">
        <v>103105589</v>
      </c>
      <c r="F6587" s="560"/>
      <c r="G6587" s="560">
        <f t="shared" si="139"/>
        <v>153120819</v>
      </c>
      <c r="H6587" s="362"/>
      <c r="I6587" s="362"/>
      <c r="J6587" s="362"/>
    </row>
    <row r="6588" spans="1:10" x14ac:dyDescent="0.25">
      <c r="A6588" s="362"/>
      <c r="B6588" s="609">
        <v>44529</v>
      </c>
      <c r="C6588" s="362" t="s">
        <v>88</v>
      </c>
      <c r="D6588" s="560">
        <v>106891877</v>
      </c>
      <c r="E6588" s="560">
        <v>9060136</v>
      </c>
      <c r="F6588" s="560"/>
      <c r="G6588" s="560">
        <f t="shared" si="139"/>
        <v>115952013</v>
      </c>
      <c r="H6588" s="362"/>
      <c r="I6588" s="362"/>
      <c r="J6588" s="362"/>
    </row>
    <row r="6589" spans="1:10" x14ac:dyDescent="0.25">
      <c r="A6589" s="362"/>
      <c r="B6589" s="609">
        <v>44529</v>
      </c>
      <c r="C6589" s="362" t="s">
        <v>82</v>
      </c>
      <c r="D6589" s="560">
        <v>98674541</v>
      </c>
      <c r="E6589" s="560">
        <v>4842710</v>
      </c>
      <c r="F6589" s="560"/>
      <c r="G6589" s="560">
        <f t="shared" si="139"/>
        <v>103517251</v>
      </c>
      <c r="H6589" s="362"/>
      <c r="I6589" s="362"/>
      <c r="J6589" s="362"/>
    </row>
    <row r="6590" spans="1:10" x14ac:dyDescent="0.25">
      <c r="A6590" s="362"/>
      <c r="B6590" s="609">
        <v>44529</v>
      </c>
      <c r="C6590" s="362" t="s">
        <v>80</v>
      </c>
      <c r="D6590" s="560">
        <v>273040946</v>
      </c>
      <c r="E6590" s="560">
        <v>11516800</v>
      </c>
      <c r="F6590" s="560"/>
      <c r="G6590" s="560">
        <f t="shared" si="139"/>
        <v>284557746</v>
      </c>
      <c r="H6590" s="362"/>
      <c r="I6590" s="362"/>
      <c r="J6590" s="362"/>
    </row>
    <row r="6591" spans="1:10" x14ac:dyDescent="0.25">
      <c r="A6591" s="362"/>
      <c r="B6591" s="609">
        <v>44529</v>
      </c>
      <c r="C6591" s="362" t="s">
        <v>83</v>
      </c>
      <c r="D6591" s="560">
        <v>161967290</v>
      </c>
      <c r="E6591" s="560">
        <v>230530924</v>
      </c>
      <c r="F6591" s="560"/>
      <c r="G6591" s="560">
        <f t="shared" si="139"/>
        <v>392498214</v>
      </c>
      <c r="H6591" s="362"/>
      <c r="I6591" s="362"/>
      <c r="J6591" s="362"/>
    </row>
    <row r="6592" spans="1:10" x14ac:dyDescent="0.25">
      <c r="A6592" s="362"/>
      <c r="B6592" s="609">
        <v>44529</v>
      </c>
      <c r="C6592" s="362" t="s">
        <v>78</v>
      </c>
      <c r="D6592" s="560">
        <v>84695019</v>
      </c>
      <c r="E6592" s="560">
        <v>2225681</v>
      </c>
      <c r="F6592" s="560"/>
      <c r="G6592" s="560">
        <f t="shared" si="139"/>
        <v>86920700</v>
      </c>
      <c r="H6592" s="362"/>
      <c r="I6592" s="362"/>
      <c r="J6592" s="362"/>
    </row>
    <row r="6593" spans="1:10" x14ac:dyDescent="0.25">
      <c r="A6593" s="362"/>
      <c r="B6593" s="609">
        <v>44529</v>
      </c>
      <c r="C6593" s="362" t="s">
        <v>141</v>
      </c>
      <c r="D6593" s="560">
        <v>51704110</v>
      </c>
      <c r="E6593" s="560">
        <v>3155994</v>
      </c>
      <c r="F6593" s="560"/>
      <c r="G6593" s="560">
        <f t="shared" si="139"/>
        <v>54860104</v>
      </c>
      <c r="H6593" s="362"/>
      <c r="I6593" s="362"/>
      <c r="J6593" s="362"/>
    </row>
    <row r="6594" spans="1:10" x14ac:dyDescent="0.25">
      <c r="A6594" s="362"/>
      <c r="B6594" s="609">
        <v>44529</v>
      </c>
      <c r="C6594" s="362" t="s">
        <v>89</v>
      </c>
      <c r="D6594" s="560">
        <v>141185308</v>
      </c>
      <c r="E6594" s="560">
        <v>52230892</v>
      </c>
      <c r="F6594" s="560"/>
      <c r="G6594" s="560">
        <f t="shared" si="139"/>
        <v>193416200</v>
      </c>
      <c r="H6594" s="362"/>
      <c r="I6594" s="362"/>
      <c r="J6594" s="362"/>
    </row>
    <row r="6595" spans="1:10" x14ac:dyDescent="0.25">
      <c r="A6595" s="362"/>
      <c r="B6595" s="609">
        <v>44529</v>
      </c>
      <c r="C6595" s="362" t="s">
        <v>81</v>
      </c>
      <c r="D6595" s="560">
        <v>113661446</v>
      </c>
      <c r="E6595" s="560">
        <v>21778027</v>
      </c>
      <c r="F6595" s="560"/>
      <c r="G6595" s="560">
        <f t="shared" si="139"/>
        <v>135439473</v>
      </c>
      <c r="H6595" s="362"/>
      <c r="I6595" s="362"/>
      <c r="J6595" s="362"/>
    </row>
    <row r="6596" spans="1:10" x14ac:dyDescent="0.25">
      <c r="A6596" s="362"/>
      <c r="B6596" s="609">
        <v>44529</v>
      </c>
      <c r="C6596" s="362" t="s">
        <v>84</v>
      </c>
      <c r="D6596" s="560">
        <v>304366416</v>
      </c>
      <c r="E6596" s="560">
        <v>7813356</v>
      </c>
      <c r="F6596" s="560"/>
      <c r="G6596" s="560">
        <f t="shared" si="139"/>
        <v>312179772</v>
      </c>
      <c r="H6596" s="362"/>
      <c r="I6596" s="362"/>
      <c r="J6596" s="362"/>
    </row>
    <row r="6597" spans="1:10" x14ac:dyDescent="0.25">
      <c r="A6597" s="362"/>
      <c r="B6597" s="609">
        <v>44529</v>
      </c>
      <c r="C6597" s="362" t="s">
        <v>4751</v>
      </c>
      <c r="D6597" s="560">
        <v>194126919</v>
      </c>
      <c r="E6597" s="560">
        <v>7850181</v>
      </c>
      <c r="F6597" s="560"/>
      <c r="G6597" s="560">
        <f t="shared" si="139"/>
        <v>201977100</v>
      </c>
      <c r="H6597" s="362"/>
      <c r="I6597" s="362"/>
      <c r="J6597" s="362"/>
    </row>
    <row r="6598" spans="1:10" x14ac:dyDescent="0.25">
      <c r="A6598" s="362"/>
      <c r="B6598" s="609">
        <v>44529</v>
      </c>
      <c r="C6598" s="362" t="s">
        <v>166</v>
      </c>
      <c r="D6598" s="560">
        <v>59893075</v>
      </c>
      <c r="E6598" s="560"/>
      <c r="F6598" s="560"/>
      <c r="G6598" s="560">
        <f t="shared" si="139"/>
        <v>59893075</v>
      </c>
      <c r="H6598" s="362"/>
      <c r="I6598" s="362"/>
      <c r="J6598" s="362"/>
    </row>
    <row r="6599" spans="1:10" x14ac:dyDescent="0.25">
      <c r="A6599" s="362"/>
      <c r="B6599" s="609">
        <v>44529</v>
      </c>
      <c r="C6599" s="362" t="s">
        <v>3435</v>
      </c>
      <c r="D6599" s="560">
        <v>73342043</v>
      </c>
      <c r="E6599" s="560"/>
      <c r="F6599" s="560"/>
      <c r="G6599" s="560">
        <f t="shared" si="139"/>
        <v>73342043</v>
      </c>
      <c r="H6599" s="362"/>
      <c r="I6599" s="362"/>
      <c r="J6599" s="362"/>
    </row>
    <row r="6600" spans="1:10" x14ac:dyDescent="0.25">
      <c r="A6600" s="362"/>
      <c r="B6600" s="609">
        <v>44529</v>
      </c>
      <c r="C6600" s="370" t="s">
        <v>85</v>
      </c>
      <c r="D6600" s="560">
        <v>66155100</v>
      </c>
      <c r="E6600" s="560"/>
      <c r="F6600" s="560"/>
      <c r="G6600" s="560">
        <f t="shared" si="139"/>
        <v>66155100</v>
      </c>
      <c r="H6600" s="362"/>
      <c r="I6600" s="362"/>
      <c r="J6600" s="362"/>
    </row>
    <row r="6601" spans="1:10" x14ac:dyDescent="0.25">
      <c r="A6601" s="530"/>
      <c r="B6601" s="530"/>
      <c r="C6601" s="530"/>
      <c r="D6601" s="562">
        <f>SUM(D6586:D6600)</f>
        <v>1822214184</v>
      </c>
      <c r="E6601" s="562">
        <f>SUM(E6586:E6600)</f>
        <v>462373030</v>
      </c>
      <c r="F6601" s="562">
        <f>SUM(F6586:F6600)</f>
        <v>0</v>
      </c>
      <c r="G6601" s="562">
        <f>SUM(G6586:G6600)</f>
        <v>2284587214</v>
      </c>
      <c r="H6601" s="530"/>
      <c r="I6601" s="530"/>
      <c r="J6601" s="530"/>
    </row>
    <row r="6602" spans="1:10" x14ac:dyDescent="0.25">
      <c r="A6602" s="362"/>
      <c r="B6602" s="609">
        <v>44530</v>
      </c>
      <c r="C6602" s="362" t="s">
        <v>86</v>
      </c>
      <c r="D6602" s="560">
        <v>95713197</v>
      </c>
      <c r="E6602" s="560">
        <v>24989178</v>
      </c>
      <c r="F6602" s="560"/>
      <c r="G6602" s="560">
        <f t="shared" si="139"/>
        <v>120702375</v>
      </c>
      <c r="H6602" s="362"/>
      <c r="I6602" s="362"/>
      <c r="J6602" s="362"/>
    </row>
    <row r="6603" spans="1:10" x14ac:dyDescent="0.25">
      <c r="A6603" s="362"/>
      <c r="B6603" s="609">
        <v>44530</v>
      </c>
      <c r="C6603" s="362" t="s">
        <v>87</v>
      </c>
      <c r="D6603" s="560">
        <v>68057258</v>
      </c>
      <c r="E6603" s="560">
        <v>91793120</v>
      </c>
      <c r="F6603" s="560"/>
      <c r="G6603" s="560">
        <f t="shared" si="139"/>
        <v>159850378</v>
      </c>
      <c r="H6603" s="362"/>
      <c r="I6603" s="362"/>
      <c r="J6603" s="362"/>
    </row>
    <row r="6604" spans="1:10" x14ac:dyDescent="0.25">
      <c r="A6604" s="362"/>
      <c r="B6604" s="609">
        <v>44530</v>
      </c>
      <c r="C6604" s="362" t="s">
        <v>88</v>
      </c>
      <c r="D6604" s="560">
        <v>181120787</v>
      </c>
      <c r="E6604" s="560">
        <v>61009798</v>
      </c>
      <c r="F6604" s="560"/>
      <c r="G6604" s="560">
        <f t="shared" si="139"/>
        <v>242130585</v>
      </c>
      <c r="H6604" s="362"/>
      <c r="I6604" s="362"/>
      <c r="J6604" s="362"/>
    </row>
    <row r="6605" spans="1:10" x14ac:dyDescent="0.25">
      <c r="A6605" s="362"/>
      <c r="B6605" s="609">
        <v>44530</v>
      </c>
      <c r="C6605" s="362" t="s">
        <v>82</v>
      </c>
      <c r="D6605" s="560">
        <v>51135263</v>
      </c>
      <c r="E6605" s="560">
        <v>2180520</v>
      </c>
      <c r="F6605" s="560"/>
      <c r="G6605" s="560">
        <f t="shared" si="139"/>
        <v>53315783</v>
      </c>
      <c r="H6605" s="362"/>
      <c r="I6605" s="362"/>
      <c r="J6605" s="362"/>
    </row>
    <row r="6606" spans="1:10" x14ac:dyDescent="0.25">
      <c r="A6606" s="362"/>
      <c r="B6606" s="609">
        <v>44530</v>
      </c>
      <c r="C6606" s="362" t="s">
        <v>80</v>
      </c>
      <c r="D6606" s="560">
        <v>258634965</v>
      </c>
      <c r="E6606" s="560"/>
      <c r="F6606" s="560"/>
      <c r="G6606" s="560">
        <f t="shared" si="139"/>
        <v>258634965</v>
      </c>
      <c r="H6606" s="362"/>
      <c r="I6606" s="362"/>
      <c r="J6606" s="362"/>
    </row>
    <row r="6607" spans="1:10" x14ac:dyDescent="0.25">
      <c r="A6607" s="362"/>
      <c r="B6607" s="609">
        <v>44530</v>
      </c>
      <c r="C6607" s="362" t="s">
        <v>83</v>
      </c>
      <c r="D6607" s="560">
        <v>155873408</v>
      </c>
      <c r="E6607" s="560">
        <v>13192883</v>
      </c>
      <c r="F6607" s="560"/>
      <c r="G6607" s="560">
        <f t="shared" si="139"/>
        <v>169066291</v>
      </c>
      <c r="H6607" s="362"/>
      <c r="I6607" s="362"/>
      <c r="J6607" s="362"/>
    </row>
    <row r="6608" spans="1:10" x14ac:dyDescent="0.25">
      <c r="A6608" s="362"/>
      <c r="B6608" s="609">
        <v>44530</v>
      </c>
      <c r="C6608" s="362" t="s">
        <v>78</v>
      </c>
      <c r="D6608" s="560">
        <v>162616259</v>
      </c>
      <c r="E6608" s="560">
        <v>2212241</v>
      </c>
      <c r="F6608" s="560"/>
      <c r="G6608" s="560">
        <f t="shared" si="139"/>
        <v>164828500</v>
      </c>
      <c r="H6608" s="362"/>
      <c r="I6608" s="362"/>
      <c r="J6608" s="362"/>
    </row>
    <row r="6609" spans="1:10" x14ac:dyDescent="0.25">
      <c r="A6609" s="362"/>
      <c r="B6609" s="609">
        <v>44530</v>
      </c>
      <c r="C6609" s="362" t="s">
        <v>141</v>
      </c>
      <c r="D6609" s="560">
        <v>151549833</v>
      </c>
      <c r="E6609" s="560">
        <v>841300</v>
      </c>
      <c r="F6609" s="560"/>
      <c r="G6609" s="560">
        <f t="shared" si="139"/>
        <v>152391133</v>
      </c>
      <c r="H6609" s="362"/>
      <c r="I6609" s="362"/>
      <c r="J6609" s="362"/>
    </row>
    <row r="6610" spans="1:10" x14ac:dyDescent="0.25">
      <c r="A6610" s="362"/>
      <c r="B6610" s="609">
        <v>44530</v>
      </c>
      <c r="C6610" s="362" t="s">
        <v>89</v>
      </c>
      <c r="D6610" s="560">
        <v>146100155</v>
      </c>
      <c r="E6610" s="560">
        <v>8111945</v>
      </c>
      <c r="F6610" s="560"/>
      <c r="G6610" s="560">
        <f t="shared" si="139"/>
        <v>154212100</v>
      </c>
      <c r="H6610" s="362"/>
      <c r="I6610" s="362"/>
      <c r="J6610" s="362"/>
    </row>
    <row r="6611" spans="1:10" x14ac:dyDescent="0.25">
      <c r="A6611" s="362"/>
      <c r="B6611" s="609">
        <v>44530</v>
      </c>
      <c r="C6611" s="362" t="s">
        <v>81</v>
      </c>
      <c r="D6611" s="560">
        <v>112215781</v>
      </c>
      <c r="E6611" s="560">
        <v>26424026</v>
      </c>
      <c r="F6611" s="560"/>
      <c r="G6611" s="560">
        <f t="shared" si="139"/>
        <v>138639807</v>
      </c>
      <c r="H6611" s="362"/>
      <c r="I6611" s="362"/>
      <c r="J6611" s="362"/>
    </row>
    <row r="6612" spans="1:10" x14ac:dyDescent="0.25">
      <c r="A6612" s="362"/>
      <c r="B6612" s="609">
        <v>44530</v>
      </c>
      <c r="C6612" s="362" t="s">
        <v>84</v>
      </c>
      <c r="D6612" s="560">
        <v>275686950</v>
      </c>
      <c r="E6612" s="560">
        <v>11994735</v>
      </c>
      <c r="F6612" s="560"/>
      <c r="G6612" s="560">
        <f t="shared" si="139"/>
        <v>287681685</v>
      </c>
      <c r="H6612" s="362"/>
      <c r="I6612" s="362"/>
      <c r="J6612" s="362"/>
    </row>
    <row r="6613" spans="1:10" x14ac:dyDescent="0.25">
      <c r="A6613" s="362"/>
      <c r="B6613" s="609">
        <v>44530</v>
      </c>
      <c r="C6613" s="362" t="s">
        <v>4751</v>
      </c>
      <c r="D6613" s="560">
        <v>231111382</v>
      </c>
      <c r="E6613" s="560">
        <v>22557918</v>
      </c>
      <c r="F6613" s="560"/>
      <c r="G6613" s="560">
        <f t="shared" si="139"/>
        <v>253669300</v>
      </c>
      <c r="H6613" s="362"/>
      <c r="I6613" s="362"/>
      <c r="J6613" s="362"/>
    </row>
    <row r="6614" spans="1:10" x14ac:dyDescent="0.25">
      <c r="A6614" s="362"/>
      <c r="B6614" s="609">
        <v>44530</v>
      </c>
      <c r="C6614" s="362" t="s">
        <v>166</v>
      </c>
      <c r="D6614" s="560">
        <v>57436225</v>
      </c>
      <c r="E6614" s="560"/>
      <c r="F6614" s="560"/>
      <c r="G6614" s="560">
        <f t="shared" si="139"/>
        <v>57436225</v>
      </c>
      <c r="H6614" s="362"/>
      <c r="I6614" s="362"/>
      <c r="J6614" s="362"/>
    </row>
    <row r="6615" spans="1:10" x14ac:dyDescent="0.25">
      <c r="A6615" s="362"/>
      <c r="B6615" s="609">
        <v>44530</v>
      </c>
      <c r="C6615" s="362" t="s">
        <v>3435</v>
      </c>
      <c r="D6615" s="560">
        <v>63977562</v>
      </c>
      <c r="E6615" s="560"/>
      <c r="F6615" s="560"/>
      <c r="G6615" s="560">
        <f t="shared" si="139"/>
        <v>63977562</v>
      </c>
      <c r="H6615" s="362"/>
      <c r="I6615" s="362"/>
      <c r="J6615" s="362"/>
    </row>
    <row r="6616" spans="1:10" x14ac:dyDescent="0.25">
      <c r="A6616" s="362"/>
      <c r="B6616" s="609">
        <v>44530</v>
      </c>
      <c r="C6616" s="370" t="s">
        <v>85</v>
      </c>
      <c r="D6616" s="560">
        <v>40930500</v>
      </c>
      <c r="E6616" s="560"/>
      <c r="F6616" s="560"/>
      <c r="G6616" s="560">
        <f>D6616+E6616-F6616</f>
        <v>40930500</v>
      </c>
      <c r="H6616" s="362"/>
      <c r="I6616" s="362"/>
      <c r="J6616" s="362"/>
    </row>
    <row r="6617" spans="1:10" x14ac:dyDescent="0.25">
      <c r="A6617" s="530"/>
      <c r="B6617" s="530"/>
      <c r="C6617" s="530"/>
      <c r="D6617" s="630">
        <f>SUM(D6602:D6616)</f>
        <v>2052159525</v>
      </c>
      <c r="E6617" s="630">
        <f>SUM(E6602:E6616)</f>
        <v>265307664</v>
      </c>
      <c r="F6617" s="630">
        <f>SUM(F6602:F6616)</f>
        <v>0</v>
      </c>
      <c r="G6617" s="630">
        <f>SUM(G6602:G6616)</f>
        <v>2317467189</v>
      </c>
      <c r="H6617" s="530"/>
      <c r="I6617" s="530"/>
      <c r="J6617" s="530"/>
    </row>
    <row r="6618" spans="1:10" x14ac:dyDescent="0.25">
      <c r="A6618" s="362"/>
      <c r="B6618" s="609">
        <v>44531</v>
      </c>
      <c r="C6618" s="362" t="s">
        <v>86</v>
      </c>
      <c r="D6618" s="560">
        <v>76920032</v>
      </c>
      <c r="E6618" s="560">
        <v>7748536</v>
      </c>
      <c r="F6618" s="560"/>
      <c r="G6618" s="560">
        <f t="shared" ref="G6618:G6631" si="140">D6618+E6618-F6618</f>
        <v>84668568</v>
      </c>
      <c r="H6618" s="362"/>
      <c r="I6618" s="362"/>
      <c r="J6618" s="362"/>
    </row>
    <row r="6619" spans="1:10" x14ac:dyDescent="0.25">
      <c r="A6619" s="362"/>
      <c r="B6619" s="609">
        <v>44531</v>
      </c>
      <c r="C6619" s="362" t="s">
        <v>87</v>
      </c>
      <c r="D6619" s="560">
        <v>158818078</v>
      </c>
      <c r="E6619" s="560">
        <v>67312455</v>
      </c>
      <c r="F6619" s="560"/>
      <c r="G6619" s="560">
        <f t="shared" si="140"/>
        <v>226130533</v>
      </c>
      <c r="H6619" s="362"/>
      <c r="I6619" s="362"/>
      <c r="J6619" s="362"/>
    </row>
    <row r="6620" spans="1:10" x14ac:dyDescent="0.25">
      <c r="A6620" s="362"/>
      <c r="B6620" s="609">
        <v>44531</v>
      </c>
      <c r="C6620" s="362" t="s">
        <v>88</v>
      </c>
      <c r="D6620" s="560">
        <v>130934423</v>
      </c>
      <c r="E6620" s="560">
        <v>4973673</v>
      </c>
      <c r="F6620" s="560"/>
      <c r="G6620" s="560">
        <f t="shared" si="140"/>
        <v>135908096</v>
      </c>
      <c r="H6620" s="362"/>
      <c r="I6620" s="362"/>
      <c r="J6620" s="362"/>
    </row>
    <row r="6621" spans="1:10" x14ac:dyDescent="0.25">
      <c r="A6621" s="362"/>
      <c r="B6621" s="609">
        <v>44531</v>
      </c>
      <c r="C6621" s="362" t="s">
        <v>82</v>
      </c>
      <c r="D6621" s="560">
        <v>109840534</v>
      </c>
      <c r="E6621" s="560">
        <v>2015960</v>
      </c>
      <c r="F6621" s="560"/>
      <c r="G6621" s="560">
        <f t="shared" si="140"/>
        <v>111856494</v>
      </c>
      <c r="H6621" s="362"/>
      <c r="I6621" s="362"/>
      <c r="J6621" s="362"/>
    </row>
    <row r="6622" spans="1:10" x14ac:dyDescent="0.25">
      <c r="A6622" s="362"/>
      <c r="B6622" s="609">
        <v>44531</v>
      </c>
      <c r="C6622" s="362" t="s">
        <v>80</v>
      </c>
      <c r="D6622" s="560">
        <v>284974340</v>
      </c>
      <c r="E6622" s="560">
        <v>115601460</v>
      </c>
      <c r="F6622" s="560"/>
      <c r="G6622" s="560">
        <f t="shared" si="140"/>
        <v>400575800</v>
      </c>
      <c r="H6622" s="362"/>
      <c r="I6622" s="362"/>
      <c r="J6622" s="362"/>
    </row>
    <row r="6623" spans="1:10" x14ac:dyDescent="0.25">
      <c r="A6623" s="362"/>
      <c r="B6623" s="609">
        <v>44531</v>
      </c>
      <c r="C6623" s="362" t="s">
        <v>83</v>
      </c>
      <c r="D6623" s="560">
        <v>107704042</v>
      </c>
      <c r="E6623" s="560">
        <v>9838058</v>
      </c>
      <c r="F6623" s="560"/>
      <c r="G6623" s="560">
        <f t="shared" si="140"/>
        <v>117542100</v>
      </c>
      <c r="H6623" s="362"/>
      <c r="I6623" s="362"/>
      <c r="J6623" s="362"/>
    </row>
    <row r="6624" spans="1:10" x14ac:dyDescent="0.25">
      <c r="A6624" s="362"/>
      <c r="B6624" s="609">
        <v>44531</v>
      </c>
      <c r="C6624" s="362" t="s">
        <v>78</v>
      </c>
      <c r="D6624" s="560">
        <v>247503930</v>
      </c>
      <c r="E6624" s="560">
        <v>10454570</v>
      </c>
      <c r="F6624" s="560"/>
      <c r="G6624" s="560">
        <f t="shared" si="140"/>
        <v>257958500</v>
      </c>
      <c r="H6624" s="362"/>
      <c r="I6624" s="362"/>
      <c r="J6624" s="362"/>
    </row>
    <row r="6625" spans="1:10" x14ac:dyDescent="0.25">
      <c r="A6625" s="362"/>
      <c r="B6625" s="609">
        <v>44531</v>
      </c>
      <c r="C6625" s="362" t="s">
        <v>141</v>
      </c>
      <c r="D6625" s="560">
        <v>140010076</v>
      </c>
      <c r="E6625" s="560">
        <v>589700</v>
      </c>
      <c r="F6625" s="560"/>
      <c r="G6625" s="560">
        <f t="shared" si="140"/>
        <v>140599776</v>
      </c>
      <c r="H6625" s="362"/>
      <c r="I6625" s="362"/>
      <c r="J6625" s="362"/>
    </row>
    <row r="6626" spans="1:10" x14ac:dyDescent="0.25">
      <c r="A6626" s="362"/>
      <c r="B6626" s="609">
        <v>44531</v>
      </c>
      <c r="C6626" s="362" t="s">
        <v>89</v>
      </c>
      <c r="D6626" s="560">
        <v>105929542</v>
      </c>
      <c r="E6626" s="560">
        <v>68195158</v>
      </c>
      <c r="F6626" s="560"/>
      <c r="G6626" s="560">
        <f t="shared" si="140"/>
        <v>174124700</v>
      </c>
      <c r="H6626" s="362"/>
      <c r="I6626" s="362"/>
      <c r="J6626" s="362"/>
    </row>
    <row r="6627" spans="1:10" x14ac:dyDescent="0.25">
      <c r="A6627" s="362"/>
      <c r="B6627" s="609">
        <v>44531</v>
      </c>
      <c r="C6627" s="362" t="s">
        <v>81</v>
      </c>
      <c r="D6627" s="560">
        <v>139478242</v>
      </c>
      <c r="E6627" s="560">
        <v>14840652</v>
      </c>
      <c r="F6627" s="560"/>
      <c r="G6627" s="560">
        <f t="shared" si="140"/>
        <v>154318894</v>
      </c>
      <c r="H6627" s="362"/>
      <c r="I6627" s="362"/>
      <c r="J6627" s="362"/>
    </row>
    <row r="6628" spans="1:10" x14ac:dyDescent="0.25">
      <c r="A6628" s="362"/>
      <c r="B6628" s="609">
        <v>44531</v>
      </c>
      <c r="C6628" s="362" t="s">
        <v>84</v>
      </c>
      <c r="D6628" s="560">
        <v>238158506</v>
      </c>
      <c r="E6628" s="560">
        <v>15603723</v>
      </c>
      <c r="F6628" s="560"/>
      <c r="G6628" s="560">
        <f t="shared" si="140"/>
        <v>253762229</v>
      </c>
      <c r="H6628" s="362"/>
      <c r="I6628" s="362"/>
      <c r="J6628" s="362"/>
    </row>
    <row r="6629" spans="1:10" x14ac:dyDescent="0.25">
      <c r="A6629" s="362"/>
      <c r="B6629" s="609">
        <v>44531</v>
      </c>
      <c r="C6629" s="362" t="s">
        <v>4751</v>
      </c>
      <c r="D6629" s="560">
        <v>224013299</v>
      </c>
      <c r="E6629" s="560">
        <v>134529101</v>
      </c>
      <c r="F6629" s="560"/>
      <c r="G6629" s="560">
        <f t="shared" si="140"/>
        <v>358542400</v>
      </c>
      <c r="H6629" s="362"/>
      <c r="I6629" s="362"/>
      <c r="J6629" s="362"/>
    </row>
    <row r="6630" spans="1:10" x14ac:dyDescent="0.25">
      <c r="A6630" s="362"/>
      <c r="B6630" s="609">
        <v>44531</v>
      </c>
      <c r="C6630" s="362" t="s">
        <v>166</v>
      </c>
      <c r="D6630" s="560">
        <v>48011953</v>
      </c>
      <c r="E6630" s="560"/>
      <c r="F6630" s="560"/>
      <c r="G6630" s="560">
        <f t="shared" si="140"/>
        <v>48011953</v>
      </c>
      <c r="H6630" s="362"/>
      <c r="I6630" s="362"/>
      <c r="J6630" s="362"/>
    </row>
    <row r="6631" spans="1:10" x14ac:dyDescent="0.25">
      <c r="A6631" s="362"/>
      <c r="B6631" s="609">
        <v>44531</v>
      </c>
      <c r="C6631" s="362" t="s">
        <v>3435</v>
      </c>
      <c r="D6631" s="560">
        <v>64930837</v>
      </c>
      <c r="E6631" s="560"/>
      <c r="F6631" s="560"/>
      <c r="G6631" s="560">
        <f t="shared" si="140"/>
        <v>64930837</v>
      </c>
      <c r="H6631" s="362"/>
      <c r="I6631" s="362"/>
      <c r="J6631" s="362"/>
    </row>
    <row r="6632" spans="1:10" x14ac:dyDescent="0.25">
      <c r="A6632" s="362"/>
      <c r="B6632" s="609">
        <v>44531</v>
      </c>
      <c r="C6632" s="370" t="s">
        <v>85</v>
      </c>
      <c r="D6632" s="560">
        <v>49674200</v>
      </c>
      <c r="E6632" s="560"/>
      <c r="F6632" s="560"/>
      <c r="G6632" s="560">
        <f>D6632+E6632-F6632</f>
        <v>49674200</v>
      </c>
      <c r="H6632" s="362"/>
      <c r="I6632" s="362"/>
      <c r="J6632" s="362"/>
    </row>
    <row r="6633" spans="1:10" x14ac:dyDescent="0.25">
      <c r="A6633" s="530"/>
      <c r="B6633" s="530"/>
      <c r="C6633" s="530"/>
      <c r="D6633" s="562">
        <f>SUM(D6618:D6632)</f>
        <v>2126902034</v>
      </c>
      <c r="E6633" s="562">
        <f>SUM(E6618:E6632)</f>
        <v>451703046</v>
      </c>
      <c r="F6633" s="562">
        <f>SUM(F6618:F6632)</f>
        <v>0</v>
      </c>
      <c r="G6633" s="562">
        <f>SUM(G6618:G6632)</f>
        <v>2578605080</v>
      </c>
      <c r="H6633" s="530"/>
      <c r="I6633" s="530"/>
      <c r="J6633" s="530"/>
    </row>
    <row r="6634" spans="1:10" x14ac:dyDescent="0.25">
      <c r="A6634" s="362"/>
      <c r="B6634" s="609">
        <v>44532</v>
      </c>
      <c r="C6634" s="362" t="s">
        <v>86</v>
      </c>
      <c r="D6634" s="560">
        <v>63476756</v>
      </c>
      <c r="E6634" s="560">
        <v>78782627</v>
      </c>
      <c r="F6634" s="560"/>
      <c r="G6634" s="560">
        <f t="shared" ref="G6634:G6647" si="141">D6634+E6634-F6634</f>
        <v>142259383</v>
      </c>
      <c r="H6634" s="362"/>
      <c r="I6634" s="362"/>
      <c r="J6634" s="362"/>
    </row>
    <row r="6635" spans="1:10" x14ac:dyDescent="0.25">
      <c r="A6635" s="362"/>
      <c r="B6635" s="609">
        <v>44532</v>
      </c>
      <c r="C6635" s="362" t="s">
        <v>87</v>
      </c>
      <c r="D6635" s="560">
        <v>83969868</v>
      </c>
      <c r="E6635" s="560">
        <v>98971164</v>
      </c>
      <c r="F6635" s="560"/>
      <c r="G6635" s="560">
        <f t="shared" si="141"/>
        <v>182941032</v>
      </c>
      <c r="H6635" s="362"/>
      <c r="I6635" s="362"/>
      <c r="J6635" s="362"/>
    </row>
    <row r="6636" spans="1:10" x14ac:dyDescent="0.25">
      <c r="A6636" s="362"/>
      <c r="B6636" s="609">
        <v>44532</v>
      </c>
      <c r="C6636" s="362" t="s">
        <v>88</v>
      </c>
      <c r="D6636" s="560">
        <v>204155341</v>
      </c>
      <c r="E6636" s="560">
        <v>7893404</v>
      </c>
      <c r="F6636" s="560"/>
      <c r="G6636" s="560">
        <f t="shared" si="141"/>
        <v>212048745</v>
      </c>
      <c r="H6636" s="362"/>
      <c r="I6636" s="362"/>
      <c r="J6636" s="362"/>
    </row>
    <row r="6637" spans="1:10" x14ac:dyDescent="0.25">
      <c r="A6637" s="362"/>
      <c r="B6637" s="609">
        <v>44532</v>
      </c>
      <c r="C6637" s="362" t="s">
        <v>82</v>
      </c>
      <c r="D6637" s="560">
        <v>157515528</v>
      </c>
      <c r="E6637" s="560">
        <v>2447500</v>
      </c>
      <c r="F6637" s="560"/>
      <c r="G6637" s="560">
        <f t="shared" si="141"/>
        <v>159963028</v>
      </c>
      <c r="H6637" s="362"/>
      <c r="I6637" s="362"/>
      <c r="J6637" s="362"/>
    </row>
    <row r="6638" spans="1:10" x14ac:dyDescent="0.25">
      <c r="A6638" s="362"/>
      <c r="B6638" s="609">
        <v>44532</v>
      </c>
      <c r="C6638" s="362" t="s">
        <v>80</v>
      </c>
      <c r="D6638" s="560">
        <v>239184174</v>
      </c>
      <c r="E6638" s="560">
        <v>48964488</v>
      </c>
      <c r="F6638" s="560"/>
      <c r="G6638" s="560">
        <f t="shared" si="141"/>
        <v>288148662</v>
      </c>
      <c r="H6638" s="362"/>
      <c r="I6638" s="362"/>
      <c r="J6638" s="362"/>
    </row>
    <row r="6639" spans="1:10" x14ac:dyDescent="0.25">
      <c r="A6639" s="362"/>
      <c r="B6639" s="609">
        <v>44532</v>
      </c>
      <c r="C6639" s="362" t="s">
        <v>83</v>
      </c>
      <c r="D6639" s="560">
        <v>133786542</v>
      </c>
      <c r="E6639" s="560">
        <v>11577072</v>
      </c>
      <c r="F6639" s="560"/>
      <c r="G6639" s="560">
        <f t="shared" si="141"/>
        <v>145363614</v>
      </c>
      <c r="H6639" s="362"/>
      <c r="I6639" s="362"/>
      <c r="J6639" s="362"/>
    </row>
    <row r="6640" spans="1:10" x14ac:dyDescent="0.25">
      <c r="A6640" s="362"/>
      <c r="B6640" s="609">
        <v>44532</v>
      </c>
      <c r="C6640" s="362" t="s">
        <v>78</v>
      </c>
      <c r="D6640" s="560">
        <v>199953035</v>
      </c>
      <c r="E6640" s="560">
        <v>2114365</v>
      </c>
      <c r="F6640" s="560"/>
      <c r="G6640" s="560">
        <f t="shared" si="141"/>
        <v>202067400</v>
      </c>
      <c r="H6640" s="362"/>
      <c r="I6640" s="362"/>
      <c r="J6640" s="362"/>
    </row>
    <row r="6641" spans="1:10" x14ac:dyDescent="0.25">
      <c r="A6641" s="362"/>
      <c r="B6641" s="609">
        <v>44532</v>
      </c>
      <c r="C6641" s="362" t="s">
        <v>141</v>
      </c>
      <c r="D6641" s="560">
        <v>92590672</v>
      </c>
      <c r="E6641" s="560">
        <v>1103691</v>
      </c>
      <c r="F6641" s="560"/>
      <c r="G6641" s="560">
        <f t="shared" si="141"/>
        <v>93694363</v>
      </c>
      <c r="H6641" s="362"/>
      <c r="I6641" s="362"/>
      <c r="J6641" s="362"/>
    </row>
    <row r="6642" spans="1:10" x14ac:dyDescent="0.25">
      <c r="A6642" s="362"/>
      <c r="B6642" s="609">
        <v>44532</v>
      </c>
      <c r="C6642" s="362" t="s">
        <v>89</v>
      </c>
      <c r="D6642" s="560">
        <v>135342386</v>
      </c>
      <c r="E6642" s="560">
        <v>24811214</v>
      </c>
      <c r="F6642" s="560"/>
      <c r="G6642" s="560">
        <f t="shared" si="141"/>
        <v>160153600</v>
      </c>
      <c r="H6642" s="362"/>
      <c r="I6642" s="362"/>
      <c r="J6642" s="362"/>
    </row>
    <row r="6643" spans="1:10" x14ac:dyDescent="0.25">
      <c r="A6643" s="362"/>
      <c r="B6643" s="609">
        <v>44532</v>
      </c>
      <c r="C6643" s="362" t="s">
        <v>81</v>
      </c>
      <c r="D6643" s="560">
        <v>90098331</v>
      </c>
      <c r="E6643" s="560">
        <v>7934161</v>
      </c>
      <c r="F6643" s="560"/>
      <c r="G6643" s="560">
        <f t="shared" si="141"/>
        <v>98032492</v>
      </c>
      <c r="H6643" s="362"/>
      <c r="I6643" s="362"/>
      <c r="J6643" s="362"/>
    </row>
    <row r="6644" spans="1:10" x14ac:dyDescent="0.25">
      <c r="A6644" s="362"/>
      <c r="B6644" s="609">
        <v>44532</v>
      </c>
      <c r="C6644" s="362" t="s">
        <v>84</v>
      </c>
      <c r="D6644" s="560">
        <v>316703311</v>
      </c>
      <c r="E6644" s="560">
        <v>19134894</v>
      </c>
      <c r="F6644" s="560"/>
      <c r="G6644" s="560">
        <f t="shared" si="141"/>
        <v>335838205</v>
      </c>
      <c r="H6644" s="362"/>
      <c r="I6644" s="362"/>
      <c r="J6644" s="362"/>
    </row>
    <row r="6645" spans="1:10" x14ac:dyDescent="0.25">
      <c r="A6645" s="362"/>
      <c r="B6645" s="609">
        <v>44532</v>
      </c>
      <c r="C6645" s="362" t="s">
        <v>4751</v>
      </c>
      <c r="D6645" s="560">
        <v>272825181</v>
      </c>
      <c r="E6645" s="560">
        <v>7285319</v>
      </c>
      <c r="F6645" s="560"/>
      <c r="G6645" s="560">
        <f t="shared" si="141"/>
        <v>280110500</v>
      </c>
      <c r="H6645" s="362"/>
      <c r="I6645" s="362"/>
      <c r="J6645" s="362"/>
    </row>
    <row r="6646" spans="1:10" x14ac:dyDescent="0.25">
      <c r="A6646" s="362"/>
      <c r="B6646" s="609">
        <v>44532</v>
      </c>
      <c r="C6646" s="362" t="s">
        <v>166</v>
      </c>
      <c r="D6646" s="560">
        <v>120789272</v>
      </c>
      <c r="E6646" s="560"/>
      <c r="F6646" s="560"/>
      <c r="G6646" s="560">
        <f t="shared" si="141"/>
        <v>120789272</v>
      </c>
      <c r="H6646" s="362"/>
      <c r="I6646" s="362"/>
      <c r="J6646" s="362"/>
    </row>
    <row r="6647" spans="1:10" x14ac:dyDescent="0.25">
      <c r="A6647" s="362"/>
      <c r="B6647" s="609">
        <v>44532</v>
      </c>
      <c r="C6647" s="362" t="s">
        <v>3435</v>
      </c>
      <c r="D6647" s="560">
        <v>38141968</v>
      </c>
      <c r="E6647" s="560"/>
      <c r="F6647" s="560"/>
      <c r="G6647" s="560">
        <f t="shared" si="141"/>
        <v>38141968</v>
      </c>
      <c r="H6647" s="362"/>
      <c r="I6647" s="362"/>
      <c r="J6647" s="362"/>
    </row>
    <row r="6648" spans="1:10" x14ac:dyDescent="0.25">
      <c r="A6648" s="362"/>
      <c r="B6648" s="609">
        <v>44532</v>
      </c>
      <c r="C6648" s="370" t="s">
        <v>85</v>
      </c>
      <c r="D6648" s="560">
        <v>38542100</v>
      </c>
      <c r="E6648" s="560"/>
      <c r="F6648" s="560"/>
      <c r="G6648" s="560">
        <f>D6648+E6648-F6648</f>
        <v>38542100</v>
      </c>
      <c r="H6648" s="362"/>
      <c r="I6648" s="362"/>
      <c r="J6648" s="362"/>
    </row>
    <row r="6649" spans="1:10" x14ac:dyDescent="0.25">
      <c r="A6649" s="530"/>
      <c r="B6649" s="530"/>
      <c r="C6649" s="530"/>
      <c r="D6649" s="562">
        <f>SUM(D6634:D6648)</f>
        <v>2187074465</v>
      </c>
      <c r="E6649" s="562">
        <f>SUM(E6634:E6648)</f>
        <v>311019899</v>
      </c>
      <c r="F6649" s="562">
        <f>SUM(F6634:F6648)</f>
        <v>0</v>
      </c>
      <c r="G6649" s="562">
        <f>SUM(G6634:G6648)</f>
        <v>2498094364</v>
      </c>
      <c r="H6649" s="530"/>
      <c r="I6649" s="530"/>
      <c r="J6649" s="530"/>
    </row>
    <row r="6650" spans="1:10" x14ac:dyDescent="0.25">
      <c r="A6650" s="362"/>
      <c r="B6650" s="609">
        <v>44533</v>
      </c>
      <c r="C6650" s="362" t="s">
        <v>86</v>
      </c>
      <c r="D6650" s="560">
        <v>64995609</v>
      </c>
      <c r="E6650" s="560">
        <v>11219590</v>
      </c>
      <c r="F6650" s="560"/>
      <c r="G6650" s="560">
        <f>D6650+E6650-F6650</f>
        <v>76215199</v>
      </c>
      <c r="H6650" s="362"/>
      <c r="I6650" s="362"/>
      <c r="J6650" s="362"/>
    </row>
    <row r="6651" spans="1:10" x14ac:dyDescent="0.25">
      <c r="A6651" s="362"/>
      <c r="B6651" s="609">
        <v>44533</v>
      </c>
      <c r="C6651" s="362" t="s">
        <v>87</v>
      </c>
      <c r="D6651" s="560">
        <v>121732324</v>
      </c>
      <c r="E6651" s="560">
        <v>26131670</v>
      </c>
      <c r="F6651" s="560"/>
      <c r="G6651" s="560">
        <f t="shared" ref="G6651:G6715" si="142">D6651+E6651-F6651</f>
        <v>147863994</v>
      </c>
      <c r="H6651" s="362"/>
      <c r="I6651" s="362"/>
      <c r="J6651" s="362"/>
    </row>
    <row r="6652" spans="1:10" x14ac:dyDescent="0.25">
      <c r="A6652" s="362"/>
      <c r="B6652" s="609">
        <v>44533</v>
      </c>
      <c r="C6652" s="362" t="s">
        <v>88</v>
      </c>
      <c r="D6652" s="560">
        <v>112863051</v>
      </c>
      <c r="E6652" s="560">
        <v>50839576</v>
      </c>
      <c r="F6652" s="560"/>
      <c r="G6652" s="560">
        <f t="shared" si="142"/>
        <v>163702627</v>
      </c>
      <c r="H6652" s="362"/>
      <c r="I6652" s="362"/>
      <c r="J6652" s="362"/>
    </row>
    <row r="6653" spans="1:10" x14ac:dyDescent="0.25">
      <c r="A6653" s="362"/>
      <c r="B6653" s="609">
        <v>44533</v>
      </c>
      <c r="C6653" s="362" t="s">
        <v>82</v>
      </c>
      <c r="D6653" s="560">
        <v>82280757</v>
      </c>
      <c r="E6653" s="560">
        <v>2429720</v>
      </c>
      <c r="F6653" s="560"/>
      <c r="G6653" s="560">
        <f t="shared" si="142"/>
        <v>84710477</v>
      </c>
      <c r="H6653" s="362"/>
      <c r="I6653" s="362"/>
      <c r="J6653" s="362"/>
    </row>
    <row r="6654" spans="1:10" x14ac:dyDescent="0.25">
      <c r="A6654" s="362"/>
      <c r="B6654" s="609">
        <v>44533</v>
      </c>
      <c r="C6654" s="362" t="s">
        <v>80</v>
      </c>
      <c r="D6654" s="560">
        <v>211018294</v>
      </c>
      <c r="E6654" s="560"/>
      <c r="F6654" s="560"/>
      <c r="G6654" s="560">
        <f t="shared" si="142"/>
        <v>211018294</v>
      </c>
      <c r="H6654" s="362"/>
      <c r="I6654" s="362"/>
      <c r="J6654" s="362"/>
    </row>
    <row r="6655" spans="1:10" x14ac:dyDescent="0.25">
      <c r="A6655" s="362"/>
      <c r="B6655" s="609">
        <v>44533</v>
      </c>
      <c r="C6655" s="362" t="s">
        <v>83</v>
      </c>
      <c r="D6655" s="560">
        <v>113039374</v>
      </c>
      <c r="E6655" s="560">
        <v>7944951</v>
      </c>
      <c r="F6655" s="560"/>
      <c r="G6655" s="560">
        <f t="shared" si="142"/>
        <v>120984325</v>
      </c>
      <c r="H6655" s="362"/>
      <c r="I6655" s="362"/>
      <c r="J6655" s="362"/>
    </row>
    <row r="6656" spans="1:10" x14ac:dyDescent="0.25">
      <c r="A6656" s="362"/>
      <c r="B6656" s="609">
        <v>44533</v>
      </c>
      <c r="C6656" s="362" t="s">
        <v>78</v>
      </c>
      <c r="D6656" s="560">
        <v>138822367</v>
      </c>
      <c r="E6656" s="560">
        <v>1232633</v>
      </c>
      <c r="F6656" s="560"/>
      <c r="G6656" s="560">
        <f t="shared" si="142"/>
        <v>140055000</v>
      </c>
      <c r="H6656" s="362"/>
      <c r="I6656" s="362"/>
      <c r="J6656" s="362"/>
    </row>
    <row r="6657" spans="1:10" x14ac:dyDescent="0.25">
      <c r="A6657" s="362"/>
      <c r="B6657" s="609">
        <v>44533</v>
      </c>
      <c r="C6657" s="362" t="s">
        <v>141</v>
      </c>
      <c r="D6657" s="560">
        <v>80147114</v>
      </c>
      <c r="E6657" s="560">
        <v>857400</v>
      </c>
      <c r="F6657" s="560"/>
      <c r="G6657" s="560">
        <f t="shared" si="142"/>
        <v>81004514</v>
      </c>
      <c r="H6657" s="362"/>
      <c r="I6657" s="362"/>
      <c r="J6657" s="362"/>
    </row>
    <row r="6658" spans="1:10" x14ac:dyDescent="0.25">
      <c r="A6658" s="362"/>
      <c r="B6658" s="609">
        <v>44533</v>
      </c>
      <c r="C6658" s="362" t="s">
        <v>89</v>
      </c>
      <c r="D6658" s="560">
        <v>182819302</v>
      </c>
      <c r="E6658" s="560">
        <v>21046898</v>
      </c>
      <c r="F6658" s="560"/>
      <c r="G6658" s="560">
        <f t="shared" si="142"/>
        <v>203866200</v>
      </c>
      <c r="H6658" s="362"/>
      <c r="I6658" s="362"/>
      <c r="J6658" s="362"/>
    </row>
    <row r="6659" spans="1:10" x14ac:dyDescent="0.25">
      <c r="A6659" s="362"/>
      <c r="B6659" s="609">
        <v>44533</v>
      </c>
      <c r="C6659" s="362" t="s">
        <v>81</v>
      </c>
      <c r="D6659" s="560">
        <v>61362075</v>
      </c>
      <c r="E6659" s="560">
        <v>14519842</v>
      </c>
      <c r="F6659" s="560"/>
      <c r="G6659" s="560">
        <f t="shared" si="142"/>
        <v>75881917</v>
      </c>
      <c r="H6659" s="362"/>
      <c r="I6659" s="362"/>
      <c r="J6659" s="362"/>
    </row>
    <row r="6660" spans="1:10" x14ac:dyDescent="0.25">
      <c r="A6660" s="362"/>
      <c r="B6660" s="609">
        <v>44533</v>
      </c>
      <c r="C6660" s="362" t="s">
        <v>84</v>
      </c>
      <c r="D6660" s="560">
        <v>250693369</v>
      </c>
      <c r="E6660" s="560">
        <v>12786255</v>
      </c>
      <c r="F6660" s="560"/>
      <c r="G6660" s="560">
        <f t="shared" si="142"/>
        <v>263479624</v>
      </c>
      <c r="H6660" s="362"/>
      <c r="I6660" s="362"/>
      <c r="J6660" s="362"/>
    </row>
    <row r="6661" spans="1:10" x14ac:dyDescent="0.25">
      <c r="A6661" s="362"/>
      <c r="B6661" s="609">
        <v>44533</v>
      </c>
      <c r="C6661" s="362" t="s">
        <v>4751</v>
      </c>
      <c r="D6661" s="560">
        <v>169732560</v>
      </c>
      <c r="E6661" s="560">
        <v>16654340</v>
      </c>
      <c r="F6661" s="560"/>
      <c r="G6661" s="560">
        <f t="shared" si="142"/>
        <v>186386900</v>
      </c>
      <c r="H6661" s="362"/>
      <c r="I6661" s="362"/>
      <c r="J6661" s="362"/>
    </row>
    <row r="6662" spans="1:10" x14ac:dyDescent="0.25">
      <c r="A6662" s="362"/>
      <c r="B6662" s="609">
        <v>44533</v>
      </c>
      <c r="C6662" s="362" t="s">
        <v>166</v>
      </c>
      <c r="D6662" s="560">
        <v>52222602</v>
      </c>
      <c r="E6662" s="560"/>
      <c r="F6662" s="560"/>
      <c r="G6662" s="560">
        <f t="shared" si="142"/>
        <v>52222602</v>
      </c>
      <c r="H6662" s="362"/>
      <c r="I6662" s="362"/>
      <c r="J6662" s="362"/>
    </row>
    <row r="6663" spans="1:10" x14ac:dyDescent="0.25">
      <c r="A6663" s="362"/>
      <c r="B6663" s="609">
        <v>44533</v>
      </c>
      <c r="C6663" s="362" t="s">
        <v>3435</v>
      </c>
      <c r="D6663" s="560">
        <v>63239256</v>
      </c>
      <c r="E6663" s="560"/>
      <c r="F6663" s="560"/>
      <c r="G6663" s="560">
        <f t="shared" si="142"/>
        <v>63239256</v>
      </c>
      <c r="H6663" s="362"/>
      <c r="I6663" s="362"/>
      <c r="J6663" s="362"/>
    </row>
    <row r="6664" spans="1:10" x14ac:dyDescent="0.25">
      <c r="A6664" s="362"/>
      <c r="B6664" s="609">
        <v>44533</v>
      </c>
      <c r="C6664" s="370" t="s">
        <v>85</v>
      </c>
      <c r="D6664" s="362">
        <v>35146900</v>
      </c>
      <c r="E6664" s="362"/>
      <c r="F6664" s="362"/>
      <c r="G6664" s="560">
        <f t="shared" si="142"/>
        <v>35146900</v>
      </c>
      <c r="H6664" s="362"/>
      <c r="I6664" s="362"/>
      <c r="J6664" s="362"/>
    </row>
    <row r="6665" spans="1:10" x14ac:dyDescent="0.25">
      <c r="A6665" s="530"/>
      <c r="B6665" s="530"/>
      <c r="C6665" s="530"/>
      <c r="D6665" s="630">
        <f>SUM(D6650:D6664)</f>
        <v>1740114954</v>
      </c>
      <c r="E6665" s="630">
        <f>SUM(E6650:E6664)</f>
        <v>165662875</v>
      </c>
      <c r="F6665" s="630">
        <f>SUM(F6650:F6664)</f>
        <v>0</v>
      </c>
      <c r="G6665" s="630">
        <f>SUM(G6650:G6664)</f>
        <v>1905777829</v>
      </c>
      <c r="H6665" s="530"/>
      <c r="I6665" s="530"/>
      <c r="J6665" s="530"/>
    </row>
    <row r="6666" spans="1:10" x14ac:dyDescent="0.25">
      <c r="A6666" s="362"/>
      <c r="B6666" s="609">
        <v>44534</v>
      </c>
      <c r="C6666" s="362" t="s">
        <v>86</v>
      </c>
      <c r="D6666" s="560">
        <v>44507068</v>
      </c>
      <c r="E6666" s="560">
        <v>180018010</v>
      </c>
      <c r="F6666" s="560"/>
      <c r="G6666" s="560">
        <f t="shared" si="142"/>
        <v>224525078</v>
      </c>
      <c r="H6666" s="362"/>
      <c r="I6666" s="362"/>
      <c r="J6666" s="362"/>
    </row>
    <row r="6667" spans="1:10" x14ac:dyDescent="0.25">
      <c r="A6667" s="362"/>
      <c r="B6667" s="609">
        <v>44534</v>
      </c>
      <c r="C6667" s="362" t="s">
        <v>87</v>
      </c>
      <c r="D6667" s="560">
        <v>56399732</v>
      </c>
      <c r="E6667" s="560">
        <v>127342689</v>
      </c>
      <c r="F6667" s="560"/>
      <c r="G6667" s="560">
        <f t="shared" si="142"/>
        <v>183742421</v>
      </c>
      <c r="H6667" s="362"/>
      <c r="I6667" s="362"/>
      <c r="J6667" s="362"/>
    </row>
    <row r="6668" spans="1:10" x14ac:dyDescent="0.25">
      <c r="A6668" s="362"/>
      <c r="B6668" s="609">
        <v>44534</v>
      </c>
      <c r="C6668" s="362" t="s">
        <v>88</v>
      </c>
      <c r="D6668" s="560">
        <v>94008619</v>
      </c>
      <c r="E6668" s="560">
        <v>44053488</v>
      </c>
      <c r="F6668" s="560"/>
      <c r="G6668" s="560">
        <f t="shared" si="142"/>
        <v>138062107</v>
      </c>
      <c r="H6668" s="362"/>
      <c r="I6668" s="362"/>
      <c r="J6668" s="362"/>
    </row>
    <row r="6669" spans="1:10" x14ac:dyDescent="0.25">
      <c r="A6669" s="362"/>
      <c r="B6669" s="609">
        <v>44534</v>
      </c>
      <c r="C6669" s="362" t="s">
        <v>82</v>
      </c>
      <c r="D6669" s="560">
        <v>123565638</v>
      </c>
      <c r="E6669" s="560">
        <v>17871624</v>
      </c>
      <c r="F6669" s="560"/>
      <c r="G6669" s="560">
        <f t="shared" si="142"/>
        <v>141437262</v>
      </c>
      <c r="H6669" s="362"/>
      <c r="I6669" s="362"/>
      <c r="J6669" s="362"/>
    </row>
    <row r="6670" spans="1:10" x14ac:dyDescent="0.25">
      <c r="A6670" s="362"/>
      <c r="B6670" s="609">
        <v>44534</v>
      </c>
      <c r="C6670" s="362" t="s">
        <v>80</v>
      </c>
      <c r="D6670" s="560">
        <v>293441496</v>
      </c>
      <c r="E6670" s="560"/>
      <c r="F6670" s="560"/>
      <c r="G6670" s="560">
        <f t="shared" si="142"/>
        <v>293441496</v>
      </c>
      <c r="H6670" s="362"/>
      <c r="I6670" s="362"/>
      <c r="J6670" s="362"/>
    </row>
    <row r="6671" spans="1:10" x14ac:dyDescent="0.25">
      <c r="A6671" s="362"/>
      <c r="B6671" s="609">
        <v>44534</v>
      </c>
      <c r="C6671" s="362" t="s">
        <v>83</v>
      </c>
      <c r="D6671" s="560">
        <v>111002566</v>
      </c>
      <c r="E6671" s="560">
        <v>85919454</v>
      </c>
      <c r="F6671" s="560"/>
      <c r="G6671" s="560">
        <f t="shared" si="142"/>
        <v>196922020</v>
      </c>
      <c r="H6671" s="362"/>
      <c r="I6671" s="362"/>
      <c r="J6671" s="362"/>
    </row>
    <row r="6672" spans="1:10" x14ac:dyDescent="0.25">
      <c r="A6672" s="362"/>
      <c r="B6672" s="609">
        <v>44534</v>
      </c>
      <c r="C6672" s="362" t="s">
        <v>78</v>
      </c>
      <c r="D6672" s="560">
        <v>189217290</v>
      </c>
      <c r="E6672" s="560">
        <v>11021010</v>
      </c>
      <c r="F6672" s="560"/>
      <c r="G6672" s="560">
        <f t="shared" si="142"/>
        <v>200238300</v>
      </c>
      <c r="H6672" s="362"/>
      <c r="I6672" s="362"/>
      <c r="J6672" s="362"/>
    </row>
    <row r="6673" spans="1:10" x14ac:dyDescent="0.25">
      <c r="A6673" s="362"/>
      <c r="B6673" s="609">
        <v>44534</v>
      </c>
      <c r="C6673" s="362" t="s">
        <v>141</v>
      </c>
      <c r="D6673" s="560">
        <v>52480660</v>
      </c>
      <c r="E6673" s="560">
        <v>695000</v>
      </c>
      <c r="F6673" s="560"/>
      <c r="G6673" s="560">
        <f t="shared" si="142"/>
        <v>53175660</v>
      </c>
      <c r="H6673" s="362"/>
      <c r="I6673" s="362"/>
      <c r="J6673" s="362"/>
    </row>
    <row r="6674" spans="1:10" x14ac:dyDescent="0.25">
      <c r="A6674" s="362"/>
      <c r="B6674" s="609">
        <v>44534</v>
      </c>
      <c r="C6674" s="362" t="s">
        <v>89</v>
      </c>
      <c r="D6674" s="560">
        <v>128036041</v>
      </c>
      <c r="E6674" s="560">
        <v>19367459</v>
      </c>
      <c r="F6674" s="560"/>
      <c r="G6674" s="560">
        <f t="shared" si="142"/>
        <v>147403500</v>
      </c>
      <c r="H6674" s="362"/>
      <c r="I6674" s="362"/>
      <c r="J6674" s="362"/>
    </row>
    <row r="6675" spans="1:10" x14ac:dyDescent="0.25">
      <c r="A6675" s="362"/>
      <c r="B6675" s="609">
        <v>44534</v>
      </c>
      <c r="C6675" s="362" t="s">
        <v>81</v>
      </c>
      <c r="D6675" s="560">
        <v>140931940</v>
      </c>
      <c r="E6675" s="560">
        <v>78279426</v>
      </c>
      <c r="F6675" s="560"/>
      <c r="G6675" s="560">
        <f t="shared" si="142"/>
        <v>219211366</v>
      </c>
      <c r="H6675" s="362"/>
      <c r="I6675" s="362"/>
      <c r="J6675" s="362"/>
    </row>
    <row r="6676" spans="1:10" x14ac:dyDescent="0.25">
      <c r="A6676" s="362"/>
      <c r="B6676" s="609">
        <v>44534</v>
      </c>
      <c r="C6676" s="362" t="s">
        <v>84</v>
      </c>
      <c r="D6676" s="560">
        <v>380221445</v>
      </c>
      <c r="E6676" s="560">
        <v>18544520</v>
      </c>
      <c r="F6676" s="560"/>
      <c r="G6676" s="560">
        <f t="shared" si="142"/>
        <v>398765965</v>
      </c>
      <c r="H6676" s="362"/>
      <c r="I6676" s="362"/>
      <c r="J6676" s="362"/>
    </row>
    <row r="6677" spans="1:10" x14ac:dyDescent="0.25">
      <c r="A6677" s="362"/>
      <c r="B6677" s="609">
        <v>44534</v>
      </c>
      <c r="C6677" s="362" t="s">
        <v>4751</v>
      </c>
      <c r="D6677" s="560">
        <v>231825596</v>
      </c>
      <c r="E6677" s="560">
        <v>13993304</v>
      </c>
      <c r="F6677" s="560"/>
      <c r="G6677" s="560">
        <f t="shared" si="142"/>
        <v>245818900</v>
      </c>
      <c r="H6677" s="362"/>
      <c r="I6677" s="362"/>
      <c r="J6677" s="362"/>
    </row>
    <row r="6678" spans="1:10" x14ac:dyDescent="0.25">
      <c r="A6678" s="362"/>
      <c r="B6678" s="609">
        <v>44534</v>
      </c>
      <c r="C6678" s="362" t="s">
        <v>166</v>
      </c>
      <c r="D6678" s="560"/>
      <c r="E6678" s="560"/>
      <c r="F6678" s="560"/>
      <c r="G6678" s="560">
        <f t="shared" si="142"/>
        <v>0</v>
      </c>
      <c r="H6678" s="362"/>
      <c r="I6678" s="362"/>
      <c r="J6678" s="362"/>
    </row>
    <row r="6679" spans="1:10" x14ac:dyDescent="0.25">
      <c r="A6679" s="362"/>
      <c r="B6679" s="609">
        <v>44534</v>
      </c>
      <c r="C6679" s="362" t="s">
        <v>3435</v>
      </c>
      <c r="D6679" s="560"/>
      <c r="E6679" s="560"/>
      <c r="F6679" s="560"/>
      <c r="G6679" s="560">
        <f t="shared" si="142"/>
        <v>0</v>
      </c>
      <c r="H6679" s="362"/>
      <c r="I6679" s="362"/>
      <c r="J6679" s="362"/>
    </row>
    <row r="6680" spans="1:10" x14ac:dyDescent="0.25">
      <c r="A6680" s="362"/>
      <c r="B6680" s="609">
        <v>44534</v>
      </c>
      <c r="C6680" s="370" t="s">
        <v>85</v>
      </c>
      <c r="D6680" s="560">
        <v>24284400</v>
      </c>
      <c r="E6680" s="560"/>
      <c r="F6680" s="560"/>
      <c r="G6680" s="560">
        <f t="shared" si="142"/>
        <v>24284400</v>
      </c>
      <c r="H6680" s="362"/>
      <c r="I6680" s="362"/>
      <c r="J6680" s="362"/>
    </row>
    <row r="6681" spans="1:10" x14ac:dyDescent="0.25">
      <c r="A6681" s="530"/>
      <c r="B6681" s="530"/>
      <c r="C6681" s="530"/>
      <c r="D6681" s="562">
        <f>SUM(D6666:D6680)</f>
        <v>1869922491</v>
      </c>
      <c r="E6681" s="562">
        <f>SUM(E6666:E6680)</f>
        <v>597105984</v>
      </c>
      <c r="F6681" s="562">
        <f>SUM(F6666:F6680)</f>
        <v>0</v>
      </c>
      <c r="G6681" s="562">
        <f>SUM(G6666:G6680)</f>
        <v>2467028475</v>
      </c>
      <c r="H6681" s="530"/>
      <c r="I6681" s="530"/>
      <c r="J6681" s="530"/>
    </row>
    <row r="6682" spans="1:10" x14ac:dyDescent="0.25">
      <c r="A6682" s="362"/>
      <c r="B6682" s="609">
        <v>44536</v>
      </c>
      <c r="C6682" s="362" t="s">
        <v>86</v>
      </c>
      <c r="D6682" s="560">
        <v>77736959</v>
      </c>
      <c r="E6682" s="560">
        <v>22281918</v>
      </c>
      <c r="F6682" s="560"/>
      <c r="G6682" s="560">
        <f t="shared" si="142"/>
        <v>100018877</v>
      </c>
      <c r="H6682" s="362"/>
      <c r="I6682" s="362"/>
      <c r="J6682" s="362"/>
    </row>
    <row r="6683" spans="1:10" x14ac:dyDescent="0.25">
      <c r="A6683" s="362"/>
      <c r="B6683" s="609">
        <v>44536</v>
      </c>
      <c r="C6683" s="362" t="s">
        <v>87</v>
      </c>
      <c r="D6683" s="560">
        <v>112467362</v>
      </c>
      <c r="E6683" s="560">
        <v>18227209</v>
      </c>
      <c r="F6683" s="560"/>
      <c r="G6683" s="560">
        <f t="shared" si="142"/>
        <v>130694571</v>
      </c>
      <c r="H6683" s="362"/>
      <c r="I6683" s="362"/>
      <c r="J6683" s="362"/>
    </row>
    <row r="6684" spans="1:10" x14ac:dyDescent="0.25">
      <c r="A6684" s="362"/>
      <c r="B6684" s="609">
        <v>44536</v>
      </c>
      <c r="C6684" s="362" t="s">
        <v>88</v>
      </c>
      <c r="D6684" s="560">
        <v>125427301</v>
      </c>
      <c r="E6684" s="560">
        <v>27900688</v>
      </c>
      <c r="F6684" s="560"/>
      <c r="G6684" s="560">
        <f t="shared" si="142"/>
        <v>153327989</v>
      </c>
      <c r="H6684" s="362"/>
      <c r="I6684" s="362"/>
      <c r="J6684" s="362"/>
    </row>
    <row r="6685" spans="1:10" x14ac:dyDescent="0.25">
      <c r="A6685" s="362"/>
      <c r="B6685" s="609">
        <v>44536</v>
      </c>
      <c r="C6685" s="362" t="s">
        <v>82</v>
      </c>
      <c r="D6685" s="560">
        <v>68278183</v>
      </c>
      <c r="E6685" s="560">
        <v>2577475</v>
      </c>
      <c r="F6685" s="560"/>
      <c r="G6685" s="560">
        <f t="shared" si="142"/>
        <v>70855658</v>
      </c>
      <c r="H6685" s="362"/>
      <c r="I6685" s="362"/>
      <c r="J6685" s="362"/>
    </row>
    <row r="6686" spans="1:10" x14ac:dyDescent="0.25">
      <c r="A6686" s="362"/>
      <c r="B6686" s="609">
        <v>44536</v>
      </c>
      <c r="C6686" s="362" t="s">
        <v>80</v>
      </c>
      <c r="D6686" s="560">
        <v>229694400</v>
      </c>
      <c r="E6686" s="560"/>
      <c r="F6686" s="560"/>
      <c r="G6686" s="560">
        <f t="shared" si="142"/>
        <v>229694400</v>
      </c>
      <c r="H6686" s="362"/>
      <c r="I6686" s="362"/>
      <c r="J6686" s="362"/>
    </row>
    <row r="6687" spans="1:10" x14ac:dyDescent="0.25">
      <c r="A6687" s="362"/>
      <c r="B6687" s="609">
        <v>44536</v>
      </c>
      <c r="C6687" s="362" t="s">
        <v>83</v>
      </c>
      <c r="D6687" s="560">
        <v>161151933</v>
      </c>
      <c r="E6687" s="560">
        <v>30038898</v>
      </c>
      <c r="F6687" s="560"/>
      <c r="G6687" s="560">
        <f t="shared" si="142"/>
        <v>191190831</v>
      </c>
      <c r="H6687" s="362"/>
      <c r="I6687" s="362"/>
      <c r="J6687" s="362"/>
    </row>
    <row r="6688" spans="1:10" x14ac:dyDescent="0.25">
      <c r="A6688" s="362"/>
      <c r="B6688" s="609">
        <v>44536</v>
      </c>
      <c r="C6688" s="362" t="s">
        <v>78</v>
      </c>
      <c r="D6688" s="560">
        <v>138808158</v>
      </c>
      <c r="E6688" s="560">
        <v>8933042</v>
      </c>
      <c r="F6688" s="560"/>
      <c r="G6688" s="560">
        <f t="shared" si="142"/>
        <v>147741200</v>
      </c>
      <c r="H6688" s="362"/>
      <c r="I6688" s="362"/>
      <c r="J6688" s="362"/>
    </row>
    <row r="6689" spans="1:10" x14ac:dyDescent="0.25">
      <c r="A6689" s="362"/>
      <c r="B6689" s="609">
        <v>44536</v>
      </c>
      <c r="C6689" s="362" t="s">
        <v>141</v>
      </c>
      <c r="D6689" s="560">
        <v>121866341</v>
      </c>
      <c r="E6689" s="560">
        <v>784660</v>
      </c>
      <c r="F6689" s="560"/>
      <c r="G6689" s="560">
        <f t="shared" si="142"/>
        <v>122651001</v>
      </c>
      <c r="H6689" s="362"/>
      <c r="I6689" s="362"/>
      <c r="J6689" s="362"/>
    </row>
    <row r="6690" spans="1:10" x14ac:dyDescent="0.25">
      <c r="A6690" s="362"/>
      <c r="B6690" s="609">
        <v>44536</v>
      </c>
      <c r="C6690" s="362" t="s">
        <v>89</v>
      </c>
      <c r="D6690" s="560">
        <v>149094353</v>
      </c>
      <c r="E6690" s="560">
        <v>25997747</v>
      </c>
      <c r="F6690" s="560"/>
      <c r="G6690" s="560">
        <f t="shared" si="142"/>
        <v>175092100</v>
      </c>
      <c r="H6690" s="362"/>
      <c r="I6690" s="362"/>
      <c r="J6690" s="362"/>
    </row>
    <row r="6691" spans="1:10" x14ac:dyDescent="0.25">
      <c r="A6691" s="362"/>
      <c r="B6691" s="609">
        <v>44536</v>
      </c>
      <c r="C6691" s="362" t="s">
        <v>81</v>
      </c>
      <c r="D6691" s="560">
        <v>125669533</v>
      </c>
      <c r="E6691" s="560">
        <v>14173896</v>
      </c>
      <c r="F6691" s="560"/>
      <c r="G6691" s="560">
        <f t="shared" si="142"/>
        <v>139843429</v>
      </c>
      <c r="H6691" s="362"/>
      <c r="I6691" s="362"/>
      <c r="J6691" s="362"/>
    </row>
    <row r="6692" spans="1:10" x14ac:dyDescent="0.25">
      <c r="A6692" s="362"/>
      <c r="B6692" s="609">
        <v>44536</v>
      </c>
      <c r="C6692" s="362" t="s">
        <v>84</v>
      </c>
      <c r="D6692" s="560">
        <v>272261921</v>
      </c>
      <c r="E6692" s="560">
        <v>11939875</v>
      </c>
      <c r="F6692" s="560"/>
      <c r="G6692" s="560">
        <f t="shared" si="142"/>
        <v>284201796</v>
      </c>
      <c r="H6692" s="362"/>
      <c r="I6692" s="362"/>
      <c r="J6692" s="362"/>
    </row>
    <row r="6693" spans="1:10" x14ac:dyDescent="0.25">
      <c r="A6693" s="362"/>
      <c r="B6693" s="609">
        <v>44536</v>
      </c>
      <c r="C6693" s="362" t="s">
        <v>4751</v>
      </c>
      <c r="D6693" s="560">
        <v>199590825</v>
      </c>
      <c r="E6693" s="560">
        <v>18512475</v>
      </c>
      <c r="F6693" s="560"/>
      <c r="G6693" s="560">
        <f t="shared" si="142"/>
        <v>218103300</v>
      </c>
      <c r="H6693" s="362"/>
      <c r="I6693" s="362"/>
      <c r="J6693" s="362"/>
    </row>
    <row r="6694" spans="1:10" x14ac:dyDescent="0.25">
      <c r="A6694" s="362"/>
      <c r="B6694" s="609">
        <v>44536</v>
      </c>
      <c r="C6694" s="362" t="s">
        <v>166</v>
      </c>
      <c r="D6694" s="560">
        <v>82264296</v>
      </c>
      <c r="E6694" s="560"/>
      <c r="F6694" s="560"/>
      <c r="G6694" s="560">
        <f t="shared" si="142"/>
        <v>82264296</v>
      </c>
      <c r="H6694" s="362"/>
      <c r="I6694" s="362"/>
      <c r="J6694" s="362"/>
    </row>
    <row r="6695" spans="1:10" x14ac:dyDescent="0.25">
      <c r="A6695" s="362"/>
      <c r="B6695" s="609">
        <v>44536</v>
      </c>
      <c r="C6695" s="362" t="s">
        <v>3435</v>
      </c>
      <c r="D6695" s="560">
        <v>28006394</v>
      </c>
      <c r="E6695" s="560"/>
      <c r="F6695" s="560"/>
      <c r="G6695" s="560">
        <f t="shared" si="142"/>
        <v>28006394</v>
      </c>
      <c r="H6695" s="362"/>
      <c r="I6695" s="362"/>
      <c r="J6695" s="362"/>
    </row>
    <row r="6696" spans="1:10" x14ac:dyDescent="0.25">
      <c r="A6696" s="362"/>
      <c r="B6696" s="609">
        <v>44536</v>
      </c>
      <c r="C6696" s="370" t="s">
        <v>85</v>
      </c>
      <c r="D6696" s="560">
        <v>55517900</v>
      </c>
      <c r="E6696" s="560"/>
      <c r="F6696" s="560"/>
      <c r="G6696" s="560">
        <f t="shared" si="142"/>
        <v>55517900</v>
      </c>
      <c r="H6696" s="362"/>
      <c r="I6696" s="362"/>
      <c r="J6696" s="362"/>
    </row>
    <row r="6697" spans="1:10" x14ac:dyDescent="0.25">
      <c r="A6697" s="530"/>
      <c r="B6697" s="530"/>
      <c r="C6697" s="530"/>
      <c r="D6697" s="562">
        <f>SUM(D6682:D6696)</f>
        <v>1947835859</v>
      </c>
      <c r="E6697" s="562">
        <f>SUM(E6682:E6696)</f>
        <v>181367883</v>
      </c>
      <c r="F6697" s="562">
        <f>SUM(F6682:F6696)</f>
        <v>0</v>
      </c>
      <c r="G6697" s="562">
        <f>SUM(G6682:G6696)</f>
        <v>2129203742</v>
      </c>
      <c r="H6697" s="530"/>
      <c r="I6697" s="530"/>
      <c r="J6697" s="530"/>
    </row>
    <row r="6698" spans="1:10" x14ac:dyDescent="0.25">
      <c r="A6698" s="362"/>
      <c r="B6698" s="609">
        <v>44537</v>
      </c>
      <c r="C6698" s="362" t="s">
        <v>86</v>
      </c>
      <c r="D6698" s="560">
        <v>54910704</v>
      </c>
      <c r="E6698" s="560">
        <v>44143275</v>
      </c>
      <c r="F6698" s="560"/>
      <c r="G6698" s="560">
        <f t="shared" si="142"/>
        <v>99053979</v>
      </c>
      <c r="H6698" s="362"/>
      <c r="I6698" s="362"/>
      <c r="J6698" s="362"/>
    </row>
    <row r="6699" spans="1:10" x14ac:dyDescent="0.25">
      <c r="A6699" s="362"/>
      <c r="B6699" s="609">
        <v>44537</v>
      </c>
      <c r="C6699" s="362" t="s">
        <v>87</v>
      </c>
      <c r="D6699" s="560">
        <v>103334247</v>
      </c>
      <c r="E6699" s="560">
        <v>49542704</v>
      </c>
      <c r="F6699" s="560"/>
      <c r="G6699" s="560">
        <f t="shared" si="142"/>
        <v>152876951</v>
      </c>
      <c r="H6699" s="362"/>
      <c r="I6699" s="362"/>
      <c r="J6699" s="362"/>
    </row>
    <row r="6700" spans="1:10" x14ac:dyDescent="0.25">
      <c r="A6700" s="362"/>
      <c r="B6700" s="609">
        <v>44537</v>
      </c>
      <c r="C6700" s="362" t="s">
        <v>88</v>
      </c>
      <c r="D6700" s="560">
        <v>158143395</v>
      </c>
      <c r="E6700" s="560">
        <v>112279904</v>
      </c>
      <c r="F6700" s="560"/>
      <c r="G6700" s="560">
        <f t="shared" si="142"/>
        <v>270423299</v>
      </c>
      <c r="H6700" s="362"/>
      <c r="I6700" s="362"/>
      <c r="J6700" s="362"/>
    </row>
    <row r="6701" spans="1:10" x14ac:dyDescent="0.25">
      <c r="A6701" s="362"/>
      <c r="B6701" s="609">
        <v>44537</v>
      </c>
      <c r="C6701" s="362" t="s">
        <v>82</v>
      </c>
      <c r="D6701" s="560">
        <v>93928569</v>
      </c>
      <c r="E6701" s="560">
        <v>1882815</v>
      </c>
      <c r="F6701" s="560"/>
      <c r="G6701" s="560">
        <f t="shared" si="142"/>
        <v>95811384</v>
      </c>
      <c r="H6701" s="362"/>
      <c r="I6701" s="362"/>
      <c r="J6701" s="362"/>
    </row>
    <row r="6702" spans="1:10" x14ac:dyDescent="0.25">
      <c r="A6702" s="362"/>
      <c r="B6702" s="609">
        <v>44537</v>
      </c>
      <c r="C6702" s="362" t="s">
        <v>80</v>
      </c>
      <c r="D6702" s="560"/>
      <c r="E6702" s="560"/>
      <c r="F6702" s="560"/>
      <c r="G6702" s="560">
        <f t="shared" si="142"/>
        <v>0</v>
      </c>
      <c r="H6702" s="362"/>
      <c r="I6702" s="362"/>
      <c r="J6702" s="362"/>
    </row>
    <row r="6703" spans="1:10" x14ac:dyDescent="0.25">
      <c r="A6703" s="362"/>
      <c r="B6703" s="609">
        <v>44537</v>
      </c>
      <c r="C6703" s="362" t="s">
        <v>83</v>
      </c>
      <c r="D6703" s="560">
        <v>213730695</v>
      </c>
      <c r="E6703" s="560">
        <v>27116732</v>
      </c>
      <c r="F6703" s="560"/>
      <c r="G6703" s="560">
        <f t="shared" si="142"/>
        <v>240847427</v>
      </c>
      <c r="H6703" s="362"/>
      <c r="I6703" s="362"/>
      <c r="J6703" s="362"/>
    </row>
    <row r="6704" spans="1:10" x14ac:dyDescent="0.25">
      <c r="A6704" s="362"/>
      <c r="B6704" s="609">
        <v>44537</v>
      </c>
      <c r="C6704" s="362" t="s">
        <v>78</v>
      </c>
      <c r="D6704" s="560">
        <v>129482093</v>
      </c>
      <c r="E6704" s="560">
        <v>3170307</v>
      </c>
      <c r="F6704" s="560"/>
      <c r="G6704" s="560">
        <f t="shared" si="142"/>
        <v>132652400</v>
      </c>
      <c r="H6704" s="362"/>
      <c r="I6704" s="362"/>
      <c r="J6704" s="362"/>
    </row>
    <row r="6705" spans="1:10" x14ac:dyDescent="0.25">
      <c r="A6705" s="362"/>
      <c r="B6705" s="609">
        <v>44537</v>
      </c>
      <c r="C6705" s="362" t="s">
        <v>141</v>
      </c>
      <c r="D6705" s="560">
        <v>65902566</v>
      </c>
      <c r="E6705" s="560">
        <v>719700</v>
      </c>
      <c r="F6705" s="560"/>
      <c r="G6705" s="560">
        <f t="shared" si="142"/>
        <v>66622266</v>
      </c>
      <c r="H6705" s="362"/>
      <c r="I6705" s="362"/>
      <c r="J6705" s="362"/>
    </row>
    <row r="6706" spans="1:10" x14ac:dyDescent="0.25">
      <c r="A6706" s="362"/>
      <c r="B6706" s="609">
        <v>44537</v>
      </c>
      <c r="C6706" s="362" t="s">
        <v>89</v>
      </c>
      <c r="D6706" s="560">
        <v>104074883</v>
      </c>
      <c r="E6706" s="560">
        <v>18066817</v>
      </c>
      <c r="F6706" s="560"/>
      <c r="G6706" s="560">
        <f t="shared" si="142"/>
        <v>122141700</v>
      </c>
      <c r="H6706" s="362"/>
      <c r="I6706" s="362"/>
      <c r="J6706" s="362"/>
    </row>
    <row r="6707" spans="1:10" x14ac:dyDescent="0.25">
      <c r="A6707" s="362"/>
      <c r="B6707" s="609">
        <v>44537</v>
      </c>
      <c r="C6707" s="362" t="s">
        <v>81</v>
      </c>
      <c r="D6707" s="560">
        <v>83684826</v>
      </c>
      <c r="E6707" s="560">
        <v>63743401</v>
      </c>
      <c r="F6707" s="560"/>
      <c r="G6707" s="560">
        <f t="shared" si="142"/>
        <v>147428227</v>
      </c>
      <c r="H6707" s="362"/>
      <c r="I6707" s="362"/>
      <c r="J6707" s="362"/>
    </row>
    <row r="6708" spans="1:10" x14ac:dyDescent="0.25">
      <c r="A6708" s="362"/>
      <c r="B6708" s="609">
        <v>44537</v>
      </c>
      <c r="C6708" s="362" t="s">
        <v>84</v>
      </c>
      <c r="D6708" s="560">
        <v>210910746</v>
      </c>
      <c r="E6708" s="560">
        <v>71488225</v>
      </c>
      <c r="F6708" s="560"/>
      <c r="G6708" s="560">
        <f t="shared" si="142"/>
        <v>282398971</v>
      </c>
      <c r="H6708" s="362"/>
      <c r="I6708" s="362"/>
      <c r="J6708" s="362"/>
    </row>
    <row r="6709" spans="1:10" x14ac:dyDescent="0.25">
      <c r="A6709" s="362"/>
      <c r="B6709" s="609">
        <v>44537</v>
      </c>
      <c r="C6709" s="362" t="s">
        <v>4751</v>
      </c>
      <c r="D6709" s="560">
        <v>232687130</v>
      </c>
      <c r="E6709" s="560">
        <v>48930770</v>
      </c>
      <c r="F6709" s="560"/>
      <c r="G6709" s="560">
        <f t="shared" si="142"/>
        <v>281617900</v>
      </c>
      <c r="H6709" s="362"/>
      <c r="I6709" s="362"/>
      <c r="J6709" s="362"/>
    </row>
    <row r="6710" spans="1:10" x14ac:dyDescent="0.25">
      <c r="A6710" s="362"/>
      <c r="B6710" s="609">
        <v>44537</v>
      </c>
      <c r="C6710" s="362" t="s">
        <v>166</v>
      </c>
      <c r="D6710" s="560">
        <v>58540454</v>
      </c>
      <c r="E6710" s="560"/>
      <c r="F6710" s="560"/>
      <c r="G6710" s="560">
        <f t="shared" si="142"/>
        <v>58540454</v>
      </c>
      <c r="H6710" s="362"/>
      <c r="I6710" s="362"/>
      <c r="J6710" s="362"/>
    </row>
    <row r="6711" spans="1:10" x14ac:dyDescent="0.25">
      <c r="A6711" s="362"/>
      <c r="B6711" s="609">
        <v>44537</v>
      </c>
      <c r="C6711" s="362" t="s">
        <v>3435</v>
      </c>
      <c r="D6711" s="560">
        <v>63302266</v>
      </c>
      <c r="E6711" s="560"/>
      <c r="F6711" s="560"/>
      <c r="G6711" s="560">
        <f t="shared" si="142"/>
        <v>63302266</v>
      </c>
      <c r="H6711" s="362"/>
      <c r="I6711" s="362"/>
      <c r="J6711" s="362"/>
    </row>
    <row r="6712" spans="1:10" x14ac:dyDescent="0.25">
      <c r="A6712" s="362"/>
      <c r="B6712" s="609">
        <v>44537</v>
      </c>
      <c r="C6712" s="370" t="s">
        <v>85</v>
      </c>
      <c r="D6712" s="560">
        <v>29740700</v>
      </c>
      <c r="E6712" s="560"/>
      <c r="F6712" s="560"/>
      <c r="G6712" s="560">
        <f t="shared" si="142"/>
        <v>29740700</v>
      </c>
      <c r="H6712" s="362"/>
      <c r="I6712" s="362"/>
      <c r="J6712" s="362"/>
    </row>
    <row r="6713" spans="1:10" x14ac:dyDescent="0.25">
      <c r="A6713" s="530"/>
      <c r="B6713" s="530"/>
      <c r="C6713" s="530"/>
      <c r="D6713" s="562">
        <f>SUM(D6698:D6712)</f>
        <v>1602373274</v>
      </c>
      <c r="E6713" s="562">
        <f>SUM(E6698:E6712)</f>
        <v>441084650</v>
      </c>
      <c r="F6713" s="562">
        <f>SUM(F6698:F6712)</f>
        <v>0</v>
      </c>
      <c r="G6713" s="562">
        <f>SUM(G6698:G6712)</f>
        <v>2043457924</v>
      </c>
      <c r="H6713" s="530"/>
      <c r="I6713" s="530"/>
      <c r="J6713" s="530"/>
    </row>
    <row r="6714" spans="1:10" x14ac:dyDescent="0.25">
      <c r="A6714" s="362"/>
      <c r="B6714" s="609">
        <v>44538</v>
      </c>
      <c r="C6714" s="362" t="s">
        <v>86</v>
      </c>
      <c r="D6714" s="560">
        <v>66944059</v>
      </c>
      <c r="E6714" s="560">
        <v>17265384</v>
      </c>
      <c r="F6714" s="560"/>
      <c r="G6714" s="560">
        <f t="shared" si="142"/>
        <v>84209443</v>
      </c>
      <c r="H6714" s="362"/>
      <c r="I6714" s="362"/>
      <c r="J6714" s="362"/>
    </row>
    <row r="6715" spans="1:10" x14ac:dyDescent="0.25">
      <c r="A6715" s="362"/>
      <c r="B6715" s="609">
        <v>44538</v>
      </c>
      <c r="C6715" s="362" t="s">
        <v>87</v>
      </c>
      <c r="D6715" s="560">
        <v>96433718</v>
      </c>
      <c r="E6715" s="560">
        <v>16149888</v>
      </c>
      <c r="F6715" s="560"/>
      <c r="G6715" s="560">
        <f t="shared" si="142"/>
        <v>112583606</v>
      </c>
      <c r="H6715" s="362"/>
      <c r="I6715" s="362"/>
      <c r="J6715" s="362"/>
    </row>
    <row r="6716" spans="1:10" x14ac:dyDescent="0.25">
      <c r="A6716" s="362"/>
      <c r="B6716" s="609">
        <v>44538</v>
      </c>
      <c r="C6716" s="362" t="s">
        <v>88</v>
      </c>
      <c r="D6716" s="560">
        <v>179847893</v>
      </c>
      <c r="E6716" s="560">
        <v>13528818</v>
      </c>
      <c r="F6716" s="560"/>
      <c r="G6716" s="560">
        <f t="shared" ref="G6716:G6743" si="143">D6716+E6716-F6716</f>
        <v>193376711</v>
      </c>
      <c r="H6716" s="362"/>
      <c r="I6716" s="362"/>
      <c r="J6716" s="362"/>
    </row>
    <row r="6717" spans="1:10" x14ac:dyDescent="0.25">
      <c r="A6717" s="362"/>
      <c r="B6717" s="609">
        <v>44538</v>
      </c>
      <c r="C6717" s="362" t="s">
        <v>82</v>
      </c>
      <c r="D6717" s="560">
        <v>113370495</v>
      </c>
      <c r="E6717" s="560">
        <v>631280</v>
      </c>
      <c r="F6717" s="560"/>
      <c r="G6717" s="560">
        <f t="shared" si="143"/>
        <v>114001775</v>
      </c>
      <c r="H6717" s="362"/>
      <c r="I6717" s="362"/>
      <c r="J6717" s="362"/>
    </row>
    <row r="6718" spans="1:10" x14ac:dyDescent="0.25">
      <c r="A6718" s="362"/>
      <c r="B6718" s="609">
        <v>44538</v>
      </c>
      <c r="C6718" s="362" t="s">
        <v>80</v>
      </c>
      <c r="D6718" s="560">
        <v>355443571</v>
      </c>
      <c r="E6718" s="560">
        <v>91972591</v>
      </c>
      <c r="F6718" s="560"/>
      <c r="G6718" s="560">
        <f t="shared" si="143"/>
        <v>447416162</v>
      </c>
      <c r="H6718" s="362"/>
      <c r="I6718" s="362"/>
      <c r="J6718" s="362"/>
    </row>
    <row r="6719" spans="1:10" x14ac:dyDescent="0.25">
      <c r="A6719" s="362"/>
      <c r="B6719" s="609">
        <v>44538</v>
      </c>
      <c r="C6719" s="362" t="s">
        <v>83</v>
      </c>
      <c r="D6719" s="560">
        <v>126562928</v>
      </c>
      <c r="E6719" s="560">
        <v>82030921</v>
      </c>
      <c r="F6719" s="560"/>
      <c r="G6719" s="560">
        <f t="shared" si="143"/>
        <v>208593849</v>
      </c>
      <c r="H6719" s="362"/>
      <c r="I6719" s="362"/>
      <c r="J6719" s="362"/>
    </row>
    <row r="6720" spans="1:10" x14ac:dyDescent="0.25">
      <c r="A6720" s="362"/>
      <c r="B6720" s="609">
        <v>44538</v>
      </c>
      <c r="C6720" s="362" t="s">
        <v>78</v>
      </c>
      <c r="D6720" s="560">
        <v>173508238</v>
      </c>
      <c r="E6720" s="560">
        <v>11931362</v>
      </c>
      <c r="F6720" s="560"/>
      <c r="G6720" s="560">
        <f t="shared" si="143"/>
        <v>185439600</v>
      </c>
      <c r="H6720" s="362"/>
      <c r="I6720" s="362"/>
      <c r="J6720" s="362"/>
    </row>
    <row r="6721" spans="1:10" x14ac:dyDescent="0.25">
      <c r="A6721" s="362"/>
      <c r="B6721" s="609">
        <v>44538</v>
      </c>
      <c r="C6721" s="362" t="s">
        <v>141</v>
      </c>
      <c r="D6721" s="560">
        <v>142495428</v>
      </c>
      <c r="E6721" s="560">
        <v>943800</v>
      </c>
      <c r="F6721" s="560"/>
      <c r="G6721" s="560">
        <f t="shared" si="143"/>
        <v>143439228</v>
      </c>
      <c r="H6721" s="362"/>
      <c r="I6721" s="362"/>
      <c r="J6721" s="362"/>
    </row>
    <row r="6722" spans="1:10" x14ac:dyDescent="0.25">
      <c r="A6722" s="362"/>
      <c r="B6722" s="609">
        <v>44538</v>
      </c>
      <c r="C6722" s="362" t="s">
        <v>89</v>
      </c>
      <c r="D6722" s="560">
        <v>143205123</v>
      </c>
      <c r="E6722" s="560">
        <v>44428277</v>
      </c>
      <c r="F6722" s="560"/>
      <c r="G6722" s="560">
        <f t="shared" si="143"/>
        <v>187633400</v>
      </c>
      <c r="H6722" s="362"/>
      <c r="I6722" s="362"/>
      <c r="J6722" s="362"/>
    </row>
    <row r="6723" spans="1:10" x14ac:dyDescent="0.25">
      <c r="A6723" s="362"/>
      <c r="B6723" s="609">
        <v>44538</v>
      </c>
      <c r="C6723" s="362" t="s">
        <v>81</v>
      </c>
      <c r="D6723" s="560">
        <v>107479107</v>
      </c>
      <c r="E6723" s="560">
        <v>10766449</v>
      </c>
      <c r="F6723" s="560"/>
      <c r="G6723" s="560">
        <f t="shared" si="143"/>
        <v>118245556</v>
      </c>
      <c r="H6723" s="362"/>
      <c r="I6723" s="362"/>
      <c r="J6723" s="362"/>
    </row>
    <row r="6724" spans="1:10" x14ac:dyDescent="0.25">
      <c r="A6724" s="362"/>
      <c r="B6724" s="609">
        <v>44538</v>
      </c>
      <c r="C6724" s="362" t="s">
        <v>84</v>
      </c>
      <c r="D6724" s="560">
        <v>277281896</v>
      </c>
      <c r="E6724" s="560">
        <v>13303601</v>
      </c>
      <c r="F6724" s="560"/>
      <c r="G6724" s="560">
        <f t="shared" si="143"/>
        <v>290585497</v>
      </c>
      <c r="H6724" s="362"/>
      <c r="I6724" s="362"/>
      <c r="J6724" s="362"/>
    </row>
    <row r="6725" spans="1:10" x14ac:dyDescent="0.25">
      <c r="A6725" s="362"/>
      <c r="B6725" s="609">
        <v>44538</v>
      </c>
      <c r="C6725" s="362" t="s">
        <v>4751</v>
      </c>
      <c r="D6725" s="560">
        <v>263219013</v>
      </c>
      <c r="E6725" s="560">
        <v>19746487</v>
      </c>
      <c r="F6725" s="560"/>
      <c r="G6725" s="560">
        <f t="shared" si="143"/>
        <v>282965500</v>
      </c>
      <c r="H6725" s="362"/>
      <c r="I6725" s="362"/>
      <c r="J6725" s="362"/>
    </row>
    <row r="6726" spans="1:10" x14ac:dyDescent="0.25">
      <c r="A6726" s="362"/>
      <c r="B6726" s="609">
        <v>44538</v>
      </c>
      <c r="C6726" s="362" t="s">
        <v>166</v>
      </c>
      <c r="D6726" s="560">
        <v>52403389</v>
      </c>
      <c r="E6726" s="560"/>
      <c r="F6726" s="560"/>
      <c r="G6726" s="560">
        <f t="shared" si="143"/>
        <v>52403389</v>
      </c>
      <c r="H6726" s="362"/>
      <c r="I6726" s="362"/>
      <c r="J6726" s="362"/>
    </row>
    <row r="6727" spans="1:10" x14ac:dyDescent="0.25">
      <c r="A6727" s="362"/>
      <c r="B6727" s="609">
        <v>44538</v>
      </c>
      <c r="C6727" s="362" t="s">
        <v>3435</v>
      </c>
      <c r="D6727" s="560">
        <v>53718392</v>
      </c>
      <c r="E6727" s="560"/>
      <c r="F6727" s="560"/>
      <c r="G6727" s="560">
        <f t="shared" si="143"/>
        <v>53718392</v>
      </c>
      <c r="H6727" s="362"/>
      <c r="I6727" s="362"/>
      <c r="J6727" s="362"/>
    </row>
    <row r="6728" spans="1:10" x14ac:dyDescent="0.25">
      <c r="A6728" s="362"/>
      <c r="B6728" s="609">
        <v>44538</v>
      </c>
      <c r="C6728" s="370" t="s">
        <v>85</v>
      </c>
      <c r="D6728" s="560">
        <v>52722800</v>
      </c>
      <c r="E6728" s="560"/>
      <c r="F6728" s="560"/>
      <c r="G6728" s="560">
        <f t="shared" si="143"/>
        <v>52722800</v>
      </c>
      <c r="H6728" s="362"/>
      <c r="I6728" s="362"/>
      <c r="J6728" s="362"/>
    </row>
    <row r="6729" spans="1:10" x14ac:dyDescent="0.25">
      <c r="A6729" s="530"/>
      <c r="B6729" s="530"/>
      <c r="C6729" s="530"/>
      <c r="D6729" s="562">
        <f>SUM(D6714:D6728)</f>
        <v>2204636050</v>
      </c>
      <c r="E6729" s="562">
        <f>SUM(E6714:E6728)</f>
        <v>322698858</v>
      </c>
      <c r="F6729" s="562">
        <f>SUM(F6714:F6728)</f>
        <v>0</v>
      </c>
      <c r="G6729" s="562">
        <f>SUM(G6714:G6728)</f>
        <v>2527334908</v>
      </c>
      <c r="H6729" s="530"/>
      <c r="I6729" s="530"/>
      <c r="J6729" s="530"/>
    </row>
    <row r="6730" spans="1:10" x14ac:dyDescent="0.25">
      <c r="A6730" s="362"/>
      <c r="B6730" s="609">
        <v>44539</v>
      </c>
      <c r="C6730" s="362" t="s">
        <v>86</v>
      </c>
      <c r="D6730" s="560">
        <v>88782755</v>
      </c>
      <c r="E6730" s="560">
        <v>18376630</v>
      </c>
      <c r="F6730" s="560"/>
      <c r="G6730" s="560">
        <f t="shared" si="143"/>
        <v>107159385</v>
      </c>
      <c r="H6730" s="362"/>
      <c r="I6730" s="362"/>
      <c r="J6730" s="362"/>
    </row>
    <row r="6731" spans="1:10" x14ac:dyDescent="0.25">
      <c r="A6731" s="362"/>
      <c r="B6731" s="609">
        <v>44539</v>
      </c>
      <c r="C6731" s="362" t="s">
        <v>87</v>
      </c>
      <c r="D6731" s="560">
        <v>76167923</v>
      </c>
      <c r="E6731" s="560">
        <v>91689058</v>
      </c>
      <c r="F6731" s="560"/>
      <c r="G6731" s="560">
        <f t="shared" si="143"/>
        <v>167856981</v>
      </c>
      <c r="H6731" s="362"/>
      <c r="I6731" s="362"/>
      <c r="J6731" s="362"/>
    </row>
    <row r="6732" spans="1:10" x14ac:dyDescent="0.25">
      <c r="A6732" s="362"/>
      <c r="B6732" s="609">
        <v>44539</v>
      </c>
      <c r="C6732" s="362" t="s">
        <v>88</v>
      </c>
      <c r="D6732" s="560">
        <v>205199451</v>
      </c>
      <c r="E6732" s="560">
        <v>23597399</v>
      </c>
      <c r="F6732" s="560"/>
      <c r="G6732" s="560">
        <f t="shared" si="143"/>
        <v>228796850</v>
      </c>
      <c r="H6732" s="362"/>
      <c r="I6732" s="362"/>
      <c r="J6732" s="362"/>
    </row>
    <row r="6733" spans="1:10" x14ac:dyDescent="0.25">
      <c r="A6733" s="362"/>
      <c r="B6733" s="609">
        <v>44539</v>
      </c>
      <c r="C6733" s="362" t="s">
        <v>82</v>
      </c>
      <c r="D6733" s="560">
        <v>106328007</v>
      </c>
      <c r="E6733" s="560">
        <v>3047720</v>
      </c>
      <c r="F6733" s="560"/>
      <c r="G6733" s="560">
        <f t="shared" si="143"/>
        <v>109375727</v>
      </c>
      <c r="H6733" s="362"/>
      <c r="I6733" s="362"/>
      <c r="J6733" s="362"/>
    </row>
    <row r="6734" spans="1:10" x14ac:dyDescent="0.25">
      <c r="A6734" s="362"/>
      <c r="B6734" s="609">
        <v>44539</v>
      </c>
      <c r="C6734" s="362" t="s">
        <v>80</v>
      </c>
      <c r="D6734" s="560">
        <v>427439843</v>
      </c>
      <c r="E6734" s="560">
        <v>312757</v>
      </c>
      <c r="F6734" s="560"/>
      <c r="G6734" s="560">
        <f t="shared" si="143"/>
        <v>427752600</v>
      </c>
      <c r="H6734" s="362"/>
      <c r="I6734" s="362"/>
      <c r="J6734" s="362"/>
    </row>
    <row r="6735" spans="1:10" x14ac:dyDescent="0.25">
      <c r="A6735" s="362"/>
      <c r="B6735" s="609">
        <v>44539</v>
      </c>
      <c r="C6735" s="362" t="s">
        <v>83</v>
      </c>
      <c r="D6735" s="560">
        <v>131345330</v>
      </c>
      <c r="E6735" s="560">
        <v>126252876</v>
      </c>
      <c r="F6735" s="560"/>
      <c r="G6735" s="560">
        <f t="shared" si="143"/>
        <v>257598206</v>
      </c>
      <c r="H6735" s="362"/>
      <c r="I6735" s="362"/>
      <c r="J6735" s="362"/>
    </row>
    <row r="6736" spans="1:10" x14ac:dyDescent="0.25">
      <c r="A6736" s="362"/>
      <c r="B6736" s="609">
        <v>44539</v>
      </c>
      <c r="C6736" s="362" t="s">
        <v>78</v>
      </c>
      <c r="D6736" s="560">
        <v>117506289</v>
      </c>
      <c r="E6736" s="560">
        <v>1283311</v>
      </c>
      <c r="F6736" s="560"/>
      <c r="G6736" s="560">
        <f t="shared" si="143"/>
        <v>118789600</v>
      </c>
      <c r="H6736" s="362"/>
      <c r="I6736" s="362"/>
      <c r="J6736" s="362"/>
    </row>
    <row r="6737" spans="1:10" x14ac:dyDescent="0.25">
      <c r="A6737" s="362"/>
      <c r="B6737" s="609">
        <v>44539</v>
      </c>
      <c r="C6737" s="362" t="s">
        <v>141</v>
      </c>
      <c r="D6737" s="560">
        <v>111425287</v>
      </c>
      <c r="E6737" s="560">
        <v>1494615</v>
      </c>
      <c r="F6737" s="560"/>
      <c r="G6737" s="560">
        <f t="shared" si="143"/>
        <v>112919902</v>
      </c>
      <c r="H6737" s="362"/>
      <c r="I6737" s="362"/>
      <c r="J6737" s="362"/>
    </row>
    <row r="6738" spans="1:10" x14ac:dyDescent="0.25">
      <c r="A6738" s="362"/>
      <c r="B6738" s="609">
        <v>44539</v>
      </c>
      <c r="C6738" s="362" t="s">
        <v>89</v>
      </c>
      <c r="D6738" s="560">
        <v>119706113</v>
      </c>
      <c r="E6738" s="560">
        <v>15858787</v>
      </c>
      <c r="F6738" s="560"/>
      <c r="G6738" s="560">
        <f t="shared" si="143"/>
        <v>135564900</v>
      </c>
      <c r="H6738" s="362"/>
      <c r="I6738" s="362"/>
      <c r="J6738" s="362"/>
    </row>
    <row r="6739" spans="1:10" x14ac:dyDescent="0.25">
      <c r="A6739" s="362"/>
      <c r="B6739" s="609">
        <v>44539</v>
      </c>
      <c r="C6739" s="362" t="s">
        <v>81</v>
      </c>
      <c r="D6739" s="560">
        <v>146904370</v>
      </c>
      <c r="E6739" s="560">
        <v>42450815</v>
      </c>
      <c r="F6739" s="560"/>
      <c r="G6739" s="560">
        <f t="shared" si="143"/>
        <v>189355185</v>
      </c>
      <c r="H6739" s="362"/>
      <c r="I6739" s="362"/>
      <c r="J6739" s="362"/>
    </row>
    <row r="6740" spans="1:10" x14ac:dyDescent="0.25">
      <c r="A6740" s="362"/>
      <c r="B6740" s="609">
        <v>44539</v>
      </c>
      <c r="C6740" s="362" t="s">
        <v>84</v>
      </c>
      <c r="D6740" s="560">
        <v>224270193</v>
      </c>
      <c r="E6740" s="560">
        <v>16172704</v>
      </c>
      <c r="F6740" s="560"/>
      <c r="G6740" s="560">
        <f t="shared" si="143"/>
        <v>240442897</v>
      </c>
      <c r="H6740" s="362"/>
      <c r="I6740" s="362"/>
      <c r="J6740" s="362"/>
    </row>
    <row r="6741" spans="1:10" x14ac:dyDescent="0.25">
      <c r="A6741" s="362"/>
      <c r="B6741" s="609">
        <v>44539</v>
      </c>
      <c r="C6741" s="362" t="s">
        <v>4751</v>
      </c>
      <c r="D6741" s="560">
        <v>265990355</v>
      </c>
      <c r="E6741" s="560">
        <v>21651345</v>
      </c>
      <c r="F6741" s="560"/>
      <c r="G6741" s="560">
        <f t="shared" si="143"/>
        <v>287641700</v>
      </c>
      <c r="H6741" s="362"/>
      <c r="I6741" s="362"/>
      <c r="J6741" s="362"/>
    </row>
    <row r="6742" spans="1:10" x14ac:dyDescent="0.25">
      <c r="A6742" s="362"/>
      <c r="B6742" s="609">
        <v>44539</v>
      </c>
      <c r="C6742" s="362" t="s">
        <v>166</v>
      </c>
      <c r="D6742" s="560">
        <v>91758374</v>
      </c>
      <c r="E6742" s="560">
        <v>18580000</v>
      </c>
      <c r="F6742" s="560"/>
      <c r="G6742" s="560">
        <f t="shared" si="143"/>
        <v>110338374</v>
      </c>
      <c r="H6742" s="362"/>
      <c r="I6742" s="362"/>
      <c r="J6742" s="362"/>
    </row>
    <row r="6743" spans="1:10" x14ac:dyDescent="0.25">
      <c r="A6743" s="362"/>
      <c r="B6743" s="609">
        <v>44539</v>
      </c>
      <c r="C6743" s="362" t="s">
        <v>3435</v>
      </c>
      <c r="D6743" s="560">
        <v>64155432</v>
      </c>
      <c r="E6743" s="560"/>
      <c r="F6743" s="560"/>
      <c r="G6743" s="560">
        <f t="shared" si="143"/>
        <v>64155432</v>
      </c>
      <c r="H6743" s="362"/>
      <c r="I6743" s="362"/>
      <c r="J6743" s="362"/>
    </row>
    <row r="6744" spans="1:10" x14ac:dyDescent="0.25">
      <c r="A6744" s="362"/>
      <c r="B6744" s="609">
        <v>44539</v>
      </c>
      <c r="C6744" s="370" t="s">
        <v>85</v>
      </c>
      <c r="D6744" s="560">
        <v>26706000</v>
      </c>
      <c r="E6744" s="560"/>
      <c r="F6744" s="560"/>
      <c r="G6744" s="560">
        <f>D6744+E6744-F6744</f>
        <v>26706000</v>
      </c>
      <c r="H6744" s="362"/>
      <c r="I6744" s="362"/>
      <c r="J6744" s="362"/>
    </row>
    <row r="6745" spans="1:10" x14ac:dyDescent="0.25">
      <c r="A6745" s="530"/>
      <c r="B6745" s="530"/>
      <c r="C6745" s="530"/>
      <c r="D6745" s="630">
        <f>SUM(D6730:D6744)</f>
        <v>2203685722</v>
      </c>
      <c r="E6745" s="630">
        <f>SUM(E6730:E6744)</f>
        <v>380768017</v>
      </c>
      <c r="F6745" s="630">
        <f>SUM(F6730:F6744)</f>
        <v>0</v>
      </c>
      <c r="G6745" s="630">
        <f>SUM(G6730:G6744)</f>
        <v>2584453739</v>
      </c>
      <c r="H6745" s="530"/>
      <c r="I6745" s="530"/>
      <c r="J6745" s="530"/>
    </row>
    <row r="6746" spans="1:10" x14ac:dyDescent="0.25">
      <c r="A6746" s="362"/>
      <c r="B6746" s="609">
        <v>44540</v>
      </c>
      <c r="C6746" s="362" t="s">
        <v>86</v>
      </c>
      <c r="D6746" s="560">
        <v>47002632</v>
      </c>
      <c r="E6746" s="560">
        <v>23800455</v>
      </c>
      <c r="F6746" s="560"/>
      <c r="G6746" s="560">
        <f>D6746+E6746-F6746</f>
        <v>70803087</v>
      </c>
      <c r="H6746" s="362"/>
      <c r="I6746" s="362"/>
      <c r="J6746" s="362"/>
    </row>
    <row r="6747" spans="1:10" x14ac:dyDescent="0.25">
      <c r="A6747" s="362"/>
      <c r="B6747" s="609">
        <v>44540</v>
      </c>
      <c r="C6747" s="362" t="s">
        <v>87</v>
      </c>
      <c r="D6747" s="560">
        <v>89858584</v>
      </c>
      <c r="E6747" s="560">
        <v>79764343</v>
      </c>
      <c r="F6747" s="560"/>
      <c r="G6747" s="560">
        <f t="shared" ref="G6747:G6791" si="144">D6747+E6747-F6747</f>
        <v>169622927</v>
      </c>
      <c r="H6747" s="362"/>
      <c r="I6747" s="362"/>
      <c r="J6747" s="362"/>
    </row>
    <row r="6748" spans="1:10" x14ac:dyDescent="0.25">
      <c r="A6748" s="362"/>
      <c r="B6748" s="609">
        <v>44540</v>
      </c>
      <c r="C6748" s="362" t="s">
        <v>88</v>
      </c>
      <c r="D6748" s="560">
        <v>100074065</v>
      </c>
      <c r="E6748" s="560">
        <v>23776466</v>
      </c>
      <c r="F6748" s="560"/>
      <c r="G6748" s="560">
        <f t="shared" si="144"/>
        <v>123850531</v>
      </c>
      <c r="H6748" s="362"/>
      <c r="I6748" s="362"/>
      <c r="J6748" s="362"/>
    </row>
    <row r="6749" spans="1:10" x14ac:dyDescent="0.25">
      <c r="A6749" s="362"/>
      <c r="B6749" s="609">
        <v>44540</v>
      </c>
      <c r="C6749" s="362" t="s">
        <v>82</v>
      </c>
      <c r="D6749" s="560">
        <v>76013642</v>
      </c>
      <c r="E6749" s="560">
        <v>15420360</v>
      </c>
      <c r="F6749" s="560"/>
      <c r="G6749" s="560">
        <f t="shared" si="144"/>
        <v>91434002</v>
      </c>
      <c r="H6749" s="362"/>
      <c r="I6749" s="362"/>
      <c r="J6749" s="362"/>
    </row>
    <row r="6750" spans="1:10" x14ac:dyDescent="0.25">
      <c r="A6750" s="362"/>
      <c r="B6750" s="609">
        <v>44540</v>
      </c>
      <c r="C6750" s="362" t="s">
        <v>80</v>
      </c>
      <c r="D6750" s="560">
        <v>228767577</v>
      </c>
      <c r="E6750" s="560">
        <v>1213602</v>
      </c>
      <c r="F6750" s="560"/>
      <c r="G6750" s="560">
        <f t="shared" si="144"/>
        <v>229981179</v>
      </c>
      <c r="H6750" s="362"/>
      <c r="I6750" s="362"/>
      <c r="J6750" s="362"/>
    </row>
    <row r="6751" spans="1:10" x14ac:dyDescent="0.25">
      <c r="A6751" s="362"/>
      <c r="B6751" s="609">
        <v>44540</v>
      </c>
      <c r="C6751" s="362" t="s">
        <v>83</v>
      </c>
      <c r="D6751" s="560">
        <v>97345119</v>
      </c>
      <c r="E6751" s="560">
        <v>54674066</v>
      </c>
      <c r="F6751" s="560"/>
      <c r="G6751" s="560">
        <f t="shared" si="144"/>
        <v>152019185</v>
      </c>
      <c r="H6751" s="362"/>
      <c r="I6751" s="362"/>
      <c r="J6751" s="362"/>
    </row>
    <row r="6752" spans="1:10" x14ac:dyDescent="0.25">
      <c r="A6752" s="362"/>
      <c r="B6752" s="609">
        <v>44540</v>
      </c>
      <c r="C6752" s="362" t="s">
        <v>78</v>
      </c>
      <c r="D6752" s="560">
        <v>142595003</v>
      </c>
      <c r="E6752" s="560">
        <v>1104997</v>
      </c>
      <c r="F6752" s="560"/>
      <c r="G6752" s="560">
        <f t="shared" si="144"/>
        <v>143700000</v>
      </c>
      <c r="H6752" s="362"/>
      <c r="I6752" s="362"/>
      <c r="J6752" s="362"/>
    </row>
    <row r="6753" spans="1:10" x14ac:dyDescent="0.25">
      <c r="A6753" s="362"/>
      <c r="B6753" s="609">
        <v>44540</v>
      </c>
      <c r="C6753" s="362" t="s">
        <v>141</v>
      </c>
      <c r="D6753" s="560">
        <v>116482226</v>
      </c>
      <c r="E6753" s="560">
        <v>930450</v>
      </c>
      <c r="F6753" s="560"/>
      <c r="G6753" s="560">
        <f t="shared" si="144"/>
        <v>117412676</v>
      </c>
      <c r="H6753" s="362"/>
      <c r="I6753" s="362"/>
      <c r="J6753" s="362"/>
    </row>
    <row r="6754" spans="1:10" x14ac:dyDescent="0.25">
      <c r="A6754" s="362"/>
      <c r="B6754" s="609">
        <v>44540</v>
      </c>
      <c r="C6754" s="362" t="s">
        <v>89</v>
      </c>
      <c r="D6754" s="560">
        <v>135508002</v>
      </c>
      <c r="E6754" s="560">
        <v>117003998</v>
      </c>
      <c r="F6754" s="560"/>
      <c r="G6754" s="560">
        <f t="shared" si="144"/>
        <v>252512000</v>
      </c>
      <c r="H6754" s="362"/>
      <c r="I6754" s="362"/>
      <c r="J6754" s="362"/>
    </row>
    <row r="6755" spans="1:10" x14ac:dyDescent="0.25">
      <c r="A6755" s="362"/>
      <c r="B6755" s="609">
        <v>44540</v>
      </c>
      <c r="C6755" s="362" t="s">
        <v>81</v>
      </c>
      <c r="D6755" s="560">
        <v>102248978</v>
      </c>
      <c r="E6755" s="560">
        <v>48069131</v>
      </c>
      <c r="F6755" s="560"/>
      <c r="G6755" s="560">
        <f t="shared" si="144"/>
        <v>150318109</v>
      </c>
      <c r="H6755" s="362"/>
      <c r="I6755" s="362"/>
      <c r="J6755" s="362"/>
    </row>
    <row r="6756" spans="1:10" x14ac:dyDescent="0.25">
      <c r="A6756" s="362"/>
      <c r="B6756" s="609">
        <v>44540</v>
      </c>
      <c r="C6756" s="362" t="s">
        <v>84</v>
      </c>
      <c r="D6756" s="560">
        <v>357724378</v>
      </c>
      <c r="E6756" s="560">
        <v>11829607</v>
      </c>
      <c r="F6756" s="560"/>
      <c r="G6756" s="560">
        <f t="shared" si="144"/>
        <v>369553985</v>
      </c>
      <c r="H6756" s="362"/>
      <c r="I6756" s="362"/>
      <c r="J6756" s="362"/>
    </row>
    <row r="6757" spans="1:10" x14ac:dyDescent="0.25">
      <c r="A6757" s="362"/>
      <c r="B6757" s="609">
        <v>44540</v>
      </c>
      <c r="C6757" s="362" t="s">
        <v>4751</v>
      </c>
      <c r="D6757" s="560">
        <v>149567964</v>
      </c>
      <c r="E6757" s="560">
        <v>9718136</v>
      </c>
      <c r="F6757" s="560"/>
      <c r="G6757" s="560">
        <f t="shared" si="144"/>
        <v>159286100</v>
      </c>
      <c r="H6757" s="362"/>
      <c r="I6757" s="362"/>
      <c r="J6757" s="362"/>
    </row>
    <row r="6758" spans="1:10" x14ac:dyDescent="0.25">
      <c r="A6758" s="362"/>
      <c r="B6758" s="609">
        <v>44540</v>
      </c>
      <c r="C6758" s="362" t="s">
        <v>166</v>
      </c>
      <c r="D6758" s="560">
        <v>49004457</v>
      </c>
      <c r="E6758" s="560"/>
      <c r="F6758" s="560"/>
      <c r="G6758" s="560">
        <f t="shared" si="144"/>
        <v>49004457</v>
      </c>
      <c r="H6758" s="362"/>
      <c r="I6758" s="362"/>
      <c r="J6758" s="362"/>
    </row>
    <row r="6759" spans="1:10" x14ac:dyDescent="0.25">
      <c r="A6759" s="362"/>
      <c r="B6759" s="609">
        <v>44540</v>
      </c>
      <c r="C6759" s="362" t="s">
        <v>3435</v>
      </c>
      <c r="D6759" s="560">
        <v>42249624</v>
      </c>
      <c r="E6759" s="560"/>
      <c r="F6759" s="560"/>
      <c r="G6759" s="560">
        <f t="shared" si="144"/>
        <v>42249624</v>
      </c>
      <c r="H6759" s="362"/>
      <c r="I6759" s="362"/>
      <c r="J6759" s="362"/>
    </row>
    <row r="6760" spans="1:10" x14ac:dyDescent="0.25">
      <c r="A6760" s="362"/>
      <c r="B6760" s="609">
        <v>44540</v>
      </c>
      <c r="C6760" s="370" t="s">
        <v>85</v>
      </c>
      <c r="D6760" s="560">
        <v>23952300</v>
      </c>
      <c r="E6760" s="560"/>
      <c r="F6760" s="560"/>
      <c r="G6760" s="560">
        <f t="shared" si="144"/>
        <v>23952300</v>
      </c>
      <c r="H6760" s="362"/>
      <c r="I6760" s="362"/>
      <c r="J6760" s="362"/>
    </row>
    <row r="6761" spans="1:10" x14ac:dyDescent="0.25">
      <c r="A6761" s="530"/>
      <c r="B6761" s="530"/>
      <c r="C6761" s="530"/>
      <c r="D6761" s="562">
        <f>SUM(D6746:D6760)</f>
        <v>1758394551</v>
      </c>
      <c r="E6761" s="562">
        <f>SUM(E6746:E6760)</f>
        <v>387305611</v>
      </c>
      <c r="F6761" s="562">
        <f>SUM(F6746:F6760)</f>
        <v>0</v>
      </c>
      <c r="G6761" s="562">
        <f>SUM(G6746:G6760)</f>
        <v>2145700162</v>
      </c>
      <c r="H6761" s="530"/>
      <c r="I6761" s="530"/>
      <c r="J6761" s="530"/>
    </row>
    <row r="6762" spans="1:10" x14ac:dyDescent="0.25">
      <c r="A6762" s="362"/>
      <c r="B6762" s="609">
        <v>44541</v>
      </c>
      <c r="C6762" s="362" t="s">
        <v>86</v>
      </c>
      <c r="D6762" s="560">
        <v>39870305</v>
      </c>
      <c r="E6762" s="560">
        <v>22241320</v>
      </c>
      <c r="F6762" s="560"/>
      <c r="G6762" s="560">
        <f t="shared" si="144"/>
        <v>62111625</v>
      </c>
      <c r="H6762" s="362"/>
      <c r="I6762" s="362"/>
      <c r="J6762" s="362"/>
    </row>
    <row r="6763" spans="1:10" x14ac:dyDescent="0.25">
      <c r="A6763" s="362"/>
      <c r="B6763" s="609">
        <v>44541</v>
      </c>
      <c r="C6763" s="362" t="s">
        <v>87</v>
      </c>
      <c r="D6763" s="560">
        <v>75817609</v>
      </c>
      <c r="E6763" s="560">
        <v>85985001</v>
      </c>
      <c r="F6763" s="560"/>
      <c r="G6763" s="560">
        <f t="shared" si="144"/>
        <v>161802610</v>
      </c>
      <c r="H6763" s="362"/>
      <c r="I6763" s="362"/>
      <c r="J6763" s="362"/>
    </row>
    <row r="6764" spans="1:10" x14ac:dyDescent="0.25">
      <c r="A6764" s="362"/>
      <c r="B6764" s="609">
        <v>44541</v>
      </c>
      <c r="C6764" s="362" t="s">
        <v>88</v>
      </c>
      <c r="D6764" s="560">
        <v>84186973</v>
      </c>
      <c r="E6764" s="560">
        <v>36286442</v>
      </c>
      <c r="F6764" s="560"/>
      <c r="G6764" s="560">
        <f t="shared" si="144"/>
        <v>120473415</v>
      </c>
      <c r="H6764" s="362"/>
      <c r="I6764" s="362"/>
      <c r="J6764" s="362"/>
    </row>
    <row r="6765" spans="1:10" x14ac:dyDescent="0.25">
      <c r="A6765" s="362"/>
      <c r="B6765" s="609">
        <v>44541</v>
      </c>
      <c r="C6765" s="362" t="s">
        <v>82</v>
      </c>
      <c r="D6765" s="560">
        <v>54080056</v>
      </c>
      <c r="E6765" s="560">
        <v>2472980</v>
      </c>
      <c r="F6765" s="560"/>
      <c r="G6765" s="560">
        <f t="shared" si="144"/>
        <v>56553036</v>
      </c>
      <c r="H6765" s="362"/>
      <c r="I6765" s="362"/>
      <c r="J6765" s="362"/>
    </row>
    <row r="6766" spans="1:10" x14ac:dyDescent="0.25">
      <c r="A6766" s="362"/>
      <c r="B6766" s="609">
        <v>44541</v>
      </c>
      <c r="C6766" s="362" t="s">
        <v>80</v>
      </c>
      <c r="D6766" s="560">
        <v>311640330</v>
      </c>
      <c r="E6766" s="560">
        <v>1212369</v>
      </c>
      <c r="F6766" s="560"/>
      <c r="G6766" s="560">
        <f t="shared" si="144"/>
        <v>312852699</v>
      </c>
      <c r="H6766" s="362"/>
      <c r="I6766" s="362"/>
      <c r="J6766" s="362"/>
    </row>
    <row r="6767" spans="1:10" x14ac:dyDescent="0.25">
      <c r="A6767" s="362"/>
      <c r="B6767" s="609">
        <v>44541</v>
      </c>
      <c r="C6767" s="362" t="s">
        <v>83</v>
      </c>
      <c r="D6767" s="560">
        <v>127447346</v>
      </c>
      <c r="E6767" s="560">
        <v>14460993</v>
      </c>
      <c r="F6767" s="560"/>
      <c r="G6767" s="560">
        <f t="shared" si="144"/>
        <v>141908339</v>
      </c>
      <c r="H6767" s="362"/>
      <c r="I6767" s="362"/>
      <c r="J6767" s="362"/>
    </row>
    <row r="6768" spans="1:10" x14ac:dyDescent="0.25">
      <c r="A6768" s="362"/>
      <c r="B6768" s="609">
        <v>44541</v>
      </c>
      <c r="C6768" s="362" t="s">
        <v>78</v>
      </c>
      <c r="D6768" s="560">
        <v>130625982</v>
      </c>
      <c r="E6768" s="560">
        <v>11057718</v>
      </c>
      <c r="F6768" s="560"/>
      <c r="G6768" s="560">
        <f t="shared" si="144"/>
        <v>141683700</v>
      </c>
      <c r="H6768" s="362"/>
      <c r="I6768" s="362"/>
      <c r="J6768" s="362"/>
    </row>
    <row r="6769" spans="1:10" x14ac:dyDescent="0.25">
      <c r="A6769" s="362"/>
      <c r="B6769" s="609">
        <v>44541</v>
      </c>
      <c r="C6769" s="362" t="s">
        <v>141</v>
      </c>
      <c r="D6769" s="560">
        <v>63273009</v>
      </c>
      <c r="E6769" s="560">
        <v>1207060</v>
      </c>
      <c r="F6769" s="560"/>
      <c r="G6769" s="560">
        <f t="shared" si="144"/>
        <v>64480069</v>
      </c>
      <c r="H6769" s="362"/>
      <c r="I6769" s="362"/>
      <c r="J6769" s="362"/>
    </row>
    <row r="6770" spans="1:10" x14ac:dyDescent="0.25">
      <c r="A6770" s="362"/>
      <c r="B6770" s="609">
        <v>44541</v>
      </c>
      <c r="C6770" s="362" t="s">
        <v>89</v>
      </c>
      <c r="D6770" s="560">
        <v>73840417</v>
      </c>
      <c r="E6770" s="560">
        <v>59130183</v>
      </c>
      <c r="F6770" s="560"/>
      <c r="G6770" s="560">
        <f t="shared" si="144"/>
        <v>132970600</v>
      </c>
      <c r="H6770" s="362"/>
      <c r="I6770" s="362"/>
      <c r="J6770" s="362"/>
    </row>
    <row r="6771" spans="1:10" x14ac:dyDescent="0.25">
      <c r="A6771" s="362"/>
      <c r="B6771" s="609">
        <v>44541</v>
      </c>
      <c r="C6771" s="362" t="s">
        <v>81</v>
      </c>
      <c r="D6771" s="560">
        <v>147686145</v>
      </c>
      <c r="E6771" s="560">
        <v>14075818</v>
      </c>
      <c r="F6771" s="560"/>
      <c r="G6771" s="560">
        <f t="shared" si="144"/>
        <v>161761963</v>
      </c>
      <c r="H6771" s="362"/>
      <c r="I6771" s="362"/>
      <c r="J6771" s="362"/>
    </row>
    <row r="6772" spans="1:10" x14ac:dyDescent="0.25">
      <c r="A6772" s="362"/>
      <c r="B6772" s="609">
        <v>44541</v>
      </c>
      <c r="C6772" s="362" t="s">
        <v>84</v>
      </c>
      <c r="D6772" s="560">
        <v>283145436</v>
      </c>
      <c r="E6772" s="560">
        <v>25733856</v>
      </c>
      <c r="F6772" s="560"/>
      <c r="G6772" s="560">
        <f t="shared" si="144"/>
        <v>308879292</v>
      </c>
      <c r="H6772" s="362"/>
      <c r="I6772" s="362"/>
      <c r="J6772" s="362"/>
    </row>
    <row r="6773" spans="1:10" x14ac:dyDescent="0.25">
      <c r="A6773" s="362"/>
      <c r="B6773" s="609">
        <v>44541</v>
      </c>
      <c r="C6773" s="362" t="s">
        <v>4751</v>
      </c>
      <c r="D6773" s="560">
        <v>246043497</v>
      </c>
      <c r="E6773" s="560">
        <v>16442503</v>
      </c>
      <c r="F6773" s="560"/>
      <c r="G6773" s="560">
        <f t="shared" si="144"/>
        <v>262486000</v>
      </c>
      <c r="H6773" s="362"/>
      <c r="I6773" s="362"/>
      <c r="J6773" s="362"/>
    </row>
    <row r="6774" spans="1:10" x14ac:dyDescent="0.25">
      <c r="A6774" s="362"/>
      <c r="B6774" s="609">
        <v>44541</v>
      </c>
      <c r="C6774" s="362" t="s">
        <v>166</v>
      </c>
      <c r="D6774" s="560"/>
      <c r="E6774" s="560"/>
      <c r="F6774" s="560"/>
      <c r="G6774" s="560">
        <f t="shared" si="144"/>
        <v>0</v>
      </c>
      <c r="H6774" s="362"/>
      <c r="I6774" s="362"/>
      <c r="J6774" s="362"/>
    </row>
    <row r="6775" spans="1:10" x14ac:dyDescent="0.25">
      <c r="A6775" s="362"/>
      <c r="B6775" s="609">
        <v>44541</v>
      </c>
      <c r="C6775" s="362" t="s">
        <v>3435</v>
      </c>
      <c r="D6775" s="560"/>
      <c r="E6775" s="560"/>
      <c r="F6775" s="560"/>
      <c r="G6775" s="560">
        <f t="shared" si="144"/>
        <v>0</v>
      </c>
      <c r="H6775" s="362"/>
      <c r="I6775" s="362"/>
      <c r="J6775" s="362"/>
    </row>
    <row r="6776" spans="1:10" x14ac:dyDescent="0.25">
      <c r="A6776" s="362"/>
      <c r="B6776" s="609">
        <v>44541</v>
      </c>
      <c r="C6776" s="370" t="s">
        <v>85</v>
      </c>
      <c r="D6776" s="560">
        <v>35447800</v>
      </c>
      <c r="E6776" s="560"/>
      <c r="F6776" s="560"/>
      <c r="G6776" s="560">
        <f t="shared" si="144"/>
        <v>35447800</v>
      </c>
      <c r="H6776" s="362"/>
      <c r="I6776" s="362"/>
      <c r="J6776" s="362"/>
    </row>
    <row r="6777" spans="1:10" x14ac:dyDescent="0.25">
      <c r="A6777" s="530"/>
      <c r="B6777" s="530"/>
      <c r="C6777" s="530"/>
      <c r="D6777" s="562">
        <f>SUM(D6762:D6776)</f>
        <v>1673104905</v>
      </c>
      <c r="E6777" s="562">
        <f>SUM(E6762:E6776)</f>
        <v>290306243</v>
      </c>
      <c r="F6777" s="562">
        <f>SUM(F6762:F6776)</f>
        <v>0</v>
      </c>
      <c r="G6777" s="562">
        <f>SUM(G6762:G6776)</f>
        <v>1963411148</v>
      </c>
      <c r="H6777" s="530"/>
      <c r="I6777" s="530"/>
      <c r="J6777" s="530"/>
    </row>
    <row r="6778" spans="1:10" x14ac:dyDescent="0.25">
      <c r="A6778" s="362"/>
      <c r="B6778" s="609">
        <v>44543</v>
      </c>
      <c r="C6778" s="362" t="s">
        <v>86</v>
      </c>
      <c r="D6778" s="560">
        <v>66506248</v>
      </c>
      <c r="E6778" s="560">
        <v>27052440</v>
      </c>
      <c r="F6778" s="560"/>
      <c r="G6778" s="560">
        <f t="shared" si="144"/>
        <v>93558688</v>
      </c>
      <c r="H6778" s="362"/>
      <c r="I6778" s="362"/>
      <c r="J6778" s="362"/>
    </row>
    <row r="6779" spans="1:10" x14ac:dyDescent="0.25">
      <c r="A6779" s="362"/>
      <c r="B6779" s="609">
        <v>44543</v>
      </c>
      <c r="C6779" s="362" t="s">
        <v>87</v>
      </c>
      <c r="D6779" s="560">
        <v>74800285</v>
      </c>
      <c r="E6779" s="560">
        <v>134203229</v>
      </c>
      <c r="F6779" s="560"/>
      <c r="G6779" s="560">
        <f t="shared" si="144"/>
        <v>209003514</v>
      </c>
      <c r="H6779" s="362"/>
      <c r="I6779" s="362"/>
      <c r="J6779" s="362"/>
    </row>
    <row r="6780" spans="1:10" x14ac:dyDescent="0.25">
      <c r="A6780" s="362"/>
      <c r="B6780" s="609">
        <v>44543</v>
      </c>
      <c r="C6780" s="362" t="s">
        <v>88</v>
      </c>
      <c r="D6780" s="560">
        <v>118928333</v>
      </c>
      <c r="E6780" s="560">
        <v>59495064</v>
      </c>
      <c r="F6780" s="560"/>
      <c r="G6780" s="560">
        <f t="shared" si="144"/>
        <v>178423397</v>
      </c>
      <c r="H6780" s="362"/>
      <c r="I6780" s="362"/>
      <c r="J6780" s="362"/>
    </row>
    <row r="6781" spans="1:10" x14ac:dyDescent="0.25">
      <c r="A6781" s="362"/>
      <c r="B6781" s="609">
        <v>44543</v>
      </c>
      <c r="C6781" s="362" t="s">
        <v>82</v>
      </c>
      <c r="D6781" s="560">
        <v>49749271</v>
      </c>
      <c r="E6781" s="560">
        <v>32366020</v>
      </c>
      <c r="F6781" s="560"/>
      <c r="G6781" s="560">
        <f t="shared" si="144"/>
        <v>82115291</v>
      </c>
      <c r="H6781" s="362"/>
      <c r="I6781" s="362"/>
      <c r="J6781" s="362"/>
    </row>
    <row r="6782" spans="1:10" x14ac:dyDescent="0.25">
      <c r="A6782" s="362"/>
      <c r="B6782" s="609">
        <v>44543</v>
      </c>
      <c r="C6782" s="362" t="s">
        <v>80</v>
      </c>
      <c r="D6782" s="560">
        <v>207619185</v>
      </c>
      <c r="E6782" s="560"/>
      <c r="F6782" s="560"/>
      <c r="G6782" s="560">
        <f t="shared" si="144"/>
        <v>207619185</v>
      </c>
      <c r="H6782" s="362"/>
      <c r="I6782" s="362"/>
      <c r="J6782" s="362"/>
    </row>
    <row r="6783" spans="1:10" x14ac:dyDescent="0.25">
      <c r="A6783" s="362"/>
      <c r="B6783" s="609">
        <v>44543</v>
      </c>
      <c r="C6783" s="362" t="s">
        <v>83</v>
      </c>
      <c r="D6783" s="560">
        <v>199228056</v>
      </c>
      <c r="E6783" s="560">
        <v>12741435</v>
      </c>
      <c r="F6783" s="560"/>
      <c r="G6783" s="560">
        <f t="shared" si="144"/>
        <v>211969491</v>
      </c>
      <c r="H6783" s="362"/>
      <c r="I6783" s="362"/>
      <c r="J6783" s="362"/>
    </row>
    <row r="6784" spans="1:10" x14ac:dyDescent="0.25">
      <c r="A6784" s="362"/>
      <c r="B6784" s="609">
        <v>44543</v>
      </c>
      <c r="C6784" s="362" t="s">
        <v>78</v>
      </c>
      <c r="D6784" s="560">
        <v>72257451</v>
      </c>
      <c r="E6784" s="560">
        <v>287149</v>
      </c>
      <c r="F6784" s="560"/>
      <c r="G6784" s="560">
        <f t="shared" si="144"/>
        <v>72544600</v>
      </c>
      <c r="H6784" s="362"/>
      <c r="I6784" s="362"/>
      <c r="J6784" s="362"/>
    </row>
    <row r="6785" spans="1:10" x14ac:dyDescent="0.25">
      <c r="A6785" s="362"/>
      <c r="B6785" s="609">
        <v>44543</v>
      </c>
      <c r="C6785" s="362" t="s">
        <v>141</v>
      </c>
      <c r="D6785" s="560">
        <v>46511762</v>
      </c>
      <c r="E6785" s="560"/>
      <c r="F6785" s="560"/>
      <c r="G6785" s="560">
        <f t="shared" si="144"/>
        <v>46511762</v>
      </c>
      <c r="H6785" s="362"/>
      <c r="I6785" s="362"/>
      <c r="J6785" s="362"/>
    </row>
    <row r="6786" spans="1:10" x14ac:dyDescent="0.25">
      <c r="A6786" s="362"/>
      <c r="B6786" s="609">
        <v>44543</v>
      </c>
      <c r="C6786" s="362" t="s">
        <v>89</v>
      </c>
      <c r="D6786" s="560">
        <v>109400338</v>
      </c>
      <c r="E6786" s="560">
        <v>9316862</v>
      </c>
      <c r="F6786" s="560"/>
      <c r="G6786" s="560">
        <f t="shared" si="144"/>
        <v>118717200</v>
      </c>
      <c r="H6786" s="362"/>
      <c r="I6786" s="362"/>
      <c r="J6786" s="362"/>
    </row>
    <row r="6787" spans="1:10" x14ac:dyDescent="0.25">
      <c r="A6787" s="362"/>
      <c r="B6787" s="609">
        <v>44543</v>
      </c>
      <c r="C6787" s="362" t="s">
        <v>81</v>
      </c>
      <c r="D6787" s="560">
        <v>76138863</v>
      </c>
      <c r="E6787" s="560">
        <v>46706888</v>
      </c>
      <c r="F6787" s="560"/>
      <c r="G6787" s="560">
        <f t="shared" si="144"/>
        <v>122845751</v>
      </c>
      <c r="H6787" s="362"/>
      <c r="I6787" s="362"/>
      <c r="J6787" s="362"/>
    </row>
    <row r="6788" spans="1:10" x14ac:dyDescent="0.25">
      <c r="A6788" s="362"/>
      <c r="B6788" s="609">
        <v>44543</v>
      </c>
      <c r="C6788" s="362" t="s">
        <v>84</v>
      </c>
      <c r="D6788" s="560">
        <v>246319038</v>
      </c>
      <c r="E6788" s="560">
        <v>12865256</v>
      </c>
      <c r="F6788" s="560"/>
      <c r="G6788" s="560">
        <f t="shared" si="144"/>
        <v>259184294</v>
      </c>
      <c r="H6788" s="362"/>
      <c r="I6788" s="362"/>
      <c r="J6788" s="362"/>
    </row>
    <row r="6789" spans="1:10" x14ac:dyDescent="0.25">
      <c r="A6789" s="362"/>
      <c r="B6789" s="609">
        <v>44543</v>
      </c>
      <c r="C6789" s="362" t="s">
        <v>4751</v>
      </c>
      <c r="D6789" s="560">
        <v>164184282</v>
      </c>
      <c r="E6789" s="560">
        <v>8707718</v>
      </c>
      <c r="F6789" s="560"/>
      <c r="G6789" s="560">
        <f t="shared" si="144"/>
        <v>172892000</v>
      </c>
      <c r="H6789" s="362"/>
      <c r="I6789" s="362"/>
      <c r="J6789" s="362"/>
    </row>
    <row r="6790" spans="1:10" x14ac:dyDescent="0.25">
      <c r="A6790" s="362"/>
      <c r="B6790" s="609">
        <v>44543</v>
      </c>
      <c r="C6790" s="362" t="s">
        <v>166</v>
      </c>
      <c r="D6790" s="560">
        <v>67188778</v>
      </c>
      <c r="E6790" s="560"/>
      <c r="F6790" s="560"/>
      <c r="G6790" s="560">
        <f t="shared" si="144"/>
        <v>67188778</v>
      </c>
      <c r="H6790" s="362"/>
      <c r="I6790" s="362"/>
      <c r="J6790" s="362"/>
    </row>
    <row r="6791" spans="1:10" x14ac:dyDescent="0.25">
      <c r="A6791" s="362"/>
      <c r="B6791" s="609">
        <v>44543</v>
      </c>
      <c r="C6791" s="362" t="s">
        <v>3435</v>
      </c>
      <c r="D6791" s="560">
        <v>28676124</v>
      </c>
      <c r="E6791" s="560"/>
      <c r="F6791" s="560"/>
      <c r="G6791" s="560">
        <f t="shared" si="144"/>
        <v>28676124</v>
      </c>
      <c r="H6791" s="362"/>
      <c r="I6791" s="362"/>
      <c r="J6791" s="362"/>
    </row>
    <row r="6792" spans="1:10" x14ac:dyDescent="0.25">
      <c r="A6792" s="362"/>
      <c r="B6792" s="609">
        <v>44543</v>
      </c>
      <c r="C6792" s="370" t="s">
        <v>85</v>
      </c>
      <c r="D6792" s="560">
        <v>44429700</v>
      </c>
      <c r="E6792" s="560"/>
      <c r="F6792" s="560"/>
      <c r="G6792" s="560">
        <f>D6792+E6792-F6792</f>
        <v>44429700</v>
      </c>
      <c r="H6792" s="362"/>
      <c r="I6792" s="362"/>
      <c r="J6792" s="362"/>
    </row>
    <row r="6793" spans="1:10" x14ac:dyDescent="0.25">
      <c r="A6793" s="530"/>
      <c r="B6793" s="530"/>
      <c r="C6793" s="530"/>
      <c r="D6793" s="630">
        <f>SUM(D6778:D6792)</f>
        <v>1571937714</v>
      </c>
      <c r="E6793" s="630">
        <f>SUM(E6778:E6792)</f>
        <v>343742061</v>
      </c>
      <c r="F6793" s="630">
        <f>SUM(F6778:F6792)</f>
        <v>0</v>
      </c>
      <c r="G6793" s="630">
        <f>SUM(G6778:G6792)</f>
        <v>1915679775</v>
      </c>
      <c r="H6793" s="530"/>
      <c r="I6793" s="530"/>
      <c r="J6793" s="530"/>
    </row>
    <row r="6794" spans="1:10" x14ac:dyDescent="0.25">
      <c r="A6794" s="362"/>
      <c r="B6794" s="609">
        <v>44544</v>
      </c>
      <c r="C6794" s="362" t="s">
        <v>86</v>
      </c>
      <c r="D6794" s="560">
        <v>117808285</v>
      </c>
      <c r="E6794" s="560">
        <v>25983940</v>
      </c>
      <c r="F6794" s="560"/>
      <c r="G6794" s="560">
        <f>D6794+E6794-F6794</f>
        <v>143792225</v>
      </c>
      <c r="H6794" s="362"/>
      <c r="I6794" s="362"/>
      <c r="J6794" s="362"/>
    </row>
    <row r="6795" spans="1:10" x14ac:dyDescent="0.25">
      <c r="A6795" s="362"/>
      <c r="B6795" s="609">
        <v>44544</v>
      </c>
      <c r="C6795" s="362" t="s">
        <v>87</v>
      </c>
      <c r="D6795" s="560">
        <v>65304905</v>
      </c>
      <c r="E6795" s="560">
        <v>121589316</v>
      </c>
      <c r="F6795" s="560"/>
      <c r="G6795" s="560">
        <f t="shared" ref="G6795:G6859" si="145">D6795+E6795-F6795</f>
        <v>186894221</v>
      </c>
      <c r="H6795" s="362"/>
      <c r="I6795" s="362"/>
      <c r="J6795" s="362"/>
    </row>
    <row r="6796" spans="1:10" x14ac:dyDescent="0.25">
      <c r="A6796" s="362"/>
      <c r="B6796" s="609">
        <v>44544</v>
      </c>
      <c r="C6796" s="362" t="s">
        <v>88</v>
      </c>
      <c r="D6796" s="560">
        <v>286327859</v>
      </c>
      <c r="E6796" s="560">
        <v>44367184</v>
      </c>
      <c r="F6796" s="560"/>
      <c r="G6796" s="560">
        <f t="shared" si="145"/>
        <v>330695043</v>
      </c>
      <c r="H6796" s="362"/>
      <c r="I6796" s="362"/>
      <c r="J6796" s="362"/>
    </row>
    <row r="6797" spans="1:10" x14ac:dyDescent="0.25">
      <c r="A6797" s="362"/>
      <c r="B6797" s="609">
        <v>44544</v>
      </c>
      <c r="C6797" s="362" t="s">
        <v>82</v>
      </c>
      <c r="D6797" s="560">
        <v>38478160</v>
      </c>
      <c r="E6797" s="560">
        <v>8181175</v>
      </c>
      <c r="F6797" s="560"/>
      <c r="G6797" s="560">
        <f t="shared" si="145"/>
        <v>46659335</v>
      </c>
      <c r="H6797" s="362"/>
      <c r="I6797" s="362"/>
      <c r="J6797" s="362"/>
    </row>
    <row r="6798" spans="1:10" x14ac:dyDescent="0.25">
      <c r="A6798" s="362"/>
      <c r="B6798" s="609">
        <v>44544</v>
      </c>
      <c r="C6798" s="362" t="s">
        <v>80</v>
      </c>
      <c r="D6798" s="560">
        <v>282174204</v>
      </c>
      <c r="E6798" s="560">
        <v>7432796</v>
      </c>
      <c r="F6798" s="560"/>
      <c r="G6798" s="560">
        <f t="shared" si="145"/>
        <v>289607000</v>
      </c>
      <c r="H6798" s="362"/>
      <c r="I6798" s="362"/>
      <c r="J6798" s="362"/>
    </row>
    <row r="6799" spans="1:10" x14ac:dyDescent="0.25">
      <c r="A6799" s="362"/>
      <c r="B6799" s="609">
        <v>44544</v>
      </c>
      <c r="C6799" s="362" t="s">
        <v>83</v>
      </c>
      <c r="D6799" s="560">
        <v>116858446</v>
      </c>
      <c r="E6799" s="560">
        <v>15412638</v>
      </c>
      <c r="F6799" s="560"/>
      <c r="G6799" s="560">
        <f t="shared" si="145"/>
        <v>132271084</v>
      </c>
      <c r="H6799" s="362"/>
      <c r="I6799" s="362"/>
      <c r="J6799" s="362"/>
    </row>
    <row r="6800" spans="1:10" x14ac:dyDescent="0.25">
      <c r="A6800" s="362"/>
      <c r="B6800" s="609">
        <v>44544</v>
      </c>
      <c r="C6800" s="362" t="s">
        <v>78</v>
      </c>
      <c r="D6800" s="560">
        <v>135078486</v>
      </c>
      <c r="E6800" s="560">
        <v>3118714</v>
      </c>
      <c r="F6800" s="560"/>
      <c r="G6800" s="560">
        <f t="shared" si="145"/>
        <v>138197200</v>
      </c>
      <c r="H6800" s="362"/>
      <c r="I6800" s="362"/>
      <c r="J6800" s="362"/>
    </row>
    <row r="6801" spans="1:10" x14ac:dyDescent="0.25">
      <c r="A6801" s="362"/>
      <c r="B6801" s="609">
        <v>44544</v>
      </c>
      <c r="C6801" s="362" t="s">
        <v>141</v>
      </c>
      <c r="D6801" s="560">
        <v>88901571</v>
      </c>
      <c r="E6801" s="560"/>
      <c r="F6801" s="560"/>
      <c r="G6801" s="560">
        <f t="shared" si="145"/>
        <v>88901571</v>
      </c>
      <c r="H6801" s="362"/>
      <c r="I6801" s="362"/>
      <c r="J6801" s="362"/>
    </row>
    <row r="6802" spans="1:10" x14ac:dyDescent="0.25">
      <c r="A6802" s="362"/>
      <c r="B6802" s="609">
        <v>44544</v>
      </c>
      <c r="C6802" s="362" t="s">
        <v>89</v>
      </c>
      <c r="D6802" s="560">
        <v>164500038</v>
      </c>
      <c r="E6802" s="560">
        <v>20636462</v>
      </c>
      <c r="F6802" s="560"/>
      <c r="G6802" s="560">
        <f t="shared" si="145"/>
        <v>185136500</v>
      </c>
      <c r="H6802" s="362"/>
      <c r="I6802" s="362"/>
      <c r="J6802" s="362"/>
    </row>
    <row r="6803" spans="1:10" x14ac:dyDescent="0.25">
      <c r="A6803" s="362"/>
      <c r="B6803" s="609">
        <v>44544</v>
      </c>
      <c r="C6803" s="362" t="s">
        <v>81</v>
      </c>
      <c r="D6803" s="560">
        <v>91958748</v>
      </c>
      <c r="E6803" s="560">
        <v>28270520</v>
      </c>
      <c r="F6803" s="560"/>
      <c r="G6803" s="560">
        <f t="shared" si="145"/>
        <v>120229268</v>
      </c>
      <c r="H6803" s="362"/>
      <c r="I6803" s="362"/>
      <c r="J6803" s="362"/>
    </row>
    <row r="6804" spans="1:10" x14ac:dyDescent="0.25">
      <c r="A6804" s="362"/>
      <c r="B6804" s="609">
        <v>44544</v>
      </c>
      <c r="C6804" s="362" t="s">
        <v>84</v>
      </c>
      <c r="D6804" s="560">
        <v>180282062</v>
      </c>
      <c r="E6804" s="560">
        <v>20436494</v>
      </c>
      <c r="F6804" s="560"/>
      <c r="G6804" s="560">
        <f t="shared" si="145"/>
        <v>200718556</v>
      </c>
      <c r="H6804" s="362"/>
      <c r="I6804" s="362"/>
      <c r="J6804" s="362"/>
    </row>
    <row r="6805" spans="1:10" x14ac:dyDescent="0.25">
      <c r="A6805" s="362"/>
      <c r="B6805" s="609">
        <v>44544</v>
      </c>
      <c r="C6805" s="362" t="s">
        <v>4751</v>
      </c>
      <c r="D6805" s="560">
        <v>190240875</v>
      </c>
      <c r="E6805" s="560">
        <v>13414925</v>
      </c>
      <c r="F6805" s="560"/>
      <c r="G6805" s="560">
        <f t="shared" si="145"/>
        <v>203655800</v>
      </c>
      <c r="H6805" s="362"/>
      <c r="I6805" s="362"/>
      <c r="J6805" s="362"/>
    </row>
    <row r="6806" spans="1:10" x14ac:dyDescent="0.25">
      <c r="A6806" s="362"/>
      <c r="B6806" s="609">
        <v>44544</v>
      </c>
      <c r="C6806" s="362" t="s">
        <v>166</v>
      </c>
      <c r="D6806" s="560">
        <v>74972585</v>
      </c>
      <c r="E6806" s="560"/>
      <c r="F6806" s="560"/>
      <c r="G6806" s="560">
        <f t="shared" si="145"/>
        <v>74972585</v>
      </c>
      <c r="H6806" s="362"/>
      <c r="I6806" s="362"/>
      <c r="J6806" s="362"/>
    </row>
    <row r="6807" spans="1:10" x14ac:dyDescent="0.25">
      <c r="A6807" s="362"/>
      <c r="B6807" s="609">
        <v>44544</v>
      </c>
      <c r="C6807" s="362" t="s">
        <v>3435</v>
      </c>
      <c r="D6807" s="560">
        <v>60491126</v>
      </c>
      <c r="E6807" s="560"/>
      <c r="F6807" s="560"/>
      <c r="G6807" s="560">
        <f t="shared" si="145"/>
        <v>60491126</v>
      </c>
      <c r="H6807" s="362"/>
      <c r="I6807" s="362"/>
      <c r="J6807" s="362"/>
    </row>
    <row r="6808" spans="1:10" x14ac:dyDescent="0.25">
      <c r="A6808" s="362"/>
      <c r="B6808" s="609">
        <v>44544</v>
      </c>
      <c r="C6808" s="370" t="s">
        <v>85</v>
      </c>
      <c r="D6808" s="560">
        <v>30954100</v>
      </c>
      <c r="E6808" s="560"/>
      <c r="F6808" s="560"/>
      <c r="G6808" s="560">
        <f t="shared" si="145"/>
        <v>30954100</v>
      </c>
      <c r="H6808" s="362"/>
      <c r="I6808" s="362"/>
      <c r="J6808" s="362"/>
    </row>
    <row r="6809" spans="1:10" x14ac:dyDescent="0.25">
      <c r="A6809" s="530"/>
      <c r="B6809" s="530"/>
      <c r="C6809" s="530"/>
      <c r="D6809" s="562">
        <f>SUM(D6794:D6808)</f>
        <v>1924331450</v>
      </c>
      <c r="E6809" s="562">
        <f>SUM(E6794:E6808)</f>
        <v>308844164</v>
      </c>
      <c r="F6809" s="562">
        <f>SUM(F6794:F6808)</f>
        <v>0</v>
      </c>
      <c r="G6809" s="562">
        <f>SUM(G6794:G6808)</f>
        <v>2233175614</v>
      </c>
      <c r="H6809" s="530"/>
      <c r="I6809" s="530"/>
      <c r="J6809" s="530"/>
    </row>
    <row r="6810" spans="1:10" x14ac:dyDescent="0.25">
      <c r="A6810" s="362"/>
      <c r="B6810" s="609">
        <v>44545</v>
      </c>
      <c r="C6810" s="362" t="s">
        <v>86</v>
      </c>
      <c r="D6810" s="560">
        <v>135432800</v>
      </c>
      <c r="E6810" s="560">
        <v>15953730</v>
      </c>
      <c r="F6810" s="560"/>
      <c r="G6810" s="560">
        <f t="shared" si="145"/>
        <v>151386530</v>
      </c>
      <c r="H6810" s="362"/>
      <c r="I6810" s="362"/>
      <c r="J6810" s="362"/>
    </row>
    <row r="6811" spans="1:10" x14ac:dyDescent="0.25">
      <c r="A6811" s="362"/>
      <c r="B6811" s="609">
        <v>44545</v>
      </c>
      <c r="C6811" s="362" t="s">
        <v>87</v>
      </c>
      <c r="D6811" s="560">
        <v>54342281</v>
      </c>
      <c r="E6811" s="560">
        <v>66336618</v>
      </c>
      <c r="F6811" s="560"/>
      <c r="G6811" s="560">
        <f t="shared" si="145"/>
        <v>120678899</v>
      </c>
      <c r="H6811" s="362"/>
      <c r="I6811" s="362"/>
      <c r="J6811" s="362"/>
    </row>
    <row r="6812" spans="1:10" x14ac:dyDescent="0.25">
      <c r="A6812" s="362"/>
      <c r="B6812" s="609">
        <v>44545</v>
      </c>
      <c r="C6812" s="362" t="s">
        <v>88</v>
      </c>
      <c r="D6812" s="560">
        <v>191885431</v>
      </c>
      <c r="E6812" s="560">
        <v>72625302</v>
      </c>
      <c r="F6812" s="560"/>
      <c r="G6812" s="560">
        <f t="shared" si="145"/>
        <v>264510733</v>
      </c>
      <c r="H6812" s="362"/>
      <c r="I6812" s="362"/>
      <c r="J6812" s="362"/>
    </row>
    <row r="6813" spans="1:10" x14ac:dyDescent="0.25">
      <c r="A6813" s="362"/>
      <c r="B6813" s="609">
        <v>44545</v>
      </c>
      <c r="C6813" s="362" t="s">
        <v>82</v>
      </c>
      <c r="D6813" s="560">
        <v>113903181</v>
      </c>
      <c r="E6813" s="560">
        <v>2379350</v>
      </c>
      <c r="F6813" s="560"/>
      <c r="G6813" s="560">
        <f t="shared" si="145"/>
        <v>116282531</v>
      </c>
      <c r="H6813" s="362"/>
      <c r="I6813" s="362"/>
      <c r="J6813" s="362"/>
    </row>
    <row r="6814" spans="1:10" x14ac:dyDescent="0.25">
      <c r="A6814" s="362"/>
      <c r="B6814" s="609">
        <v>44545</v>
      </c>
      <c r="C6814" s="362" t="s">
        <v>80</v>
      </c>
      <c r="D6814" s="560">
        <v>350858681</v>
      </c>
      <c r="E6814" s="560">
        <v>11596000</v>
      </c>
      <c r="F6814" s="560"/>
      <c r="G6814" s="560">
        <f t="shared" si="145"/>
        <v>362454681</v>
      </c>
      <c r="H6814" s="362"/>
      <c r="I6814" s="362"/>
      <c r="J6814" s="362"/>
    </row>
    <row r="6815" spans="1:10" x14ac:dyDescent="0.25">
      <c r="A6815" s="362"/>
      <c r="B6815" s="609">
        <v>44545</v>
      </c>
      <c r="C6815" s="362" t="s">
        <v>83</v>
      </c>
      <c r="D6815" s="560">
        <v>127826216</v>
      </c>
      <c r="E6815" s="560">
        <v>172535638</v>
      </c>
      <c r="F6815" s="560"/>
      <c r="G6815" s="560">
        <f t="shared" si="145"/>
        <v>300361854</v>
      </c>
      <c r="H6815" s="362"/>
      <c r="I6815" s="362"/>
      <c r="J6815" s="362"/>
    </row>
    <row r="6816" spans="1:10" x14ac:dyDescent="0.25">
      <c r="A6816" s="362"/>
      <c r="B6816" s="609">
        <v>44545</v>
      </c>
      <c r="C6816" s="362" t="s">
        <v>78</v>
      </c>
      <c r="D6816" s="560">
        <v>96025392</v>
      </c>
      <c r="E6816" s="560">
        <v>12758908</v>
      </c>
      <c r="F6816" s="560"/>
      <c r="G6816" s="560">
        <f t="shared" si="145"/>
        <v>108784300</v>
      </c>
      <c r="H6816" s="362"/>
      <c r="I6816" s="362"/>
      <c r="J6816" s="362"/>
    </row>
    <row r="6817" spans="1:10" x14ac:dyDescent="0.25">
      <c r="A6817" s="362"/>
      <c r="B6817" s="609">
        <v>44545</v>
      </c>
      <c r="C6817" s="362" t="s">
        <v>141</v>
      </c>
      <c r="D6817" s="560">
        <v>76679306</v>
      </c>
      <c r="E6817" s="560"/>
      <c r="F6817" s="560"/>
      <c r="G6817" s="560">
        <f t="shared" si="145"/>
        <v>76679306</v>
      </c>
      <c r="H6817" s="362"/>
      <c r="I6817" s="362"/>
      <c r="J6817" s="362"/>
    </row>
    <row r="6818" spans="1:10" x14ac:dyDescent="0.25">
      <c r="A6818" s="362"/>
      <c r="B6818" s="609">
        <v>44545</v>
      </c>
      <c r="C6818" s="362" t="s">
        <v>89</v>
      </c>
      <c r="D6818" s="560">
        <v>103942103</v>
      </c>
      <c r="E6818" s="560">
        <v>72649397</v>
      </c>
      <c r="F6818" s="560"/>
      <c r="G6818" s="560">
        <f t="shared" si="145"/>
        <v>176591500</v>
      </c>
      <c r="H6818" s="362"/>
      <c r="I6818" s="362"/>
      <c r="J6818" s="362"/>
    </row>
    <row r="6819" spans="1:10" x14ac:dyDescent="0.25">
      <c r="A6819" s="362"/>
      <c r="B6819" s="609">
        <v>44545</v>
      </c>
      <c r="C6819" s="362" t="s">
        <v>81</v>
      </c>
      <c r="D6819" s="560">
        <v>125439309</v>
      </c>
      <c r="E6819" s="560">
        <v>12177033</v>
      </c>
      <c r="F6819" s="560"/>
      <c r="G6819" s="560">
        <f t="shared" si="145"/>
        <v>137616342</v>
      </c>
      <c r="H6819" s="362"/>
      <c r="I6819" s="362"/>
      <c r="J6819" s="362"/>
    </row>
    <row r="6820" spans="1:10" x14ac:dyDescent="0.25">
      <c r="A6820" s="362"/>
      <c r="B6820" s="609">
        <v>44545</v>
      </c>
      <c r="C6820" s="362" t="s">
        <v>84</v>
      </c>
      <c r="D6820" s="560">
        <v>303622877</v>
      </c>
      <c r="E6820" s="560">
        <v>11249931</v>
      </c>
      <c r="F6820" s="560"/>
      <c r="G6820" s="560">
        <f t="shared" si="145"/>
        <v>314872808</v>
      </c>
      <c r="H6820" s="362"/>
      <c r="I6820" s="362"/>
      <c r="J6820" s="362"/>
    </row>
    <row r="6821" spans="1:10" x14ac:dyDescent="0.25">
      <c r="A6821" s="362"/>
      <c r="B6821" s="609">
        <v>44545</v>
      </c>
      <c r="C6821" s="362" t="s">
        <v>4751</v>
      </c>
      <c r="D6821" s="560">
        <v>187989333</v>
      </c>
      <c r="E6821" s="560">
        <v>6431467</v>
      </c>
      <c r="F6821" s="560"/>
      <c r="G6821" s="560">
        <f t="shared" si="145"/>
        <v>194420800</v>
      </c>
      <c r="H6821" s="362"/>
      <c r="I6821" s="362"/>
      <c r="J6821" s="362"/>
    </row>
    <row r="6822" spans="1:10" x14ac:dyDescent="0.25">
      <c r="A6822" s="362"/>
      <c r="B6822" s="609">
        <v>44545</v>
      </c>
      <c r="C6822" s="362" t="s">
        <v>166</v>
      </c>
      <c r="D6822" s="560">
        <v>62429857</v>
      </c>
      <c r="E6822" s="560"/>
      <c r="F6822" s="560"/>
      <c r="G6822" s="560">
        <f t="shared" si="145"/>
        <v>62429857</v>
      </c>
      <c r="H6822" s="362"/>
      <c r="I6822" s="362"/>
      <c r="J6822" s="362"/>
    </row>
    <row r="6823" spans="1:10" x14ac:dyDescent="0.25">
      <c r="A6823" s="362"/>
      <c r="B6823" s="609">
        <v>44545</v>
      </c>
      <c r="C6823" s="362" t="s">
        <v>3435</v>
      </c>
      <c r="D6823" s="560">
        <v>44533918</v>
      </c>
      <c r="E6823" s="560"/>
      <c r="F6823" s="560"/>
      <c r="G6823" s="560">
        <f t="shared" si="145"/>
        <v>44533918</v>
      </c>
      <c r="H6823" s="560"/>
      <c r="I6823" s="560"/>
      <c r="J6823" s="560"/>
    </row>
    <row r="6824" spans="1:10" x14ac:dyDescent="0.25">
      <c r="A6824" s="362"/>
      <c r="B6824" s="609">
        <v>44545</v>
      </c>
      <c r="C6824" s="370" t="s">
        <v>85</v>
      </c>
      <c r="D6824" s="560">
        <v>44842900</v>
      </c>
      <c r="E6824" s="560"/>
      <c r="F6824" s="560"/>
      <c r="G6824" s="560">
        <f t="shared" si="145"/>
        <v>44842900</v>
      </c>
      <c r="H6824" s="560"/>
      <c r="I6824" s="560"/>
      <c r="J6824" s="560"/>
    </row>
    <row r="6825" spans="1:10" x14ac:dyDescent="0.25">
      <c r="A6825" s="530"/>
      <c r="B6825" s="530"/>
      <c r="C6825" s="530"/>
      <c r="D6825" s="562">
        <f>SUM(D6810:D6824)</f>
        <v>2019753585</v>
      </c>
      <c r="E6825" s="562">
        <f>SUM(E6810:E6824)</f>
        <v>456693374</v>
      </c>
      <c r="F6825" s="562">
        <f>SUM(F6810:F6824)</f>
        <v>0</v>
      </c>
      <c r="G6825" s="562">
        <f>SUM(G6810:G6824)</f>
        <v>2476446959</v>
      </c>
      <c r="H6825" s="562"/>
      <c r="I6825" s="562"/>
      <c r="J6825" s="562"/>
    </row>
    <row r="6826" spans="1:10" x14ac:dyDescent="0.25">
      <c r="A6826" s="362"/>
      <c r="B6826" s="609">
        <v>44546</v>
      </c>
      <c r="C6826" s="362" t="s">
        <v>86</v>
      </c>
      <c r="D6826" s="560">
        <v>59093069</v>
      </c>
      <c r="E6826" s="560">
        <v>35302237</v>
      </c>
      <c r="F6826" s="560"/>
      <c r="G6826" s="560">
        <f t="shared" si="145"/>
        <v>94395306</v>
      </c>
      <c r="H6826" s="560"/>
      <c r="I6826" s="560"/>
      <c r="J6826" s="560"/>
    </row>
    <row r="6827" spans="1:10" x14ac:dyDescent="0.25">
      <c r="A6827" s="362"/>
      <c r="B6827" s="609">
        <v>44546</v>
      </c>
      <c r="C6827" s="362" t="s">
        <v>87</v>
      </c>
      <c r="D6827" s="560">
        <v>55695505</v>
      </c>
      <c r="E6827" s="560">
        <v>44417997</v>
      </c>
      <c r="F6827" s="560"/>
      <c r="G6827" s="560">
        <f t="shared" si="145"/>
        <v>100113502</v>
      </c>
      <c r="H6827" s="560"/>
      <c r="I6827" s="560"/>
      <c r="J6827" s="560"/>
    </row>
    <row r="6828" spans="1:10" x14ac:dyDescent="0.25">
      <c r="A6828" s="362"/>
      <c r="B6828" s="609">
        <v>44546</v>
      </c>
      <c r="C6828" s="362" t="s">
        <v>88</v>
      </c>
      <c r="D6828" s="560">
        <v>236661534</v>
      </c>
      <c r="E6828" s="560">
        <v>27687429</v>
      </c>
      <c r="F6828" s="560"/>
      <c r="G6828" s="560">
        <f t="shared" si="145"/>
        <v>264348963</v>
      </c>
      <c r="H6828" s="560"/>
      <c r="I6828" s="560"/>
      <c r="J6828" s="560"/>
    </row>
    <row r="6829" spans="1:10" x14ac:dyDescent="0.25">
      <c r="A6829" s="362"/>
      <c r="B6829" s="609">
        <v>44546</v>
      </c>
      <c r="C6829" s="362" t="s">
        <v>82</v>
      </c>
      <c r="D6829" s="560">
        <v>109032751</v>
      </c>
      <c r="E6829" s="560">
        <v>2879670</v>
      </c>
      <c r="F6829" s="560"/>
      <c r="G6829" s="560">
        <f t="shared" si="145"/>
        <v>111912421</v>
      </c>
      <c r="H6829" s="362"/>
      <c r="I6829" s="362"/>
      <c r="J6829" s="362"/>
    </row>
    <row r="6830" spans="1:10" x14ac:dyDescent="0.25">
      <c r="A6830" s="362"/>
      <c r="B6830" s="609">
        <v>44546</v>
      </c>
      <c r="C6830" s="362" t="s">
        <v>80</v>
      </c>
      <c r="D6830" s="560">
        <v>332778092</v>
      </c>
      <c r="E6830" s="560">
        <v>6702707</v>
      </c>
      <c r="F6830" s="560"/>
      <c r="G6830" s="560">
        <f t="shared" si="145"/>
        <v>339480799</v>
      </c>
      <c r="H6830" s="362"/>
      <c r="I6830" s="362"/>
      <c r="J6830" s="362"/>
    </row>
    <row r="6831" spans="1:10" x14ac:dyDescent="0.25">
      <c r="A6831" s="362"/>
      <c r="B6831" s="609">
        <v>44546</v>
      </c>
      <c r="C6831" s="362" t="s">
        <v>83</v>
      </c>
      <c r="D6831" s="560">
        <v>102440391</v>
      </c>
      <c r="E6831" s="560">
        <v>103684509</v>
      </c>
      <c r="F6831" s="560"/>
      <c r="G6831" s="560">
        <f t="shared" si="145"/>
        <v>206124900</v>
      </c>
      <c r="H6831" s="362"/>
      <c r="I6831" s="362"/>
      <c r="J6831" s="362"/>
    </row>
    <row r="6832" spans="1:10" x14ac:dyDescent="0.25">
      <c r="A6832" s="362"/>
      <c r="B6832" s="609">
        <v>44546</v>
      </c>
      <c r="C6832" s="362" t="s">
        <v>78</v>
      </c>
      <c r="D6832" s="560">
        <v>124651017</v>
      </c>
      <c r="E6832" s="560">
        <v>1509583</v>
      </c>
      <c r="F6832" s="560"/>
      <c r="G6832" s="560">
        <f t="shared" si="145"/>
        <v>126160600</v>
      </c>
      <c r="H6832" s="362"/>
      <c r="I6832" s="362"/>
      <c r="J6832" s="362"/>
    </row>
    <row r="6833" spans="1:10" x14ac:dyDescent="0.25">
      <c r="A6833" s="362"/>
      <c r="B6833" s="609">
        <v>44546</v>
      </c>
      <c r="C6833" s="362" t="s">
        <v>141</v>
      </c>
      <c r="D6833" s="560">
        <v>69888169</v>
      </c>
      <c r="E6833" s="560">
        <v>561800</v>
      </c>
      <c r="F6833" s="560"/>
      <c r="G6833" s="560">
        <f t="shared" si="145"/>
        <v>70449969</v>
      </c>
      <c r="H6833" s="362"/>
      <c r="I6833" s="362"/>
      <c r="J6833" s="362"/>
    </row>
    <row r="6834" spans="1:10" x14ac:dyDescent="0.25">
      <c r="A6834" s="362"/>
      <c r="B6834" s="609">
        <v>44546</v>
      </c>
      <c r="C6834" s="362" t="s">
        <v>89</v>
      </c>
      <c r="D6834" s="560">
        <v>151421385</v>
      </c>
      <c r="E6834" s="560">
        <v>31153615</v>
      </c>
      <c r="F6834" s="560"/>
      <c r="G6834" s="560">
        <f t="shared" si="145"/>
        <v>182575000</v>
      </c>
      <c r="H6834" s="362"/>
      <c r="I6834" s="362"/>
      <c r="J6834" s="362"/>
    </row>
    <row r="6835" spans="1:10" x14ac:dyDescent="0.25">
      <c r="A6835" s="362"/>
      <c r="B6835" s="609">
        <v>44546</v>
      </c>
      <c r="C6835" s="362" t="s">
        <v>81</v>
      </c>
      <c r="D6835" s="560">
        <v>79275063</v>
      </c>
      <c r="E6835" s="560">
        <v>9473581</v>
      </c>
      <c r="F6835" s="560"/>
      <c r="G6835" s="560">
        <f t="shared" si="145"/>
        <v>88748644</v>
      </c>
      <c r="H6835" s="362"/>
      <c r="I6835" s="362"/>
      <c r="J6835" s="362"/>
    </row>
    <row r="6836" spans="1:10" x14ac:dyDescent="0.25">
      <c r="A6836" s="362"/>
      <c r="B6836" s="609">
        <v>44546</v>
      </c>
      <c r="C6836" s="362" t="s">
        <v>84</v>
      </c>
      <c r="D6836" s="560">
        <v>261901898</v>
      </c>
      <c r="E6836" s="560">
        <v>14900269</v>
      </c>
      <c r="F6836" s="560"/>
      <c r="G6836" s="560">
        <f t="shared" si="145"/>
        <v>276802167</v>
      </c>
      <c r="H6836" s="362"/>
      <c r="I6836" s="362"/>
      <c r="J6836" s="362"/>
    </row>
    <row r="6837" spans="1:10" x14ac:dyDescent="0.25">
      <c r="A6837" s="362"/>
      <c r="B6837" s="609">
        <v>44546</v>
      </c>
      <c r="C6837" s="362" t="s">
        <v>4751</v>
      </c>
      <c r="D6837" s="560">
        <v>226912773</v>
      </c>
      <c r="E6837" s="560">
        <v>5698027</v>
      </c>
      <c r="F6837" s="560"/>
      <c r="G6837" s="560">
        <f t="shared" si="145"/>
        <v>232610800</v>
      </c>
      <c r="H6837" s="362"/>
      <c r="I6837" s="362"/>
      <c r="J6837" s="362"/>
    </row>
    <row r="6838" spans="1:10" x14ac:dyDescent="0.25">
      <c r="A6838" s="362"/>
      <c r="B6838" s="609">
        <v>44546</v>
      </c>
      <c r="C6838" s="362" t="s">
        <v>166</v>
      </c>
      <c r="D6838" s="560">
        <v>62640851</v>
      </c>
      <c r="E6838" s="560"/>
      <c r="F6838" s="560"/>
      <c r="G6838" s="560">
        <f t="shared" si="145"/>
        <v>62640851</v>
      </c>
      <c r="H6838" s="362"/>
      <c r="I6838" s="362"/>
      <c r="J6838" s="362"/>
    </row>
    <row r="6839" spans="1:10" x14ac:dyDescent="0.25">
      <c r="A6839" s="362"/>
      <c r="B6839" s="609">
        <v>44546</v>
      </c>
      <c r="C6839" s="362" t="s">
        <v>3435</v>
      </c>
      <c r="D6839" s="560">
        <v>59846766</v>
      </c>
      <c r="E6839" s="560"/>
      <c r="F6839" s="560"/>
      <c r="G6839" s="560">
        <f t="shared" si="145"/>
        <v>59846766</v>
      </c>
      <c r="H6839" s="362"/>
      <c r="I6839" s="362"/>
      <c r="J6839" s="362"/>
    </row>
    <row r="6840" spans="1:10" x14ac:dyDescent="0.25">
      <c r="A6840" s="362"/>
      <c r="B6840" s="609">
        <v>44546</v>
      </c>
      <c r="C6840" s="370" t="s">
        <v>85</v>
      </c>
      <c r="D6840" s="560">
        <v>30776800</v>
      </c>
      <c r="E6840" s="560"/>
      <c r="F6840" s="560"/>
      <c r="G6840" s="560">
        <f t="shared" si="145"/>
        <v>30776800</v>
      </c>
      <c r="H6840" s="362"/>
      <c r="I6840" s="362"/>
      <c r="J6840" s="362"/>
    </row>
    <row r="6841" spans="1:10" x14ac:dyDescent="0.25">
      <c r="A6841" s="530"/>
      <c r="B6841" s="530"/>
      <c r="C6841" s="530"/>
      <c r="D6841" s="562">
        <f>SUM(D6826:D6840)</f>
        <v>1963016064</v>
      </c>
      <c r="E6841" s="562">
        <f>SUM(E6826:E6840)</f>
        <v>283971424</v>
      </c>
      <c r="F6841" s="562">
        <f>SUM(F6826:F6840)</f>
        <v>0</v>
      </c>
      <c r="G6841" s="562">
        <f>SUM(G6826:G6840)</f>
        <v>2246987488</v>
      </c>
      <c r="H6841" s="530"/>
      <c r="I6841" s="530"/>
      <c r="J6841" s="530"/>
    </row>
    <row r="6842" spans="1:10" x14ac:dyDescent="0.25">
      <c r="A6842" s="362"/>
      <c r="B6842" s="609">
        <v>44547</v>
      </c>
      <c r="C6842" s="362" t="s">
        <v>86</v>
      </c>
      <c r="D6842" s="560">
        <v>39756299</v>
      </c>
      <c r="E6842" s="560">
        <v>34321904</v>
      </c>
      <c r="F6842" s="560">
        <v>74078200</v>
      </c>
      <c r="G6842" s="560">
        <f t="shared" si="145"/>
        <v>3</v>
      </c>
      <c r="H6842" s="362"/>
      <c r="I6842" s="362"/>
      <c r="J6842" s="362"/>
    </row>
    <row r="6843" spans="1:10" x14ac:dyDescent="0.25">
      <c r="A6843" s="362"/>
      <c r="B6843" s="609">
        <v>44547</v>
      </c>
      <c r="C6843" s="362" t="s">
        <v>87</v>
      </c>
      <c r="D6843" s="560">
        <v>100479532</v>
      </c>
      <c r="E6843" s="560">
        <v>72138414</v>
      </c>
      <c r="F6843" s="560">
        <v>172618000</v>
      </c>
      <c r="G6843" s="560">
        <f t="shared" si="145"/>
        <v>-54</v>
      </c>
      <c r="H6843" s="362"/>
      <c r="I6843" s="362"/>
      <c r="J6843" s="362"/>
    </row>
    <row r="6844" spans="1:10" x14ac:dyDescent="0.25">
      <c r="A6844" s="362"/>
      <c r="B6844" s="609">
        <v>44547</v>
      </c>
      <c r="C6844" s="362" t="s">
        <v>88</v>
      </c>
      <c r="D6844" s="560">
        <v>103099821</v>
      </c>
      <c r="E6844" s="560">
        <v>39358095</v>
      </c>
      <c r="F6844" s="560">
        <v>142458000</v>
      </c>
      <c r="G6844" s="560">
        <f t="shared" si="145"/>
        <v>-84</v>
      </c>
      <c r="H6844" s="362"/>
      <c r="I6844" s="362"/>
      <c r="J6844" s="362"/>
    </row>
    <row r="6845" spans="1:10" x14ac:dyDescent="0.25">
      <c r="A6845" s="362"/>
      <c r="B6845" s="609">
        <v>44547</v>
      </c>
      <c r="C6845" s="362" t="s">
        <v>82</v>
      </c>
      <c r="D6845" s="560">
        <v>152953612</v>
      </c>
      <c r="E6845" s="560">
        <v>3631540</v>
      </c>
      <c r="F6845" s="560">
        <v>156585200</v>
      </c>
      <c r="G6845" s="560">
        <f t="shared" si="145"/>
        <v>-48</v>
      </c>
      <c r="H6845" s="362"/>
      <c r="I6845" s="362"/>
      <c r="J6845" s="362"/>
    </row>
    <row r="6846" spans="1:10" x14ac:dyDescent="0.25">
      <c r="A6846" s="362"/>
      <c r="B6846" s="609">
        <v>44547</v>
      </c>
      <c r="C6846" s="362" t="s">
        <v>80</v>
      </c>
      <c r="D6846" s="560">
        <v>221972834</v>
      </c>
      <c r="E6846" s="560">
        <v>92044466</v>
      </c>
      <c r="F6846" s="560">
        <v>314017300</v>
      </c>
      <c r="G6846" s="560">
        <f t="shared" si="145"/>
        <v>0</v>
      </c>
      <c r="H6846" s="362"/>
      <c r="I6846" s="362"/>
      <c r="J6846" s="362"/>
    </row>
    <row r="6847" spans="1:10" x14ac:dyDescent="0.25">
      <c r="A6847" s="362"/>
      <c r="B6847" s="609">
        <v>44547</v>
      </c>
      <c r="C6847" s="362" t="s">
        <v>83</v>
      </c>
      <c r="D6847" s="560">
        <v>131877977</v>
      </c>
      <c r="E6847" s="560">
        <v>11933182</v>
      </c>
      <c r="F6847" s="560">
        <v>143811200</v>
      </c>
      <c r="G6847" s="560">
        <f t="shared" si="145"/>
        <v>-41</v>
      </c>
      <c r="H6847" s="362"/>
      <c r="I6847" s="362"/>
      <c r="J6847" s="362"/>
    </row>
    <row r="6848" spans="1:10" x14ac:dyDescent="0.25">
      <c r="A6848" s="362"/>
      <c r="B6848" s="609">
        <v>44547</v>
      </c>
      <c r="C6848" s="362" t="s">
        <v>78</v>
      </c>
      <c r="D6848" s="560">
        <v>116726381</v>
      </c>
      <c r="E6848" s="560">
        <v>3311219</v>
      </c>
      <c r="F6848" s="560">
        <v>120037600</v>
      </c>
      <c r="G6848" s="560">
        <f t="shared" si="145"/>
        <v>0</v>
      </c>
      <c r="H6848" s="362"/>
      <c r="I6848" s="362"/>
      <c r="J6848" s="362"/>
    </row>
    <row r="6849" spans="1:10" x14ac:dyDescent="0.25">
      <c r="A6849" s="362"/>
      <c r="B6849" s="609">
        <v>44547</v>
      </c>
      <c r="C6849" s="362" t="s">
        <v>141</v>
      </c>
      <c r="D6849" s="560">
        <v>72878976</v>
      </c>
      <c r="E6849" s="560">
        <v>307735</v>
      </c>
      <c r="F6849" s="560">
        <v>73186800</v>
      </c>
      <c r="G6849" s="560">
        <f t="shared" si="145"/>
        <v>-89</v>
      </c>
      <c r="H6849" s="362"/>
      <c r="I6849" s="362"/>
      <c r="J6849" s="362"/>
    </row>
    <row r="6850" spans="1:10" x14ac:dyDescent="0.25">
      <c r="A6850" s="362"/>
      <c r="B6850" s="609">
        <v>44547</v>
      </c>
      <c r="C6850" s="362" t="s">
        <v>89</v>
      </c>
      <c r="D6850" s="560">
        <v>130303436</v>
      </c>
      <c r="E6850" s="560">
        <v>23280264</v>
      </c>
      <c r="F6850" s="560">
        <v>153583700</v>
      </c>
      <c r="G6850" s="560">
        <f t="shared" si="145"/>
        <v>0</v>
      </c>
      <c r="H6850" s="362"/>
      <c r="I6850" s="362"/>
      <c r="J6850" s="362"/>
    </row>
    <row r="6851" spans="1:10" x14ac:dyDescent="0.25">
      <c r="A6851" s="362"/>
      <c r="B6851" s="609">
        <v>44547</v>
      </c>
      <c r="C6851" s="362" t="s">
        <v>81</v>
      </c>
      <c r="D6851" s="560">
        <v>56671743</v>
      </c>
      <c r="E6851" s="560">
        <v>9090867</v>
      </c>
      <c r="F6851" s="560">
        <v>65762600</v>
      </c>
      <c r="G6851" s="560">
        <f t="shared" si="145"/>
        <v>10</v>
      </c>
      <c r="H6851" s="362"/>
      <c r="I6851" s="362"/>
      <c r="J6851" s="362"/>
    </row>
    <row r="6852" spans="1:10" x14ac:dyDescent="0.25">
      <c r="A6852" s="362"/>
      <c r="B6852" s="609">
        <v>44547</v>
      </c>
      <c r="C6852" s="362" t="s">
        <v>84</v>
      </c>
      <c r="D6852" s="560">
        <v>309993291</v>
      </c>
      <c r="E6852" s="560">
        <v>42999104</v>
      </c>
      <c r="F6852" s="560">
        <v>352992400</v>
      </c>
      <c r="G6852" s="560">
        <f t="shared" si="145"/>
        <v>-5</v>
      </c>
      <c r="H6852" s="362"/>
      <c r="I6852" s="362"/>
      <c r="J6852" s="362"/>
    </row>
    <row r="6853" spans="1:10" x14ac:dyDescent="0.25">
      <c r="A6853" s="362"/>
      <c r="B6853" s="609">
        <v>44547</v>
      </c>
      <c r="C6853" s="362" t="s">
        <v>4751</v>
      </c>
      <c r="D6853" s="560">
        <v>197925553</v>
      </c>
      <c r="E6853" s="560">
        <v>17395047</v>
      </c>
      <c r="F6853" s="560">
        <v>215320600</v>
      </c>
      <c r="G6853" s="560">
        <f t="shared" si="145"/>
        <v>0</v>
      </c>
      <c r="H6853" s="362"/>
      <c r="I6853" s="362"/>
      <c r="J6853" s="362"/>
    </row>
    <row r="6854" spans="1:10" x14ac:dyDescent="0.25">
      <c r="A6854" s="362"/>
      <c r="B6854" s="609">
        <v>44547</v>
      </c>
      <c r="C6854" s="362" t="s">
        <v>166</v>
      </c>
      <c r="D6854" s="560">
        <v>50089619</v>
      </c>
      <c r="E6854" s="560"/>
      <c r="F6854" s="560">
        <v>50089700</v>
      </c>
      <c r="G6854" s="560">
        <f t="shared" si="145"/>
        <v>-81</v>
      </c>
      <c r="H6854" s="362"/>
      <c r="I6854" s="362"/>
      <c r="J6854" s="362"/>
    </row>
    <row r="6855" spans="1:10" x14ac:dyDescent="0.25">
      <c r="A6855" s="362"/>
      <c r="B6855" s="609">
        <v>44547</v>
      </c>
      <c r="C6855" s="362" t="s">
        <v>3435</v>
      </c>
      <c r="D6855" s="560">
        <v>80318345</v>
      </c>
      <c r="E6855" s="560"/>
      <c r="F6855" s="560">
        <v>80318400</v>
      </c>
      <c r="G6855" s="560">
        <f t="shared" si="145"/>
        <v>-55</v>
      </c>
      <c r="H6855" s="362"/>
      <c r="I6855" s="362"/>
      <c r="J6855" s="362"/>
    </row>
    <row r="6856" spans="1:10" x14ac:dyDescent="0.25">
      <c r="A6856" s="362"/>
      <c r="B6856" s="609">
        <v>44547</v>
      </c>
      <c r="C6856" s="370" t="s">
        <v>85</v>
      </c>
      <c r="D6856" s="560">
        <v>33732400</v>
      </c>
      <c r="E6856" s="560"/>
      <c r="F6856" s="560">
        <v>33732400</v>
      </c>
      <c r="G6856" s="560">
        <f t="shared" si="145"/>
        <v>0</v>
      </c>
      <c r="H6856" s="362"/>
      <c r="I6856" s="362"/>
      <c r="J6856" s="362"/>
    </row>
    <row r="6857" spans="1:10" x14ac:dyDescent="0.25">
      <c r="A6857" s="530"/>
      <c r="B6857" s="530"/>
      <c r="C6857" s="530"/>
      <c r="D6857" s="562">
        <f>SUM(D6842:D6856)</f>
        <v>1798779819</v>
      </c>
      <c r="E6857" s="562">
        <f>SUM(E6842:E6856)</f>
        <v>349811837</v>
      </c>
      <c r="F6857" s="562">
        <f>SUM(F6842:F6856)</f>
        <v>2148592100</v>
      </c>
      <c r="G6857" s="562">
        <f>SUM(G6842:G6856)</f>
        <v>-444</v>
      </c>
      <c r="H6857" s="530"/>
      <c r="I6857" s="530"/>
      <c r="J6857" s="530"/>
    </row>
    <row r="6858" spans="1:10" x14ac:dyDescent="0.25">
      <c r="A6858" s="362"/>
      <c r="B6858" s="609">
        <v>44548</v>
      </c>
      <c r="C6858" s="362" t="s">
        <v>86</v>
      </c>
      <c r="D6858" s="560">
        <v>39287375</v>
      </c>
      <c r="E6858" s="560">
        <v>99770120</v>
      </c>
      <c r="F6858" s="560"/>
      <c r="G6858" s="560">
        <f t="shared" si="145"/>
        <v>139057495</v>
      </c>
      <c r="H6858" s="362"/>
      <c r="I6858" s="362"/>
      <c r="J6858" s="362"/>
    </row>
    <row r="6859" spans="1:10" x14ac:dyDescent="0.25">
      <c r="A6859" s="362"/>
      <c r="B6859" s="609">
        <v>44548</v>
      </c>
      <c r="C6859" s="362" t="s">
        <v>87</v>
      </c>
      <c r="D6859" s="560">
        <v>40522383</v>
      </c>
      <c r="E6859" s="560">
        <v>121253677</v>
      </c>
      <c r="F6859" s="560"/>
      <c r="G6859" s="560">
        <f t="shared" si="145"/>
        <v>161776060</v>
      </c>
      <c r="H6859" s="362"/>
      <c r="I6859" s="362"/>
      <c r="J6859" s="362"/>
    </row>
    <row r="6860" spans="1:10" x14ac:dyDescent="0.25">
      <c r="A6860" s="362"/>
      <c r="B6860" s="609">
        <v>44548</v>
      </c>
      <c r="C6860" s="362" t="s">
        <v>88</v>
      </c>
      <c r="D6860" s="560">
        <v>85432282</v>
      </c>
      <c r="E6860" s="560">
        <v>19430659</v>
      </c>
      <c r="F6860" s="560"/>
      <c r="G6860" s="560">
        <f t="shared" ref="G6860:G6923" si="146">D6860+E6860-F6860</f>
        <v>104862941</v>
      </c>
      <c r="H6860" s="362"/>
      <c r="I6860" s="362"/>
      <c r="J6860" s="362"/>
    </row>
    <row r="6861" spans="1:10" x14ac:dyDescent="0.25">
      <c r="A6861" s="362"/>
      <c r="B6861" s="609">
        <v>44548</v>
      </c>
      <c r="C6861" s="362" t="s">
        <v>82</v>
      </c>
      <c r="D6861" s="560">
        <v>76179868</v>
      </c>
      <c r="E6861" s="560">
        <v>32611900</v>
      </c>
      <c r="F6861" s="560"/>
      <c r="G6861" s="560">
        <f t="shared" si="146"/>
        <v>108791768</v>
      </c>
      <c r="H6861" s="362"/>
      <c r="I6861" s="362"/>
      <c r="J6861" s="362"/>
    </row>
    <row r="6862" spans="1:10" x14ac:dyDescent="0.25">
      <c r="A6862" s="362"/>
      <c r="B6862" s="609">
        <v>44548</v>
      </c>
      <c r="C6862" s="362" t="s">
        <v>80</v>
      </c>
      <c r="D6862" s="560">
        <v>270864873</v>
      </c>
      <c r="E6862" s="560">
        <v>432555</v>
      </c>
      <c r="F6862" s="560"/>
      <c r="G6862" s="560">
        <f t="shared" si="146"/>
        <v>271297428</v>
      </c>
      <c r="H6862" s="362"/>
      <c r="I6862" s="362"/>
      <c r="J6862" s="362"/>
    </row>
    <row r="6863" spans="1:10" x14ac:dyDescent="0.25">
      <c r="A6863" s="362"/>
      <c r="B6863" s="609">
        <v>44548</v>
      </c>
      <c r="C6863" s="362" t="s">
        <v>83</v>
      </c>
      <c r="D6863" s="560">
        <v>116719026</v>
      </c>
      <c r="E6863" s="560">
        <v>18060654</v>
      </c>
      <c r="F6863" s="560"/>
      <c r="G6863" s="560">
        <f t="shared" si="146"/>
        <v>134779680</v>
      </c>
      <c r="H6863" s="362"/>
      <c r="I6863" s="362"/>
      <c r="J6863" s="362"/>
    </row>
    <row r="6864" spans="1:10" x14ac:dyDescent="0.25">
      <c r="A6864" s="362"/>
      <c r="B6864" s="609">
        <v>44548</v>
      </c>
      <c r="C6864" s="362" t="s">
        <v>78</v>
      </c>
      <c r="D6864" s="560">
        <v>145713508</v>
      </c>
      <c r="E6864" s="560">
        <v>10488492</v>
      </c>
      <c r="F6864" s="560"/>
      <c r="G6864" s="560">
        <f t="shared" si="146"/>
        <v>156202000</v>
      </c>
      <c r="H6864" s="362"/>
      <c r="I6864" s="362"/>
      <c r="J6864" s="362"/>
    </row>
    <row r="6865" spans="1:10" x14ac:dyDescent="0.25">
      <c r="A6865" s="362"/>
      <c r="B6865" s="609">
        <v>44548</v>
      </c>
      <c r="C6865" s="362" t="s">
        <v>141</v>
      </c>
      <c r="D6865" s="560">
        <v>66700360</v>
      </c>
      <c r="E6865" s="560"/>
      <c r="F6865" s="560"/>
      <c r="G6865" s="560">
        <f t="shared" si="146"/>
        <v>66700360</v>
      </c>
      <c r="H6865" s="362"/>
      <c r="I6865" s="362"/>
      <c r="J6865" s="362"/>
    </row>
    <row r="6866" spans="1:10" x14ac:dyDescent="0.25">
      <c r="A6866" s="362"/>
      <c r="B6866" s="609">
        <v>44548</v>
      </c>
      <c r="C6866" s="362" t="s">
        <v>89</v>
      </c>
      <c r="D6866" s="560">
        <v>126416783</v>
      </c>
      <c r="E6866" s="560">
        <v>38507117</v>
      </c>
      <c r="F6866" s="560"/>
      <c r="G6866" s="560">
        <f t="shared" si="146"/>
        <v>164923900</v>
      </c>
      <c r="H6866" s="362"/>
      <c r="I6866" s="362"/>
      <c r="J6866" s="362"/>
    </row>
    <row r="6867" spans="1:10" x14ac:dyDescent="0.25">
      <c r="A6867" s="362"/>
      <c r="B6867" s="609">
        <v>44548</v>
      </c>
      <c r="C6867" s="362" t="s">
        <v>81</v>
      </c>
      <c r="D6867" s="560">
        <v>99350995</v>
      </c>
      <c r="E6867" s="560">
        <v>50420918</v>
      </c>
      <c r="F6867" s="560"/>
      <c r="G6867" s="560">
        <f t="shared" si="146"/>
        <v>149771913</v>
      </c>
      <c r="H6867" s="362"/>
      <c r="I6867" s="362"/>
      <c r="J6867" s="362"/>
    </row>
    <row r="6868" spans="1:10" x14ac:dyDescent="0.25">
      <c r="A6868" s="362"/>
      <c r="B6868" s="609">
        <v>44548</v>
      </c>
      <c r="C6868" s="362" t="s">
        <v>84</v>
      </c>
      <c r="D6868" s="560">
        <v>226196866</v>
      </c>
      <c r="E6868" s="560">
        <v>16987927</v>
      </c>
      <c r="F6868" s="560"/>
      <c r="G6868" s="560">
        <f t="shared" si="146"/>
        <v>243184793</v>
      </c>
      <c r="H6868" s="362"/>
      <c r="I6868" s="362"/>
      <c r="J6868" s="362"/>
    </row>
    <row r="6869" spans="1:10" x14ac:dyDescent="0.25">
      <c r="A6869" s="362"/>
      <c r="B6869" s="609">
        <v>44548</v>
      </c>
      <c r="C6869" s="362" t="s">
        <v>4751</v>
      </c>
      <c r="D6869" s="560">
        <v>247625528</v>
      </c>
      <c r="E6869" s="560">
        <v>8106372</v>
      </c>
      <c r="F6869" s="560"/>
      <c r="G6869" s="560">
        <f t="shared" si="146"/>
        <v>255731900</v>
      </c>
      <c r="H6869" s="362"/>
      <c r="I6869" s="362"/>
      <c r="J6869" s="362"/>
    </row>
    <row r="6870" spans="1:10" x14ac:dyDescent="0.25">
      <c r="A6870" s="362"/>
      <c r="B6870" s="609">
        <v>44548</v>
      </c>
      <c r="C6870" s="362" t="s">
        <v>166</v>
      </c>
      <c r="D6870" s="560"/>
      <c r="E6870" s="560"/>
      <c r="F6870" s="560"/>
      <c r="G6870" s="560">
        <f t="shared" si="146"/>
        <v>0</v>
      </c>
      <c r="H6870" s="362"/>
      <c r="I6870" s="362"/>
      <c r="J6870" s="362"/>
    </row>
    <row r="6871" spans="1:10" x14ac:dyDescent="0.25">
      <c r="A6871" s="362"/>
      <c r="B6871" s="609">
        <v>44548</v>
      </c>
      <c r="C6871" s="362" t="s">
        <v>3435</v>
      </c>
      <c r="D6871" s="560"/>
      <c r="E6871" s="560"/>
      <c r="F6871" s="560"/>
      <c r="G6871" s="560">
        <f t="shared" si="146"/>
        <v>0</v>
      </c>
      <c r="H6871" s="362"/>
      <c r="I6871" s="362"/>
      <c r="J6871" s="362"/>
    </row>
    <row r="6872" spans="1:10" x14ac:dyDescent="0.25">
      <c r="A6872" s="362"/>
      <c r="B6872" s="609">
        <v>44548</v>
      </c>
      <c r="C6872" s="370" t="s">
        <v>85</v>
      </c>
      <c r="D6872" s="560">
        <v>25098600</v>
      </c>
      <c r="E6872" s="560"/>
      <c r="F6872" s="560"/>
      <c r="G6872" s="560">
        <f t="shared" si="146"/>
        <v>25098600</v>
      </c>
      <c r="H6872" s="362"/>
      <c r="I6872" s="362"/>
      <c r="J6872" s="362"/>
    </row>
    <row r="6873" spans="1:10" x14ac:dyDescent="0.25">
      <c r="A6873" s="530"/>
      <c r="B6873" s="530"/>
      <c r="C6873" s="530"/>
      <c r="D6873" s="562">
        <f>SUM(D6858:D6872)</f>
        <v>1566108447</v>
      </c>
      <c r="E6873" s="562">
        <f>SUM(E6858:E6872)</f>
        <v>416070391</v>
      </c>
      <c r="F6873" s="562">
        <f>SUM(F6858:F6872)</f>
        <v>0</v>
      </c>
      <c r="G6873" s="562">
        <f>SUM(G6858:G6872)</f>
        <v>1982178838</v>
      </c>
      <c r="H6873" s="530"/>
      <c r="I6873" s="530"/>
      <c r="J6873" s="530"/>
    </row>
    <row r="6874" spans="1:10" x14ac:dyDescent="0.25">
      <c r="A6874" s="362"/>
      <c r="B6874" s="609">
        <v>44550</v>
      </c>
      <c r="C6874" s="362" t="s">
        <v>86</v>
      </c>
      <c r="D6874" s="560">
        <v>58216174</v>
      </c>
      <c r="E6874" s="560">
        <v>14827200</v>
      </c>
      <c r="F6874" s="560">
        <v>73043500</v>
      </c>
      <c r="G6874" s="560">
        <f t="shared" si="146"/>
        <v>-126</v>
      </c>
      <c r="H6874" s="362"/>
      <c r="I6874" s="362"/>
      <c r="J6874" s="362"/>
    </row>
    <row r="6875" spans="1:10" x14ac:dyDescent="0.25">
      <c r="A6875" s="362"/>
      <c r="B6875" s="609">
        <v>44550</v>
      </c>
      <c r="C6875" s="362" t="s">
        <v>87</v>
      </c>
      <c r="D6875" s="560">
        <v>122940876</v>
      </c>
      <c r="E6875" s="560">
        <v>25388019</v>
      </c>
      <c r="F6875" s="560">
        <v>148328900</v>
      </c>
      <c r="G6875" s="560">
        <f t="shared" si="146"/>
        <v>-5</v>
      </c>
      <c r="H6875" s="362"/>
      <c r="I6875" s="362"/>
      <c r="J6875" s="362"/>
    </row>
    <row r="6876" spans="1:10" x14ac:dyDescent="0.25">
      <c r="A6876" s="362"/>
      <c r="B6876" s="609">
        <v>44550</v>
      </c>
      <c r="C6876" s="362" t="s">
        <v>88</v>
      </c>
      <c r="D6876" s="560">
        <v>239179438</v>
      </c>
      <c r="E6876" s="560">
        <v>39791074</v>
      </c>
      <c r="F6876" s="560">
        <v>278970800</v>
      </c>
      <c r="G6876" s="560">
        <f t="shared" si="146"/>
        <v>-288</v>
      </c>
      <c r="H6876" s="362"/>
      <c r="I6876" s="362"/>
      <c r="J6876" s="362"/>
    </row>
    <row r="6877" spans="1:10" x14ac:dyDescent="0.25">
      <c r="A6877" s="362"/>
      <c r="B6877" s="609">
        <v>44550</v>
      </c>
      <c r="C6877" s="362" t="s">
        <v>82</v>
      </c>
      <c r="D6877" s="560">
        <v>49915079</v>
      </c>
      <c r="E6877" s="560">
        <v>7006782</v>
      </c>
      <c r="F6877" s="560">
        <v>56946900</v>
      </c>
      <c r="G6877" s="560">
        <f t="shared" si="146"/>
        <v>-25039</v>
      </c>
      <c r="H6877" s="362"/>
      <c r="I6877" s="362"/>
      <c r="J6877" s="362"/>
    </row>
    <row r="6878" spans="1:10" x14ac:dyDescent="0.25">
      <c r="A6878" s="362"/>
      <c r="B6878" s="609">
        <v>44550</v>
      </c>
      <c r="C6878" s="362" t="s">
        <v>80</v>
      </c>
      <c r="D6878" s="560">
        <v>291894789</v>
      </c>
      <c r="E6878" s="560">
        <v>761909</v>
      </c>
      <c r="F6878" s="560">
        <v>292656700</v>
      </c>
      <c r="G6878" s="560">
        <f t="shared" si="146"/>
        <v>-2</v>
      </c>
      <c r="H6878" s="362"/>
      <c r="I6878" s="362"/>
      <c r="J6878" s="362"/>
    </row>
    <row r="6879" spans="1:10" x14ac:dyDescent="0.25">
      <c r="A6879" s="362"/>
      <c r="B6879" s="609">
        <v>44550</v>
      </c>
      <c r="C6879" s="362" t="s">
        <v>83</v>
      </c>
      <c r="D6879" s="560">
        <v>139653858</v>
      </c>
      <c r="E6879" s="560">
        <v>14425865</v>
      </c>
      <c r="F6879" s="560">
        <v>154079700</v>
      </c>
      <c r="G6879" s="560">
        <f t="shared" si="146"/>
        <v>23</v>
      </c>
      <c r="H6879" s="362"/>
      <c r="I6879" s="362"/>
      <c r="J6879" s="362"/>
    </row>
    <row r="6880" spans="1:10" x14ac:dyDescent="0.25">
      <c r="A6880" s="362"/>
      <c r="B6880" s="609">
        <v>44550</v>
      </c>
      <c r="C6880" s="362" t="s">
        <v>78</v>
      </c>
      <c r="D6880" s="560">
        <v>164478183</v>
      </c>
      <c r="E6880" s="560">
        <v>3511217</v>
      </c>
      <c r="F6880" s="560">
        <v>167989400</v>
      </c>
      <c r="G6880" s="560">
        <f t="shared" si="146"/>
        <v>0</v>
      </c>
      <c r="H6880" s="362"/>
      <c r="I6880" s="362"/>
      <c r="J6880" s="362"/>
    </row>
    <row r="6881" spans="1:10" x14ac:dyDescent="0.25">
      <c r="A6881" s="362"/>
      <c r="B6881" s="609">
        <v>44550</v>
      </c>
      <c r="C6881" s="362" t="s">
        <v>141</v>
      </c>
      <c r="D6881" s="560">
        <v>120654505</v>
      </c>
      <c r="E6881" s="560"/>
      <c r="F6881" s="560">
        <v>120654600</v>
      </c>
      <c r="G6881" s="560">
        <f t="shared" si="146"/>
        <v>-95</v>
      </c>
      <c r="H6881" s="362"/>
      <c r="I6881" s="362"/>
      <c r="J6881" s="362"/>
    </row>
    <row r="6882" spans="1:10" x14ac:dyDescent="0.25">
      <c r="A6882" s="362"/>
      <c r="B6882" s="609">
        <v>44550</v>
      </c>
      <c r="C6882" s="362" t="s">
        <v>89</v>
      </c>
      <c r="D6882" s="560">
        <v>165950182</v>
      </c>
      <c r="E6882" s="560">
        <v>19145418</v>
      </c>
      <c r="F6882" s="560">
        <v>185095600</v>
      </c>
      <c r="G6882" s="560">
        <f t="shared" si="146"/>
        <v>0</v>
      </c>
      <c r="H6882" s="362"/>
      <c r="I6882" s="362"/>
      <c r="J6882" s="362"/>
    </row>
    <row r="6883" spans="1:10" x14ac:dyDescent="0.25">
      <c r="A6883" s="362"/>
      <c r="B6883" s="609">
        <v>44550</v>
      </c>
      <c r="C6883" s="362" t="s">
        <v>81</v>
      </c>
      <c r="D6883" s="560">
        <v>153115449</v>
      </c>
      <c r="E6883" s="560">
        <v>82065108</v>
      </c>
      <c r="F6883" s="560">
        <v>235180600</v>
      </c>
      <c r="G6883" s="560">
        <f t="shared" si="146"/>
        <v>-43</v>
      </c>
      <c r="H6883" s="362"/>
      <c r="I6883" s="362"/>
      <c r="J6883" s="362"/>
    </row>
    <row r="6884" spans="1:10" x14ac:dyDescent="0.25">
      <c r="A6884" s="362"/>
      <c r="B6884" s="609">
        <v>44550</v>
      </c>
      <c r="C6884" s="362" t="s">
        <v>84</v>
      </c>
      <c r="D6884" s="560">
        <v>261332610</v>
      </c>
      <c r="E6884" s="560">
        <v>24065270</v>
      </c>
      <c r="F6884" s="560">
        <v>285397900</v>
      </c>
      <c r="G6884" s="560">
        <f t="shared" si="146"/>
        <v>-20</v>
      </c>
      <c r="H6884" s="362"/>
      <c r="I6884" s="362"/>
      <c r="J6884" s="362"/>
    </row>
    <row r="6885" spans="1:10" x14ac:dyDescent="0.25">
      <c r="A6885" s="362"/>
      <c r="B6885" s="609">
        <v>44550</v>
      </c>
      <c r="C6885" s="362" t="s">
        <v>4751</v>
      </c>
      <c r="D6885" s="560">
        <v>222374227</v>
      </c>
      <c r="E6885" s="560">
        <v>10973773</v>
      </c>
      <c r="F6885" s="560">
        <v>233348000</v>
      </c>
      <c r="G6885" s="560">
        <f t="shared" si="146"/>
        <v>0</v>
      </c>
      <c r="H6885" s="362"/>
      <c r="I6885" s="362"/>
      <c r="J6885" s="362"/>
    </row>
    <row r="6886" spans="1:10" x14ac:dyDescent="0.25">
      <c r="A6886" s="362"/>
      <c r="B6886" s="609">
        <v>44550</v>
      </c>
      <c r="C6886" s="362" t="s">
        <v>166</v>
      </c>
      <c r="D6886" s="560">
        <v>76599581</v>
      </c>
      <c r="E6886" s="560"/>
      <c r="F6886" s="560">
        <v>76599600</v>
      </c>
      <c r="G6886" s="560">
        <f t="shared" si="146"/>
        <v>-19</v>
      </c>
      <c r="H6886" s="362"/>
      <c r="I6886" s="362"/>
      <c r="J6886" s="362"/>
    </row>
    <row r="6887" spans="1:10" x14ac:dyDescent="0.25">
      <c r="A6887" s="362"/>
      <c r="B6887" s="609">
        <v>44550</v>
      </c>
      <c r="C6887" s="362" t="s">
        <v>3435</v>
      </c>
      <c r="D6887" s="560">
        <v>14377459</v>
      </c>
      <c r="E6887" s="560"/>
      <c r="F6887" s="560">
        <v>14377500</v>
      </c>
      <c r="G6887" s="560">
        <f t="shared" si="146"/>
        <v>-41</v>
      </c>
      <c r="H6887" s="362"/>
      <c r="I6887" s="362"/>
      <c r="J6887" s="362"/>
    </row>
    <row r="6888" spans="1:10" x14ac:dyDescent="0.25">
      <c r="A6888" s="362"/>
      <c r="B6888" s="609">
        <v>44550</v>
      </c>
      <c r="C6888" s="370" t="s">
        <v>85</v>
      </c>
      <c r="D6888" s="560">
        <v>64438300</v>
      </c>
      <c r="E6888" s="560"/>
      <c r="F6888" s="560">
        <v>64438300</v>
      </c>
      <c r="G6888" s="560">
        <f t="shared" si="146"/>
        <v>0</v>
      </c>
      <c r="H6888" s="362"/>
      <c r="I6888" s="362"/>
      <c r="J6888" s="362"/>
    </row>
    <row r="6889" spans="1:10" x14ac:dyDescent="0.25">
      <c r="A6889" s="530"/>
      <c r="B6889" s="530"/>
      <c r="C6889" s="530"/>
      <c r="D6889" s="562">
        <f>SUM(D6874:D6888)</f>
        <v>2145120710</v>
      </c>
      <c r="E6889" s="562">
        <f>SUM(E6874:E6888)</f>
        <v>241961635</v>
      </c>
      <c r="F6889" s="562">
        <f>SUM(F6874:F6888)</f>
        <v>2387108000</v>
      </c>
      <c r="G6889" s="562">
        <f>SUM(G6874:G6888)</f>
        <v>-25655</v>
      </c>
      <c r="H6889" s="530"/>
      <c r="I6889" s="530"/>
      <c r="J6889" s="530"/>
    </row>
    <row r="6890" spans="1:10" x14ac:dyDescent="0.25">
      <c r="A6890" s="362"/>
      <c r="B6890" s="609">
        <v>44551</v>
      </c>
      <c r="C6890" s="362" t="s">
        <v>86</v>
      </c>
      <c r="D6890" s="560">
        <v>69590176</v>
      </c>
      <c r="E6890" s="560">
        <v>121941850</v>
      </c>
      <c r="F6890" s="560"/>
      <c r="G6890" s="560">
        <f t="shared" si="146"/>
        <v>191532026</v>
      </c>
      <c r="H6890" s="362"/>
      <c r="I6890" s="362"/>
      <c r="J6890" s="362"/>
    </row>
    <row r="6891" spans="1:10" x14ac:dyDescent="0.25">
      <c r="A6891" s="362"/>
      <c r="B6891" s="609">
        <v>44551</v>
      </c>
      <c r="C6891" s="362" t="s">
        <v>87</v>
      </c>
      <c r="D6891" s="560">
        <v>79256807</v>
      </c>
      <c r="E6891" s="560">
        <v>63606580</v>
      </c>
      <c r="F6891" s="560"/>
      <c r="G6891" s="560">
        <f t="shared" si="146"/>
        <v>142863387</v>
      </c>
      <c r="H6891" s="362"/>
      <c r="I6891" s="362"/>
      <c r="J6891" s="362"/>
    </row>
    <row r="6892" spans="1:10" x14ac:dyDescent="0.25">
      <c r="A6892" s="362"/>
      <c r="B6892" s="609">
        <v>44551</v>
      </c>
      <c r="C6892" s="362" t="s">
        <v>88</v>
      </c>
      <c r="D6892" s="560">
        <v>149130686</v>
      </c>
      <c r="E6892" s="560">
        <v>43756704</v>
      </c>
      <c r="F6892" s="560"/>
      <c r="G6892" s="560">
        <f t="shared" si="146"/>
        <v>192887390</v>
      </c>
      <c r="H6892" s="362"/>
      <c r="I6892" s="362"/>
      <c r="J6892" s="362"/>
    </row>
    <row r="6893" spans="1:10" x14ac:dyDescent="0.25">
      <c r="A6893" s="362"/>
      <c r="B6893" s="609">
        <v>44551</v>
      </c>
      <c r="C6893" s="362" t="s">
        <v>82</v>
      </c>
      <c r="D6893" s="560">
        <v>65447518</v>
      </c>
      <c r="E6893" s="560"/>
      <c r="F6893" s="560"/>
      <c r="G6893" s="560">
        <f t="shared" si="146"/>
        <v>65447518</v>
      </c>
      <c r="H6893" s="362"/>
      <c r="I6893" s="362"/>
      <c r="J6893" s="362"/>
    </row>
    <row r="6894" spans="1:10" x14ac:dyDescent="0.25">
      <c r="A6894" s="362"/>
      <c r="B6894" s="609">
        <v>44551</v>
      </c>
      <c r="C6894" s="362" t="s">
        <v>80</v>
      </c>
      <c r="D6894" s="560">
        <v>262104494</v>
      </c>
      <c r="E6894" s="560">
        <v>139663091</v>
      </c>
      <c r="F6894" s="560"/>
      <c r="G6894" s="560">
        <f t="shared" si="146"/>
        <v>401767585</v>
      </c>
      <c r="H6894" s="362"/>
      <c r="I6894" s="362"/>
      <c r="J6894" s="362"/>
    </row>
    <row r="6895" spans="1:10" x14ac:dyDescent="0.25">
      <c r="A6895" s="362"/>
      <c r="B6895" s="609">
        <v>44551</v>
      </c>
      <c r="C6895" s="362" t="s">
        <v>83</v>
      </c>
      <c r="D6895" s="560">
        <v>153540859</v>
      </c>
      <c r="E6895" s="560">
        <v>203016214</v>
      </c>
      <c r="F6895" s="560"/>
      <c r="G6895" s="560">
        <f t="shared" si="146"/>
        <v>356557073</v>
      </c>
      <c r="H6895" s="362"/>
      <c r="I6895" s="362"/>
      <c r="J6895" s="362"/>
    </row>
    <row r="6896" spans="1:10" x14ac:dyDescent="0.25">
      <c r="A6896" s="362"/>
      <c r="B6896" s="609">
        <v>44551</v>
      </c>
      <c r="C6896" s="362" t="s">
        <v>78</v>
      </c>
      <c r="D6896" s="560">
        <v>133908929</v>
      </c>
      <c r="E6896" s="560">
        <v>2130571</v>
      </c>
      <c r="F6896" s="560"/>
      <c r="G6896" s="560">
        <f t="shared" si="146"/>
        <v>136039500</v>
      </c>
      <c r="H6896" s="362"/>
      <c r="I6896" s="362"/>
      <c r="J6896" s="362"/>
    </row>
    <row r="6897" spans="1:10" x14ac:dyDescent="0.25">
      <c r="A6897" s="362"/>
      <c r="B6897" s="609">
        <v>44551</v>
      </c>
      <c r="C6897" s="362" t="s">
        <v>141</v>
      </c>
      <c r="D6897" s="560">
        <v>91032926</v>
      </c>
      <c r="E6897" s="560">
        <v>437350</v>
      </c>
      <c r="F6897" s="560"/>
      <c r="G6897" s="560">
        <f t="shared" si="146"/>
        <v>91470276</v>
      </c>
      <c r="H6897" s="362"/>
      <c r="I6897" s="362"/>
      <c r="J6897" s="362"/>
    </row>
    <row r="6898" spans="1:10" x14ac:dyDescent="0.25">
      <c r="A6898" s="362"/>
      <c r="B6898" s="609">
        <v>44551</v>
      </c>
      <c r="C6898" s="362" t="s">
        <v>89</v>
      </c>
      <c r="D6898" s="560">
        <v>112023097</v>
      </c>
      <c r="E6898" s="560">
        <v>11937203</v>
      </c>
      <c r="F6898" s="560"/>
      <c r="G6898" s="560">
        <f t="shared" si="146"/>
        <v>123960300</v>
      </c>
      <c r="H6898" s="362"/>
      <c r="I6898" s="362"/>
      <c r="J6898" s="362"/>
    </row>
    <row r="6899" spans="1:10" x14ac:dyDescent="0.25">
      <c r="A6899" s="362"/>
      <c r="B6899" s="609">
        <v>44551</v>
      </c>
      <c r="C6899" s="362" t="s">
        <v>81</v>
      </c>
      <c r="D6899" s="560">
        <v>55475042</v>
      </c>
      <c r="E6899" s="560">
        <v>13632245</v>
      </c>
      <c r="F6899" s="560"/>
      <c r="G6899" s="560">
        <f t="shared" si="146"/>
        <v>69107287</v>
      </c>
      <c r="H6899" s="362"/>
      <c r="I6899" s="362"/>
      <c r="J6899" s="362"/>
    </row>
    <row r="6900" spans="1:10" x14ac:dyDescent="0.25">
      <c r="A6900" s="362"/>
      <c r="B6900" s="609">
        <v>44551</v>
      </c>
      <c r="C6900" s="362" t="s">
        <v>84</v>
      </c>
      <c r="D6900" s="560">
        <v>374159619</v>
      </c>
      <c r="E6900" s="560">
        <v>25193925</v>
      </c>
      <c r="F6900" s="560"/>
      <c r="G6900" s="560">
        <f t="shared" si="146"/>
        <v>399353544</v>
      </c>
      <c r="H6900" s="362"/>
      <c r="I6900" s="362"/>
      <c r="J6900" s="362"/>
    </row>
    <row r="6901" spans="1:10" x14ac:dyDescent="0.25">
      <c r="A6901" s="362"/>
      <c r="B6901" s="609">
        <v>44551</v>
      </c>
      <c r="C6901" s="362" t="s">
        <v>4751</v>
      </c>
      <c r="D6901" s="560">
        <v>232046400</v>
      </c>
      <c r="E6901" s="560">
        <v>10205200</v>
      </c>
      <c r="F6901" s="560"/>
      <c r="G6901" s="560">
        <f t="shared" si="146"/>
        <v>242251600</v>
      </c>
      <c r="H6901" s="362"/>
      <c r="I6901" s="362"/>
      <c r="J6901" s="362"/>
    </row>
    <row r="6902" spans="1:10" x14ac:dyDescent="0.25">
      <c r="A6902" s="362"/>
      <c r="B6902" s="609">
        <v>44551</v>
      </c>
      <c r="C6902" s="362" t="s">
        <v>166</v>
      </c>
      <c r="D6902" s="560">
        <v>116412611</v>
      </c>
      <c r="E6902" s="560"/>
      <c r="F6902" s="560"/>
      <c r="G6902" s="560">
        <f t="shared" si="146"/>
        <v>116412611</v>
      </c>
      <c r="H6902" s="362"/>
      <c r="I6902" s="362"/>
      <c r="J6902" s="362"/>
    </row>
    <row r="6903" spans="1:10" x14ac:dyDescent="0.25">
      <c r="A6903" s="362"/>
      <c r="B6903" s="609">
        <v>44551</v>
      </c>
      <c r="C6903" s="362" t="s">
        <v>3435</v>
      </c>
      <c r="D6903" s="560">
        <v>63671494</v>
      </c>
      <c r="E6903" s="560"/>
      <c r="F6903" s="560"/>
      <c r="G6903" s="560">
        <f t="shared" si="146"/>
        <v>63671494</v>
      </c>
      <c r="H6903" s="362"/>
      <c r="I6903" s="362"/>
      <c r="J6903" s="362"/>
    </row>
    <row r="6904" spans="1:10" x14ac:dyDescent="0.25">
      <c r="A6904" s="362"/>
      <c r="B6904" s="609">
        <v>44551</v>
      </c>
      <c r="C6904" s="370" t="s">
        <v>85</v>
      </c>
      <c r="D6904" s="560">
        <v>39250600</v>
      </c>
      <c r="E6904" s="560">
        <v>8662000</v>
      </c>
      <c r="F6904" s="560"/>
      <c r="G6904" s="560">
        <f t="shared" si="146"/>
        <v>47912600</v>
      </c>
      <c r="H6904" s="362"/>
      <c r="I6904" s="362"/>
      <c r="J6904" s="362"/>
    </row>
    <row r="6905" spans="1:10" x14ac:dyDescent="0.25">
      <c r="A6905" s="530"/>
      <c r="B6905" s="530"/>
      <c r="C6905" s="530"/>
      <c r="D6905" s="562">
        <f>SUM(D6890:D6904)</f>
        <v>1997051258</v>
      </c>
      <c r="E6905" s="562">
        <f>SUM(E6890:E6904)</f>
        <v>644182933</v>
      </c>
      <c r="F6905" s="562">
        <f>SUM(F6890:F6904)</f>
        <v>0</v>
      </c>
      <c r="G6905" s="562">
        <f>SUM(G6890:G6904)</f>
        <v>2641234191</v>
      </c>
      <c r="H6905" s="530"/>
      <c r="I6905" s="530"/>
      <c r="J6905" s="530"/>
    </row>
    <row r="6906" spans="1:10" x14ac:dyDescent="0.25">
      <c r="A6906" s="362"/>
      <c r="B6906" s="609">
        <v>44552</v>
      </c>
      <c r="C6906" s="362" t="s">
        <v>86</v>
      </c>
      <c r="D6906" s="560">
        <v>63306650</v>
      </c>
      <c r="E6906" s="560">
        <v>16859903</v>
      </c>
      <c r="F6906" s="560">
        <v>80166600</v>
      </c>
      <c r="G6906" s="560">
        <f t="shared" si="146"/>
        <v>-47</v>
      </c>
      <c r="H6906" s="362"/>
      <c r="I6906" s="362"/>
      <c r="J6906" s="362"/>
    </row>
    <row r="6907" spans="1:10" x14ac:dyDescent="0.25">
      <c r="A6907" s="362"/>
      <c r="B6907" s="609">
        <v>44552</v>
      </c>
      <c r="C6907" s="362" t="s">
        <v>87</v>
      </c>
      <c r="D6907" s="560">
        <v>114928360</v>
      </c>
      <c r="E6907" s="560">
        <v>37011106</v>
      </c>
      <c r="F6907" s="560">
        <v>151939600</v>
      </c>
      <c r="G6907" s="560">
        <f t="shared" si="146"/>
        <v>-134</v>
      </c>
      <c r="H6907" s="362"/>
      <c r="I6907" s="362"/>
      <c r="J6907" s="362"/>
    </row>
    <row r="6908" spans="1:10" x14ac:dyDescent="0.25">
      <c r="A6908" s="362"/>
      <c r="B6908" s="609">
        <v>44552</v>
      </c>
      <c r="C6908" s="362" t="s">
        <v>88</v>
      </c>
      <c r="D6908" s="560">
        <v>180768995</v>
      </c>
      <c r="E6908" s="560">
        <v>208820315</v>
      </c>
      <c r="F6908" s="560">
        <v>389589400</v>
      </c>
      <c r="G6908" s="560">
        <f t="shared" si="146"/>
        <v>-90</v>
      </c>
      <c r="H6908" s="362"/>
      <c r="I6908" s="362"/>
      <c r="J6908" s="362"/>
    </row>
    <row r="6909" spans="1:10" x14ac:dyDescent="0.25">
      <c r="A6909" s="362"/>
      <c r="B6909" s="609">
        <v>44552</v>
      </c>
      <c r="C6909" s="362" t="s">
        <v>82</v>
      </c>
      <c r="D6909" s="560">
        <v>81414301</v>
      </c>
      <c r="E6909" s="560">
        <v>6172199</v>
      </c>
      <c r="F6909" s="560">
        <v>87586500</v>
      </c>
      <c r="G6909" s="560">
        <f t="shared" si="146"/>
        <v>0</v>
      </c>
      <c r="H6909" s="362"/>
      <c r="I6909" s="362"/>
      <c r="J6909" s="362"/>
    </row>
    <row r="6910" spans="1:10" x14ac:dyDescent="0.25">
      <c r="A6910" s="362"/>
      <c r="B6910" s="609">
        <v>44552</v>
      </c>
      <c r="C6910" s="362" t="s">
        <v>80</v>
      </c>
      <c r="D6910" s="560">
        <v>290658681</v>
      </c>
      <c r="E6910" s="560">
        <v>1112923</v>
      </c>
      <c r="F6910" s="560">
        <v>291768800</v>
      </c>
      <c r="G6910" s="560">
        <f t="shared" si="146"/>
        <v>2804</v>
      </c>
      <c r="H6910" s="362"/>
      <c r="I6910" s="362"/>
      <c r="J6910" s="362"/>
    </row>
    <row r="6911" spans="1:10" x14ac:dyDescent="0.25">
      <c r="A6911" s="362"/>
      <c r="B6911" s="609">
        <v>44552</v>
      </c>
      <c r="C6911" s="362" t="s">
        <v>83</v>
      </c>
      <c r="D6911" s="560">
        <v>271788635</v>
      </c>
      <c r="E6911" s="560">
        <v>20795653</v>
      </c>
      <c r="F6911" s="560">
        <v>292584300</v>
      </c>
      <c r="G6911" s="560">
        <f t="shared" si="146"/>
        <v>-12</v>
      </c>
      <c r="H6911" s="362"/>
      <c r="I6911" s="362"/>
      <c r="J6911" s="362"/>
    </row>
    <row r="6912" spans="1:10" x14ac:dyDescent="0.25">
      <c r="A6912" s="362"/>
      <c r="B6912" s="609">
        <v>44552</v>
      </c>
      <c r="C6912" s="362" t="s">
        <v>78</v>
      </c>
      <c r="D6912" s="560">
        <v>99997237</v>
      </c>
      <c r="E6912" s="560">
        <v>9089263</v>
      </c>
      <c r="F6912" s="560">
        <v>109086500</v>
      </c>
      <c r="G6912" s="560">
        <f t="shared" si="146"/>
        <v>0</v>
      </c>
      <c r="H6912" s="362"/>
      <c r="I6912" s="362"/>
      <c r="J6912" s="362"/>
    </row>
    <row r="6913" spans="1:10" x14ac:dyDescent="0.25">
      <c r="A6913" s="362"/>
      <c r="B6913" s="609">
        <v>44552</v>
      </c>
      <c r="C6913" s="362" t="s">
        <v>141</v>
      </c>
      <c r="D6913" s="560">
        <v>161818546</v>
      </c>
      <c r="E6913" s="560">
        <v>453900</v>
      </c>
      <c r="F6913" s="560">
        <v>162272500</v>
      </c>
      <c r="G6913" s="560">
        <f t="shared" si="146"/>
        <v>-54</v>
      </c>
      <c r="H6913" s="362"/>
      <c r="I6913" s="362"/>
      <c r="J6913" s="362"/>
    </row>
    <row r="6914" spans="1:10" x14ac:dyDescent="0.25">
      <c r="A6914" s="362"/>
      <c r="B6914" s="609">
        <v>44552</v>
      </c>
      <c r="C6914" s="362" t="s">
        <v>89</v>
      </c>
      <c r="D6914" s="560">
        <v>141437013</v>
      </c>
      <c r="E6914" s="560">
        <v>33517087</v>
      </c>
      <c r="F6914" s="560">
        <v>174954100</v>
      </c>
      <c r="G6914" s="560">
        <f t="shared" si="146"/>
        <v>0</v>
      </c>
      <c r="H6914" s="362"/>
      <c r="I6914" s="362"/>
      <c r="J6914" s="362"/>
    </row>
    <row r="6915" spans="1:10" x14ac:dyDescent="0.25">
      <c r="A6915" s="362"/>
      <c r="B6915" s="609">
        <v>44552</v>
      </c>
      <c r="C6915" s="362" t="s">
        <v>81</v>
      </c>
      <c r="D6915" s="560">
        <v>55946216</v>
      </c>
      <c r="E6915" s="560">
        <v>21332767</v>
      </c>
      <c r="F6915" s="560">
        <v>77279000</v>
      </c>
      <c r="G6915" s="560">
        <f t="shared" si="146"/>
        <v>-17</v>
      </c>
      <c r="H6915" s="362"/>
      <c r="I6915" s="362"/>
      <c r="J6915" s="362"/>
    </row>
    <row r="6916" spans="1:10" x14ac:dyDescent="0.25">
      <c r="A6916" s="362"/>
      <c r="B6916" s="609">
        <v>44552</v>
      </c>
      <c r="C6916" s="362" t="s">
        <v>84</v>
      </c>
      <c r="D6916" s="560">
        <v>333619029</v>
      </c>
      <c r="E6916" s="560">
        <v>10555236</v>
      </c>
      <c r="F6916" s="560">
        <v>344173600</v>
      </c>
      <c r="G6916" s="560">
        <f t="shared" si="146"/>
        <v>665</v>
      </c>
      <c r="H6916" s="362"/>
      <c r="I6916" s="362"/>
      <c r="J6916" s="362"/>
    </row>
    <row r="6917" spans="1:10" x14ac:dyDescent="0.25">
      <c r="A6917" s="362"/>
      <c r="B6917" s="609">
        <v>44552</v>
      </c>
      <c r="C6917" s="362" t="s">
        <v>4751</v>
      </c>
      <c r="D6917" s="560">
        <v>150527721</v>
      </c>
      <c r="E6917" s="560">
        <v>20315079</v>
      </c>
      <c r="F6917" s="560">
        <v>170842800</v>
      </c>
      <c r="G6917" s="560">
        <f t="shared" si="146"/>
        <v>0</v>
      </c>
      <c r="H6917" s="362"/>
      <c r="I6917" s="362"/>
      <c r="J6917" s="362"/>
    </row>
    <row r="6918" spans="1:10" x14ac:dyDescent="0.25">
      <c r="A6918" s="362"/>
      <c r="B6918" s="609">
        <v>44552</v>
      </c>
      <c r="C6918" s="362" t="s">
        <v>166</v>
      </c>
      <c r="D6918" s="560">
        <v>59236491</v>
      </c>
      <c r="E6918" s="560"/>
      <c r="F6918" s="560">
        <v>59236400</v>
      </c>
      <c r="G6918" s="560">
        <f t="shared" si="146"/>
        <v>91</v>
      </c>
      <c r="H6918" s="362"/>
      <c r="I6918" s="362"/>
      <c r="J6918" s="362"/>
    </row>
    <row r="6919" spans="1:10" x14ac:dyDescent="0.25">
      <c r="A6919" s="362"/>
      <c r="B6919" s="609">
        <v>44552</v>
      </c>
      <c r="C6919" s="362" t="s">
        <v>3435</v>
      </c>
      <c r="D6919" s="560">
        <v>37483862</v>
      </c>
      <c r="E6919" s="560"/>
      <c r="F6919" s="560">
        <v>37483900</v>
      </c>
      <c r="G6919" s="560">
        <f t="shared" si="146"/>
        <v>-38</v>
      </c>
      <c r="H6919" s="362"/>
      <c r="I6919" s="362"/>
      <c r="J6919" s="362"/>
    </row>
    <row r="6920" spans="1:10" x14ac:dyDescent="0.25">
      <c r="A6920" s="362"/>
      <c r="B6920" s="609">
        <v>44552</v>
      </c>
      <c r="C6920" s="370" t="s">
        <v>85</v>
      </c>
      <c r="D6920" s="560">
        <v>55163900</v>
      </c>
      <c r="E6920" s="560"/>
      <c r="F6920" s="560">
        <v>55163900</v>
      </c>
      <c r="G6920" s="560">
        <f t="shared" si="146"/>
        <v>0</v>
      </c>
      <c r="H6920" s="362"/>
      <c r="I6920" s="362"/>
      <c r="J6920" s="362"/>
    </row>
    <row r="6921" spans="1:10" x14ac:dyDescent="0.25">
      <c r="A6921" s="530"/>
      <c r="B6921" s="530"/>
      <c r="C6921" s="530"/>
      <c r="D6921" s="562">
        <f>SUM(D6906:D6920)</f>
        <v>2098095637</v>
      </c>
      <c r="E6921" s="562">
        <f>SUM(E6906:E6920)</f>
        <v>386035431</v>
      </c>
      <c r="F6921" s="562">
        <f>SUM(F6906:F6920)</f>
        <v>2484127900</v>
      </c>
      <c r="G6921" s="562">
        <f>SUM(G6906:G6920)</f>
        <v>3168</v>
      </c>
      <c r="H6921" s="530"/>
      <c r="I6921" s="530"/>
      <c r="J6921" s="530"/>
    </row>
    <row r="6922" spans="1:10" x14ac:dyDescent="0.25">
      <c r="A6922" s="362"/>
      <c r="B6922" s="609">
        <v>44553</v>
      </c>
      <c r="C6922" s="362" t="s">
        <v>86</v>
      </c>
      <c r="D6922" s="560">
        <v>132532273</v>
      </c>
      <c r="E6922" s="560">
        <v>33976290</v>
      </c>
      <c r="F6922" s="560"/>
      <c r="G6922" s="560">
        <f t="shared" si="146"/>
        <v>166508563</v>
      </c>
      <c r="H6922" s="362"/>
      <c r="I6922" s="362"/>
      <c r="J6922" s="362"/>
    </row>
    <row r="6923" spans="1:10" x14ac:dyDescent="0.25">
      <c r="A6923" s="362"/>
      <c r="B6923" s="609">
        <v>44553</v>
      </c>
      <c r="C6923" s="362" t="s">
        <v>87</v>
      </c>
      <c r="D6923" s="560">
        <v>59762689</v>
      </c>
      <c r="E6923" s="560">
        <v>64357991</v>
      </c>
      <c r="F6923" s="560"/>
      <c r="G6923" s="560">
        <f t="shared" si="146"/>
        <v>124120680</v>
      </c>
      <c r="H6923" s="362"/>
      <c r="I6923" s="362"/>
      <c r="J6923" s="362"/>
    </row>
    <row r="6924" spans="1:10" x14ac:dyDescent="0.25">
      <c r="A6924" s="362"/>
      <c r="B6924" s="609">
        <v>44553</v>
      </c>
      <c r="C6924" s="362" t="s">
        <v>88</v>
      </c>
      <c r="D6924" s="560">
        <v>178407674</v>
      </c>
      <c r="E6924" s="560">
        <v>16616805</v>
      </c>
      <c r="F6924" s="560"/>
      <c r="G6924" s="560">
        <f t="shared" ref="G6924:G6936" si="147">D6924+E6924-F6924</f>
        <v>195024479</v>
      </c>
      <c r="H6924" s="362"/>
      <c r="I6924" s="362"/>
      <c r="J6924" s="362"/>
    </row>
    <row r="6925" spans="1:10" x14ac:dyDescent="0.25">
      <c r="A6925" s="362"/>
      <c r="B6925" s="609">
        <v>44553</v>
      </c>
      <c r="C6925" s="362" t="s">
        <v>82</v>
      </c>
      <c r="D6925" s="560">
        <v>131152372</v>
      </c>
      <c r="E6925" s="560">
        <v>2508190</v>
      </c>
      <c r="F6925" s="560"/>
      <c r="G6925" s="560">
        <f t="shared" si="147"/>
        <v>133660562</v>
      </c>
      <c r="H6925" s="362"/>
      <c r="I6925" s="362"/>
      <c r="J6925" s="362"/>
    </row>
    <row r="6926" spans="1:10" x14ac:dyDescent="0.25">
      <c r="A6926" s="362"/>
      <c r="B6926" s="609">
        <v>44553</v>
      </c>
      <c r="C6926" s="362" t="s">
        <v>80</v>
      </c>
      <c r="D6926" s="560">
        <v>398110816</v>
      </c>
      <c r="E6926" s="560"/>
      <c r="F6926" s="560"/>
      <c r="G6926" s="560">
        <f t="shared" si="147"/>
        <v>398110816</v>
      </c>
      <c r="H6926" s="362"/>
      <c r="I6926" s="362"/>
      <c r="J6926" s="362"/>
    </row>
    <row r="6927" spans="1:10" x14ac:dyDescent="0.25">
      <c r="A6927" s="362"/>
      <c r="B6927" s="609">
        <v>44553</v>
      </c>
      <c r="C6927" s="362" t="s">
        <v>83</v>
      </c>
      <c r="D6927" s="560">
        <v>161876890</v>
      </c>
      <c r="E6927" s="560">
        <v>125660705</v>
      </c>
      <c r="F6927" s="560"/>
      <c r="G6927" s="560">
        <f t="shared" si="147"/>
        <v>287537595</v>
      </c>
      <c r="H6927" s="362"/>
      <c r="I6927" s="362"/>
      <c r="J6927" s="362"/>
    </row>
    <row r="6928" spans="1:10" x14ac:dyDescent="0.25">
      <c r="A6928" s="362"/>
      <c r="B6928" s="609">
        <v>44553</v>
      </c>
      <c r="C6928" s="362" t="s">
        <v>78</v>
      </c>
      <c r="D6928" s="560">
        <v>117575321</v>
      </c>
      <c r="E6928" s="560">
        <v>84479</v>
      </c>
      <c r="F6928" s="560"/>
      <c r="G6928" s="560">
        <f t="shared" si="147"/>
        <v>117659800</v>
      </c>
      <c r="H6928" s="362"/>
      <c r="I6928" s="362"/>
      <c r="J6928" s="362"/>
    </row>
    <row r="6929" spans="1:10" x14ac:dyDescent="0.25">
      <c r="A6929" s="362"/>
      <c r="B6929" s="609">
        <v>44553</v>
      </c>
      <c r="C6929" s="362" t="s">
        <v>141</v>
      </c>
      <c r="D6929" s="560">
        <v>101528779</v>
      </c>
      <c r="E6929" s="560">
        <v>831250</v>
      </c>
      <c r="F6929" s="560"/>
      <c r="G6929" s="560">
        <f t="shared" si="147"/>
        <v>102360029</v>
      </c>
      <c r="H6929" s="362"/>
      <c r="I6929" s="362"/>
      <c r="J6929" s="362"/>
    </row>
    <row r="6930" spans="1:10" x14ac:dyDescent="0.25">
      <c r="A6930" s="362"/>
      <c r="B6930" s="609">
        <v>44553</v>
      </c>
      <c r="C6930" s="362" t="s">
        <v>89</v>
      </c>
      <c r="D6930" s="560">
        <v>125405892</v>
      </c>
      <c r="E6930" s="560">
        <v>7985008</v>
      </c>
      <c r="F6930" s="560"/>
      <c r="G6930" s="560">
        <f t="shared" si="147"/>
        <v>133390900</v>
      </c>
      <c r="H6930" s="362"/>
      <c r="I6930" s="362"/>
      <c r="J6930" s="362"/>
    </row>
    <row r="6931" spans="1:10" x14ac:dyDescent="0.25">
      <c r="A6931" s="362"/>
      <c r="B6931" s="609">
        <v>44553</v>
      </c>
      <c r="C6931" s="362" t="s">
        <v>81</v>
      </c>
      <c r="D6931" s="560">
        <v>141085371</v>
      </c>
      <c r="E6931" s="560">
        <v>18601321</v>
      </c>
      <c r="F6931" s="560"/>
      <c r="G6931" s="560">
        <f t="shared" si="147"/>
        <v>159686692</v>
      </c>
      <c r="H6931" s="362"/>
      <c r="I6931" s="362"/>
      <c r="J6931" s="362"/>
    </row>
    <row r="6932" spans="1:10" x14ac:dyDescent="0.25">
      <c r="A6932" s="362"/>
      <c r="B6932" s="609">
        <v>44553</v>
      </c>
      <c r="C6932" s="362" t="s">
        <v>84</v>
      </c>
      <c r="D6932" s="560">
        <v>265635498</v>
      </c>
      <c r="E6932" s="560">
        <v>17626807</v>
      </c>
      <c r="F6932" s="560"/>
      <c r="G6932" s="560">
        <f t="shared" si="147"/>
        <v>283262305</v>
      </c>
      <c r="H6932" s="362"/>
      <c r="I6932" s="362"/>
      <c r="J6932" s="362"/>
    </row>
    <row r="6933" spans="1:10" x14ac:dyDescent="0.25">
      <c r="A6933" s="362"/>
      <c r="B6933" s="609">
        <v>44553</v>
      </c>
      <c r="C6933" s="362" t="s">
        <v>4751</v>
      </c>
      <c r="D6933" s="560">
        <v>198651424</v>
      </c>
      <c r="E6933" s="560">
        <v>11095176</v>
      </c>
      <c r="F6933" s="560"/>
      <c r="G6933" s="560">
        <f t="shared" si="147"/>
        <v>209746600</v>
      </c>
      <c r="H6933" s="362"/>
      <c r="I6933" s="362"/>
      <c r="J6933" s="362"/>
    </row>
    <row r="6934" spans="1:10" x14ac:dyDescent="0.25">
      <c r="A6934" s="362"/>
      <c r="B6934" s="609">
        <v>44553</v>
      </c>
      <c r="C6934" s="362" t="s">
        <v>166</v>
      </c>
      <c r="D6934" s="560">
        <v>94979502</v>
      </c>
      <c r="E6934" s="560"/>
      <c r="F6934" s="560"/>
      <c r="G6934" s="560">
        <f t="shared" si="147"/>
        <v>94979502</v>
      </c>
      <c r="H6934" s="362"/>
      <c r="I6934" s="362"/>
      <c r="J6934" s="362"/>
    </row>
    <row r="6935" spans="1:10" x14ac:dyDescent="0.25">
      <c r="A6935" s="362"/>
      <c r="B6935" s="609">
        <v>44553</v>
      </c>
      <c r="C6935" s="362" t="s">
        <v>3435</v>
      </c>
      <c r="D6935" s="560">
        <v>52922685</v>
      </c>
      <c r="E6935" s="560"/>
      <c r="F6935" s="560"/>
      <c r="G6935" s="560">
        <f t="shared" si="147"/>
        <v>52922685</v>
      </c>
      <c r="H6935" s="362"/>
      <c r="I6935" s="362"/>
      <c r="J6935" s="362"/>
    </row>
    <row r="6936" spans="1:10" x14ac:dyDescent="0.25">
      <c r="A6936" s="362"/>
      <c r="B6936" s="609">
        <v>44553</v>
      </c>
      <c r="C6936" s="370" t="s">
        <v>85</v>
      </c>
      <c r="D6936" s="560">
        <v>55163900</v>
      </c>
      <c r="E6936" s="560"/>
      <c r="F6936" s="560"/>
      <c r="G6936" s="560">
        <f t="shared" si="147"/>
        <v>55163900</v>
      </c>
      <c r="H6936" s="362"/>
      <c r="I6936" s="362"/>
      <c r="J6936" s="362"/>
    </row>
    <row r="6937" spans="1:10" x14ac:dyDescent="0.25">
      <c r="A6937" s="530"/>
      <c r="B6937" s="530"/>
      <c r="C6937" s="530"/>
      <c r="D6937" s="562">
        <f>SUM(D6922:D6936)</f>
        <v>2214791086</v>
      </c>
      <c r="E6937" s="562">
        <f>SUM(E6922:E6936)</f>
        <v>299344022</v>
      </c>
      <c r="F6937" s="562">
        <f>SUM(F6922:F6936)</f>
        <v>0</v>
      </c>
      <c r="G6937" s="562">
        <f>SUM(G6922:G6936)</f>
        <v>2514135108</v>
      </c>
      <c r="H6937" s="530"/>
      <c r="I6937" s="530"/>
      <c r="J6937" s="530"/>
    </row>
    <row r="6938" spans="1:10" x14ac:dyDescent="0.25">
      <c r="A6938" s="362"/>
      <c r="B6938" s="609">
        <v>44554</v>
      </c>
      <c r="C6938" s="362" t="s">
        <v>86</v>
      </c>
      <c r="D6938" s="560">
        <v>44248912</v>
      </c>
      <c r="E6938" s="560">
        <v>120575400</v>
      </c>
      <c r="F6938" s="560"/>
      <c r="G6938" s="560"/>
      <c r="H6938" s="362"/>
      <c r="I6938" s="362"/>
      <c r="J6938" s="362"/>
    </row>
    <row r="6939" spans="1:10" x14ac:dyDescent="0.25">
      <c r="A6939" s="362"/>
      <c r="B6939" s="609">
        <v>44554</v>
      </c>
      <c r="C6939" s="362" t="s">
        <v>87</v>
      </c>
      <c r="D6939" s="560"/>
      <c r="E6939" s="560"/>
      <c r="F6939" s="560"/>
      <c r="G6939" s="560"/>
      <c r="H6939" s="362"/>
      <c r="I6939" s="362"/>
      <c r="J6939" s="362"/>
    </row>
    <row r="6940" spans="1:10" x14ac:dyDescent="0.25">
      <c r="A6940" s="362"/>
      <c r="B6940" s="609">
        <v>44554</v>
      </c>
      <c r="C6940" s="362" t="s">
        <v>88</v>
      </c>
      <c r="D6940" s="560"/>
      <c r="E6940" s="560"/>
      <c r="F6940" s="560"/>
      <c r="G6940" s="560"/>
      <c r="H6940" s="362"/>
      <c r="I6940" s="362"/>
      <c r="J6940" s="362"/>
    </row>
    <row r="6941" spans="1:10" x14ac:dyDescent="0.25">
      <c r="A6941" s="362"/>
      <c r="B6941" s="609">
        <v>44554</v>
      </c>
      <c r="C6941" s="362" t="s">
        <v>82</v>
      </c>
      <c r="D6941" s="560"/>
      <c r="E6941" s="560"/>
      <c r="F6941" s="560"/>
      <c r="G6941" s="560"/>
      <c r="H6941" s="362"/>
      <c r="I6941" s="362"/>
      <c r="J6941" s="362"/>
    </row>
    <row r="6942" spans="1:10" x14ac:dyDescent="0.25">
      <c r="A6942" s="362"/>
      <c r="B6942" s="609">
        <v>44554</v>
      </c>
      <c r="C6942" s="362" t="s">
        <v>80</v>
      </c>
      <c r="D6942" s="560"/>
      <c r="E6942" s="560"/>
      <c r="F6942" s="560"/>
      <c r="G6942" s="560"/>
      <c r="H6942" s="362"/>
      <c r="I6942" s="362"/>
      <c r="J6942" s="362"/>
    </row>
    <row r="6943" spans="1:10" x14ac:dyDescent="0.25">
      <c r="A6943" s="362"/>
      <c r="B6943" s="609">
        <v>44554</v>
      </c>
      <c r="C6943" s="362" t="s">
        <v>83</v>
      </c>
      <c r="D6943" s="560"/>
      <c r="E6943" s="560"/>
      <c r="F6943" s="560"/>
      <c r="G6943" s="560"/>
      <c r="H6943" s="362"/>
      <c r="I6943" s="362"/>
      <c r="J6943" s="362"/>
    </row>
    <row r="6944" spans="1:10" x14ac:dyDescent="0.25">
      <c r="A6944" s="362"/>
      <c r="B6944" s="609">
        <v>44554</v>
      </c>
      <c r="C6944" s="362" t="s">
        <v>78</v>
      </c>
      <c r="D6944" s="560"/>
      <c r="E6944" s="560"/>
      <c r="F6944" s="560"/>
      <c r="G6944" s="560"/>
      <c r="H6944" s="362"/>
      <c r="I6944" s="362"/>
      <c r="J6944" s="362"/>
    </row>
    <row r="6945" spans="1:10" x14ac:dyDescent="0.25">
      <c r="A6945" s="362"/>
      <c r="B6945" s="609">
        <v>44554</v>
      </c>
      <c r="C6945" s="362" t="s">
        <v>141</v>
      </c>
      <c r="D6945" s="560"/>
      <c r="E6945" s="560"/>
      <c r="F6945" s="560"/>
      <c r="G6945" s="560"/>
      <c r="H6945" s="362"/>
      <c r="I6945" s="362"/>
      <c r="J6945" s="362"/>
    </row>
    <row r="6946" spans="1:10" x14ac:dyDescent="0.25">
      <c r="A6946" s="362"/>
      <c r="B6946" s="609">
        <v>44554</v>
      </c>
      <c r="C6946" s="362" t="s">
        <v>89</v>
      </c>
      <c r="D6946" s="560">
        <v>120713619</v>
      </c>
      <c r="E6946" s="560">
        <v>140573981</v>
      </c>
      <c r="F6946" s="560"/>
      <c r="G6946" s="560"/>
      <c r="H6946" s="362"/>
      <c r="I6946" s="362"/>
      <c r="J6946" s="362"/>
    </row>
    <row r="6947" spans="1:10" x14ac:dyDescent="0.25">
      <c r="A6947" s="362"/>
      <c r="B6947" s="609">
        <v>44554</v>
      </c>
      <c r="C6947" s="362" t="s">
        <v>81</v>
      </c>
      <c r="D6947" s="560"/>
      <c r="E6947" s="560"/>
      <c r="F6947" s="560"/>
      <c r="G6947" s="560"/>
      <c r="H6947" s="362"/>
      <c r="I6947" s="362"/>
      <c r="J6947" s="362"/>
    </row>
    <row r="6948" spans="1:10" x14ac:dyDescent="0.25">
      <c r="A6948" s="362"/>
      <c r="B6948" s="609">
        <v>44554</v>
      </c>
      <c r="C6948" s="362" t="s">
        <v>84</v>
      </c>
      <c r="D6948" s="560"/>
      <c r="E6948" s="560"/>
      <c r="F6948" s="560"/>
      <c r="G6948" s="560"/>
      <c r="H6948" s="362"/>
      <c r="I6948" s="362"/>
      <c r="J6948" s="362"/>
    </row>
    <row r="6949" spans="1:10" x14ac:dyDescent="0.25">
      <c r="A6949" s="362"/>
      <c r="B6949" s="609">
        <v>44554</v>
      </c>
      <c r="C6949" s="362" t="s">
        <v>4751</v>
      </c>
      <c r="D6949" s="560"/>
      <c r="E6949" s="560"/>
      <c r="F6949" s="560"/>
      <c r="G6949" s="560"/>
      <c r="H6949" s="362"/>
      <c r="I6949" s="362"/>
      <c r="J6949" s="362"/>
    </row>
    <row r="6950" spans="1:10" x14ac:dyDescent="0.25">
      <c r="A6950" s="362"/>
      <c r="B6950" s="609">
        <v>44554</v>
      </c>
      <c r="C6950" s="362" t="s">
        <v>166</v>
      </c>
      <c r="D6950" s="560"/>
      <c r="E6950" s="560"/>
      <c r="F6950" s="560"/>
      <c r="G6950" s="560"/>
      <c r="H6950" s="362"/>
      <c r="I6950" s="362"/>
      <c r="J6950" s="362"/>
    </row>
    <row r="6951" spans="1:10" x14ac:dyDescent="0.25">
      <c r="A6951" s="362"/>
      <c r="B6951" s="609">
        <v>44554</v>
      </c>
      <c r="C6951" s="362" t="s">
        <v>3435</v>
      </c>
      <c r="D6951" s="560">
        <v>279693026</v>
      </c>
      <c r="E6951" s="560"/>
      <c r="F6951" s="560"/>
      <c r="G6951" s="560"/>
      <c r="H6951" s="362"/>
      <c r="I6951" s="362"/>
      <c r="J6951" s="362"/>
    </row>
    <row r="6952" spans="1:10" x14ac:dyDescent="0.25">
      <c r="A6952" s="362"/>
      <c r="B6952" s="609">
        <v>44554</v>
      </c>
      <c r="C6952" s="370" t="s">
        <v>85</v>
      </c>
      <c r="D6952" s="560"/>
      <c r="E6952" s="560"/>
      <c r="F6952" s="560"/>
      <c r="G6952" s="560"/>
      <c r="H6952" s="362"/>
      <c r="I6952" s="362"/>
      <c r="J6952" s="362"/>
    </row>
    <row r="6953" spans="1:10" x14ac:dyDescent="0.25">
      <c r="A6953" s="530"/>
      <c r="B6953" s="530"/>
      <c r="C6953" s="530"/>
      <c r="D6953" s="562"/>
      <c r="E6953" s="562"/>
      <c r="F6953" s="562"/>
      <c r="G6953" s="562"/>
      <c r="H6953" s="530"/>
      <c r="I6953" s="530"/>
      <c r="J6953" s="530"/>
    </row>
    <row r="6954" spans="1:10" x14ac:dyDescent="0.25">
      <c r="A6954" s="362"/>
      <c r="B6954" s="609">
        <v>44555</v>
      </c>
      <c r="C6954" s="362" t="s">
        <v>86</v>
      </c>
      <c r="D6954" s="560">
        <v>47783222</v>
      </c>
      <c r="E6954" s="560">
        <v>299169329</v>
      </c>
      <c r="F6954" s="560"/>
      <c r="G6954" s="560">
        <f t="shared" ref="G6954:G6983" si="148">D6954+E6954-F6954</f>
        <v>346952551</v>
      </c>
      <c r="H6954" s="362"/>
      <c r="I6954" s="362"/>
      <c r="J6954" s="362"/>
    </row>
    <row r="6955" spans="1:10" x14ac:dyDescent="0.25">
      <c r="A6955" s="362"/>
      <c r="B6955" s="609">
        <v>44555</v>
      </c>
      <c r="C6955" s="362" t="s">
        <v>87</v>
      </c>
      <c r="D6955" s="560">
        <v>82938437</v>
      </c>
      <c r="E6955" s="560">
        <v>85892025</v>
      </c>
      <c r="F6955" s="560"/>
      <c r="G6955" s="560">
        <f t="shared" si="148"/>
        <v>168830462</v>
      </c>
      <c r="H6955" s="362"/>
      <c r="I6955" s="362"/>
      <c r="J6955" s="362"/>
    </row>
    <row r="6956" spans="1:10" x14ac:dyDescent="0.25">
      <c r="A6956" s="362"/>
      <c r="B6956" s="609">
        <v>44555</v>
      </c>
      <c r="C6956" s="362" t="s">
        <v>88</v>
      </c>
      <c r="D6956" s="560">
        <v>180528224</v>
      </c>
      <c r="E6956" s="560">
        <v>97115304</v>
      </c>
      <c r="F6956" s="560"/>
      <c r="G6956" s="560">
        <f t="shared" si="148"/>
        <v>277643528</v>
      </c>
      <c r="H6956" s="362"/>
      <c r="I6956" s="362"/>
      <c r="J6956" s="362"/>
    </row>
    <row r="6957" spans="1:10" x14ac:dyDescent="0.25">
      <c r="A6957" s="362"/>
      <c r="B6957" s="609">
        <v>44555</v>
      </c>
      <c r="C6957" s="362" t="s">
        <v>82</v>
      </c>
      <c r="D6957" s="560">
        <v>79973745</v>
      </c>
      <c r="E6957" s="560">
        <v>17211760</v>
      </c>
      <c r="F6957" s="560"/>
      <c r="G6957" s="560">
        <f t="shared" si="148"/>
        <v>97185505</v>
      </c>
      <c r="H6957" s="362"/>
      <c r="I6957" s="362"/>
      <c r="J6957" s="362"/>
    </row>
    <row r="6958" spans="1:10" x14ac:dyDescent="0.25">
      <c r="A6958" s="362"/>
      <c r="B6958" s="609">
        <v>44555</v>
      </c>
      <c r="C6958" s="362" t="s">
        <v>80</v>
      </c>
      <c r="D6958" s="560">
        <v>197870400</v>
      </c>
      <c r="E6958" s="560"/>
      <c r="F6958" s="560"/>
      <c r="G6958" s="560">
        <f t="shared" si="148"/>
        <v>197870400</v>
      </c>
      <c r="H6958" s="362"/>
      <c r="I6958" s="362"/>
      <c r="J6958" s="362"/>
    </row>
    <row r="6959" spans="1:10" x14ac:dyDescent="0.25">
      <c r="A6959" s="362"/>
      <c r="B6959" s="609">
        <v>44555</v>
      </c>
      <c r="C6959" s="362" t="s">
        <v>83</v>
      </c>
      <c r="D6959" s="560">
        <v>118112153</v>
      </c>
      <c r="E6959" s="560">
        <v>103086511</v>
      </c>
      <c r="F6959" s="560"/>
      <c r="G6959" s="560">
        <f t="shared" si="148"/>
        <v>221198664</v>
      </c>
      <c r="H6959" s="362"/>
      <c r="I6959" s="362"/>
      <c r="J6959" s="362"/>
    </row>
    <row r="6960" spans="1:10" x14ac:dyDescent="0.25">
      <c r="A6960" s="362"/>
      <c r="B6960" s="609">
        <v>44555</v>
      </c>
      <c r="C6960" s="362" t="s">
        <v>78</v>
      </c>
      <c r="D6960" s="560">
        <v>173110368</v>
      </c>
      <c r="E6960" s="560">
        <v>12893432</v>
      </c>
      <c r="F6960" s="560"/>
      <c r="G6960" s="560">
        <f t="shared" si="148"/>
        <v>186003800</v>
      </c>
      <c r="H6960" s="362"/>
      <c r="I6960" s="362"/>
      <c r="J6960" s="362"/>
    </row>
    <row r="6961" spans="1:10" x14ac:dyDescent="0.25">
      <c r="A6961" s="362"/>
      <c r="B6961" s="609">
        <v>44555</v>
      </c>
      <c r="C6961" s="362" t="s">
        <v>141</v>
      </c>
      <c r="D6961" s="560">
        <v>55037153</v>
      </c>
      <c r="E6961" s="560">
        <v>369285</v>
      </c>
      <c r="F6961" s="560"/>
      <c r="G6961" s="560">
        <f t="shared" si="148"/>
        <v>55406438</v>
      </c>
      <c r="H6961" s="362"/>
      <c r="I6961" s="362"/>
      <c r="J6961" s="362"/>
    </row>
    <row r="6962" spans="1:10" x14ac:dyDescent="0.25">
      <c r="A6962" s="362"/>
      <c r="B6962" s="609">
        <v>44555</v>
      </c>
      <c r="C6962" s="362" t="s">
        <v>89</v>
      </c>
      <c r="D6962" s="560">
        <v>71302329</v>
      </c>
      <c r="E6962" s="560">
        <v>15886271</v>
      </c>
      <c r="F6962" s="560"/>
      <c r="G6962" s="560">
        <f t="shared" si="148"/>
        <v>87188600</v>
      </c>
      <c r="H6962" s="362"/>
      <c r="I6962" s="362"/>
      <c r="J6962" s="362"/>
    </row>
    <row r="6963" spans="1:10" x14ac:dyDescent="0.25">
      <c r="A6963" s="362"/>
      <c r="B6963" s="609">
        <v>44555</v>
      </c>
      <c r="C6963" s="362" t="s">
        <v>81</v>
      </c>
      <c r="D6963" s="560">
        <v>104928964</v>
      </c>
      <c r="E6963" s="560">
        <v>17556417</v>
      </c>
      <c r="F6963" s="560"/>
      <c r="G6963" s="560">
        <f t="shared" si="148"/>
        <v>122485381</v>
      </c>
      <c r="H6963" s="362"/>
      <c r="I6963" s="362"/>
      <c r="J6963" s="362"/>
    </row>
    <row r="6964" spans="1:10" x14ac:dyDescent="0.25">
      <c r="A6964" s="362"/>
      <c r="B6964" s="609">
        <v>44555</v>
      </c>
      <c r="C6964" s="362" t="s">
        <v>84</v>
      </c>
      <c r="D6964" s="560">
        <v>92964891</v>
      </c>
      <c r="E6964" s="560">
        <v>10592956</v>
      </c>
      <c r="F6964" s="560"/>
      <c r="G6964" s="560">
        <f t="shared" si="148"/>
        <v>103557847</v>
      </c>
      <c r="H6964" s="362"/>
      <c r="I6964" s="362"/>
      <c r="J6964" s="362"/>
    </row>
    <row r="6965" spans="1:10" x14ac:dyDescent="0.25">
      <c r="A6965" s="362"/>
      <c r="B6965" s="609">
        <v>44555</v>
      </c>
      <c r="C6965" s="362" t="s">
        <v>4751</v>
      </c>
      <c r="D6965" s="560">
        <v>203861409</v>
      </c>
      <c r="E6965" s="560">
        <v>8283791</v>
      </c>
      <c r="F6965" s="560"/>
      <c r="G6965" s="560">
        <f t="shared" si="148"/>
        <v>212145200</v>
      </c>
      <c r="H6965" s="362"/>
      <c r="I6965" s="362"/>
      <c r="J6965" s="362"/>
    </row>
    <row r="6966" spans="1:10" x14ac:dyDescent="0.25">
      <c r="A6966" s="362"/>
      <c r="B6966" s="609">
        <v>44555</v>
      </c>
      <c r="C6966" s="362" t="s">
        <v>166</v>
      </c>
      <c r="D6966" s="560"/>
      <c r="E6966" s="560"/>
      <c r="F6966" s="560"/>
      <c r="G6966" s="560">
        <f t="shared" si="148"/>
        <v>0</v>
      </c>
      <c r="H6966" s="362"/>
      <c r="I6966" s="362"/>
      <c r="J6966" s="362"/>
    </row>
    <row r="6967" spans="1:10" x14ac:dyDescent="0.25">
      <c r="A6967" s="362"/>
      <c r="B6967" s="609">
        <v>44555</v>
      </c>
      <c r="C6967" s="362" t="s">
        <v>3435</v>
      </c>
      <c r="D6967" s="560"/>
      <c r="E6967" s="560"/>
      <c r="F6967" s="560"/>
      <c r="G6967" s="560">
        <f t="shared" si="148"/>
        <v>0</v>
      </c>
      <c r="H6967" s="362"/>
      <c r="I6967" s="362"/>
      <c r="J6967" s="362"/>
    </row>
    <row r="6968" spans="1:10" x14ac:dyDescent="0.25">
      <c r="A6968" s="362"/>
      <c r="B6968" s="609">
        <v>44555</v>
      </c>
      <c r="C6968" s="370" t="s">
        <v>85</v>
      </c>
      <c r="D6968" s="362">
        <v>35876800</v>
      </c>
      <c r="E6968" s="362"/>
      <c r="F6968" s="362"/>
      <c r="G6968" s="560">
        <f t="shared" si="148"/>
        <v>35876800</v>
      </c>
      <c r="H6968" s="362"/>
      <c r="I6968" s="362"/>
      <c r="J6968" s="362"/>
    </row>
    <row r="6969" spans="1:10" x14ac:dyDescent="0.25">
      <c r="A6969" s="530"/>
      <c r="B6969" s="530"/>
      <c r="C6969" s="530"/>
      <c r="D6969" s="630">
        <f>SUM(D6954:D6968)</f>
        <v>1444288095</v>
      </c>
      <c r="E6969" s="630">
        <f>SUM(E6954:E6968)</f>
        <v>668057081</v>
      </c>
      <c r="F6969" s="630">
        <f>SUM(F6954:F6968)</f>
        <v>0</v>
      </c>
      <c r="G6969" s="630">
        <f>SUM(G6954:G6968)</f>
        <v>2112345176</v>
      </c>
      <c r="H6969" s="530"/>
      <c r="I6969" s="530"/>
      <c r="J6969" s="530"/>
    </row>
    <row r="6970" spans="1:10" x14ac:dyDescent="0.25">
      <c r="A6970" s="362"/>
      <c r="B6970" s="609">
        <v>44557</v>
      </c>
      <c r="C6970" s="362" t="s">
        <v>86</v>
      </c>
      <c r="D6970" s="560">
        <v>33503322</v>
      </c>
      <c r="E6970" s="560">
        <v>123668249</v>
      </c>
      <c r="F6970" s="560"/>
      <c r="G6970" s="560">
        <f t="shared" si="148"/>
        <v>157171571</v>
      </c>
      <c r="H6970" s="362"/>
      <c r="I6970" s="362"/>
      <c r="J6970" s="362"/>
    </row>
    <row r="6971" spans="1:10" x14ac:dyDescent="0.25">
      <c r="A6971" s="362"/>
      <c r="B6971" s="609">
        <v>44557</v>
      </c>
      <c r="C6971" s="362" t="s">
        <v>87</v>
      </c>
      <c r="D6971" s="560">
        <v>80325810</v>
      </c>
      <c r="E6971" s="560">
        <v>76618406</v>
      </c>
      <c r="F6971" s="560"/>
      <c r="G6971" s="560">
        <f t="shared" si="148"/>
        <v>156944216</v>
      </c>
      <c r="H6971" s="362"/>
      <c r="I6971" s="362"/>
      <c r="J6971" s="362"/>
    </row>
    <row r="6972" spans="1:10" x14ac:dyDescent="0.25">
      <c r="A6972" s="362"/>
      <c r="B6972" s="609">
        <v>44557</v>
      </c>
      <c r="C6972" s="362" t="s">
        <v>88</v>
      </c>
      <c r="D6972" s="560">
        <v>139272360</v>
      </c>
      <c r="E6972" s="560">
        <v>46750840</v>
      </c>
      <c r="F6972" s="560"/>
      <c r="G6972" s="560">
        <f t="shared" si="148"/>
        <v>186023200</v>
      </c>
      <c r="H6972" s="362"/>
      <c r="I6972" s="362"/>
      <c r="J6972" s="362"/>
    </row>
    <row r="6973" spans="1:10" x14ac:dyDescent="0.25">
      <c r="A6973" s="362"/>
      <c r="B6973" s="609">
        <v>44557</v>
      </c>
      <c r="C6973" s="362" t="s">
        <v>82</v>
      </c>
      <c r="D6973" s="560">
        <v>50174507</v>
      </c>
      <c r="E6973" s="560">
        <v>1134810</v>
      </c>
      <c r="F6973" s="560"/>
      <c r="G6973" s="560">
        <f t="shared" si="148"/>
        <v>51309317</v>
      </c>
      <c r="H6973" s="362"/>
      <c r="I6973" s="362"/>
      <c r="J6973" s="362"/>
    </row>
    <row r="6974" spans="1:10" x14ac:dyDescent="0.25">
      <c r="A6974" s="362"/>
      <c r="B6974" s="609">
        <v>44557</v>
      </c>
      <c r="C6974" s="362" t="s">
        <v>80</v>
      </c>
      <c r="D6974" s="560">
        <v>277911520</v>
      </c>
      <c r="E6974" s="560">
        <v>201480</v>
      </c>
      <c r="F6974" s="560"/>
      <c r="G6974" s="560">
        <f t="shared" si="148"/>
        <v>278113000</v>
      </c>
      <c r="H6974" s="362"/>
      <c r="I6974" s="362"/>
      <c r="J6974" s="362"/>
    </row>
    <row r="6975" spans="1:10" x14ac:dyDescent="0.25">
      <c r="A6975" s="362"/>
      <c r="B6975" s="609">
        <v>44557</v>
      </c>
      <c r="C6975" s="362" t="s">
        <v>83</v>
      </c>
      <c r="D6975" s="560">
        <v>255766989</v>
      </c>
      <c r="E6975" s="560">
        <v>147264139</v>
      </c>
      <c r="F6975" s="560"/>
      <c r="G6975" s="560">
        <f t="shared" si="148"/>
        <v>403031128</v>
      </c>
      <c r="H6975" s="362"/>
      <c r="I6975" s="362"/>
      <c r="J6975" s="362"/>
    </row>
    <row r="6976" spans="1:10" x14ac:dyDescent="0.25">
      <c r="A6976" s="362"/>
      <c r="B6976" s="609">
        <v>44557</v>
      </c>
      <c r="C6976" s="362" t="s">
        <v>78</v>
      </c>
      <c r="D6976" s="560">
        <v>194451123</v>
      </c>
      <c r="E6976" s="560">
        <v>617877</v>
      </c>
      <c r="F6976" s="560"/>
      <c r="G6976" s="560">
        <f t="shared" si="148"/>
        <v>195069000</v>
      </c>
      <c r="H6976" s="362"/>
      <c r="I6976" s="362"/>
      <c r="J6976" s="362"/>
    </row>
    <row r="6977" spans="1:10" x14ac:dyDescent="0.25">
      <c r="A6977" s="362"/>
      <c r="B6977" s="609">
        <v>44557</v>
      </c>
      <c r="C6977" s="362" t="s">
        <v>141</v>
      </c>
      <c r="D6977" s="560">
        <v>58560508</v>
      </c>
      <c r="E6977" s="560">
        <v>617300</v>
      </c>
      <c r="F6977" s="560"/>
      <c r="G6977" s="560">
        <f t="shared" si="148"/>
        <v>59177808</v>
      </c>
      <c r="H6977" s="362"/>
      <c r="I6977" s="362"/>
      <c r="J6977" s="362"/>
    </row>
    <row r="6978" spans="1:10" x14ac:dyDescent="0.25">
      <c r="A6978" s="362"/>
      <c r="B6978" s="609">
        <v>44557</v>
      </c>
      <c r="C6978" s="362" t="s">
        <v>89</v>
      </c>
      <c r="D6978" s="560">
        <v>96870597</v>
      </c>
      <c r="E6978" s="560">
        <v>13830703</v>
      </c>
      <c r="F6978" s="560"/>
      <c r="G6978" s="560">
        <f t="shared" si="148"/>
        <v>110701300</v>
      </c>
      <c r="H6978" s="362"/>
      <c r="I6978" s="362"/>
      <c r="J6978" s="362"/>
    </row>
    <row r="6979" spans="1:10" x14ac:dyDescent="0.25">
      <c r="A6979" s="362"/>
      <c r="B6979" s="609">
        <v>44557</v>
      </c>
      <c r="C6979" s="362" t="s">
        <v>81</v>
      </c>
      <c r="D6979" s="560">
        <v>198976445</v>
      </c>
      <c r="E6979" s="560">
        <v>25161242</v>
      </c>
      <c r="F6979" s="560"/>
      <c r="G6979" s="560">
        <f t="shared" si="148"/>
        <v>224137687</v>
      </c>
      <c r="H6979" s="362"/>
      <c r="I6979" s="362"/>
      <c r="J6979" s="362"/>
    </row>
    <row r="6980" spans="1:10" x14ac:dyDescent="0.25">
      <c r="A6980" s="362"/>
      <c r="B6980" s="609">
        <v>44557</v>
      </c>
      <c r="C6980" s="362" t="s">
        <v>84</v>
      </c>
      <c r="D6980" s="560">
        <v>437872041</v>
      </c>
      <c r="E6980" s="560">
        <v>10450719</v>
      </c>
      <c r="F6980" s="560"/>
      <c r="G6980" s="560">
        <f t="shared" si="148"/>
        <v>448322760</v>
      </c>
      <c r="H6980" s="362"/>
      <c r="I6980" s="362"/>
      <c r="J6980" s="362"/>
    </row>
    <row r="6981" spans="1:10" x14ac:dyDescent="0.25">
      <c r="A6981" s="362"/>
      <c r="B6981" s="609">
        <v>44557</v>
      </c>
      <c r="C6981" s="362" t="s">
        <v>4751</v>
      </c>
      <c r="D6981" s="560">
        <v>163666517</v>
      </c>
      <c r="E6981" s="560">
        <v>11666983</v>
      </c>
      <c r="F6981" s="560"/>
      <c r="G6981" s="560">
        <f t="shared" si="148"/>
        <v>175333500</v>
      </c>
      <c r="H6981" s="362"/>
      <c r="I6981" s="362"/>
      <c r="J6981" s="362"/>
    </row>
    <row r="6982" spans="1:10" x14ac:dyDescent="0.25">
      <c r="A6982" s="362"/>
      <c r="B6982" s="609">
        <v>44557</v>
      </c>
      <c r="C6982" s="362" t="s">
        <v>166</v>
      </c>
      <c r="D6982" s="560">
        <v>72402090</v>
      </c>
      <c r="E6982" s="560"/>
      <c r="F6982" s="560"/>
      <c r="G6982" s="560">
        <f t="shared" si="148"/>
        <v>72402090</v>
      </c>
      <c r="H6982" s="362"/>
      <c r="I6982" s="362"/>
      <c r="J6982" s="362"/>
    </row>
    <row r="6983" spans="1:10" x14ac:dyDescent="0.25">
      <c r="A6983" s="362"/>
      <c r="B6983" s="609">
        <v>44557</v>
      </c>
      <c r="C6983" s="362" t="s">
        <v>3435</v>
      </c>
      <c r="D6983" s="560">
        <v>43770957</v>
      </c>
      <c r="E6983" s="560"/>
      <c r="F6983" s="560"/>
      <c r="G6983" s="560">
        <f t="shared" si="148"/>
        <v>43770957</v>
      </c>
      <c r="H6983" s="362"/>
      <c r="I6983" s="362"/>
      <c r="J6983" s="362"/>
    </row>
    <row r="6984" spans="1:10" x14ac:dyDescent="0.25">
      <c r="A6984" s="362"/>
      <c r="B6984" s="609">
        <v>44557</v>
      </c>
      <c r="C6984" s="370" t="s">
        <v>85</v>
      </c>
      <c r="D6984" s="560">
        <v>51140800</v>
      </c>
      <c r="E6984" s="560"/>
      <c r="F6984" s="560"/>
      <c r="G6984" s="560">
        <f>D6984+E6984-F6984</f>
        <v>51140800</v>
      </c>
      <c r="H6984" s="362"/>
      <c r="I6984" s="362"/>
      <c r="J6984" s="362"/>
    </row>
    <row r="6985" spans="1:10" x14ac:dyDescent="0.25">
      <c r="A6985" s="530"/>
      <c r="B6985" s="530"/>
      <c r="C6985" s="530"/>
      <c r="D6985" s="562">
        <f>SUM(D6970:D6984)</f>
        <v>2154665586</v>
      </c>
      <c r="E6985" s="562">
        <f>SUM(E6970:E6984)</f>
        <v>457982748</v>
      </c>
      <c r="F6985" s="562">
        <f>SUM(F6970:F6984)</f>
        <v>0</v>
      </c>
      <c r="G6985" s="562">
        <f>SUM(G6970:G6984)</f>
        <v>2612648334</v>
      </c>
      <c r="H6985" s="530"/>
      <c r="I6985" s="530"/>
      <c r="J6985" s="530"/>
    </row>
    <row r="6986" spans="1:10" x14ac:dyDescent="0.25">
      <c r="A6986" s="362"/>
      <c r="B6986" s="609">
        <v>44558</v>
      </c>
      <c r="C6986" s="362" t="s">
        <v>86</v>
      </c>
      <c r="D6986" s="560">
        <v>92675836</v>
      </c>
      <c r="E6986" s="560">
        <v>161787389</v>
      </c>
      <c r="F6986" s="560"/>
      <c r="G6986" s="560">
        <f>D6986+E6986-F6986</f>
        <v>254463225</v>
      </c>
      <c r="H6986" s="362"/>
      <c r="I6986" s="362"/>
      <c r="J6986" s="362"/>
    </row>
    <row r="6987" spans="1:10" x14ac:dyDescent="0.25">
      <c r="A6987" s="362"/>
      <c r="B6987" s="609">
        <v>44558</v>
      </c>
      <c r="C6987" s="362" t="s">
        <v>87</v>
      </c>
      <c r="D6987" s="560">
        <v>102719557</v>
      </c>
      <c r="E6987" s="560">
        <v>108723549</v>
      </c>
      <c r="F6987" s="560"/>
      <c r="G6987" s="560">
        <f t="shared" ref="G6987:G7051" si="149">D6987+E6987-F6987</f>
        <v>211443106</v>
      </c>
      <c r="H6987" s="362"/>
      <c r="I6987" s="362"/>
      <c r="J6987" s="362"/>
    </row>
    <row r="6988" spans="1:10" x14ac:dyDescent="0.25">
      <c r="A6988" s="362"/>
      <c r="B6988" s="609">
        <v>44558</v>
      </c>
      <c r="C6988" s="362" t="s">
        <v>88</v>
      </c>
      <c r="D6988" s="560">
        <v>206970686</v>
      </c>
      <c r="E6988" s="560">
        <v>5578873</v>
      </c>
      <c r="F6988" s="560"/>
      <c r="G6988" s="560">
        <f t="shared" si="149"/>
        <v>212549559</v>
      </c>
      <c r="H6988" s="362"/>
      <c r="I6988" s="362"/>
      <c r="J6988" s="362"/>
    </row>
    <row r="6989" spans="1:10" x14ac:dyDescent="0.25">
      <c r="A6989" s="362"/>
      <c r="B6989" s="609">
        <v>44558</v>
      </c>
      <c r="C6989" s="362" t="s">
        <v>82</v>
      </c>
      <c r="D6989" s="560">
        <v>87884779</v>
      </c>
      <c r="E6989" s="560">
        <v>1646736</v>
      </c>
      <c r="F6989" s="560"/>
      <c r="G6989" s="560">
        <f t="shared" si="149"/>
        <v>89531515</v>
      </c>
      <c r="H6989" s="362"/>
      <c r="I6989" s="362"/>
      <c r="J6989" s="362"/>
    </row>
    <row r="6990" spans="1:10" x14ac:dyDescent="0.25">
      <c r="A6990" s="362"/>
      <c r="B6990" s="609">
        <v>44558</v>
      </c>
      <c r="C6990" s="362" t="s">
        <v>80</v>
      </c>
      <c r="D6990" s="560">
        <v>392651970</v>
      </c>
      <c r="E6990" s="560">
        <v>22169530</v>
      </c>
      <c r="F6990" s="560"/>
      <c r="G6990" s="560">
        <f t="shared" si="149"/>
        <v>414821500</v>
      </c>
      <c r="H6990" s="362"/>
      <c r="I6990" s="362"/>
      <c r="J6990" s="362"/>
    </row>
    <row r="6991" spans="1:10" x14ac:dyDescent="0.25">
      <c r="A6991" s="362"/>
      <c r="B6991" s="609">
        <v>44558</v>
      </c>
      <c r="C6991" s="362" t="s">
        <v>83</v>
      </c>
      <c r="D6991" s="560">
        <v>234809810</v>
      </c>
      <c r="E6991" s="560">
        <v>107479486</v>
      </c>
      <c r="F6991" s="560"/>
      <c r="G6991" s="560">
        <f t="shared" si="149"/>
        <v>342289296</v>
      </c>
      <c r="H6991" s="362"/>
      <c r="I6991" s="362"/>
      <c r="J6991" s="362"/>
    </row>
    <row r="6992" spans="1:10" x14ac:dyDescent="0.25">
      <c r="A6992" s="362"/>
      <c r="B6992" s="609">
        <v>44558</v>
      </c>
      <c r="C6992" s="362" t="s">
        <v>78</v>
      </c>
      <c r="D6992" s="560">
        <v>167092784</v>
      </c>
      <c r="E6992" s="560">
        <v>5167616</v>
      </c>
      <c r="F6992" s="560"/>
      <c r="G6992" s="560">
        <f t="shared" si="149"/>
        <v>172260400</v>
      </c>
      <c r="H6992" s="362"/>
      <c r="I6992" s="362"/>
      <c r="J6992" s="362"/>
    </row>
    <row r="6993" spans="1:10" x14ac:dyDescent="0.25">
      <c r="A6993" s="362"/>
      <c r="B6993" s="609">
        <v>44558</v>
      </c>
      <c r="C6993" s="362" t="s">
        <v>141</v>
      </c>
      <c r="D6993" s="560">
        <v>135474212</v>
      </c>
      <c r="E6993" s="560">
        <v>541700</v>
      </c>
      <c r="F6993" s="560"/>
      <c r="G6993" s="560">
        <f t="shared" si="149"/>
        <v>136015912</v>
      </c>
      <c r="H6993" s="362"/>
      <c r="I6993" s="362"/>
      <c r="J6993" s="362"/>
    </row>
    <row r="6994" spans="1:10" x14ac:dyDescent="0.25">
      <c r="A6994" s="362"/>
      <c r="B6994" s="609">
        <v>44558</v>
      </c>
      <c r="C6994" s="362" t="s">
        <v>89</v>
      </c>
      <c r="D6994" s="560">
        <v>152325681</v>
      </c>
      <c r="E6994" s="560">
        <v>30777719</v>
      </c>
      <c r="F6994" s="560"/>
      <c r="G6994" s="560">
        <f t="shared" si="149"/>
        <v>183103400</v>
      </c>
      <c r="H6994" s="362"/>
      <c r="I6994" s="362"/>
      <c r="J6994" s="362"/>
    </row>
    <row r="6995" spans="1:10" x14ac:dyDescent="0.25">
      <c r="A6995" s="362"/>
      <c r="B6995" s="609">
        <v>44558</v>
      </c>
      <c r="C6995" s="362" t="s">
        <v>81</v>
      </c>
      <c r="D6995" s="560">
        <v>96131715</v>
      </c>
      <c r="E6995" s="560">
        <v>13525367</v>
      </c>
      <c r="F6995" s="560"/>
      <c r="G6995" s="560">
        <f t="shared" si="149"/>
        <v>109657082</v>
      </c>
      <c r="H6995" s="362"/>
      <c r="I6995" s="362"/>
      <c r="J6995" s="362"/>
    </row>
    <row r="6996" spans="1:10" x14ac:dyDescent="0.25">
      <c r="A6996" s="362"/>
      <c r="B6996" s="609">
        <v>44558</v>
      </c>
      <c r="C6996" s="362" t="s">
        <v>84</v>
      </c>
      <c r="D6996" s="560">
        <v>216116611</v>
      </c>
      <c r="E6996" s="560">
        <v>21554661</v>
      </c>
      <c r="F6996" s="560"/>
      <c r="G6996" s="560">
        <f t="shared" si="149"/>
        <v>237671272</v>
      </c>
      <c r="H6996" s="362"/>
      <c r="I6996" s="362"/>
      <c r="J6996" s="362"/>
    </row>
    <row r="6997" spans="1:10" x14ac:dyDescent="0.25">
      <c r="A6997" s="362"/>
      <c r="B6997" s="609">
        <v>44558</v>
      </c>
      <c r="C6997" s="362" t="s">
        <v>4751</v>
      </c>
      <c r="D6997" s="560">
        <v>241598724</v>
      </c>
      <c r="E6997" s="560">
        <v>14731676</v>
      </c>
      <c r="F6997" s="560"/>
      <c r="G6997" s="560">
        <f t="shared" si="149"/>
        <v>256330400</v>
      </c>
      <c r="H6997" s="362"/>
      <c r="I6997" s="362"/>
      <c r="J6997" s="362"/>
    </row>
    <row r="6998" spans="1:10" x14ac:dyDescent="0.25">
      <c r="A6998" s="362"/>
      <c r="B6998" s="609">
        <v>44558</v>
      </c>
      <c r="C6998" s="362" t="s">
        <v>166</v>
      </c>
      <c r="D6998" s="560">
        <v>95868274</v>
      </c>
      <c r="E6998" s="560">
        <v>80052414</v>
      </c>
      <c r="F6998" s="560"/>
      <c r="G6998" s="560">
        <f t="shared" si="149"/>
        <v>175920688</v>
      </c>
      <c r="H6998" s="362"/>
      <c r="I6998" s="362"/>
      <c r="J6998" s="362"/>
    </row>
    <row r="6999" spans="1:10" x14ac:dyDescent="0.25">
      <c r="A6999" s="362"/>
      <c r="B6999" s="609">
        <v>44558</v>
      </c>
      <c r="C6999" s="362" t="s">
        <v>3435</v>
      </c>
      <c r="D6999" s="560">
        <v>62290685</v>
      </c>
      <c r="E6999" s="560"/>
      <c r="F6999" s="560"/>
      <c r="G6999" s="560">
        <f t="shared" si="149"/>
        <v>62290685</v>
      </c>
      <c r="H6999" s="362"/>
      <c r="I6999" s="362"/>
      <c r="J6999" s="362"/>
    </row>
    <row r="7000" spans="1:10" x14ac:dyDescent="0.25">
      <c r="A7000" s="362"/>
      <c r="B7000" s="609">
        <v>44558</v>
      </c>
      <c r="C7000" s="370" t="s">
        <v>85</v>
      </c>
      <c r="D7000" s="560">
        <v>43539200</v>
      </c>
      <c r="E7000" s="560"/>
      <c r="F7000" s="560"/>
      <c r="G7000" s="560">
        <f t="shared" si="149"/>
        <v>43539200</v>
      </c>
      <c r="H7000" s="362"/>
      <c r="I7000" s="362"/>
      <c r="J7000" s="362"/>
    </row>
    <row r="7001" spans="1:10" x14ac:dyDescent="0.25">
      <c r="A7001" s="530"/>
      <c r="B7001" s="530"/>
      <c r="C7001" s="530"/>
      <c r="D7001" s="562">
        <f>SUM(D6986:D7000)</f>
        <v>2328150524</v>
      </c>
      <c r="E7001" s="562">
        <f>SUM(E6986:E7000)</f>
        <v>573736716</v>
      </c>
      <c r="F7001" s="562">
        <f>SUM(F6986:F7000)</f>
        <v>0</v>
      </c>
      <c r="G7001" s="562">
        <f>SUM(G6986:G7000)</f>
        <v>2901887240</v>
      </c>
      <c r="H7001" s="530"/>
      <c r="I7001" s="530"/>
      <c r="J7001" s="530"/>
    </row>
    <row r="7002" spans="1:10" x14ac:dyDescent="0.25">
      <c r="A7002" s="362"/>
      <c r="B7002" s="609">
        <v>44559</v>
      </c>
      <c r="C7002" s="362" t="s">
        <v>86</v>
      </c>
      <c r="D7002" s="560">
        <v>65081652</v>
      </c>
      <c r="E7002" s="560">
        <v>105140120</v>
      </c>
      <c r="F7002" s="560">
        <v>170221800</v>
      </c>
      <c r="G7002" s="560">
        <f t="shared" si="149"/>
        <v>-28</v>
      </c>
      <c r="H7002" s="362"/>
      <c r="I7002" s="362"/>
      <c r="J7002" s="362"/>
    </row>
    <row r="7003" spans="1:10" x14ac:dyDescent="0.25">
      <c r="A7003" s="362"/>
      <c r="B7003" s="609">
        <v>44559</v>
      </c>
      <c r="C7003" s="362" t="s">
        <v>87</v>
      </c>
      <c r="D7003" s="560">
        <v>62361158</v>
      </c>
      <c r="E7003" s="560">
        <v>193642354</v>
      </c>
      <c r="F7003" s="560">
        <v>256003500</v>
      </c>
      <c r="G7003" s="560">
        <f t="shared" si="149"/>
        <v>12</v>
      </c>
      <c r="H7003" s="362"/>
      <c r="I7003" s="362"/>
      <c r="J7003" s="362"/>
    </row>
    <row r="7004" spans="1:10" x14ac:dyDescent="0.25">
      <c r="A7004" s="362"/>
      <c r="B7004" s="609">
        <v>44559</v>
      </c>
      <c r="C7004" s="362" t="s">
        <v>88</v>
      </c>
      <c r="D7004" s="560">
        <v>157423634</v>
      </c>
      <c r="E7004" s="560">
        <v>9866987</v>
      </c>
      <c r="F7004" s="560">
        <v>167290700</v>
      </c>
      <c r="G7004" s="560">
        <f t="shared" si="149"/>
        <v>-79</v>
      </c>
      <c r="H7004" s="362"/>
      <c r="I7004" s="362"/>
      <c r="J7004" s="362"/>
    </row>
    <row r="7005" spans="1:10" x14ac:dyDescent="0.25">
      <c r="A7005" s="362"/>
      <c r="B7005" s="609">
        <v>44559</v>
      </c>
      <c r="C7005" s="362" t="s">
        <v>82</v>
      </c>
      <c r="D7005" s="560">
        <v>146793083</v>
      </c>
      <c r="E7005" s="560">
        <v>24973489</v>
      </c>
      <c r="F7005" s="560">
        <v>171766600</v>
      </c>
      <c r="G7005" s="560">
        <f t="shared" si="149"/>
        <v>-28</v>
      </c>
      <c r="H7005" s="362"/>
      <c r="I7005" s="362"/>
      <c r="J7005" s="362"/>
    </row>
    <row r="7006" spans="1:10" x14ac:dyDescent="0.25">
      <c r="A7006" s="362"/>
      <c r="B7006" s="609">
        <v>44559</v>
      </c>
      <c r="C7006" s="362" t="s">
        <v>80</v>
      </c>
      <c r="D7006" s="560">
        <v>436403821</v>
      </c>
      <c r="E7006" s="560">
        <v>151194205</v>
      </c>
      <c r="F7006" s="560">
        <v>587597400</v>
      </c>
      <c r="G7006" s="560">
        <f t="shared" si="149"/>
        <v>626</v>
      </c>
      <c r="H7006" s="362"/>
      <c r="I7006" s="362"/>
      <c r="J7006" s="362"/>
    </row>
    <row r="7007" spans="1:10" x14ac:dyDescent="0.25">
      <c r="A7007" s="362"/>
      <c r="B7007" s="609">
        <v>44559</v>
      </c>
      <c r="C7007" s="362" t="s">
        <v>83</v>
      </c>
      <c r="D7007" s="560">
        <v>153132537</v>
      </c>
      <c r="E7007" s="560">
        <v>346199818</v>
      </c>
      <c r="F7007" s="560">
        <v>499332300</v>
      </c>
      <c r="G7007" s="560">
        <f t="shared" si="149"/>
        <v>55</v>
      </c>
      <c r="H7007" s="362"/>
      <c r="I7007" s="362"/>
      <c r="J7007" s="362"/>
    </row>
    <row r="7008" spans="1:10" x14ac:dyDescent="0.25">
      <c r="A7008" s="362"/>
      <c r="B7008" s="609">
        <v>44559</v>
      </c>
      <c r="C7008" s="362" t="s">
        <v>78</v>
      </c>
      <c r="D7008" s="560">
        <v>134650426</v>
      </c>
      <c r="E7008" s="560">
        <v>5801174</v>
      </c>
      <c r="F7008" s="560">
        <v>140451600</v>
      </c>
      <c r="G7008" s="560">
        <f t="shared" si="149"/>
        <v>0</v>
      </c>
      <c r="H7008" s="362"/>
      <c r="I7008" s="362"/>
      <c r="J7008" s="362"/>
    </row>
    <row r="7009" spans="1:10" x14ac:dyDescent="0.25">
      <c r="A7009" s="362"/>
      <c r="B7009" s="609">
        <v>44559</v>
      </c>
      <c r="C7009" s="362" t="s">
        <v>141</v>
      </c>
      <c r="D7009" s="560">
        <v>120716508</v>
      </c>
      <c r="E7009" s="560">
        <v>817420</v>
      </c>
      <c r="F7009" s="560">
        <v>121534000</v>
      </c>
      <c r="G7009" s="560">
        <f t="shared" si="149"/>
        <v>-72</v>
      </c>
      <c r="H7009" s="362"/>
      <c r="I7009" s="362"/>
      <c r="J7009" s="362"/>
    </row>
    <row r="7010" spans="1:10" x14ac:dyDescent="0.25">
      <c r="A7010" s="362"/>
      <c r="B7010" s="609">
        <v>44559</v>
      </c>
      <c r="C7010" s="362" t="s">
        <v>89</v>
      </c>
      <c r="D7010" s="560">
        <v>124084473</v>
      </c>
      <c r="E7010" s="560">
        <v>131083327</v>
      </c>
      <c r="F7010" s="560">
        <v>255167700</v>
      </c>
      <c r="G7010" s="560">
        <f t="shared" si="149"/>
        <v>100</v>
      </c>
      <c r="H7010" s="362"/>
      <c r="I7010" s="362"/>
      <c r="J7010" s="362"/>
    </row>
    <row r="7011" spans="1:10" x14ac:dyDescent="0.25">
      <c r="A7011" s="362"/>
      <c r="B7011" s="609">
        <v>44559</v>
      </c>
      <c r="C7011" s="362" t="s">
        <v>81</v>
      </c>
      <c r="D7011" s="560">
        <v>129663376</v>
      </c>
      <c r="E7011" s="560">
        <v>147776260</v>
      </c>
      <c r="F7011" s="560">
        <v>277437700</v>
      </c>
      <c r="G7011" s="560">
        <f t="shared" si="149"/>
        <v>1936</v>
      </c>
      <c r="H7011" s="362"/>
      <c r="I7011" s="362"/>
      <c r="J7011" s="362"/>
    </row>
    <row r="7012" spans="1:10" x14ac:dyDescent="0.25">
      <c r="A7012" s="362"/>
      <c r="B7012" s="609">
        <v>44559</v>
      </c>
      <c r="C7012" s="362" t="s">
        <v>84</v>
      </c>
      <c r="D7012" s="560">
        <v>249829888</v>
      </c>
      <c r="E7012" s="560">
        <v>30657329</v>
      </c>
      <c r="F7012" s="560">
        <v>280487200</v>
      </c>
      <c r="G7012" s="560">
        <f t="shared" si="149"/>
        <v>17</v>
      </c>
      <c r="H7012" s="362"/>
      <c r="I7012" s="362"/>
      <c r="J7012" s="362"/>
    </row>
    <row r="7013" spans="1:10" x14ac:dyDescent="0.25">
      <c r="A7013" s="362"/>
      <c r="B7013" s="609">
        <v>44559</v>
      </c>
      <c r="C7013" s="362" t="s">
        <v>4751</v>
      </c>
      <c r="D7013" s="560">
        <v>197394957</v>
      </c>
      <c r="E7013" s="560">
        <v>18812643</v>
      </c>
      <c r="F7013" s="560">
        <v>216207600</v>
      </c>
      <c r="G7013" s="560">
        <f t="shared" si="149"/>
        <v>0</v>
      </c>
      <c r="H7013" s="362"/>
      <c r="I7013" s="362"/>
      <c r="J7013" s="362"/>
    </row>
    <row r="7014" spans="1:10" x14ac:dyDescent="0.25">
      <c r="A7014" s="362"/>
      <c r="B7014" s="609">
        <v>44559</v>
      </c>
      <c r="C7014" s="362" t="s">
        <v>166</v>
      </c>
      <c r="D7014" s="560">
        <v>63220806</v>
      </c>
      <c r="E7014" s="560"/>
      <c r="F7014" s="560"/>
      <c r="G7014" s="560">
        <f t="shared" si="149"/>
        <v>63220806</v>
      </c>
      <c r="H7014" s="362"/>
      <c r="I7014" s="362"/>
      <c r="J7014" s="362"/>
    </row>
    <row r="7015" spans="1:10" x14ac:dyDescent="0.25">
      <c r="A7015" s="362"/>
      <c r="B7015" s="609">
        <v>44559</v>
      </c>
      <c r="C7015" s="362" t="s">
        <v>3435</v>
      </c>
      <c r="D7015" s="560">
        <v>29571861</v>
      </c>
      <c r="E7015" s="560"/>
      <c r="F7015" s="560">
        <v>29571900</v>
      </c>
      <c r="G7015" s="560">
        <f t="shared" si="149"/>
        <v>-39</v>
      </c>
      <c r="H7015" s="362"/>
      <c r="I7015" s="362"/>
      <c r="J7015" s="362"/>
    </row>
    <row r="7016" spans="1:10" x14ac:dyDescent="0.25">
      <c r="A7016" s="362"/>
      <c r="B7016" s="609">
        <v>44559</v>
      </c>
      <c r="C7016" s="370" t="s">
        <v>85</v>
      </c>
      <c r="D7016" s="560">
        <v>58189700</v>
      </c>
      <c r="E7016" s="560"/>
      <c r="F7016" s="560">
        <v>58189700</v>
      </c>
      <c r="G7016" s="560">
        <f t="shared" si="149"/>
        <v>0</v>
      </c>
      <c r="H7016" s="362"/>
      <c r="I7016" s="362"/>
      <c r="J7016" s="362"/>
    </row>
    <row r="7017" spans="1:10" x14ac:dyDescent="0.25">
      <c r="A7017" s="530"/>
      <c r="B7017" s="530"/>
      <c r="C7017" s="530"/>
      <c r="D7017" s="562">
        <f>SUM(D7002:D7016)</f>
        <v>2128517880</v>
      </c>
      <c r="E7017" s="562">
        <f>SUM(E7002:E7016)</f>
        <v>1165965126</v>
      </c>
      <c r="F7017" s="562">
        <f>SUM(F7002:F7016)</f>
        <v>3231259700</v>
      </c>
      <c r="G7017" s="562">
        <f>SUM(G7002:G7016)</f>
        <v>63223306</v>
      </c>
      <c r="H7017" s="530"/>
      <c r="I7017" s="530"/>
      <c r="J7017" s="530"/>
    </row>
    <row r="7018" spans="1:10" x14ac:dyDescent="0.25">
      <c r="A7018" s="362"/>
      <c r="B7018" s="609">
        <v>44560</v>
      </c>
      <c r="C7018" s="362" t="s">
        <v>86</v>
      </c>
      <c r="D7018" s="560">
        <v>83871622</v>
      </c>
      <c r="E7018" s="560">
        <v>140504965</v>
      </c>
      <c r="F7018" s="560"/>
      <c r="G7018" s="560">
        <f t="shared" si="149"/>
        <v>224376587</v>
      </c>
      <c r="H7018" s="362"/>
      <c r="I7018" s="362"/>
      <c r="J7018" s="362"/>
    </row>
    <row r="7019" spans="1:10" x14ac:dyDescent="0.25">
      <c r="A7019" s="362"/>
      <c r="B7019" s="609">
        <v>44560</v>
      </c>
      <c r="C7019" s="362" t="s">
        <v>87</v>
      </c>
      <c r="D7019" s="560">
        <v>83433558</v>
      </c>
      <c r="E7019" s="560">
        <v>259624265</v>
      </c>
      <c r="F7019" s="560"/>
      <c r="G7019" s="560">
        <f t="shared" si="149"/>
        <v>343057823</v>
      </c>
      <c r="H7019" s="362"/>
      <c r="I7019" s="362"/>
      <c r="J7019" s="362"/>
    </row>
    <row r="7020" spans="1:10" x14ac:dyDescent="0.25">
      <c r="A7020" s="362"/>
      <c r="B7020" s="609">
        <v>44560</v>
      </c>
      <c r="C7020" s="362" t="s">
        <v>88</v>
      </c>
      <c r="D7020" s="560">
        <v>229273577</v>
      </c>
      <c r="E7020" s="560">
        <v>208856269</v>
      </c>
      <c r="F7020" s="560"/>
      <c r="G7020" s="560">
        <f t="shared" si="149"/>
        <v>438129846</v>
      </c>
      <c r="H7020" s="362"/>
      <c r="I7020" s="362"/>
      <c r="J7020" s="362"/>
    </row>
    <row r="7021" spans="1:10" x14ac:dyDescent="0.25">
      <c r="A7021" s="362"/>
      <c r="B7021" s="609">
        <v>44560</v>
      </c>
      <c r="C7021" s="362" t="s">
        <v>82</v>
      </c>
      <c r="D7021" s="560">
        <v>133451790</v>
      </c>
      <c r="E7021" s="560"/>
      <c r="F7021" s="560"/>
      <c r="G7021" s="560">
        <f t="shared" si="149"/>
        <v>133451790</v>
      </c>
      <c r="H7021" s="362"/>
      <c r="I7021" s="362"/>
      <c r="J7021" s="362"/>
    </row>
    <row r="7022" spans="1:10" x14ac:dyDescent="0.25">
      <c r="A7022" s="362"/>
      <c r="B7022" s="609">
        <v>44560</v>
      </c>
      <c r="C7022" s="362" t="s">
        <v>80</v>
      </c>
      <c r="D7022" s="560">
        <v>222693289</v>
      </c>
      <c r="E7022" s="560">
        <v>382442179</v>
      </c>
      <c r="F7022" s="560"/>
      <c r="G7022" s="560">
        <f t="shared" si="149"/>
        <v>605135468</v>
      </c>
      <c r="H7022" s="362"/>
      <c r="I7022" s="362"/>
      <c r="J7022" s="362"/>
    </row>
    <row r="7023" spans="1:10" x14ac:dyDescent="0.25">
      <c r="A7023" s="362"/>
      <c r="B7023" s="609">
        <v>44560</v>
      </c>
      <c r="C7023" s="362" t="s">
        <v>83</v>
      </c>
      <c r="D7023" s="560">
        <v>136323432</v>
      </c>
      <c r="E7023" s="560">
        <v>5092568</v>
      </c>
      <c r="F7023" s="560"/>
      <c r="G7023" s="560">
        <f t="shared" si="149"/>
        <v>141416000</v>
      </c>
      <c r="H7023" s="362"/>
      <c r="I7023" s="362"/>
      <c r="J7023" s="362"/>
    </row>
    <row r="7024" spans="1:10" x14ac:dyDescent="0.25">
      <c r="A7024" s="362"/>
      <c r="B7024" s="609">
        <v>44560</v>
      </c>
      <c r="C7024" s="362" t="s">
        <v>78</v>
      </c>
      <c r="D7024" s="560">
        <v>143220547</v>
      </c>
      <c r="E7024" s="560">
        <v>722853</v>
      </c>
      <c r="F7024" s="560"/>
      <c r="G7024" s="560">
        <f t="shared" si="149"/>
        <v>143943400</v>
      </c>
      <c r="H7024" s="362"/>
      <c r="I7024" s="362"/>
      <c r="J7024" s="362"/>
    </row>
    <row r="7025" spans="1:10" x14ac:dyDescent="0.25">
      <c r="A7025" s="362"/>
      <c r="B7025" s="609">
        <v>44560</v>
      </c>
      <c r="C7025" s="362" t="s">
        <v>141</v>
      </c>
      <c r="D7025" s="560">
        <v>177122000</v>
      </c>
      <c r="E7025" s="560"/>
      <c r="F7025" s="560"/>
      <c r="G7025" s="560">
        <f t="shared" si="149"/>
        <v>177122000</v>
      </c>
      <c r="H7025" s="362"/>
      <c r="I7025" s="362"/>
      <c r="J7025" s="362"/>
    </row>
    <row r="7026" spans="1:10" x14ac:dyDescent="0.25">
      <c r="A7026" s="362"/>
      <c r="B7026" s="609">
        <v>44560</v>
      </c>
      <c r="C7026" s="362" t="s">
        <v>89</v>
      </c>
      <c r="D7026" s="560">
        <v>229332120</v>
      </c>
      <c r="E7026" s="560">
        <v>47624280</v>
      </c>
      <c r="F7026" s="560"/>
      <c r="G7026" s="560">
        <f t="shared" si="149"/>
        <v>276956400</v>
      </c>
      <c r="H7026" s="362"/>
      <c r="I7026" s="362"/>
      <c r="J7026" s="362"/>
    </row>
    <row r="7027" spans="1:10" x14ac:dyDescent="0.25">
      <c r="A7027" s="362"/>
      <c r="B7027" s="609">
        <v>44560</v>
      </c>
      <c r="C7027" s="362" t="s">
        <v>81</v>
      </c>
      <c r="D7027" s="560">
        <v>106710087</v>
      </c>
      <c r="E7027" s="560">
        <v>5211516</v>
      </c>
      <c r="F7027" s="560"/>
      <c r="G7027" s="560">
        <f t="shared" si="149"/>
        <v>111921603</v>
      </c>
      <c r="H7027" s="362"/>
      <c r="I7027" s="362"/>
      <c r="J7027" s="362"/>
    </row>
    <row r="7028" spans="1:10" x14ac:dyDescent="0.25">
      <c r="A7028" s="362"/>
      <c r="B7028" s="609">
        <v>44560</v>
      </c>
      <c r="C7028" s="362" t="s">
        <v>84</v>
      </c>
      <c r="D7028" s="560">
        <v>230117463</v>
      </c>
      <c r="E7028" s="560">
        <v>6015875</v>
      </c>
      <c r="F7028" s="560"/>
      <c r="G7028" s="560">
        <f t="shared" si="149"/>
        <v>236133338</v>
      </c>
      <c r="H7028" s="362"/>
      <c r="I7028" s="362"/>
      <c r="J7028" s="362"/>
    </row>
    <row r="7029" spans="1:10" x14ac:dyDescent="0.25">
      <c r="A7029" s="362"/>
      <c r="B7029" s="609">
        <v>44560</v>
      </c>
      <c r="C7029" s="362" t="s">
        <v>4751</v>
      </c>
      <c r="D7029" s="560">
        <v>376843019</v>
      </c>
      <c r="E7029" s="560">
        <v>19058481</v>
      </c>
      <c r="F7029" s="560"/>
      <c r="G7029" s="560">
        <f t="shared" si="149"/>
        <v>395901500</v>
      </c>
      <c r="H7029" s="362"/>
      <c r="I7029" s="362"/>
      <c r="J7029" s="362"/>
    </row>
    <row r="7030" spans="1:10" x14ac:dyDescent="0.25">
      <c r="A7030" s="362"/>
      <c r="B7030" s="609">
        <v>44560</v>
      </c>
      <c r="C7030" s="362" t="s">
        <v>166</v>
      </c>
      <c r="D7030" s="560">
        <v>65959810</v>
      </c>
      <c r="E7030" s="560"/>
      <c r="F7030" s="560"/>
      <c r="G7030" s="560">
        <f t="shared" si="149"/>
        <v>65959810</v>
      </c>
      <c r="H7030" s="362"/>
      <c r="I7030" s="362"/>
      <c r="J7030" s="362"/>
    </row>
    <row r="7031" spans="1:10" x14ac:dyDescent="0.25">
      <c r="A7031" s="362"/>
      <c r="B7031" s="609">
        <v>44560</v>
      </c>
      <c r="C7031" s="362" t="s">
        <v>3435</v>
      </c>
      <c r="D7031" s="560"/>
      <c r="E7031" s="560"/>
      <c r="F7031" s="560"/>
      <c r="G7031" s="560">
        <f t="shared" si="149"/>
        <v>0</v>
      </c>
      <c r="H7031" s="362"/>
      <c r="I7031" s="362"/>
      <c r="J7031" s="362"/>
    </row>
    <row r="7032" spans="1:10" x14ac:dyDescent="0.25">
      <c r="A7032" s="362"/>
      <c r="B7032" s="609">
        <v>44560</v>
      </c>
      <c r="C7032" s="370" t="s">
        <v>85</v>
      </c>
      <c r="D7032" s="560">
        <v>39199900</v>
      </c>
      <c r="E7032" s="560"/>
      <c r="F7032" s="560"/>
      <c r="G7032" s="560">
        <f t="shared" si="149"/>
        <v>39199900</v>
      </c>
      <c r="H7032" s="362"/>
      <c r="I7032" s="362"/>
      <c r="J7032" s="362"/>
    </row>
    <row r="7033" spans="1:10" x14ac:dyDescent="0.25">
      <c r="A7033" s="530"/>
      <c r="B7033" s="530"/>
      <c r="C7033" s="530"/>
      <c r="D7033" s="562">
        <f>SUM(D7018:D7032)</f>
        <v>2257552214</v>
      </c>
      <c r="E7033" s="562">
        <f>SUM(E7018:E7032)</f>
        <v>1075153251</v>
      </c>
      <c r="F7033" s="562">
        <f>SUM(F7018:F7032)</f>
        <v>0</v>
      </c>
      <c r="G7033" s="562">
        <f>SUM(G7018:G7032)</f>
        <v>3332705465</v>
      </c>
      <c r="H7033" s="530"/>
      <c r="I7033" s="530"/>
      <c r="J7033" s="530"/>
    </row>
    <row r="7034" spans="1:10" x14ac:dyDescent="0.25">
      <c r="A7034" s="362"/>
      <c r="B7034" s="609">
        <v>44561</v>
      </c>
      <c r="C7034" s="362" t="s">
        <v>86</v>
      </c>
      <c r="D7034" s="560">
        <v>66230325</v>
      </c>
      <c r="E7034" s="560">
        <v>36269267</v>
      </c>
      <c r="F7034" s="560"/>
      <c r="G7034" s="560">
        <f t="shared" si="149"/>
        <v>102499592</v>
      </c>
      <c r="H7034" s="362"/>
      <c r="I7034" s="362"/>
      <c r="J7034" s="362"/>
    </row>
    <row r="7035" spans="1:10" x14ac:dyDescent="0.25">
      <c r="A7035" s="362"/>
      <c r="B7035" s="609">
        <v>44561</v>
      </c>
      <c r="C7035" s="362" t="s">
        <v>87</v>
      </c>
      <c r="D7035" s="560"/>
      <c r="E7035" s="560"/>
      <c r="F7035" s="560"/>
      <c r="G7035" s="560">
        <f t="shared" si="149"/>
        <v>0</v>
      </c>
      <c r="H7035" s="362"/>
      <c r="I7035" s="362"/>
      <c r="J7035" s="362"/>
    </row>
    <row r="7036" spans="1:10" x14ac:dyDescent="0.25">
      <c r="A7036" s="362"/>
      <c r="B7036" s="609">
        <v>44561</v>
      </c>
      <c r="C7036" s="362" t="s">
        <v>88</v>
      </c>
      <c r="D7036" s="560"/>
      <c r="E7036" s="560"/>
      <c r="F7036" s="560"/>
      <c r="G7036" s="560">
        <f t="shared" si="149"/>
        <v>0</v>
      </c>
      <c r="H7036" s="362"/>
      <c r="I7036" s="362"/>
      <c r="J7036" s="362"/>
    </row>
    <row r="7037" spans="1:10" x14ac:dyDescent="0.25">
      <c r="A7037" s="362"/>
      <c r="B7037" s="609">
        <v>44561</v>
      </c>
      <c r="C7037" s="362" t="s">
        <v>82</v>
      </c>
      <c r="D7037" s="560">
        <v>17581299</v>
      </c>
      <c r="E7037" s="560"/>
      <c r="F7037" s="560"/>
      <c r="G7037" s="560">
        <f t="shared" si="149"/>
        <v>17581299</v>
      </c>
      <c r="H7037" s="362"/>
      <c r="I7037" s="362"/>
      <c r="J7037" s="362"/>
    </row>
    <row r="7038" spans="1:10" x14ac:dyDescent="0.25">
      <c r="A7038" s="362"/>
      <c r="B7038" s="609">
        <v>44561</v>
      </c>
      <c r="C7038" s="362" t="s">
        <v>80</v>
      </c>
      <c r="D7038" s="560">
        <v>41411700</v>
      </c>
      <c r="E7038" s="560">
        <v>189680000</v>
      </c>
      <c r="F7038" s="560"/>
      <c r="G7038" s="560">
        <f t="shared" si="149"/>
        <v>231091700</v>
      </c>
      <c r="H7038" s="362"/>
      <c r="I7038" s="362"/>
      <c r="J7038" s="362"/>
    </row>
    <row r="7039" spans="1:10" x14ac:dyDescent="0.25">
      <c r="A7039" s="362"/>
      <c r="B7039" s="609">
        <v>44561</v>
      </c>
      <c r="C7039" s="362" t="s">
        <v>83</v>
      </c>
      <c r="D7039" s="560">
        <v>250052032</v>
      </c>
      <c r="E7039" s="560">
        <v>5092568</v>
      </c>
      <c r="F7039" s="560"/>
      <c r="G7039" s="560">
        <f t="shared" si="149"/>
        <v>255144600</v>
      </c>
      <c r="H7039" s="362"/>
      <c r="I7039" s="362"/>
      <c r="J7039" s="362"/>
    </row>
    <row r="7040" spans="1:10" x14ac:dyDescent="0.25">
      <c r="A7040" s="362"/>
      <c r="B7040" s="609">
        <v>44561</v>
      </c>
      <c r="C7040" s="362" t="s">
        <v>78</v>
      </c>
      <c r="D7040" s="560">
        <v>115289000</v>
      </c>
      <c r="E7040" s="560"/>
      <c r="F7040" s="560"/>
      <c r="G7040" s="560">
        <f t="shared" si="149"/>
        <v>115289000</v>
      </c>
      <c r="H7040" s="362"/>
      <c r="I7040" s="362"/>
      <c r="J7040" s="362"/>
    </row>
    <row r="7041" spans="1:10" x14ac:dyDescent="0.25">
      <c r="A7041" s="362"/>
      <c r="B7041" s="609">
        <v>44561</v>
      </c>
      <c r="C7041" s="362" t="s">
        <v>141</v>
      </c>
      <c r="D7041" s="560">
        <v>11545359</v>
      </c>
      <c r="E7041" s="560"/>
      <c r="F7041" s="560"/>
      <c r="G7041" s="560">
        <f t="shared" si="149"/>
        <v>11545359</v>
      </c>
      <c r="H7041" s="362"/>
      <c r="I7041" s="362"/>
      <c r="J7041" s="362"/>
    </row>
    <row r="7042" spans="1:10" x14ac:dyDescent="0.25">
      <c r="A7042" s="362"/>
      <c r="B7042" s="609">
        <v>44561</v>
      </c>
      <c r="C7042" s="362" t="s">
        <v>89</v>
      </c>
      <c r="D7042" s="560"/>
      <c r="E7042" s="560">
        <v>21971400</v>
      </c>
      <c r="F7042" s="560"/>
      <c r="G7042" s="560">
        <f t="shared" si="149"/>
        <v>21971400</v>
      </c>
      <c r="H7042" s="362"/>
      <c r="I7042" s="362"/>
      <c r="J7042" s="362"/>
    </row>
    <row r="7043" spans="1:10" x14ac:dyDescent="0.25">
      <c r="A7043" s="362"/>
      <c r="B7043" s="609">
        <v>44561</v>
      </c>
      <c r="C7043" s="362" t="s">
        <v>81</v>
      </c>
      <c r="D7043" s="560">
        <v>98643941</v>
      </c>
      <c r="E7043" s="560">
        <v>7343708</v>
      </c>
      <c r="F7043" s="560"/>
      <c r="G7043" s="560">
        <f t="shared" si="149"/>
        <v>105987649</v>
      </c>
      <c r="H7043" s="362"/>
      <c r="I7043" s="362"/>
      <c r="J7043" s="362"/>
    </row>
    <row r="7044" spans="1:10" x14ac:dyDescent="0.25">
      <c r="A7044" s="362"/>
      <c r="B7044" s="609">
        <v>44561</v>
      </c>
      <c r="C7044" s="362" t="s">
        <v>84</v>
      </c>
      <c r="D7044" s="560">
        <v>170773228</v>
      </c>
      <c r="E7044" s="560">
        <v>1525638</v>
      </c>
      <c r="F7044" s="560"/>
      <c r="G7044" s="560">
        <f t="shared" si="149"/>
        <v>172298866</v>
      </c>
      <c r="H7044" s="362"/>
      <c r="I7044" s="362"/>
      <c r="J7044" s="362"/>
    </row>
    <row r="7045" spans="1:10" x14ac:dyDescent="0.25">
      <c r="A7045" s="362"/>
      <c r="B7045" s="609">
        <v>44561</v>
      </c>
      <c r="C7045" s="362" t="s">
        <v>4751</v>
      </c>
      <c r="D7045" s="560">
        <v>118678954</v>
      </c>
      <c r="E7045" s="560">
        <v>612946</v>
      </c>
      <c r="F7045" s="560"/>
      <c r="G7045" s="560">
        <f t="shared" si="149"/>
        <v>119291900</v>
      </c>
      <c r="H7045" s="362"/>
      <c r="I7045" s="362"/>
      <c r="J7045" s="362"/>
    </row>
    <row r="7046" spans="1:10" x14ac:dyDescent="0.25">
      <c r="A7046" s="362"/>
      <c r="B7046" s="609">
        <v>44561</v>
      </c>
      <c r="C7046" s="362" t="s">
        <v>166</v>
      </c>
      <c r="D7046" s="560"/>
      <c r="E7046" s="560"/>
      <c r="F7046" s="560"/>
      <c r="G7046" s="560">
        <f t="shared" si="149"/>
        <v>0</v>
      </c>
      <c r="H7046" s="362"/>
      <c r="I7046" s="362"/>
      <c r="J7046" s="362"/>
    </row>
    <row r="7047" spans="1:10" x14ac:dyDescent="0.25">
      <c r="A7047" s="362"/>
      <c r="B7047" s="609">
        <v>44561</v>
      </c>
      <c r="C7047" s="362" t="s">
        <v>3435</v>
      </c>
      <c r="D7047" s="560"/>
      <c r="E7047" s="560"/>
      <c r="F7047" s="560"/>
      <c r="G7047" s="560">
        <f t="shared" si="149"/>
        <v>0</v>
      </c>
      <c r="H7047" s="362"/>
      <c r="I7047" s="362"/>
      <c r="J7047" s="362"/>
    </row>
    <row r="7048" spans="1:10" x14ac:dyDescent="0.25">
      <c r="A7048" s="362"/>
      <c r="B7048" s="609">
        <v>44561</v>
      </c>
      <c r="C7048" s="370" t="s">
        <v>85</v>
      </c>
      <c r="D7048" s="560">
        <v>31496200</v>
      </c>
      <c r="E7048" s="560">
        <v>7251600</v>
      </c>
      <c r="F7048" s="560"/>
      <c r="G7048" s="560">
        <f t="shared" si="149"/>
        <v>38747800</v>
      </c>
      <c r="H7048" s="362"/>
      <c r="I7048" s="362"/>
      <c r="J7048" s="362"/>
    </row>
    <row r="7049" spans="1:10" x14ac:dyDescent="0.25">
      <c r="A7049" s="530"/>
      <c r="B7049" s="530"/>
      <c r="C7049" s="530"/>
      <c r="D7049" s="562">
        <f>SUM(D7034:D7048)</f>
        <v>921702038</v>
      </c>
      <c r="E7049" s="562">
        <f>SUM(E7034:E7048)</f>
        <v>269747127</v>
      </c>
      <c r="F7049" s="562">
        <f>SUM(F7034:F7048)</f>
        <v>0</v>
      </c>
      <c r="G7049" s="562">
        <f>SUM(G7034:G7048)</f>
        <v>1191449165</v>
      </c>
      <c r="H7049" s="530"/>
      <c r="I7049" s="530"/>
      <c r="J7049" s="530"/>
    </row>
    <row r="7050" spans="1:10" x14ac:dyDescent="0.25">
      <c r="A7050" s="362"/>
      <c r="B7050" s="609">
        <v>44564</v>
      </c>
      <c r="C7050" s="362" t="s">
        <v>86</v>
      </c>
      <c r="D7050" s="560">
        <v>73122866</v>
      </c>
      <c r="E7050" s="560">
        <v>42181903</v>
      </c>
      <c r="F7050" s="560"/>
      <c r="G7050" s="560">
        <f t="shared" si="149"/>
        <v>115304769</v>
      </c>
      <c r="H7050" s="362"/>
      <c r="I7050" s="362"/>
      <c r="J7050" s="362"/>
    </row>
    <row r="7051" spans="1:10" x14ac:dyDescent="0.25">
      <c r="A7051" s="362"/>
      <c r="B7051" s="609">
        <v>44564</v>
      </c>
      <c r="C7051" s="362" t="s">
        <v>87</v>
      </c>
      <c r="D7051" s="560">
        <v>117598473</v>
      </c>
      <c r="E7051" s="560">
        <v>1523850</v>
      </c>
      <c r="F7051" s="560"/>
      <c r="G7051" s="560">
        <f t="shared" si="149"/>
        <v>119122323</v>
      </c>
      <c r="H7051" s="362"/>
      <c r="I7051" s="362"/>
      <c r="J7051" s="362"/>
    </row>
    <row r="7052" spans="1:10" x14ac:dyDescent="0.25">
      <c r="A7052" s="362"/>
      <c r="B7052" s="609">
        <v>44564</v>
      </c>
      <c r="C7052" s="362" t="s">
        <v>88</v>
      </c>
      <c r="D7052" s="560">
        <v>106673560</v>
      </c>
      <c r="E7052" s="560">
        <v>79001690</v>
      </c>
      <c r="F7052" s="560"/>
      <c r="G7052" s="560">
        <f t="shared" ref="G7052:G7115" si="150">D7052+E7052-F7052</f>
        <v>185675250</v>
      </c>
      <c r="H7052" s="362"/>
      <c r="I7052" s="362"/>
      <c r="J7052" s="362"/>
    </row>
    <row r="7053" spans="1:10" x14ac:dyDescent="0.25">
      <c r="A7053" s="362"/>
      <c r="B7053" s="609">
        <v>44564</v>
      </c>
      <c r="C7053" s="362" t="s">
        <v>82</v>
      </c>
      <c r="D7053" s="560">
        <v>51377762</v>
      </c>
      <c r="E7053" s="560">
        <v>1240580</v>
      </c>
      <c r="F7053" s="560"/>
      <c r="G7053" s="560">
        <f t="shared" si="150"/>
        <v>52618342</v>
      </c>
      <c r="H7053" s="362"/>
      <c r="I7053" s="362"/>
      <c r="J7053" s="362"/>
    </row>
    <row r="7054" spans="1:10" x14ac:dyDescent="0.25">
      <c r="A7054" s="362"/>
      <c r="B7054" s="609">
        <v>44564</v>
      </c>
      <c r="C7054" s="362" t="s">
        <v>80</v>
      </c>
      <c r="D7054" s="560">
        <v>244775173</v>
      </c>
      <c r="E7054" s="560"/>
      <c r="F7054" s="560"/>
      <c r="G7054" s="560">
        <f t="shared" si="150"/>
        <v>244775173</v>
      </c>
      <c r="H7054" s="362"/>
      <c r="I7054" s="362"/>
      <c r="J7054" s="362"/>
    </row>
    <row r="7055" spans="1:10" x14ac:dyDescent="0.25">
      <c r="A7055" s="362"/>
      <c r="B7055" s="609">
        <v>44564</v>
      </c>
      <c r="C7055" s="362" t="s">
        <v>83</v>
      </c>
      <c r="D7055" s="560">
        <v>191065849</v>
      </c>
      <c r="E7055" s="560">
        <v>5972321</v>
      </c>
      <c r="F7055" s="560"/>
      <c r="G7055" s="560">
        <f t="shared" si="150"/>
        <v>197038170</v>
      </c>
      <c r="H7055" s="362"/>
      <c r="I7055" s="362"/>
      <c r="J7055" s="362"/>
    </row>
    <row r="7056" spans="1:10" x14ac:dyDescent="0.25">
      <c r="A7056" s="362"/>
      <c r="B7056" s="609">
        <v>44564</v>
      </c>
      <c r="C7056" s="362" t="s">
        <v>78</v>
      </c>
      <c r="D7056" s="560">
        <v>147550117</v>
      </c>
      <c r="E7056" s="560">
        <v>3285683</v>
      </c>
      <c r="F7056" s="560"/>
      <c r="G7056" s="560">
        <f t="shared" si="150"/>
        <v>150835800</v>
      </c>
      <c r="H7056" s="362"/>
      <c r="I7056" s="362"/>
      <c r="J7056" s="362"/>
    </row>
    <row r="7057" spans="1:10" x14ac:dyDescent="0.25">
      <c r="A7057" s="362"/>
      <c r="B7057" s="609">
        <v>44564</v>
      </c>
      <c r="C7057" s="362" t="s">
        <v>141</v>
      </c>
      <c r="D7057" s="560">
        <v>109702493</v>
      </c>
      <c r="E7057" s="560"/>
      <c r="F7057" s="560"/>
      <c r="G7057" s="560">
        <f t="shared" si="150"/>
        <v>109702493</v>
      </c>
      <c r="H7057" s="362"/>
      <c r="I7057" s="362"/>
      <c r="J7057" s="362"/>
    </row>
    <row r="7058" spans="1:10" x14ac:dyDescent="0.25">
      <c r="A7058" s="362"/>
      <c r="B7058" s="609">
        <v>44564</v>
      </c>
      <c r="C7058" s="362" t="s">
        <v>89</v>
      </c>
      <c r="D7058" s="560">
        <v>140341128</v>
      </c>
      <c r="E7058" s="560">
        <v>20793572</v>
      </c>
      <c r="F7058" s="560"/>
      <c r="G7058" s="560">
        <f t="shared" si="150"/>
        <v>161134700</v>
      </c>
      <c r="H7058" s="362"/>
      <c r="I7058" s="362"/>
      <c r="J7058" s="362"/>
    </row>
    <row r="7059" spans="1:10" x14ac:dyDescent="0.25">
      <c r="A7059" s="362"/>
      <c r="B7059" s="609">
        <v>44564</v>
      </c>
      <c r="C7059" s="362" t="s">
        <v>81</v>
      </c>
      <c r="D7059" s="560">
        <v>76810320</v>
      </c>
      <c r="E7059" s="560">
        <v>28748794</v>
      </c>
      <c r="F7059" s="560"/>
      <c r="G7059" s="560">
        <f t="shared" si="150"/>
        <v>105559114</v>
      </c>
      <c r="H7059" s="362"/>
      <c r="I7059" s="362"/>
      <c r="J7059" s="362"/>
    </row>
    <row r="7060" spans="1:10" x14ac:dyDescent="0.25">
      <c r="A7060" s="362"/>
      <c r="B7060" s="609">
        <v>44564</v>
      </c>
      <c r="C7060" s="362" t="s">
        <v>84</v>
      </c>
      <c r="D7060" s="560">
        <v>247222562</v>
      </c>
      <c r="E7060" s="560">
        <v>9611976</v>
      </c>
      <c r="F7060" s="560"/>
      <c r="G7060" s="560">
        <f t="shared" si="150"/>
        <v>256834538</v>
      </c>
      <c r="H7060" s="362"/>
      <c r="I7060" s="362"/>
      <c r="J7060" s="362"/>
    </row>
    <row r="7061" spans="1:10" x14ac:dyDescent="0.25">
      <c r="A7061" s="362"/>
      <c r="B7061" s="609">
        <v>44564</v>
      </c>
      <c r="C7061" s="362" t="s">
        <v>4751</v>
      </c>
      <c r="D7061" s="560">
        <v>215582919</v>
      </c>
      <c r="E7061" s="560">
        <v>15119281</v>
      </c>
      <c r="F7061" s="560"/>
      <c r="G7061" s="560">
        <f t="shared" si="150"/>
        <v>230702200</v>
      </c>
      <c r="H7061" s="362"/>
      <c r="I7061" s="362"/>
      <c r="J7061" s="362"/>
    </row>
    <row r="7062" spans="1:10" x14ac:dyDescent="0.25">
      <c r="A7062" s="362"/>
      <c r="B7062" s="609">
        <v>44564</v>
      </c>
      <c r="C7062" s="362" t="s">
        <v>166</v>
      </c>
      <c r="D7062" s="560">
        <v>114880110</v>
      </c>
      <c r="E7062" s="560"/>
      <c r="F7062" s="560"/>
      <c r="G7062" s="560">
        <f t="shared" si="150"/>
        <v>114880110</v>
      </c>
      <c r="H7062" s="362"/>
      <c r="I7062" s="362"/>
      <c r="J7062" s="362"/>
    </row>
    <row r="7063" spans="1:10" x14ac:dyDescent="0.25">
      <c r="A7063" s="362"/>
      <c r="B7063" s="609">
        <v>44564</v>
      </c>
      <c r="C7063" s="362" t="s">
        <v>3435</v>
      </c>
      <c r="D7063" s="560">
        <v>25085128</v>
      </c>
      <c r="E7063" s="560"/>
      <c r="F7063" s="560"/>
      <c r="G7063" s="560">
        <f t="shared" si="150"/>
        <v>25085128</v>
      </c>
      <c r="H7063" s="362"/>
      <c r="I7063" s="362"/>
      <c r="J7063" s="362"/>
    </row>
    <row r="7064" spans="1:10" x14ac:dyDescent="0.25">
      <c r="A7064" s="362"/>
      <c r="B7064" s="609">
        <v>44564</v>
      </c>
      <c r="C7064" s="370" t="s">
        <v>85</v>
      </c>
      <c r="D7064" s="560">
        <v>50990400</v>
      </c>
      <c r="E7064" s="560">
        <v>9655965</v>
      </c>
      <c r="F7064" s="560"/>
      <c r="G7064" s="560">
        <f t="shared" si="150"/>
        <v>60646365</v>
      </c>
      <c r="H7064" s="362"/>
      <c r="I7064" s="362"/>
      <c r="J7064" s="362"/>
    </row>
    <row r="7065" spans="1:10" x14ac:dyDescent="0.25">
      <c r="A7065" s="530"/>
      <c r="B7065" s="530"/>
      <c r="C7065" s="530"/>
      <c r="D7065" s="562">
        <f>SUM(D7050:D7064)</f>
        <v>1912778860</v>
      </c>
      <c r="E7065" s="562">
        <f>SUM(E7050:E7064)</f>
        <v>217135615</v>
      </c>
      <c r="F7065" s="562">
        <f>SUM(F7050:F7064)</f>
        <v>0</v>
      </c>
      <c r="G7065" s="562">
        <f>SUM(G7050:G7064)</f>
        <v>2129914475</v>
      </c>
      <c r="H7065" s="530"/>
      <c r="I7065" s="530"/>
      <c r="J7065" s="530"/>
    </row>
    <row r="7066" spans="1:10" x14ac:dyDescent="0.25">
      <c r="A7066" s="362"/>
      <c r="B7066" s="609">
        <v>44565</v>
      </c>
      <c r="C7066" s="362" t="s">
        <v>86</v>
      </c>
      <c r="D7066" s="560">
        <v>55059148</v>
      </c>
      <c r="E7066" s="560">
        <v>15793100</v>
      </c>
      <c r="F7066" s="560"/>
      <c r="G7066" s="560">
        <f t="shared" si="150"/>
        <v>70852248</v>
      </c>
      <c r="H7066" s="362"/>
      <c r="I7066" s="362"/>
      <c r="J7066" s="362"/>
    </row>
    <row r="7067" spans="1:10" x14ac:dyDescent="0.25">
      <c r="A7067" s="362"/>
      <c r="B7067" s="609">
        <v>44565</v>
      </c>
      <c r="C7067" s="362" t="s">
        <v>87</v>
      </c>
      <c r="D7067" s="560">
        <v>95892942</v>
      </c>
      <c r="E7067" s="560">
        <v>76903235</v>
      </c>
      <c r="F7067" s="560"/>
      <c r="G7067" s="560">
        <f t="shared" si="150"/>
        <v>172796177</v>
      </c>
      <c r="H7067" s="362"/>
      <c r="I7067" s="362"/>
      <c r="J7067" s="362"/>
    </row>
    <row r="7068" spans="1:10" x14ac:dyDescent="0.25">
      <c r="A7068" s="362"/>
      <c r="B7068" s="609">
        <v>44565</v>
      </c>
      <c r="C7068" s="362" t="s">
        <v>88</v>
      </c>
      <c r="D7068" s="560">
        <v>142665227</v>
      </c>
      <c r="E7068" s="560">
        <v>64050138</v>
      </c>
      <c r="F7068" s="560"/>
      <c r="G7068" s="560">
        <f t="shared" si="150"/>
        <v>206715365</v>
      </c>
      <c r="H7068" s="362"/>
      <c r="I7068" s="362"/>
      <c r="J7068" s="362"/>
    </row>
    <row r="7069" spans="1:10" x14ac:dyDescent="0.25">
      <c r="A7069" s="362"/>
      <c r="B7069" s="609">
        <v>44565</v>
      </c>
      <c r="C7069" s="362" t="s">
        <v>82</v>
      </c>
      <c r="D7069" s="560">
        <v>66142523</v>
      </c>
      <c r="E7069" s="560">
        <v>697840</v>
      </c>
      <c r="F7069" s="560"/>
      <c r="G7069" s="560">
        <f t="shared" si="150"/>
        <v>66840363</v>
      </c>
      <c r="H7069" s="362"/>
      <c r="I7069" s="362"/>
      <c r="J7069" s="362"/>
    </row>
    <row r="7070" spans="1:10" x14ac:dyDescent="0.25">
      <c r="A7070" s="362"/>
      <c r="B7070" s="609">
        <v>44565</v>
      </c>
      <c r="C7070" s="362" t="s">
        <v>80</v>
      </c>
      <c r="D7070" s="560">
        <v>346548064</v>
      </c>
      <c r="E7070" s="560"/>
      <c r="F7070" s="560"/>
      <c r="G7070" s="560">
        <f t="shared" si="150"/>
        <v>346548064</v>
      </c>
      <c r="H7070" s="362"/>
      <c r="I7070" s="362"/>
      <c r="J7070" s="362"/>
    </row>
    <row r="7071" spans="1:10" x14ac:dyDescent="0.25">
      <c r="A7071" s="362"/>
      <c r="B7071" s="609">
        <v>44565</v>
      </c>
      <c r="C7071" s="362" t="s">
        <v>83</v>
      </c>
      <c r="D7071" s="560">
        <v>132183791</v>
      </c>
      <c r="E7071" s="560">
        <v>49360592</v>
      </c>
      <c r="F7071" s="560"/>
      <c r="G7071" s="560">
        <f t="shared" si="150"/>
        <v>181544383</v>
      </c>
      <c r="H7071" s="362"/>
      <c r="I7071" s="362"/>
      <c r="J7071" s="362"/>
    </row>
    <row r="7072" spans="1:10" x14ac:dyDescent="0.25">
      <c r="A7072" s="362"/>
      <c r="B7072" s="609">
        <v>44565</v>
      </c>
      <c r="C7072" s="362" t="s">
        <v>78</v>
      </c>
      <c r="D7072" s="560">
        <v>189317479</v>
      </c>
      <c r="E7072" s="560">
        <v>1347221</v>
      </c>
      <c r="F7072" s="560"/>
      <c r="G7072" s="560">
        <f t="shared" si="150"/>
        <v>190664700</v>
      </c>
      <c r="H7072" s="362"/>
      <c r="I7072" s="362"/>
      <c r="J7072" s="362"/>
    </row>
    <row r="7073" spans="1:10" x14ac:dyDescent="0.25">
      <c r="A7073" s="362"/>
      <c r="B7073" s="609">
        <v>44565</v>
      </c>
      <c r="C7073" s="362" t="s">
        <v>141</v>
      </c>
      <c r="D7073" s="560">
        <v>60020832</v>
      </c>
      <c r="E7073" s="560"/>
      <c r="F7073" s="560"/>
      <c r="G7073" s="560">
        <f t="shared" si="150"/>
        <v>60020832</v>
      </c>
      <c r="H7073" s="362"/>
      <c r="I7073" s="362"/>
      <c r="J7073" s="362"/>
    </row>
    <row r="7074" spans="1:10" x14ac:dyDescent="0.25">
      <c r="A7074" s="362"/>
      <c r="B7074" s="609">
        <v>44565</v>
      </c>
      <c r="C7074" s="362" t="s">
        <v>89</v>
      </c>
      <c r="D7074" s="560">
        <v>97763795</v>
      </c>
      <c r="E7074" s="560">
        <v>34008205</v>
      </c>
      <c r="F7074" s="560"/>
      <c r="G7074" s="560">
        <f t="shared" si="150"/>
        <v>131772000</v>
      </c>
      <c r="H7074" s="362"/>
      <c r="I7074" s="362"/>
      <c r="J7074" s="362"/>
    </row>
    <row r="7075" spans="1:10" x14ac:dyDescent="0.25">
      <c r="A7075" s="362"/>
      <c r="B7075" s="609">
        <v>44565</v>
      </c>
      <c r="C7075" s="362" t="s">
        <v>81</v>
      </c>
      <c r="D7075" s="560">
        <v>100033142</v>
      </c>
      <c r="E7075" s="560">
        <v>10610840</v>
      </c>
      <c r="F7075" s="560"/>
      <c r="G7075" s="560">
        <f t="shared" si="150"/>
        <v>110643982</v>
      </c>
      <c r="H7075" s="362"/>
      <c r="I7075" s="362"/>
      <c r="J7075" s="362"/>
    </row>
    <row r="7076" spans="1:10" x14ac:dyDescent="0.25">
      <c r="A7076" s="362"/>
      <c r="B7076" s="609">
        <v>44565</v>
      </c>
      <c r="C7076" s="362" t="s">
        <v>84</v>
      </c>
      <c r="D7076" s="560">
        <v>400389940</v>
      </c>
      <c r="E7076" s="560">
        <v>17868560</v>
      </c>
      <c r="F7076" s="560"/>
      <c r="G7076" s="560">
        <f t="shared" si="150"/>
        <v>418258500</v>
      </c>
      <c r="H7076" s="362"/>
      <c r="I7076" s="362"/>
      <c r="J7076" s="362"/>
    </row>
    <row r="7077" spans="1:10" x14ac:dyDescent="0.25">
      <c r="A7077" s="362"/>
      <c r="B7077" s="609">
        <v>44565</v>
      </c>
      <c r="C7077" s="362" t="s">
        <v>4751</v>
      </c>
      <c r="D7077" s="560">
        <v>195790780</v>
      </c>
      <c r="E7077" s="560">
        <v>9600220</v>
      </c>
      <c r="F7077" s="560"/>
      <c r="G7077" s="560">
        <f t="shared" si="150"/>
        <v>205391000</v>
      </c>
      <c r="H7077" s="362"/>
      <c r="I7077" s="362"/>
      <c r="J7077" s="362"/>
    </row>
    <row r="7078" spans="1:10" x14ac:dyDescent="0.25">
      <c r="A7078" s="362"/>
      <c r="B7078" s="609">
        <v>44565</v>
      </c>
      <c r="C7078" s="362" t="s">
        <v>166</v>
      </c>
      <c r="D7078" s="560">
        <v>137372662</v>
      </c>
      <c r="E7078" s="560"/>
      <c r="F7078" s="560"/>
      <c r="G7078" s="560">
        <f t="shared" si="150"/>
        <v>137372662</v>
      </c>
      <c r="H7078" s="362"/>
      <c r="I7078" s="362"/>
      <c r="J7078" s="362"/>
    </row>
    <row r="7079" spans="1:10" x14ac:dyDescent="0.25">
      <c r="A7079" s="362"/>
      <c r="B7079" s="609">
        <v>44565</v>
      </c>
      <c r="C7079" s="362" t="s">
        <v>3435</v>
      </c>
      <c r="D7079" s="560">
        <v>60758324</v>
      </c>
      <c r="E7079" s="560"/>
      <c r="F7079" s="560"/>
      <c r="G7079" s="560">
        <f t="shared" si="150"/>
        <v>60758324</v>
      </c>
      <c r="H7079" s="362"/>
      <c r="I7079" s="362"/>
      <c r="J7079" s="362"/>
    </row>
    <row r="7080" spans="1:10" x14ac:dyDescent="0.25">
      <c r="A7080" s="362"/>
      <c r="B7080" s="609">
        <v>44565</v>
      </c>
      <c r="C7080" s="370" t="s">
        <v>85</v>
      </c>
      <c r="D7080" s="560">
        <v>35007300</v>
      </c>
      <c r="E7080" s="560"/>
      <c r="F7080" s="560"/>
      <c r="G7080" s="560">
        <f t="shared" si="150"/>
        <v>35007300</v>
      </c>
      <c r="H7080" s="362"/>
      <c r="I7080" s="362"/>
      <c r="J7080" s="362"/>
    </row>
    <row r="7081" spans="1:10" x14ac:dyDescent="0.25">
      <c r="A7081" s="530"/>
      <c r="B7081" s="530"/>
      <c r="C7081" s="530"/>
      <c r="D7081" s="562">
        <f>SUM(D7066:D7080)</f>
        <v>2114945949</v>
      </c>
      <c r="E7081" s="562">
        <f>SUM(E7066:E7080)</f>
        <v>280239951</v>
      </c>
      <c r="F7081" s="562">
        <f>SUM(F7066:F7080)</f>
        <v>0</v>
      </c>
      <c r="G7081" s="562">
        <f>SUM(G7066:G7080)</f>
        <v>2395185900</v>
      </c>
      <c r="H7081" s="530"/>
      <c r="I7081" s="530"/>
      <c r="J7081" s="530"/>
    </row>
    <row r="7082" spans="1:10" x14ac:dyDescent="0.25">
      <c r="A7082" s="362"/>
      <c r="B7082" s="609">
        <v>44566</v>
      </c>
      <c r="C7082" s="362" t="s">
        <v>86</v>
      </c>
      <c r="D7082" s="560">
        <v>73383627</v>
      </c>
      <c r="E7082" s="560">
        <v>11583358</v>
      </c>
      <c r="F7082" s="560"/>
      <c r="G7082" s="560">
        <f t="shared" si="150"/>
        <v>84966985</v>
      </c>
      <c r="H7082" s="362"/>
      <c r="I7082" s="362"/>
      <c r="J7082" s="362"/>
    </row>
    <row r="7083" spans="1:10" x14ac:dyDescent="0.25">
      <c r="A7083" s="362"/>
      <c r="B7083" s="609">
        <v>44566</v>
      </c>
      <c r="C7083" s="362" t="s">
        <v>87</v>
      </c>
      <c r="D7083" s="560">
        <v>159745682</v>
      </c>
      <c r="E7083" s="560">
        <v>137581088</v>
      </c>
      <c r="F7083" s="560"/>
      <c r="G7083" s="560">
        <f t="shared" si="150"/>
        <v>297326770</v>
      </c>
      <c r="H7083" s="362"/>
      <c r="I7083" s="362"/>
      <c r="J7083" s="362"/>
    </row>
    <row r="7084" spans="1:10" x14ac:dyDescent="0.25">
      <c r="A7084" s="362"/>
      <c r="B7084" s="609">
        <v>44566</v>
      </c>
      <c r="C7084" s="362" t="s">
        <v>88</v>
      </c>
      <c r="D7084" s="560">
        <v>234403866</v>
      </c>
      <c r="E7084" s="560">
        <v>27534861</v>
      </c>
      <c r="F7084" s="560"/>
      <c r="G7084" s="560">
        <f t="shared" si="150"/>
        <v>261938727</v>
      </c>
      <c r="H7084" s="362"/>
      <c r="I7084" s="362"/>
      <c r="J7084" s="362"/>
    </row>
    <row r="7085" spans="1:10" x14ac:dyDescent="0.25">
      <c r="A7085" s="362"/>
      <c r="B7085" s="609">
        <v>44566</v>
      </c>
      <c r="C7085" s="362" t="s">
        <v>82</v>
      </c>
      <c r="D7085" s="560">
        <v>98238431</v>
      </c>
      <c r="E7085" s="560">
        <v>1902065</v>
      </c>
      <c r="F7085" s="560"/>
      <c r="G7085" s="560">
        <f t="shared" si="150"/>
        <v>100140496</v>
      </c>
      <c r="H7085" s="362"/>
      <c r="I7085" s="362"/>
      <c r="J7085" s="362"/>
    </row>
    <row r="7086" spans="1:10" x14ac:dyDescent="0.25">
      <c r="A7086" s="362"/>
      <c r="B7086" s="609">
        <v>44566</v>
      </c>
      <c r="C7086" s="362" t="s">
        <v>80</v>
      </c>
      <c r="D7086" s="560">
        <v>455065623</v>
      </c>
      <c r="E7086" s="560"/>
      <c r="F7086" s="560"/>
      <c r="G7086" s="560">
        <f t="shared" si="150"/>
        <v>455065623</v>
      </c>
      <c r="H7086" s="362"/>
      <c r="I7086" s="362"/>
      <c r="J7086" s="362"/>
    </row>
    <row r="7087" spans="1:10" x14ac:dyDescent="0.25">
      <c r="A7087" s="362"/>
      <c r="B7087" s="609">
        <v>44566</v>
      </c>
      <c r="C7087" s="362" t="s">
        <v>83</v>
      </c>
      <c r="D7087" s="560">
        <v>197387359</v>
      </c>
      <c r="E7087" s="560">
        <v>14775227</v>
      </c>
      <c r="F7087" s="560"/>
      <c r="G7087" s="560">
        <f t="shared" si="150"/>
        <v>212162586</v>
      </c>
      <c r="H7087" s="362"/>
      <c r="I7087" s="362"/>
      <c r="J7087" s="362"/>
    </row>
    <row r="7088" spans="1:10" x14ac:dyDescent="0.25">
      <c r="A7088" s="362"/>
      <c r="B7088" s="609">
        <v>44566</v>
      </c>
      <c r="C7088" s="362" t="s">
        <v>78</v>
      </c>
      <c r="D7088" s="560">
        <v>101639382</v>
      </c>
      <c r="E7088" s="560">
        <v>7400518</v>
      </c>
      <c r="F7088" s="560"/>
      <c r="G7088" s="560">
        <f t="shared" si="150"/>
        <v>109039900</v>
      </c>
      <c r="H7088" s="362"/>
      <c r="I7088" s="362"/>
      <c r="J7088" s="362"/>
    </row>
    <row r="7089" spans="1:10" x14ac:dyDescent="0.25">
      <c r="A7089" s="362"/>
      <c r="B7089" s="609">
        <v>44566</v>
      </c>
      <c r="C7089" s="362" t="s">
        <v>141</v>
      </c>
      <c r="D7089" s="560">
        <v>137357095</v>
      </c>
      <c r="E7089" s="560">
        <v>123094</v>
      </c>
      <c r="F7089" s="560"/>
      <c r="G7089" s="560">
        <f t="shared" si="150"/>
        <v>137480189</v>
      </c>
      <c r="H7089" s="362"/>
      <c r="I7089" s="362"/>
      <c r="J7089" s="362"/>
    </row>
    <row r="7090" spans="1:10" x14ac:dyDescent="0.25">
      <c r="A7090" s="362"/>
      <c r="B7090" s="609">
        <v>44566</v>
      </c>
      <c r="C7090" s="362" t="s">
        <v>89</v>
      </c>
      <c r="D7090" s="560">
        <v>133585752</v>
      </c>
      <c r="E7090" s="560">
        <v>42083648</v>
      </c>
      <c r="F7090" s="560"/>
      <c r="G7090" s="560">
        <f t="shared" si="150"/>
        <v>175669400</v>
      </c>
      <c r="H7090" s="362"/>
      <c r="I7090" s="362"/>
      <c r="J7090" s="362"/>
    </row>
    <row r="7091" spans="1:10" x14ac:dyDescent="0.25">
      <c r="A7091" s="362"/>
      <c r="B7091" s="609">
        <v>44566</v>
      </c>
      <c r="C7091" s="362" t="s">
        <v>81</v>
      </c>
      <c r="D7091" s="560">
        <v>131563755</v>
      </c>
      <c r="E7091" s="560">
        <v>12985999</v>
      </c>
      <c r="F7091" s="560"/>
      <c r="G7091" s="560">
        <f t="shared" si="150"/>
        <v>144549754</v>
      </c>
      <c r="H7091" s="362"/>
      <c r="I7091" s="362"/>
      <c r="J7091" s="362"/>
    </row>
    <row r="7092" spans="1:10" x14ac:dyDescent="0.25">
      <c r="A7092" s="362"/>
      <c r="B7092" s="609">
        <v>44566</v>
      </c>
      <c r="C7092" s="362" t="s">
        <v>84</v>
      </c>
      <c r="D7092" s="560">
        <v>256782669</v>
      </c>
      <c r="E7092" s="560">
        <v>19015422</v>
      </c>
      <c r="F7092" s="560"/>
      <c r="G7092" s="560">
        <f t="shared" si="150"/>
        <v>275798091</v>
      </c>
      <c r="H7092" s="362"/>
      <c r="I7092" s="362"/>
      <c r="J7092" s="362"/>
    </row>
    <row r="7093" spans="1:10" x14ac:dyDescent="0.25">
      <c r="A7093" s="362"/>
      <c r="B7093" s="609">
        <v>44566</v>
      </c>
      <c r="C7093" s="362" t="s">
        <v>4751</v>
      </c>
      <c r="D7093" s="560">
        <v>177977598</v>
      </c>
      <c r="E7093" s="560">
        <v>7242702</v>
      </c>
      <c r="F7093" s="560"/>
      <c r="G7093" s="560">
        <f t="shared" si="150"/>
        <v>185220300</v>
      </c>
      <c r="H7093" s="362"/>
      <c r="I7093" s="362"/>
      <c r="J7093" s="362"/>
    </row>
    <row r="7094" spans="1:10" x14ac:dyDescent="0.25">
      <c r="A7094" s="362"/>
      <c r="B7094" s="609">
        <v>44566</v>
      </c>
      <c r="C7094" s="362" t="s">
        <v>166</v>
      </c>
      <c r="D7094" s="560">
        <v>53751682</v>
      </c>
      <c r="E7094" s="560"/>
      <c r="F7094" s="560"/>
      <c r="G7094" s="560">
        <f t="shared" si="150"/>
        <v>53751682</v>
      </c>
      <c r="H7094" s="362"/>
      <c r="I7094" s="362"/>
      <c r="J7094" s="362"/>
    </row>
    <row r="7095" spans="1:10" x14ac:dyDescent="0.25">
      <c r="A7095" s="362"/>
      <c r="B7095" s="609">
        <v>44566</v>
      </c>
      <c r="C7095" s="362" t="s">
        <v>3435</v>
      </c>
      <c r="D7095" s="560">
        <v>85048749</v>
      </c>
      <c r="E7095" s="560"/>
      <c r="F7095" s="560"/>
      <c r="G7095" s="560">
        <f t="shared" si="150"/>
        <v>85048749</v>
      </c>
      <c r="H7095" s="362"/>
      <c r="I7095" s="362"/>
      <c r="J7095" s="362"/>
    </row>
    <row r="7096" spans="1:10" x14ac:dyDescent="0.25">
      <c r="A7096" s="362"/>
      <c r="B7096" s="609">
        <v>44566</v>
      </c>
      <c r="C7096" s="370" t="s">
        <v>85</v>
      </c>
      <c r="D7096" s="560">
        <v>52214600</v>
      </c>
      <c r="E7096" s="560"/>
      <c r="F7096" s="560"/>
      <c r="G7096" s="560">
        <f t="shared" si="150"/>
        <v>52214600</v>
      </c>
      <c r="H7096" s="362"/>
      <c r="I7096" s="362"/>
      <c r="J7096" s="362"/>
    </row>
    <row r="7097" spans="1:10" x14ac:dyDescent="0.25">
      <c r="A7097" s="530"/>
      <c r="B7097" s="530"/>
      <c r="C7097" s="530"/>
      <c r="D7097" s="562">
        <f>SUM(D7082:D7096)</f>
        <v>2348145870</v>
      </c>
      <c r="E7097" s="562">
        <f>SUM(E7082:E7096)</f>
        <v>282227982</v>
      </c>
      <c r="F7097" s="562">
        <f>SUM(F7082:F7096)</f>
        <v>0</v>
      </c>
      <c r="G7097" s="562">
        <f>SUM(G7082:G7096)</f>
        <v>2630373852</v>
      </c>
      <c r="H7097" s="530"/>
      <c r="I7097" s="530"/>
      <c r="J7097" s="530"/>
    </row>
    <row r="7098" spans="1:10" x14ac:dyDescent="0.25">
      <c r="A7098" s="362"/>
      <c r="B7098" s="609">
        <v>44567</v>
      </c>
      <c r="C7098" s="362" t="s">
        <v>86</v>
      </c>
      <c r="D7098" s="560">
        <v>124942419</v>
      </c>
      <c r="E7098" s="560">
        <v>44601100</v>
      </c>
      <c r="F7098" s="560">
        <v>169543600</v>
      </c>
      <c r="G7098" s="560">
        <f t="shared" si="150"/>
        <v>-81</v>
      </c>
      <c r="H7098" s="362"/>
      <c r="I7098" s="362"/>
      <c r="J7098" s="362"/>
    </row>
    <row r="7099" spans="1:10" x14ac:dyDescent="0.25">
      <c r="A7099" s="362"/>
      <c r="B7099" s="609">
        <v>44567</v>
      </c>
      <c r="C7099" s="362" t="s">
        <v>87</v>
      </c>
      <c r="D7099" s="560">
        <v>81948900</v>
      </c>
      <c r="E7099" s="560">
        <v>111483120</v>
      </c>
      <c r="F7099" s="560">
        <v>193432100</v>
      </c>
      <c r="G7099" s="560">
        <f t="shared" si="150"/>
        <v>-80</v>
      </c>
      <c r="H7099" s="362"/>
      <c r="I7099" s="362"/>
      <c r="J7099" s="362"/>
    </row>
    <row r="7100" spans="1:10" x14ac:dyDescent="0.25">
      <c r="A7100" s="362"/>
      <c r="B7100" s="609">
        <v>44567</v>
      </c>
      <c r="C7100" s="362" t="s">
        <v>88</v>
      </c>
      <c r="D7100" s="560">
        <v>204095206</v>
      </c>
      <c r="E7100" s="560">
        <v>82196237</v>
      </c>
      <c r="F7100" s="560">
        <v>286291000</v>
      </c>
      <c r="G7100" s="560">
        <f t="shared" si="150"/>
        <v>443</v>
      </c>
      <c r="H7100" s="362"/>
      <c r="I7100" s="362"/>
      <c r="J7100" s="362"/>
    </row>
    <row r="7101" spans="1:10" x14ac:dyDescent="0.25">
      <c r="A7101" s="362"/>
      <c r="B7101" s="609">
        <v>44567</v>
      </c>
      <c r="C7101" s="362" t="s">
        <v>82</v>
      </c>
      <c r="D7101" s="560">
        <v>93507056</v>
      </c>
      <c r="E7101" s="560">
        <v>3436232</v>
      </c>
      <c r="F7101" s="560">
        <v>96943400</v>
      </c>
      <c r="G7101" s="560">
        <f t="shared" si="150"/>
        <v>-112</v>
      </c>
      <c r="H7101" s="362"/>
      <c r="I7101" s="362"/>
      <c r="J7101" s="362"/>
    </row>
    <row r="7102" spans="1:10" x14ac:dyDescent="0.25">
      <c r="A7102" s="362"/>
      <c r="B7102" s="609">
        <v>44567</v>
      </c>
      <c r="C7102" s="362" t="s">
        <v>80</v>
      </c>
      <c r="D7102" s="560">
        <v>362777200</v>
      </c>
      <c r="E7102" s="560"/>
      <c r="F7102" s="560">
        <v>362777200</v>
      </c>
      <c r="G7102" s="560">
        <f t="shared" si="150"/>
        <v>0</v>
      </c>
      <c r="H7102" s="362"/>
      <c r="I7102" s="362"/>
      <c r="J7102" s="362"/>
    </row>
    <row r="7103" spans="1:10" x14ac:dyDescent="0.25">
      <c r="A7103" s="362"/>
      <c r="B7103" s="609">
        <v>44567</v>
      </c>
      <c r="C7103" s="362" t="s">
        <v>83</v>
      </c>
      <c r="D7103" s="560">
        <v>167603664</v>
      </c>
      <c r="E7103" s="560">
        <v>10485526</v>
      </c>
      <c r="F7103" s="560">
        <v>178089200</v>
      </c>
      <c r="G7103" s="560">
        <f t="shared" si="150"/>
        <v>-10</v>
      </c>
      <c r="H7103" s="362"/>
      <c r="I7103" s="362"/>
      <c r="J7103" s="362"/>
    </row>
    <row r="7104" spans="1:10" x14ac:dyDescent="0.25">
      <c r="A7104" s="362"/>
      <c r="B7104" s="609">
        <v>44567</v>
      </c>
      <c r="C7104" s="362" t="s">
        <v>78</v>
      </c>
      <c r="D7104" s="560">
        <v>119215791</v>
      </c>
      <c r="E7104" s="560">
        <v>1687909</v>
      </c>
      <c r="F7104" s="560">
        <v>120903700</v>
      </c>
      <c r="G7104" s="560">
        <f t="shared" si="150"/>
        <v>0</v>
      </c>
      <c r="H7104" s="362"/>
      <c r="I7104" s="362"/>
      <c r="J7104" s="362"/>
    </row>
    <row r="7105" spans="1:10" x14ac:dyDescent="0.25">
      <c r="A7105" s="362"/>
      <c r="B7105" s="609">
        <v>44567</v>
      </c>
      <c r="C7105" s="362" t="s">
        <v>141</v>
      </c>
      <c r="D7105" s="560">
        <v>75900895</v>
      </c>
      <c r="E7105" s="560"/>
      <c r="F7105" s="560">
        <v>75900900</v>
      </c>
      <c r="G7105" s="560">
        <f t="shared" si="150"/>
        <v>-5</v>
      </c>
      <c r="H7105" s="362"/>
      <c r="I7105" s="362"/>
      <c r="J7105" s="362"/>
    </row>
    <row r="7106" spans="1:10" x14ac:dyDescent="0.25">
      <c r="A7106" s="362"/>
      <c r="B7106" s="609">
        <v>44567</v>
      </c>
      <c r="C7106" s="362" t="s">
        <v>89</v>
      </c>
      <c r="D7106" s="560">
        <v>133816254</v>
      </c>
      <c r="E7106" s="560">
        <v>53098146</v>
      </c>
      <c r="F7106" s="560">
        <v>186914400</v>
      </c>
      <c r="G7106" s="560">
        <f t="shared" si="150"/>
        <v>0</v>
      </c>
      <c r="H7106" s="362"/>
      <c r="I7106" s="362"/>
      <c r="J7106" s="362"/>
    </row>
    <row r="7107" spans="1:10" x14ac:dyDescent="0.25">
      <c r="A7107" s="362"/>
      <c r="B7107" s="609">
        <v>44567</v>
      </c>
      <c r="C7107" s="362" t="s">
        <v>81</v>
      </c>
      <c r="D7107" s="560">
        <v>156151445</v>
      </c>
      <c r="E7107" s="560">
        <v>30291910</v>
      </c>
      <c r="F7107" s="560">
        <v>186443400</v>
      </c>
      <c r="G7107" s="560">
        <f t="shared" si="150"/>
        <v>-45</v>
      </c>
      <c r="H7107" s="362"/>
      <c r="I7107" s="362"/>
      <c r="J7107" s="362"/>
    </row>
    <row r="7108" spans="1:10" x14ac:dyDescent="0.25">
      <c r="A7108" s="362"/>
      <c r="B7108" s="609">
        <v>44567</v>
      </c>
      <c r="C7108" s="362" t="s">
        <v>84</v>
      </c>
      <c r="D7108" s="560">
        <v>163639422</v>
      </c>
      <c r="E7108" s="560">
        <v>18376626</v>
      </c>
      <c r="F7108" s="560">
        <v>182016100</v>
      </c>
      <c r="G7108" s="560">
        <f t="shared" si="150"/>
        <v>-52</v>
      </c>
      <c r="H7108" s="362"/>
      <c r="I7108" s="362"/>
      <c r="J7108" s="362"/>
    </row>
    <row r="7109" spans="1:10" x14ac:dyDescent="0.25">
      <c r="A7109" s="362"/>
      <c r="B7109" s="609">
        <v>44567</v>
      </c>
      <c r="C7109" s="362" t="s">
        <v>4751</v>
      </c>
      <c r="D7109" s="560">
        <v>190609479</v>
      </c>
      <c r="E7109" s="560">
        <v>26680321</v>
      </c>
      <c r="F7109" s="560">
        <v>217289800</v>
      </c>
      <c r="G7109" s="560">
        <f t="shared" si="150"/>
        <v>0</v>
      </c>
      <c r="H7109" s="362"/>
      <c r="I7109" s="362"/>
      <c r="J7109" s="362"/>
    </row>
    <row r="7110" spans="1:10" x14ac:dyDescent="0.25">
      <c r="A7110" s="362"/>
      <c r="B7110" s="609">
        <v>44567</v>
      </c>
      <c r="C7110" s="362" t="s">
        <v>166</v>
      </c>
      <c r="D7110" s="560">
        <v>141564108</v>
      </c>
      <c r="E7110" s="560"/>
      <c r="F7110" s="560">
        <v>141564200</v>
      </c>
      <c r="G7110" s="560">
        <f t="shared" si="150"/>
        <v>-92</v>
      </c>
      <c r="H7110" s="362"/>
      <c r="I7110" s="362"/>
      <c r="J7110" s="362"/>
    </row>
    <row r="7111" spans="1:10" x14ac:dyDescent="0.25">
      <c r="A7111" s="362"/>
      <c r="B7111" s="609">
        <v>44567</v>
      </c>
      <c r="C7111" s="362" t="s">
        <v>3435</v>
      </c>
      <c r="D7111" s="560">
        <v>111282842</v>
      </c>
      <c r="E7111" s="560"/>
      <c r="F7111" s="560">
        <v>111282900</v>
      </c>
      <c r="G7111" s="560">
        <f t="shared" si="150"/>
        <v>-58</v>
      </c>
      <c r="H7111" s="362"/>
      <c r="I7111" s="362"/>
      <c r="J7111" s="362"/>
    </row>
    <row r="7112" spans="1:10" x14ac:dyDescent="0.25">
      <c r="A7112" s="362"/>
      <c r="B7112" s="609">
        <v>44567</v>
      </c>
      <c r="C7112" s="370" t="s">
        <v>85</v>
      </c>
      <c r="D7112" s="560">
        <v>22262600</v>
      </c>
      <c r="E7112" s="560"/>
      <c r="F7112" s="560">
        <v>22262600</v>
      </c>
      <c r="G7112" s="560">
        <f t="shared" si="150"/>
        <v>0</v>
      </c>
      <c r="H7112" s="362"/>
      <c r="I7112" s="362"/>
      <c r="J7112" s="362"/>
    </row>
    <row r="7113" spans="1:10" x14ac:dyDescent="0.25">
      <c r="A7113" s="530"/>
      <c r="B7113" s="530"/>
      <c r="C7113" s="530"/>
      <c r="D7113" s="562">
        <f>SUM(D7098:D7112)</f>
        <v>2149317281</v>
      </c>
      <c r="E7113" s="562">
        <f>SUM(E7098:E7112)</f>
        <v>382337127</v>
      </c>
      <c r="F7113" s="562">
        <f>SUM(F7098:F7112)</f>
        <v>2531654500</v>
      </c>
      <c r="G7113" s="562">
        <f>SUM(G7098:G7112)</f>
        <v>-92</v>
      </c>
      <c r="H7113" s="530"/>
      <c r="I7113" s="530"/>
      <c r="J7113" s="530"/>
    </row>
    <row r="7114" spans="1:10" x14ac:dyDescent="0.25">
      <c r="A7114" s="362"/>
      <c r="B7114" s="609">
        <v>44568</v>
      </c>
      <c r="C7114" s="362" t="s">
        <v>86</v>
      </c>
      <c r="D7114" s="560">
        <v>34267397</v>
      </c>
      <c r="E7114" s="560">
        <v>16158000</v>
      </c>
      <c r="F7114" s="560">
        <v>50425600</v>
      </c>
      <c r="G7114" s="560">
        <f t="shared" si="150"/>
        <v>-203</v>
      </c>
      <c r="H7114" s="362"/>
      <c r="I7114" s="362"/>
      <c r="J7114" s="362"/>
    </row>
    <row r="7115" spans="1:10" x14ac:dyDescent="0.25">
      <c r="A7115" s="362"/>
      <c r="B7115" s="609">
        <v>44568</v>
      </c>
      <c r="C7115" s="362" t="s">
        <v>87</v>
      </c>
      <c r="D7115" s="560">
        <v>102759807</v>
      </c>
      <c r="E7115" s="560">
        <v>117524953</v>
      </c>
      <c r="F7115" s="560">
        <v>220284800</v>
      </c>
      <c r="G7115" s="560">
        <f t="shared" si="150"/>
        <v>-40</v>
      </c>
      <c r="H7115" s="362"/>
      <c r="I7115" s="362"/>
      <c r="J7115" s="362"/>
    </row>
    <row r="7116" spans="1:10" x14ac:dyDescent="0.25">
      <c r="A7116" s="362"/>
      <c r="B7116" s="609">
        <v>44568</v>
      </c>
      <c r="C7116" s="362" t="s">
        <v>88</v>
      </c>
      <c r="D7116" s="560">
        <v>135613568</v>
      </c>
      <c r="E7116" s="560">
        <v>104074484</v>
      </c>
      <c r="F7116" s="560">
        <v>239688100</v>
      </c>
      <c r="G7116" s="560">
        <f t="shared" ref="G7116:G7179" si="151">D7116+E7116-F7116</f>
        <v>-48</v>
      </c>
      <c r="H7116" s="362"/>
      <c r="I7116" s="362"/>
      <c r="J7116" s="362"/>
    </row>
    <row r="7117" spans="1:10" x14ac:dyDescent="0.25">
      <c r="A7117" s="362"/>
      <c r="B7117" s="609">
        <v>44568</v>
      </c>
      <c r="C7117" s="362" t="s">
        <v>82</v>
      </c>
      <c r="D7117" s="560">
        <v>83073089</v>
      </c>
      <c r="E7117" s="560">
        <v>4550460</v>
      </c>
      <c r="F7117" s="560">
        <v>87624100</v>
      </c>
      <c r="G7117" s="560">
        <f t="shared" si="151"/>
        <v>-551</v>
      </c>
      <c r="H7117" s="362"/>
      <c r="I7117" s="362"/>
      <c r="J7117" s="362"/>
    </row>
    <row r="7118" spans="1:10" x14ac:dyDescent="0.25">
      <c r="A7118" s="362"/>
      <c r="B7118" s="609">
        <v>44568</v>
      </c>
      <c r="C7118" s="362" t="s">
        <v>80</v>
      </c>
      <c r="D7118" s="560">
        <v>352529164</v>
      </c>
      <c r="E7118" s="560"/>
      <c r="F7118" s="560">
        <v>352528300</v>
      </c>
      <c r="G7118" s="560">
        <f t="shared" si="151"/>
        <v>864</v>
      </c>
      <c r="H7118" s="362"/>
      <c r="I7118" s="362"/>
      <c r="J7118" s="362"/>
    </row>
    <row r="7119" spans="1:10" x14ac:dyDescent="0.25">
      <c r="A7119" s="362"/>
      <c r="B7119" s="609">
        <v>44568</v>
      </c>
      <c r="C7119" s="362" t="s">
        <v>83</v>
      </c>
      <c r="D7119" s="560">
        <v>147129957</v>
      </c>
      <c r="E7119" s="560">
        <v>16726343</v>
      </c>
      <c r="F7119" s="560">
        <v>163856300</v>
      </c>
      <c r="G7119" s="560">
        <f t="shared" si="151"/>
        <v>0</v>
      </c>
      <c r="H7119" s="362"/>
      <c r="I7119" s="362"/>
      <c r="J7119" s="362"/>
    </row>
    <row r="7120" spans="1:10" x14ac:dyDescent="0.25">
      <c r="A7120" s="362"/>
      <c r="B7120" s="609">
        <v>44568</v>
      </c>
      <c r="C7120" s="362" t="s">
        <v>78</v>
      </c>
      <c r="D7120" s="560">
        <v>174484275</v>
      </c>
      <c r="E7120" s="560">
        <v>586425</v>
      </c>
      <c r="F7120" s="560">
        <v>175070700</v>
      </c>
      <c r="G7120" s="560">
        <f t="shared" si="151"/>
        <v>0</v>
      </c>
      <c r="H7120" s="362"/>
      <c r="I7120" s="362"/>
      <c r="J7120" s="362"/>
    </row>
    <row r="7121" spans="1:10" x14ac:dyDescent="0.25">
      <c r="A7121" s="362"/>
      <c r="B7121" s="609">
        <v>44568</v>
      </c>
      <c r="C7121" s="362" t="s">
        <v>141</v>
      </c>
      <c r="D7121" s="560">
        <v>99924529</v>
      </c>
      <c r="E7121" s="560"/>
      <c r="F7121" s="560">
        <v>99924600</v>
      </c>
      <c r="G7121" s="560">
        <f t="shared" si="151"/>
        <v>-71</v>
      </c>
      <c r="H7121" s="362"/>
      <c r="I7121" s="362"/>
      <c r="J7121" s="362"/>
    </row>
    <row r="7122" spans="1:10" x14ac:dyDescent="0.25">
      <c r="A7122" s="362"/>
      <c r="B7122" s="609">
        <v>44568</v>
      </c>
      <c r="C7122" s="362" t="s">
        <v>89</v>
      </c>
      <c r="D7122" s="560">
        <v>147909695</v>
      </c>
      <c r="E7122" s="560">
        <v>34488905</v>
      </c>
      <c r="F7122" s="560">
        <v>182398500</v>
      </c>
      <c r="G7122" s="560">
        <f t="shared" si="151"/>
        <v>100</v>
      </c>
      <c r="H7122" s="362"/>
      <c r="I7122" s="362"/>
      <c r="J7122" s="362"/>
    </row>
    <row r="7123" spans="1:10" x14ac:dyDescent="0.25">
      <c r="A7123" s="362"/>
      <c r="B7123" s="609">
        <v>44568</v>
      </c>
      <c r="C7123" s="362" t="s">
        <v>81</v>
      </c>
      <c r="D7123" s="560">
        <v>175780784</v>
      </c>
      <c r="E7123" s="560">
        <v>16547042</v>
      </c>
      <c r="F7123" s="560">
        <v>192327900</v>
      </c>
      <c r="G7123" s="560">
        <f t="shared" si="151"/>
        <v>-74</v>
      </c>
      <c r="H7123" s="362"/>
      <c r="I7123" s="362"/>
      <c r="J7123" s="362"/>
    </row>
    <row r="7124" spans="1:10" x14ac:dyDescent="0.25">
      <c r="A7124" s="362"/>
      <c r="B7124" s="609">
        <v>44568</v>
      </c>
      <c r="C7124" s="362" t="s">
        <v>84</v>
      </c>
      <c r="D7124" s="560">
        <v>185349846</v>
      </c>
      <c r="E7124" s="560">
        <v>19881021</v>
      </c>
      <c r="F7124" s="560">
        <v>205231400</v>
      </c>
      <c r="G7124" s="560">
        <f t="shared" si="151"/>
        <v>-533</v>
      </c>
      <c r="H7124" s="362"/>
      <c r="I7124" s="362"/>
      <c r="J7124" s="362"/>
    </row>
    <row r="7125" spans="1:10" x14ac:dyDescent="0.25">
      <c r="A7125" s="362"/>
      <c r="B7125" s="609">
        <v>44568</v>
      </c>
      <c r="C7125" s="362" t="s">
        <v>4751</v>
      </c>
      <c r="D7125" s="560">
        <v>140741874</v>
      </c>
      <c r="E7125" s="560">
        <v>8443566</v>
      </c>
      <c r="F7125" s="560">
        <v>149185400</v>
      </c>
      <c r="G7125" s="560">
        <f t="shared" si="151"/>
        <v>40</v>
      </c>
      <c r="H7125" s="362"/>
      <c r="I7125" s="362"/>
      <c r="J7125" s="362"/>
    </row>
    <row r="7126" spans="1:10" x14ac:dyDescent="0.25">
      <c r="A7126" s="362"/>
      <c r="B7126" s="609">
        <v>44568</v>
      </c>
      <c r="C7126" s="362" t="s">
        <v>166</v>
      </c>
      <c r="D7126" s="560">
        <v>43073400</v>
      </c>
      <c r="E7126" s="560"/>
      <c r="F7126" s="560">
        <v>43073400</v>
      </c>
      <c r="G7126" s="560">
        <f t="shared" si="151"/>
        <v>0</v>
      </c>
      <c r="H7126" s="362"/>
      <c r="I7126" s="362"/>
      <c r="J7126" s="362"/>
    </row>
    <row r="7127" spans="1:10" x14ac:dyDescent="0.25">
      <c r="A7127" s="362"/>
      <c r="B7127" s="609">
        <v>44568</v>
      </c>
      <c r="C7127" s="362" t="s">
        <v>3435</v>
      </c>
      <c r="D7127" s="560">
        <v>76470856</v>
      </c>
      <c r="E7127" s="560"/>
      <c r="F7127" s="560">
        <v>76470900</v>
      </c>
      <c r="G7127" s="560">
        <f t="shared" si="151"/>
        <v>-44</v>
      </c>
      <c r="H7127" s="362"/>
      <c r="I7127" s="362"/>
      <c r="J7127" s="362"/>
    </row>
    <row r="7128" spans="1:10" x14ac:dyDescent="0.25">
      <c r="A7128" s="362"/>
      <c r="B7128" s="609">
        <v>44568</v>
      </c>
      <c r="C7128" s="370" t="s">
        <v>85</v>
      </c>
      <c r="D7128" s="560">
        <v>19592600</v>
      </c>
      <c r="E7128" s="560"/>
      <c r="F7128" s="560">
        <v>19592600</v>
      </c>
      <c r="G7128" s="560">
        <f t="shared" si="151"/>
        <v>0</v>
      </c>
      <c r="H7128" s="362"/>
      <c r="I7128" s="362"/>
      <c r="J7128" s="362"/>
    </row>
    <row r="7129" spans="1:10" x14ac:dyDescent="0.25">
      <c r="A7129" s="530"/>
      <c r="B7129" s="530"/>
      <c r="C7129" s="530"/>
      <c r="D7129" s="562">
        <f>SUM(D7114:D7128)</f>
        <v>1918700841</v>
      </c>
      <c r="E7129" s="562">
        <f>SUM(E7114:E7128)</f>
        <v>338981199</v>
      </c>
      <c r="F7129" s="562">
        <f>SUM(F7114:F7128)</f>
        <v>2257682600</v>
      </c>
      <c r="G7129" s="562">
        <f>SUM(G7114:G7128)</f>
        <v>-560</v>
      </c>
      <c r="H7129" s="530"/>
      <c r="I7129" s="530"/>
      <c r="J7129" s="530"/>
    </row>
    <row r="7130" spans="1:10" x14ac:dyDescent="0.25">
      <c r="A7130" s="362"/>
      <c r="B7130" s="609">
        <v>44569</v>
      </c>
      <c r="C7130" s="362" t="s">
        <v>86</v>
      </c>
      <c r="D7130" s="560">
        <v>52939421</v>
      </c>
      <c r="E7130" s="560">
        <v>33442500</v>
      </c>
      <c r="F7130" s="560">
        <v>86382100</v>
      </c>
      <c r="G7130" s="560">
        <f t="shared" si="151"/>
        <v>-179</v>
      </c>
      <c r="H7130" s="362"/>
      <c r="I7130" s="362"/>
      <c r="J7130" s="362"/>
    </row>
    <row r="7131" spans="1:10" x14ac:dyDescent="0.25">
      <c r="A7131" s="362"/>
      <c r="B7131" s="609">
        <v>44569</v>
      </c>
      <c r="C7131" s="362" t="s">
        <v>87</v>
      </c>
      <c r="D7131" s="560">
        <v>73179330</v>
      </c>
      <c r="E7131" s="560">
        <v>99124808</v>
      </c>
      <c r="F7131" s="560">
        <f>130766900+41537400</f>
        <v>172304300</v>
      </c>
      <c r="G7131" s="560">
        <f t="shared" si="151"/>
        <v>-162</v>
      </c>
      <c r="H7131" s="362"/>
      <c r="I7131" s="362"/>
      <c r="J7131" s="362"/>
    </row>
    <row r="7132" spans="1:10" x14ac:dyDescent="0.25">
      <c r="A7132" s="362"/>
      <c r="B7132" s="609">
        <v>44569</v>
      </c>
      <c r="C7132" s="362" t="s">
        <v>88</v>
      </c>
      <c r="D7132" s="560">
        <v>558143248</v>
      </c>
      <c r="E7132" s="560">
        <v>8687572</v>
      </c>
      <c r="F7132" s="560">
        <v>566830900</v>
      </c>
      <c r="G7132" s="560">
        <f t="shared" si="151"/>
        <v>-80</v>
      </c>
      <c r="H7132" s="362"/>
      <c r="I7132" s="362"/>
      <c r="J7132" s="362"/>
    </row>
    <row r="7133" spans="1:10" x14ac:dyDescent="0.25">
      <c r="A7133" s="362"/>
      <c r="B7133" s="609">
        <v>44569</v>
      </c>
      <c r="C7133" s="362" t="s">
        <v>82</v>
      </c>
      <c r="D7133" s="560">
        <v>291175362</v>
      </c>
      <c r="E7133" s="560">
        <v>49157500</v>
      </c>
      <c r="F7133" s="560">
        <v>340332900</v>
      </c>
      <c r="G7133" s="560">
        <f t="shared" si="151"/>
        <v>-38</v>
      </c>
      <c r="H7133" s="362"/>
      <c r="I7133" s="362"/>
      <c r="J7133" s="362"/>
    </row>
    <row r="7134" spans="1:10" x14ac:dyDescent="0.25">
      <c r="A7134" s="362"/>
      <c r="B7134" s="609">
        <v>44569</v>
      </c>
      <c r="C7134" s="362" t="s">
        <v>80</v>
      </c>
      <c r="D7134" s="560">
        <v>326474834</v>
      </c>
      <c r="E7134" s="560">
        <v>46924237</v>
      </c>
      <c r="F7134" s="560">
        <v>373399200</v>
      </c>
      <c r="G7134" s="560">
        <f t="shared" si="151"/>
        <v>-129</v>
      </c>
      <c r="H7134" s="362"/>
      <c r="I7134" s="362"/>
      <c r="J7134" s="362"/>
    </row>
    <row r="7135" spans="1:10" x14ac:dyDescent="0.25">
      <c r="A7135" s="362"/>
      <c r="B7135" s="609">
        <v>44569</v>
      </c>
      <c r="C7135" s="362" t="s">
        <v>83</v>
      </c>
      <c r="D7135" s="560">
        <v>147418488</v>
      </c>
      <c r="E7135" s="560">
        <v>9276823</v>
      </c>
      <c r="F7135" s="560">
        <v>156695300</v>
      </c>
      <c r="G7135" s="560">
        <f t="shared" si="151"/>
        <v>11</v>
      </c>
      <c r="H7135" s="362"/>
      <c r="I7135" s="362"/>
      <c r="J7135" s="362"/>
    </row>
    <row r="7136" spans="1:10" x14ac:dyDescent="0.25">
      <c r="A7136" s="362"/>
      <c r="B7136" s="609">
        <v>44569</v>
      </c>
      <c r="C7136" s="362" t="s">
        <v>78</v>
      </c>
      <c r="D7136" s="560">
        <v>202387563</v>
      </c>
      <c r="E7136" s="560">
        <v>20868737</v>
      </c>
      <c r="F7136" s="560">
        <v>223256300</v>
      </c>
      <c r="G7136" s="560">
        <f t="shared" si="151"/>
        <v>0</v>
      </c>
      <c r="H7136" s="362"/>
      <c r="I7136" s="362"/>
      <c r="J7136" s="362"/>
    </row>
    <row r="7137" spans="1:10" x14ac:dyDescent="0.25">
      <c r="A7137" s="362"/>
      <c r="B7137" s="609">
        <v>44569</v>
      </c>
      <c r="C7137" s="362" t="s">
        <v>141</v>
      </c>
      <c r="D7137" s="560">
        <v>106937648</v>
      </c>
      <c r="E7137" s="560">
        <v>534228</v>
      </c>
      <c r="F7137" s="560">
        <v>107471900</v>
      </c>
      <c r="G7137" s="560">
        <f t="shared" si="151"/>
        <v>-24</v>
      </c>
      <c r="H7137" s="362"/>
      <c r="I7137" s="362"/>
      <c r="J7137" s="362"/>
    </row>
    <row r="7138" spans="1:10" x14ac:dyDescent="0.25">
      <c r="A7138" s="362"/>
      <c r="B7138" s="609">
        <v>44569</v>
      </c>
      <c r="C7138" s="362" t="s">
        <v>89</v>
      </c>
      <c r="D7138" s="560">
        <v>74057317</v>
      </c>
      <c r="E7138" s="560">
        <v>79375683</v>
      </c>
      <c r="F7138" s="560">
        <v>153433000</v>
      </c>
      <c r="G7138" s="560">
        <f t="shared" si="151"/>
        <v>0</v>
      </c>
      <c r="H7138" s="362"/>
      <c r="I7138" s="362"/>
      <c r="J7138" s="362"/>
    </row>
    <row r="7139" spans="1:10" x14ac:dyDescent="0.25">
      <c r="A7139" s="362"/>
      <c r="B7139" s="609">
        <v>44569</v>
      </c>
      <c r="C7139" s="362" t="s">
        <v>81</v>
      </c>
      <c r="D7139" s="560">
        <v>233526432</v>
      </c>
      <c r="E7139" s="560">
        <v>33125419</v>
      </c>
      <c r="F7139" s="560">
        <f>197351100+69300800</f>
        <v>266651900</v>
      </c>
      <c r="G7139" s="560">
        <f t="shared" si="151"/>
        <v>-49</v>
      </c>
      <c r="H7139" s="362"/>
      <c r="I7139" s="362"/>
      <c r="J7139" s="362"/>
    </row>
    <row r="7140" spans="1:10" x14ac:dyDescent="0.25">
      <c r="A7140" s="362"/>
      <c r="B7140" s="609">
        <v>44569</v>
      </c>
      <c r="C7140" s="362" t="s">
        <v>84</v>
      </c>
      <c r="D7140" s="560">
        <v>282815748</v>
      </c>
      <c r="E7140" s="560">
        <v>19068102</v>
      </c>
      <c r="F7140" s="560">
        <v>301883900</v>
      </c>
      <c r="G7140" s="560">
        <f t="shared" si="151"/>
        <v>-50</v>
      </c>
      <c r="H7140" s="362"/>
      <c r="I7140" s="362"/>
      <c r="J7140" s="362"/>
    </row>
    <row r="7141" spans="1:10" x14ac:dyDescent="0.25">
      <c r="A7141" s="362"/>
      <c r="B7141" s="609">
        <v>44569</v>
      </c>
      <c r="C7141" s="362" t="s">
        <v>4751</v>
      </c>
      <c r="D7141" s="560">
        <v>184048851</v>
      </c>
      <c r="E7141" s="560">
        <v>30354949</v>
      </c>
      <c r="F7141" s="560">
        <v>214403800</v>
      </c>
      <c r="G7141" s="560">
        <f t="shared" si="151"/>
        <v>0</v>
      </c>
      <c r="H7141" s="362"/>
      <c r="I7141" s="362"/>
      <c r="J7141" s="362"/>
    </row>
    <row r="7142" spans="1:10" x14ac:dyDescent="0.25">
      <c r="A7142" s="362"/>
      <c r="B7142" s="609">
        <v>44569</v>
      </c>
      <c r="C7142" s="362" t="s">
        <v>166</v>
      </c>
      <c r="D7142" s="560"/>
      <c r="E7142" s="560"/>
      <c r="F7142" s="560"/>
      <c r="G7142" s="560">
        <f t="shared" si="151"/>
        <v>0</v>
      </c>
      <c r="H7142" s="362"/>
      <c r="I7142" s="362"/>
      <c r="J7142" s="362"/>
    </row>
    <row r="7143" spans="1:10" x14ac:dyDescent="0.25">
      <c r="A7143" s="362"/>
      <c r="B7143" s="609">
        <v>44569</v>
      </c>
      <c r="C7143" s="362" t="s">
        <v>3435</v>
      </c>
      <c r="D7143" s="560"/>
      <c r="E7143" s="560"/>
      <c r="F7143" s="560"/>
      <c r="G7143" s="560">
        <f t="shared" si="151"/>
        <v>0</v>
      </c>
      <c r="H7143" s="362"/>
      <c r="I7143" s="362"/>
      <c r="J7143" s="362"/>
    </row>
    <row r="7144" spans="1:10" x14ac:dyDescent="0.25">
      <c r="A7144" s="362"/>
      <c r="B7144" s="609">
        <v>44569</v>
      </c>
      <c r="C7144" s="370" t="s">
        <v>85</v>
      </c>
      <c r="D7144" s="560">
        <v>31390500</v>
      </c>
      <c r="E7144" s="560"/>
      <c r="F7144" s="560">
        <v>31390500</v>
      </c>
      <c r="G7144" s="560">
        <f t="shared" si="151"/>
        <v>0</v>
      </c>
      <c r="H7144" s="362"/>
      <c r="I7144" s="362"/>
      <c r="J7144" s="362"/>
    </row>
    <row r="7145" spans="1:10" x14ac:dyDescent="0.25">
      <c r="A7145" s="530"/>
      <c r="B7145" s="530"/>
      <c r="C7145" s="530"/>
      <c r="D7145" s="562">
        <f>SUM(D7130:D7144)</f>
        <v>2564494742</v>
      </c>
      <c r="E7145" s="562">
        <f>SUM(E7130:E7144)</f>
        <v>429940558</v>
      </c>
      <c r="F7145" s="562">
        <f>SUM(F7130:F7144)</f>
        <v>2994436000</v>
      </c>
      <c r="G7145" s="562">
        <f>SUM(G7130:G7144)</f>
        <v>-700</v>
      </c>
      <c r="H7145" s="530"/>
      <c r="I7145" s="530"/>
      <c r="J7145" s="530"/>
    </row>
    <row r="7146" spans="1:10" x14ac:dyDescent="0.25">
      <c r="A7146" s="362"/>
      <c r="B7146" s="609">
        <v>44571</v>
      </c>
      <c r="C7146" s="362" t="s">
        <v>86</v>
      </c>
      <c r="D7146" s="560">
        <v>31452440</v>
      </c>
      <c r="E7146" s="560">
        <v>128635141</v>
      </c>
      <c r="F7146" s="560">
        <v>160087800</v>
      </c>
      <c r="G7146" s="560">
        <f t="shared" si="151"/>
        <v>-219</v>
      </c>
      <c r="H7146" s="362"/>
      <c r="I7146" s="362"/>
      <c r="J7146" s="362"/>
    </row>
    <row r="7147" spans="1:10" x14ac:dyDescent="0.25">
      <c r="A7147" s="362"/>
      <c r="B7147" s="609">
        <v>44571</v>
      </c>
      <c r="C7147" s="362" t="s">
        <v>87</v>
      </c>
      <c r="D7147" s="560">
        <v>65272335</v>
      </c>
      <c r="E7147" s="560">
        <v>47982944</v>
      </c>
      <c r="F7147" s="560">
        <v>113255300</v>
      </c>
      <c r="G7147" s="560">
        <f t="shared" si="151"/>
        <v>-21</v>
      </c>
      <c r="H7147" s="362"/>
      <c r="I7147" s="362"/>
      <c r="J7147" s="362"/>
    </row>
    <row r="7148" spans="1:10" x14ac:dyDescent="0.25">
      <c r="A7148" s="362"/>
      <c r="B7148" s="609">
        <v>44571</v>
      </c>
      <c r="C7148" s="362" t="s">
        <v>88</v>
      </c>
      <c r="D7148" s="560">
        <v>139957426</v>
      </c>
      <c r="E7148" s="560">
        <v>13230403</v>
      </c>
      <c r="F7148" s="560">
        <v>153188500</v>
      </c>
      <c r="G7148" s="560">
        <f t="shared" si="151"/>
        <v>-671</v>
      </c>
      <c r="H7148" s="362"/>
      <c r="I7148" s="362"/>
      <c r="J7148" s="362"/>
    </row>
    <row r="7149" spans="1:10" x14ac:dyDescent="0.25">
      <c r="A7149" s="362"/>
      <c r="B7149" s="609">
        <v>44571</v>
      </c>
      <c r="C7149" s="362" t="s">
        <v>82</v>
      </c>
      <c r="D7149" s="560">
        <v>53394448</v>
      </c>
      <c r="E7149" s="560">
        <v>64094505</v>
      </c>
      <c r="F7149" s="560">
        <v>117489000</v>
      </c>
      <c r="G7149" s="560">
        <f t="shared" si="151"/>
        <v>-47</v>
      </c>
      <c r="H7149" s="362"/>
      <c r="I7149" s="362"/>
      <c r="J7149" s="362"/>
    </row>
    <row r="7150" spans="1:10" x14ac:dyDescent="0.25">
      <c r="A7150" s="362"/>
      <c r="B7150" s="609">
        <v>44571</v>
      </c>
      <c r="C7150" s="362" t="s">
        <v>80</v>
      </c>
      <c r="D7150" s="560">
        <v>209211671</v>
      </c>
      <c r="E7150" s="560">
        <v>22178240</v>
      </c>
      <c r="F7150" s="560">
        <v>231389500</v>
      </c>
      <c r="G7150" s="560">
        <f t="shared" si="151"/>
        <v>411</v>
      </c>
      <c r="H7150" s="362"/>
      <c r="I7150" s="362"/>
      <c r="J7150" s="362"/>
    </row>
    <row r="7151" spans="1:10" x14ac:dyDescent="0.25">
      <c r="A7151" s="362"/>
      <c r="B7151" s="609">
        <v>44571</v>
      </c>
      <c r="C7151" s="362" t="s">
        <v>83</v>
      </c>
      <c r="D7151" s="560">
        <v>193728240</v>
      </c>
      <c r="E7151" s="560">
        <v>93642222</v>
      </c>
      <c r="F7151" s="560">
        <v>287370500</v>
      </c>
      <c r="G7151" s="560">
        <f t="shared" si="151"/>
        <v>-38</v>
      </c>
      <c r="H7151" s="362"/>
      <c r="I7151" s="362"/>
      <c r="J7151" s="362"/>
    </row>
    <row r="7152" spans="1:10" x14ac:dyDescent="0.25">
      <c r="A7152" s="362"/>
      <c r="B7152" s="609">
        <v>44571</v>
      </c>
      <c r="C7152" s="362" t="s">
        <v>78</v>
      </c>
      <c r="D7152" s="560">
        <v>176939330</v>
      </c>
      <c r="E7152" s="560">
        <v>1485970</v>
      </c>
      <c r="F7152" s="560">
        <v>178425300</v>
      </c>
      <c r="G7152" s="560">
        <f t="shared" si="151"/>
        <v>0</v>
      </c>
      <c r="H7152" s="362"/>
      <c r="I7152" s="362"/>
      <c r="J7152" s="362"/>
    </row>
    <row r="7153" spans="1:10" x14ac:dyDescent="0.25">
      <c r="A7153" s="362"/>
      <c r="B7153" s="609">
        <v>44571</v>
      </c>
      <c r="C7153" s="362" t="s">
        <v>141</v>
      </c>
      <c r="D7153" s="560">
        <v>72993675</v>
      </c>
      <c r="E7153" s="560"/>
      <c r="F7153" s="560">
        <v>72993700</v>
      </c>
      <c r="G7153" s="560">
        <f t="shared" si="151"/>
        <v>-25</v>
      </c>
      <c r="H7153" s="362"/>
      <c r="I7153" s="362"/>
      <c r="J7153" s="362"/>
    </row>
    <row r="7154" spans="1:10" x14ac:dyDescent="0.25">
      <c r="A7154" s="362"/>
      <c r="B7154" s="609">
        <v>44571</v>
      </c>
      <c r="C7154" s="362" t="s">
        <v>89</v>
      </c>
      <c r="D7154" s="560">
        <v>111510729</v>
      </c>
      <c r="E7154" s="560">
        <v>45692271</v>
      </c>
      <c r="F7154" s="560">
        <v>157203100</v>
      </c>
      <c r="G7154" s="560">
        <f t="shared" si="151"/>
        <v>-100</v>
      </c>
      <c r="H7154" s="362"/>
      <c r="I7154" s="362"/>
      <c r="J7154" s="362"/>
    </row>
    <row r="7155" spans="1:10" x14ac:dyDescent="0.25">
      <c r="A7155" s="362"/>
      <c r="B7155" s="609">
        <v>44571</v>
      </c>
      <c r="C7155" s="362" t="s">
        <v>81</v>
      </c>
      <c r="D7155" s="560">
        <v>134680985</v>
      </c>
      <c r="E7155" s="560">
        <v>9253845</v>
      </c>
      <c r="F7155" s="560">
        <v>143934900</v>
      </c>
      <c r="G7155" s="560">
        <f t="shared" si="151"/>
        <v>-70</v>
      </c>
      <c r="H7155" s="362"/>
      <c r="I7155" s="362"/>
      <c r="J7155" s="362"/>
    </row>
    <row r="7156" spans="1:10" x14ac:dyDescent="0.25">
      <c r="A7156" s="362"/>
      <c r="B7156" s="609">
        <v>44571</v>
      </c>
      <c r="C7156" s="362" t="s">
        <v>84</v>
      </c>
      <c r="D7156" s="560">
        <v>237475623</v>
      </c>
      <c r="E7156" s="560">
        <v>17199093</v>
      </c>
      <c r="F7156" s="560">
        <v>254674700</v>
      </c>
      <c r="G7156" s="560">
        <f t="shared" si="151"/>
        <v>16</v>
      </c>
      <c r="H7156" s="362"/>
      <c r="I7156" s="362"/>
      <c r="J7156" s="362"/>
    </row>
    <row r="7157" spans="1:10" x14ac:dyDescent="0.25">
      <c r="A7157" s="362"/>
      <c r="B7157" s="609">
        <v>44571</v>
      </c>
      <c r="C7157" s="362" t="s">
        <v>4751</v>
      </c>
      <c r="D7157" s="560">
        <v>224096554</v>
      </c>
      <c r="E7157" s="560">
        <v>6779346</v>
      </c>
      <c r="F7157" s="560">
        <v>230875900</v>
      </c>
      <c r="G7157" s="560">
        <f t="shared" si="151"/>
        <v>0</v>
      </c>
      <c r="H7157" s="362"/>
      <c r="I7157" s="362"/>
      <c r="J7157" s="362"/>
    </row>
    <row r="7158" spans="1:10" x14ac:dyDescent="0.25">
      <c r="A7158" s="362"/>
      <c r="B7158" s="609">
        <v>44571</v>
      </c>
      <c r="C7158" s="362" t="s">
        <v>166</v>
      </c>
      <c r="D7158" s="560">
        <v>60241383</v>
      </c>
      <c r="E7158" s="560"/>
      <c r="F7158" s="560">
        <v>60241400</v>
      </c>
      <c r="G7158" s="560">
        <f t="shared" si="151"/>
        <v>-17</v>
      </c>
      <c r="H7158" s="362"/>
      <c r="I7158" s="362"/>
      <c r="J7158" s="362"/>
    </row>
    <row r="7159" spans="1:10" x14ac:dyDescent="0.25">
      <c r="A7159" s="362"/>
      <c r="B7159" s="609">
        <v>44571</v>
      </c>
      <c r="C7159" s="362" t="s">
        <v>3435</v>
      </c>
      <c r="D7159" s="560">
        <v>125262761</v>
      </c>
      <c r="E7159" s="560"/>
      <c r="F7159" s="560">
        <v>125262800</v>
      </c>
      <c r="G7159" s="560">
        <f t="shared" si="151"/>
        <v>-39</v>
      </c>
      <c r="H7159" s="362"/>
      <c r="I7159" s="362"/>
      <c r="J7159" s="362"/>
    </row>
    <row r="7160" spans="1:10" x14ac:dyDescent="0.25">
      <c r="A7160" s="362"/>
      <c r="B7160" s="609">
        <v>44571</v>
      </c>
      <c r="C7160" s="370" t="s">
        <v>85</v>
      </c>
      <c r="D7160" s="560">
        <v>70394700</v>
      </c>
      <c r="E7160" s="560"/>
      <c r="F7160" s="560">
        <v>70394700</v>
      </c>
      <c r="G7160" s="560">
        <f t="shared" si="151"/>
        <v>0</v>
      </c>
      <c r="H7160" s="362"/>
      <c r="I7160" s="362"/>
      <c r="J7160" s="362"/>
    </row>
    <row r="7161" spans="1:10" x14ac:dyDescent="0.25">
      <c r="A7161" s="530"/>
      <c r="B7161" s="530"/>
      <c r="C7161" s="530"/>
      <c r="D7161" s="562">
        <f>SUM(D7146:D7160)</f>
        <v>1906612300</v>
      </c>
      <c r="E7161" s="562">
        <f>SUM(E7146:E7160)</f>
        <v>450173980</v>
      </c>
      <c r="F7161" s="562">
        <f>SUM(F7146:F7160)</f>
        <v>2356787100</v>
      </c>
      <c r="G7161" s="562">
        <f>SUM(G7146:G7160)</f>
        <v>-820</v>
      </c>
      <c r="H7161" s="530"/>
      <c r="I7161" s="530"/>
      <c r="J7161" s="530"/>
    </row>
    <row r="7162" spans="1:10" x14ac:dyDescent="0.25">
      <c r="A7162" s="362"/>
      <c r="B7162" s="609">
        <v>44572</v>
      </c>
      <c r="C7162" s="362" t="s">
        <v>86</v>
      </c>
      <c r="D7162" s="560">
        <v>82082759</v>
      </c>
      <c r="E7162" s="560">
        <v>33568000</v>
      </c>
      <c r="F7162" s="560"/>
      <c r="G7162" s="560">
        <f t="shared" si="151"/>
        <v>115650759</v>
      </c>
      <c r="H7162" s="362"/>
      <c r="I7162" s="362"/>
      <c r="J7162" s="362"/>
    </row>
    <row r="7163" spans="1:10" x14ac:dyDescent="0.25">
      <c r="A7163" s="362"/>
      <c r="B7163" s="609">
        <v>44572</v>
      </c>
      <c r="C7163" s="362" t="s">
        <v>87</v>
      </c>
      <c r="D7163" s="560">
        <v>46255614</v>
      </c>
      <c r="E7163" s="560">
        <v>21976534</v>
      </c>
      <c r="F7163" s="560"/>
      <c r="G7163" s="560">
        <f t="shared" si="151"/>
        <v>68232148</v>
      </c>
      <c r="H7163" s="362"/>
      <c r="I7163" s="362"/>
      <c r="J7163" s="362"/>
    </row>
    <row r="7164" spans="1:10" x14ac:dyDescent="0.25">
      <c r="A7164" s="362"/>
      <c r="B7164" s="609">
        <v>44572</v>
      </c>
      <c r="C7164" s="362" t="s">
        <v>88</v>
      </c>
      <c r="D7164" s="560">
        <v>197739331</v>
      </c>
      <c r="E7164" s="560">
        <v>25380131</v>
      </c>
      <c r="F7164" s="560"/>
      <c r="G7164" s="560">
        <f t="shared" si="151"/>
        <v>223119462</v>
      </c>
      <c r="H7164" s="362"/>
      <c r="I7164" s="362"/>
      <c r="J7164" s="362"/>
    </row>
    <row r="7165" spans="1:10" x14ac:dyDescent="0.25">
      <c r="A7165" s="362"/>
      <c r="B7165" s="609">
        <v>44572</v>
      </c>
      <c r="C7165" s="362" t="s">
        <v>82</v>
      </c>
      <c r="D7165" s="560">
        <v>57256027</v>
      </c>
      <c r="E7165" s="560">
        <v>3613081</v>
      </c>
      <c r="F7165" s="560"/>
      <c r="G7165" s="560">
        <f t="shared" si="151"/>
        <v>60869108</v>
      </c>
      <c r="H7165" s="362"/>
      <c r="I7165" s="362"/>
      <c r="J7165" s="362"/>
    </row>
    <row r="7166" spans="1:10" x14ac:dyDescent="0.25">
      <c r="A7166" s="362"/>
      <c r="B7166" s="609">
        <v>44572</v>
      </c>
      <c r="C7166" s="362" t="s">
        <v>80</v>
      </c>
      <c r="D7166" s="560">
        <v>401475200</v>
      </c>
      <c r="E7166" s="560">
        <v>46170000</v>
      </c>
      <c r="F7166" s="560"/>
      <c r="G7166" s="560">
        <f t="shared" si="151"/>
        <v>447645200</v>
      </c>
      <c r="H7166" s="362"/>
      <c r="I7166" s="362"/>
      <c r="J7166" s="362"/>
    </row>
    <row r="7167" spans="1:10" x14ac:dyDescent="0.25">
      <c r="A7167" s="362"/>
      <c r="B7167" s="609">
        <v>44572</v>
      </c>
      <c r="C7167" s="362" t="s">
        <v>83</v>
      </c>
      <c r="D7167" s="560">
        <v>139729961</v>
      </c>
      <c r="E7167" s="560">
        <v>90522039</v>
      </c>
      <c r="F7167" s="560"/>
      <c r="G7167" s="560">
        <f t="shared" si="151"/>
        <v>230252000</v>
      </c>
      <c r="H7167" s="362"/>
      <c r="I7167" s="362"/>
      <c r="J7167" s="362"/>
    </row>
    <row r="7168" spans="1:10" x14ac:dyDescent="0.25">
      <c r="A7168" s="362"/>
      <c r="B7168" s="609">
        <v>44572</v>
      </c>
      <c r="C7168" s="362" t="s">
        <v>78</v>
      </c>
      <c r="D7168" s="560">
        <v>151939231</v>
      </c>
      <c r="E7168" s="560">
        <v>1933269</v>
      </c>
      <c r="F7168" s="560"/>
      <c r="G7168" s="560">
        <f t="shared" si="151"/>
        <v>153872500</v>
      </c>
      <c r="H7168" s="362"/>
      <c r="I7168" s="362"/>
      <c r="J7168" s="362"/>
    </row>
    <row r="7169" spans="1:10" x14ac:dyDescent="0.25">
      <c r="A7169" s="362"/>
      <c r="B7169" s="609">
        <v>44572</v>
      </c>
      <c r="C7169" s="362" t="s">
        <v>141</v>
      </c>
      <c r="D7169" s="560">
        <v>98976137</v>
      </c>
      <c r="E7169" s="560"/>
      <c r="F7169" s="560"/>
      <c r="G7169" s="560">
        <f t="shared" si="151"/>
        <v>98976137</v>
      </c>
      <c r="H7169" s="362"/>
      <c r="I7169" s="362"/>
      <c r="J7169" s="362"/>
    </row>
    <row r="7170" spans="1:10" x14ac:dyDescent="0.25">
      <c r="A7170" s="362"/>
      <c r="B7170" s="609">
        <v>44572</v>
      </c>
      <c r="C7170" s="362" t="s">
        <v>89</v>
      </c>
      <c r="D7170" s="560">
        <v>150371406</v>
      </c>
      <c r="E7170" s="560">
        <v>19913594</v>
      </c>
      <c r="F7170" s="560"/>
      <c r="G7170" s="560">
        <f t="shared" si="151"/>
        <v>170285000</v>
      </c>
      <c r="H7170" s="362"/>
      <c r="I7170" s="362"/>
      <c r="J7170" s="362"/>
    </row>
    <row r="7171" spans="1:10" x14ac:dyDescent="0.25">
      <c r="A7171" s="362"/>
      <c r="B7171" s="609">
        <v>44572</v>
      </c>
      <c r="C7171" s="362" t="s">
        <v>81</v>
      </c>
      <c r="D7171" s="560">
        <v>91621110</v>
      </c>
      <c r="E7171" s="560">
        <v>5935034</v>
      </c>
      <c r="F7171" s="560"/>
      <c r="G7171" s="560">
        <f t="shared" si="151"/>
        <v>97556144</v>
      </c>
      <c r="H7171" s="362"/>
      <c r="I7171" s="362"/>
      <c r="J7171" s="362"/>
    </row>
    <row r="7172" spans="1:10" x14ac:dyDescent="0.25">
      <c r="A7172" s="362"/>
      <c r="B7172" s="609">
        <v>44572</v>
      </c>
      <c r="C7172" s="362" t="s">
        <v>84</v>
      </c>
      <c r="D7172" s="560">
        <v>464708996</v>
      </c>
      <c r="E7172" s="560">
        <v>18786103</v>
      </c>
      <c r="F7172" s="560"/>
      <c r="G7172" s="560">
        <f t="shared" si="151"/>
        <v>483495099</v>
      </c>
      <c r="H7172" s="362"/>
      <c r="I7172" s="362"/>
      <c r="J7172" s="362"/>
    </row>
    <row r="7173" spans="1:10" x14ac:dyDescent="0.25">
      <c r="A7173" s="362"/>
      <c r="B7173" s="609">
        <v>44572</v>
      </c>
      <c r="C7173" s="362" t="s">
        <v>4751</v>
      </c>
      <c r="D7173" s="560">
        <v>219988968</v>
      </c>
      <c r="E7173" s="560">
        <v>7859532</v>
      </c>
      <c r="F7173" s="560"/>
      <c r="G7173" s="560">
        <f t="shared" si="151"/>
        <v>227848500</v>
      </c>
      <c r="H7173" s="362"/>
      <c r="I7173" s="362"/>
      <c r="J7173" s="362"/>
    </row>
    <row r="7174" spans="1:10" x14ac:dyDescent="0.25">
      <c r="A7174" s="362"/>
      <c r="B7174" s="609">
        <v>44572</v>
      </c>
      <c r="C7174" s="362" t="s">
        <v>166</v>
      </c>
      <c r="D7174" s="560">
        <v>75663961</v>
      </c>
      <c r="E7174" s="560"/>
      <c r="F7174" s="560"/>
      <c r="G7174" s="560">
        <f t="shared" si="151"/>
        <v>75663961</v>
      </c>
      <c r="H7174" s="362"/>
      <c r="I7174" s="362"/>
      <c r="J7174" s="362"/>
    </row>
    <row r="7175" spans="1:10" x14ac:dyDescent="0.25">
      <c r="A7175" s="362"/>
      <c r="B7175" s="609">
        <v>44572</v>
      </c>
      <c r="C7175" s="362" t="s">
        <v>3435</v>
      </c>
      <c r="D7175" s="560">
        <v>86555365</v>
      </c>
      <c r="E7175" s="560"/>
      <c r="F7175" s="560"/>
      <c r="G7175" s="560">
        <f t="shared" si="151"/>
        <v>86555365</v>
      </c>
      <c r="H7175" s="362"/>
      <c r="I7175" s="362"/>
      <c r="J7175" s="362"/>
    </row>
    <row r="7176" spans="1:10" x14ac:dyDescent="0.25">
      <c r="A7176" s="362"/>
      <c r="B7176" s="609">
        <v>44572</v>
      </c>
      <c r="C7176" s="370" t="s">
        <v>85</v>
      </c>
      <c r="D7176" s="560">
        <v>40609000</v>
      </c>
      <c r="E7176" s="560"/>
      <c r="F7176" s="560"/>
      <c r="G7176" s="560">
        <f t="shared" si="151"/>
        <v>40609000</v>
      </c>
      <c r="H7176" s="362"/>
      <c r="I7176" s="362"/>
      <c r="J7176" s="362"/>
    </row>
    <row r="7177" spans="1:10" x14ac:dyDescent="0.25">
      <c r="A7177" s="530"/>
      <c r="B7177" s="530"/>
      <c r="C7177" s="530"/>
      <c r="D7177" s="562">
        <f>SUM(D7162:D7176)</f>
        <v>2304973066</v>
      </c>
      <c r="E7177" s="562">
        <f>SUM(E7162:E7176)</f>
        <v>275657317</v>
      </c>
      <c r="F7177" s="562">
        <f>SUM(F7162:F7176)</f>
        <v>0</v>
      </c>
      <c r="G7177" s="562">
        <f>SUM(G7162:G7176)</f>
        <v>2580630383</v>
      </c>
      <c r="H7177" s="530"/>
      <c r="I7177" s="530"/>
      <c r="J7177" s="530"/>
    </row>
    <row r="7178" spans="1:10" x14ac:dyDescent="0.25">
      <c r="A7178" s="362"/>
      <c r="B7178" s="609">
        <v>44573</v>
      </c>
      <c r="C7178" s="362" t="s">
        <v>86</v>
      </c>
      <c r="D7178" s="560">
        <v>62053644</v>
      </c>
      <c r="E7178" s="560">
        <v>44988660</v>
      </c>
      <c r="F7178" s="560"/>
      <c r="G7178" s="560">
        <f t="shared" si="151"/>
        <v>107042304</v>
      </c>
      <c r="H7178" s="362"/>
      <c r="I7178" s="362"/>
      <c r="J7178" s="362"/>
    </row>
    <row r="7179" spans="1:10" x14ac:dyDescent="0.25">
      <c r="A7179" s="362"/>
      <c r="B7179" s="609">
        <v>44573</v>
      </c>
      <c r="C7179" s="362" t="s">
        <v>87</v>
      </c>
      <c r="D7179" s="560">
        <v>65828214</v>
      </c>
      <c r="E7179" s="560">
        <v>58402546</v>
      </c>
      <c r="F7179" s="560"/>
      <c r="G7179" s="560">
        <f t="shared" si="151"/>
        <v>124230760</v>
      </c>
      <c r="H7179" s="362"/>
      <c r="I7179" s="362"/>
      <c r="J7179" s="362"/>
    </row>
    <row r="7180" spans="1:10" x14ac:dyDescent="0.25">
      <c r="A7180" s="362"/>
      <c r="B7180" s="609">
        <v>44573</v>
      </c>
      <c r="C7180" s="362" t="s">
        <v>88</v>
      </c>
      <c r="D7180" s="560">
        <v>114082639</v>
      </c>
      <c r="E7180" s="560">
        <v>13748317</v>
      </c>
      <c r="F7180" s="560"/>
      <c r="G7180" s="560">
        <f t="shared" ref="G7180:G7243" si="152">D7180+E7180-F7180</f>
        <v>127830956</v>
      </c>
      <c r="H7180" s="362"/>
      <c r="I7180" s="362"/>
      <c r="J7180" s="362"/>
    </row>
    <row r="7181" spans="1:10" x14ac:dyDescent="0.25">
      <c r="A7181" s="362"/>
      <c r="B7181" s="609">
        <v>44573</v>
      </c>
      <c r="C7181" s="362" t="s">
        <v>82</v>
      </c>
      <c r="D7181" s="560">
        <v>122580219</v>
      </c>
      <c r="E7181" s="560">
        <v>2388349</v>
      </c>
      <c r="F7181" s="560"/>
      <c r="G7181" s="560">
        <f t="shared" si="152"/>
        <v>124968568</v>
      </c>
      <c r="H7181" s="362"/>
      <c r="I7181" s="362"/>
      <c r="J7181" s="362"/>
    </row>
    <row r="7182" spans="1:10" x14ac:dyDescent="0.25">
      <c r="A7182" s="362"/>
      <c r="B7182" s="609">
        <v>44573</v>
      </c>
      <c r="C7182" s="362" t="s">
        <v>80</v>
      </c>
      <c r="D7182" s="560">
        <v>219372259</v>
      </c>
      <c r="E7182" s="560">
        <v>23085000</v>
      </c>
      <c r="F7182" s="560"/>
      <c r="G7182" s="560">
        <f t="shared" si="152"/>
        <v>242457259</v>
      </c>
      <c r="H7182" s="362"/>
      <c r="I7182" s="362"/>
      <c r="J7182" s="362"/>
    </row>
    <row r="7183" spans="1:10" x14ac:dyDescent="0.25">
      <c r="A7183" s="362"/>
      <c r="B7183" s="609">
        <v>44573</v>
      </c>
      <c r="C7183" s="362" t="s">
        <v>83</v>
      </c>
      <c r="D7183" s="560">
        <v>142938308</v>
      </c>
      <c r="E7183" s="560">
        <v>7845750</v>
      </c>
      <c r="F7183" s="560"/>
      <c r="G7183" s="560">
        <f t="shared" si="152"/>
        <v>150784058</v>
      </c>
      <c r="H7183" s="362"/>
      <c r="I7183" s="362"/>
      <c r="J7183" s="362"/>
    </row>
    <row r="7184" spans="1:10" x14ac:dyDescent="0.25">
      <c r="A7184" s="362"/>
      <c r="B7184" s="609">
        <v>44573</v>
      </c>
      <c r="C7184" s="362" t="s">
        <v>78</v>
      </c>
      <c r="D7184" s="560">
        <v>139938676</v>
      </c>
      <c r="E7184" s="560">
        <v>12912124</v>
      </c>
      <c r="F7184" s="560"/>
      <c r="G7184" s="560">
        <f t="shared" si="152"/>
        <v>152850800</v>
      </c>
      <c r="H7184" s="362"/>
      <c r="I7184" s="362"/>
      <c r="J7184" s="362"/>
    </row>
    <row r="7185" spans="1:10" x14ac:dyDescent="0.25">
      <c r="A7185" s="362"/>
      <c r="B7185" s="609">
        <v>44573</v>
      </c>
      <c r="C7185" s="362" t="s">
        <v>141</v>
      </c>
      <c r="D7185" s="560">
        <v>108128702</v>
      </c>
      <c r="E7185" s="560">
        <v>567463</v>
      </c>
      <c r="F7185" s="560"/>
      <c r="G7185" s="560">
        <f t="shared" si="152"/>
        <v>108696165</v>
      </c>
      <c r="H7185" s="362"/>
      <c r="I7185" s="362"/>
      <c r="J7185" s="362"/>
    </row>
    <row r="7186" spans="1:10" x14ac:dyDescent="0.25">
      <c r="A7186" s="362"/>
      <c r="B7186" s="609">
        <v>44573</v>
      </c>
      <c r="C7186" s="362" t="s">
        <v>89</v>
      </c>
      <c r="D7186" s="560">
        <v>95409323</v>
      </c>
      <c r="E7186" s="560">
        <v>24884877</v>
      </c>
      <c r="F7186" s="560"/>
      <c r="G7186" s="560">
        <f t="shared" si="152"/>
        <v>120294200</v>
      </c>
      <c r="H7186" s="362"/>
      <c r="I7186" s="362"/>
      <c r="J7186" s="362"/>
    </row>
    <row r="7187" spans="1:10" x14ac:dyDescent="0.25">
      <c r="A7187" s="362"/>
      <c r="B7187" s="609">
        <v>44573</v>
      </c>
      <c r="C7187" s="362" t="s">
        <v>81</v>
      </c>
      <c r="D7187" s="560">
        <v>101244735</v>
      </c>
      <c r="E7187" s="560">
        <v>13992806</v>
      </c>
      <c r="F7187" s="560"/>
      <c r="G7187" s="560">
        <f t="shared" si="152"/>
        <v>115237541</v>
      </c>
      <c r="H7187" s="362"/>
      <c r="I7187" s="362"/>
      <c r="J7187" s="362"/>
    </row>
    <row r="7188" spans="1:10" x14ac:dyDescent="0.25">
      <c r="A7188" s="362"/>
      <c r="B7188" s="609">
        <v>44573</v>
      </c>
      <c r="C7188" s="362" t="s">
        <v>84</v>
      </c>
      <c r="D7188" s="560">
        <v>221492712</v>
      </c>
      <c r="E7188" s="560">
        <v>11183272</v>
      </c>
      <c r="F7188" s="560"/>
      <c r="G7188" s="560">
        <f t="shared" si="152"/>
        <v>232675984</v>
      </c>
      <c r="H7188" s="362"/>
      <c r="I7188" s="362"/>
      <c r="J7188" s="362"/>
    </row>
    <row r="7189" spans="1:10" x14ac:dyDescent="0.25">
      <c r="A7189" s="362"/>
      <c r="B7189" s="609">
        <v>44573</v>
      </c>
      <c r="C7189" s="362" t="s">
        <v>4751</v>
      </c>
      <c r="D7189" s="560">
        <v>210494086</v>
      </c>
      <c r="E7189" s="560">
        <v>9150914</v>
      </c>
      <c r="F7189" s="560"/>
      <c r="G7189" s="560">
        <f t="shared" si="152"/>
        <v>219645000</v>
      </c>
      <c r="H7189" s="362"/>
      <c r="I7189" s="362"/>
      <c r="J7189" s="362"/>
    </row>
    <row r="7190" spans="1:10" x14ac:dyDescent="0.25">
      <c r="A7190" s="362"/>
      <c r="B7190" s="609">
        <v>44573</v>
      </c>
      <c r="C7190" s="362" t="s">
        <v>166</v>
      </c>
      <c r="D7190" s="560">
        <v>76882263</v>
      </c>
      <c r="E7190" s="560"/>
      <c r="F7190" s="560"/>
      <c r="G7190" s="560">
        <f t="shared" si="152"/>
        <v>76882263</v>
      </c>
      <c r="H7190" s="362"/>
      <c r="I7190" s="362"/>
      <c r="J7190" s="362"/>
    </row>
    <row r="7191" spans="1:10" x14ac:dyDescent="0.25">
      <c r="A7191" s="362"/>
      <c r="B7191" s="609">
        <v>44573</v>
      </c>
      <c r="C7191" s="362" t="s">
        <v>3435</v>
      </c>
      <c r="D7191" s="560">
        <v>51710345</v>
      </c>
      <c r="E7191" s="560"/>
      <c r="F7191" s="560"/>
      <c r="G7191" s="560">
        <f t="shared" si="152"/>
        <v>51710345</v>
      </c>
      <c r="H7191" s="362"/>
      <c r="I7191" s="362"/>
      <c r="J7191" s="362"/>
    </row>
    <row r="7192" spans="1:10" x14ac:dyDescent="0.25">
      <c r="A7192" s="362"/>
      <c r="B7192" s="609">
        <v>44573</v>
      </c>
      <c r="C7192" s="370" t="s">
        <v>85</v>
      </c>
      <c r="D7192" s="560">
        <v>40199800</v>
      </c>
      <c r="E7192" s="560"/>
      <c r="F7192" s="560"/>
      <c r="G7192" s="560">
        <f t="shared" si="152"/>
        <v>40199800</v>
      </c>
      <c r="H7192" s="362"/>
      <c r="I7192" s="362"/>
      <c r="J7192" s="362"/>
    </row>
    <row r="7193" spans="1:10" x14ac:dyDescent="0.25">
      <c r="A7193" s="530"/>
      <c r="B7193" s="530"/>
      <c r="C7193" s="530"/>
      <c r="D7193" s="562">
        <f>SUM(D7178:D7192)</f>
        <v>1772355925</v>
      </c>
      <c r="E7193" s="562">
        <f>SUM(E7178:E7192)</f>
        <v>223150078</v>
      </c>
      <c r="F7193" s="562">
        <f>SUM(F7178:F7192)</f>
        <v>0</v>
      </c>
      <c r="G7193" s="562">
        <f>SUM(G7178:G7192)</f>
        <v>1995506003</v>
      </c>
      <c r="H7193" s="530"/>
      <c r="I7193" s="530"/>
      <c r="J7193" s="530"/>
    </row>
    <row r="7194" spans="1:10" x14ac:dyDescent="0.25">
      <c r="A7194" s="362"/>
      <c r="B7194" s="609">
        <v>44574</v>
      </c>
      <c r="C7194" s="362" t="s">
        <v>86</v>
      </c>
      <c r="D7194" s="560">
        <v>73060391</v>
      </c>
      <c r="E7194" s="560">
        <v>171766516</v>
      </c>
      <c r="F7194" s="560"/>
      <c r="G7194" s="560">
        <f t="shared" si="152"/>
        <v>244826907</v>
      </c>
      <c r="H7194" s="362"/>
      <c r="I7194" s="362"/>
      <c r="J7194" s="362"/>
    </row>
    <row r="7195" spans="1:10" x14ac:dyDescent="0.25">
      <c r="A7195" s="362"/>
      <c r="B7195" s="609">
        <v>44574</v>
      </c>
      <c r="C7195" s="362" t="s">
        <v>87</v>
      </c>
      <c r="D7195" s="560">
        <v>55623114</v>
      </c>
      <c r="E7195" s="560">
        <v>107661154</v>
      </c>
      <c r="F7195" s="560"/>
      <c r="G7195" s="560">
        <f t="shared" si="152"/>
        <v>163284268</v>
      </c>
      <c r="H7195" s="362"/>
      <c r="I7195" s="362"/>
      <c r="J7195" s="362"/>
    </row>
    <row r="7196" spans="1:10" x14ac:dyDescent="0.25">
      <c r="A7196" s="362"/>
      <c r="B7196" s="609">
        <v>44574</v>
      </c>
      <c r="C7196" s="362" t="s">
        <v>88</v>
      </c>
      <c r="D7196" s="560">
        <v>139351079</v>
      </c>
      <c r="E7196" s="560">
        <v>15056607</v>
      </c>
      <c r="F7196" s="560"/>
      <c r="G7196" s="560">
        <f t="shared" si="152"/>
        <v>154407686</v>
      </c>
      <c r="H7196" s="362"/>
      <c r="I7196" s="362"/>
      <c r="J7196" s="362"/>
    </row>
    <row r="7197" spans="1:10" x14ac:dyDescent="0.25">
      <c r="A7197" s="362"/>
      <c r="B7197" s="609">
        <v>44574</v>
      </c>
      <c r="C7197" s="362" t="s">
        <v>82</v>
      </c>
      <c r="D7197" s="560">
        <v>111543235</v>
      </c>
      <c r="E7197" s="560">
        <v>2382883</v>
      </c>
      <c r="F7197" s="560"/>
      <c r="G7197" s="560">
        <f t="shared" si="152"/>
        <v>113926118</v>
      </c>
      <c r="H7197" s="362"/>
      <c r="I7197" s="362"/>
      <c r="J7197" s="362"/>
    </row>
    <row r="7198" spans="1:10" x14ac:dyDescent="0.25">
      <c r="A7198" s="362"/>
      <c r="B7198" s="609">
        <v>44574</v>
      </c>
      <c r="C7198" s="362" t="s">
        <v>80</v>
      </c>
      <c r="D7198" s="560">
        <v>215979600</v>
      </c>
      <c r="E7198" s="560">
        <v>100170</v>
      </c>
      <c r="F7198" s="560"/>
      <c r="G7198" s="560">
        <f t="shared" si="152"/>
        <v>216079770</v>
      </c>
      <c r="H7198" s="362"/>
      <c r="I7198" s="362"/>
      <c r="J7198" s="362"/>
    </row>
    <row r="7199" spans="1:10" x14ac:dyDescent="0.25">
      <c r="A7199" s="362"/>
      <c r="B7199" s="609">
        <v>44574</v>
      </c>
      <c r="C7199" s="362" t="s">
        <v>83</v>
      </c>
      <c r="D7199" s="560">
        <v>121380789</v>
      </c>
      <c r="E7199" s="560">
        <v>8633400</v>
      </c>
      <c r="F7199" s="560"/>
      <c r="G7199" s="560">
        <f t="shared" si="152"/>
        <v>130014189</v>
      </c>
      <c r="H7199" s="362"/>
      <c r="I7199" s="362"/>
      <c r="J7199" s="362"/>
    </row>
    <row r="7200" spans="1:10" x14ac:dyDescent="0.25">
      <c r="A7200" s="362"/>
      <c r="B7200" s="609">
        <v>44574</v>
      </c>
      <c r="C7200" s="362" t="s">
        <v>78</v>
      </c>
      <c r="D7200" s="560">
        <v>65347478</v>
      </c>
      <c r="E7200" s="560">
        <v>1190122</v>
      </c>
      <c r="F7200" s="560"/>
      <c r="G7200" s="560">
        <f t="shared" si="152"/>
        <v>66537600</v>
      </c>
      <c r="H7200" s="362"/>
      <c r="I7200" s="362"/>
      <c r="J7200" s="362"/>
    </row>
    <row r="7201" spans="1:10" x14ac:dyDescent="0.25">
      <c r="A7201" s="362"/>
      <c r="B7201" s="609">
        <v>44574</v>
      </c>
      <c r="C7201" s="362" t="s">
        <v>141</v>
      </c>
      <c r="D7201" s="560">
        <v>79271338</v>
      </c>
      <c r="E7201" s="560"/>
      <c r="F7201" s="560"/>
      <c r="G7201" s="560">
        <f t="shared" si="152"/>
        <v>79271338</v>
      </c>
      <c r="H7201" s="362"/>
      <c r="I7201" s="362"/>
      <c r="J7201" s="362"/>
    </row>
    <row r="7202" spans="1:10" x14ac:dyDescent="0.25">
      <c r="A7202" s="362"/>
      <c r="B7202" s="609">
        <v>44574</v>
      </c>
      <c r="C7202" s="362" t="s">
        <v>89</v>
      </c>
      <c r="D7202" s="560">
        <v>114757046</v>
      </c>
      <c r="E7202" s="560">
        <v>43192354</v>
      </c>
      <c r="F7202" s="560"/>
      <c r="G7202" s="560">
        <f t="shared" si="152"/>
        <v>157949400</v>
      </c>
      <c r="H7202" s="362"/>
      <c r="I7202" s="362"/>
      <c r="J7202" s="362"/>
    </row>
    <row r="7203" spans="1:10" x14ac:dyDescent="0.25">
      <c r="A7203" s="362"/>
      <c r="B7203" s="609">
        <v>44574</v>
      </c>
      <c r="C7203" s="362" t="s">
        <v>81</v>
      </c>
      <c r="D7203" s="560">
        <v>96650617</v>
      </c>
      <c r="E7203" s="560">
        <v>43377568</v>
      </c>
      <c r="F7203" s="560"/>
      <c r="G7203" s="560">
        <f t="shared" si="152"/>
        <v>140028185</v>
      </c>
      <c r="H7203" s="362"/>
      <c r="I7203" s="362"/>
      <c r="J7203" s="362"/>
    </row>
    <row r="7204" spans="1:10" x14ac:dyDescent="0.25">
      <c r="A7204" s="362"/>
      <c r="B7204" s="609">
        <v>44574</v>
      </c>
      <c r="C7204" s="362" t="s">
        <v>84</v>
      </c>
      <c r="D7204" s="560">
        <v>332448559</v>
      </c>
      <c r="E7204" s="560">
        <v>23470707</v>
      </c>
      <c r="F7204" s="560"/>
      <c r="G7204" s="560">
        <f t="shared" si="152"/>
        <v>355919266</v>
      </c>
      <c r="H7204" s="362"/>
      <c r="I7204" s="362"/>
      <c r="J7204" s="362"/>
    </row>
    <row r="7205" spans="1:10" x14ac:dyDescent="0.25">
      <c r="A7205" s="362"/>
      <c r="B7205" s="609">
        <v>44574</v>
      </c>
      <c r="C7205" s="362" t="s">
        <v>4751</v>
      </c>
      <c r="D7205" s="560">
        <v>279685716</v>
      </c>
      <c r="E7205" s="560">
        <v>6480584</v>
      </c>
      <c r="F7205" s="560"/>
      <c r="G7205" s="560">
        <f t="shared" si="152"/>
        <v>286166300</v>
      </c>
      <c r="H7205" s="362"/>
      <c r="I7205" s="362"/>
      <c r="J7205" s="362"/>
    </row>
    <row r="7206" spans="1:10" x14ac:dyDescent="0.25">
      <c r="A7206" s="362"/>
      <c r="B7206" s="609">
        <v>44574</v>
      </c>
      <c r="C7206" s="362" t="s">
        <v>166</v>
      </c>
      <c r="D7206" s="560">
        <v>36237229</v>
      </c>
      <c r="E7206" s="560"/>
      <c r="F7206" s="560"/>
      <c r="G7206" s="560">
        <f t="shared" si="152"/>
        <v>36237229</v>
      </c>
      <c r="H7206" s="362"/>
      <c r="I7206" s="362"/>
      <c r="J7206" s="362"/>
    </row>
    <row r="7207" spans="1:10" x14ac:dyDescent="0.25">
      <c r="A7207" s="362"/>
      <c r="B7207" s="609">
        <v>44574</v>
      </c>
      <c r="C7207" s="362" t="s">
        <v>3435</v>
      </c>
      <c r="D7207" s="560">
        <v>23307926</v>
      </c>
      <c r="E7207" s="560"/>
      <c r="F7207" s="560"/>
      <c r="G7207" s="560">
        <f t="shared" si="152"/>
        <v>23307926</v>
      </c>
      <c r="H7207" s="362"/>
      <c r="I7207" s="362"/>
      <c r="J7207" s="362"/>
    </row>
    <row r="7208" spans="1:10" x14ac:dyDescent="0.25">
      <c r="A7208" s="362"/>
      <c r="B7208" s="609">
        <v>44574</v>
      </c>
      <c r="C7208" s="370" t="s">
        <v>85</v>
      </c>
      <c r="D7208" s="560">
        <v>24555200</v>
      </c>
      <c r="E7208" s="560"/>
      <c r="F7208" s="560"/>
      <c r="G7208" s="560">
        <f t="shared" si="152"/>
        <v>24555200</v>
      </c>
      <c r="H7208" s="362"/>
      <c r="I7208" s="362"/>
      <c r="J7208" s="362"/>
    </row>
    <row r="7209" spans="1:10" x14ac:dyDescent="0.25">
      <c r="A7209" s="530"/>
      <c r="B7209" s="530"/>
      <c r="C7209" s="530"/>
      <c r="D7209" s="562">
        <f>SUM(D7194:D7208)</f>
        <v>1769199317</v>
      </c>
      <c r="E7209" s="562">
        <f>SUM(E7194:E7208)</f>
        <v>423312065</v>
      </c>
      <c r="F7209" s="562">
        <f>SUM(F7194:F7208)</f>
        <v>0</v>
      </c>
      <c r="G7209" s="562">
        <f>SUM(G7194:G7208)</f>
        <v>2192511382</v>
      </c>
      <c r="H7209" s="530"/>
      <c r="I7209" s="530"/>
      <c r="J7209" s="530"/>
    </row>
    <row r="7210" spans="1:10" x14ac:dyDescent="0.25">
      <c r="A7210" s="362"/>
      <c r="B7210" s="609">
        <v>44575</v>
      </c>
      <c r="C7210" s="362" t="s">
        <v>86</v>
      </c>
      <c r="D7210" s="560">
        <v>11083535</v>
      </c>
      <c r="E7210" s="560">
        <v>18249971</v>
      </c>
      <c r="F7210" s="560">
        <v>29333700</v>
      </c>
      <c r="G7210" s="560">
        <f t="shared" si="152"/>
        <v>-194</v>
      </c>
      <c r="H7210" s="362"/>
      <c r="I7210" s="362"/>
      <c r="J7210" s="362"/>
    </row>
    <row r="7211" spans="1:10" x14ac:dyDescent="0.25">
      <c r="A7211" s="362"/>
      <c r="B7211" s="609">
        <v>44575</v>
      </c>
      <c r="C7211" s="362" t="s">
        <v>87</v>
      </c>
      <c r="D7211" s="560">
        <v>56994553</v>
      </c>
      <c r="E7211" s="560">
        <v>76258738</v>
      </c>
      <c r="F7211" s="560">
        <v>133253400</v>
      </c>
      <c r="G7211" s="560">
        <f t="shared" si="152"/>
        <v>-109</v>
      </c>
      <c r="H7211" s="362"/>
      <c r="I7211" s="362"/>
      <c r="J7211" s="362"/>
    </row>
    <row r="7212" spans="1:10" x14ac:dyDescent="0.25">
      <c r="A7212" s="362"/>
      <c r="B7212" s="609">
        <v>44575</v>
      </c>
      <c r="C7212" s="362" t="s">
        <v>88</v>
      </c>
      <c r="D7212" s="560">
        <v>39101935</v>
      </c>
      <c r="E7212" s="560">
        <v>86168783</v>
      </c>
      <c r="F7212" s="560">
        <v>125270800</v>
      </c>
      <c r="G7212" s="560">
        <f t="shared" si="152"/>
        <v>-82</v>
      </c>
      <c r="H7212" s="362"/>
      <c r="I7212" s="362"/>
      <c r="J7212" s="362"/>
    </row>
    <row r="7213" spans="1:10" x14ac:dyDescent="0.25">
      <c r="A7213" s="362"/>
      <c r="B7213" s="609">
        <v>44575</v>
      </c>
      <c r="C7213" s="362" t="s">
        <v>82</v>
      </c>
      <c r="D7213" s="560">
        <v>47737160</v>
      </c>
      <c r="E7213" s="560">
        <v>14181709</v>
      </c>
      <c r="F7213" s="560">
        <v>61918900</v>
      </c>
      <c r="G7213" s="560">
        <f t="shared" si="152"/>
        <v>-31</v>
      </c>
      <c r="H7213" s="362"/>
      <c r="I7213" s="362"/>
      <c r="J7213" s="362"/>
    </row>
    <row r="7214" spans="1:10" x14ac:dyDescent="0.25">
      <c r="A7214" s="362"/>
      <c r="B7214" s="609">
        <v>44575</v>
      </c>
      <c r="C7214" s="362" t="s">
        <v>80</v>
      </c>
      <c r="D7214" s="560">
        <v>252105040</v>
      </c>
      <c r="E7214" s="560">
        <v>6715560</v>
      </c>
      <c r="F7214" s="560">
        <v>258820600</v>
      </c>
      <c r="G7214" s="560">
        <f t="shared" si="152"/>
        <v>0</v>
      </c>
      <c r="H7214" s="362"/>
      <c r="I7214" s="362"/>
      <c r="J7214" s="362"/>
    </row>
    <row r="7215" spans="1:10" x14ac:dyDescent="0.25">
      <c r="A7215" s="362"/>
      <c r="B7215" s="609">
        <v>44575</v>
      </c>
      <c r="C7215" s="362" t="s">
        <v>83</v>
      </c>
      <c r="D7215" s="560">
        <v>62699424</v>
      </c>
      <c r="E7215" s="560">
        <v>105105076</v>
      </c>
      <c r="F7215" s="560">
        <v>167804500</v>
      </c>
      <c r="G7215" s="560">
        <f t="shared" si="152"/>
        <v>0</v>
      </c>
      <c r="H7215" s="362"/>
      <c r="I7215" s="362"/>
      <c r="J7215" s="362"/>
    </row>
    <row r="7216" spans="1:10" x14ac:dyDescent="0.25">
      <c r="A7216" s="362"/>
      <c r="B7216" s="609">
        <v>44575</v>
      </c>
      <c r="C7216" s="362" t="s">
        <v>78</v>
      </c>
      <c r="D7216" s="560">
        <v>47715172</v>
      </c>
      <c r="E7216" s="560">
        <v>5358928</v>
      </c>
      <c r="F7216" s="560">
        <v>53074100</v>
      </c>
      <c r="G7216" s="560">
        <f t="shared" si="152"/>
        <v>0</v>
      </c>
      <c r="H7216" s="362"/>
      <c r="I7216" s="362"/>
      <c r="J7216" s="362"/>
    </row>
    <row r="7217" spans="1:10" x14ac:dyDescent="0.25">
      <c r="A7217" s="362"/>
      <c r="B7217" s="609">
        <v>44575</v>
      </c>
      <c r="C7217" s="362" t="s">
        <v>141</v>
      </c>
      <c r="D7217" s="560">
        <v>29848178</v>
      </c>
      <c r="E7217" s="560"/>
      <c r="F7217" s="560">
        <v>29848200</v>
      </c>
      <c r="G7217" s="560">
        <f t="shared" si="152"/>
        <v>-22</v>
      </c>
      <c r="H7217" s="362"/>
      <c r="I7217" s="362"/>
      <c r="J7217" s="362"/>
    </row>
    <row r="7218" spans="1:10" x14ac:dyDescent="0.25">
      <c r="A7218" s="362"/>
      <c r="B7218" s="609">
        <v>44575</v>
      </c>
      <c r="C7218" s="362" t="s">
        <v>89</v>
      </c>
      <c r="D7218" s="560">
        <v>56833960</v>
      </c>
      <c r="E7218" s="560">
        <v>51174340</v>
      </c>
      <c r="F7218" s="560">
        <v>108008300</v>
      </c>
      <c r="G7218" s="560">
        <f t="shared" si="152"/>
        <v>0</v>
      </c>
      <c r="H7218" s="362"/>
      <c r="I7218" s="362"/>
      <c r="J7218" s="362"/>
    </row>
    <row r="7219" spans="1:10" x14ac:dyDescent="0.25">
      <c r="A7219" s="362"/>
      <c r="B7219" s="609">
        <v>44575</v>
      </c>
      <c r="C7219" s="362" t="s">
        <v>81</v>
      </c>
      <c r="D7219" s="560">
        <v>70681124</v>
      </c>
      <c r="E7219" s="560">
        <v>9975282</v>
      </c>
      <c r="F7219" s="560">
        <v>80656400</v>
      </c>
      <c r="G7219" s="560">
        <f t="shared" si="152"/>
        <v>6</v>
      </c>
      <c r="H7219" s="362"/>
      <c r="I7219" s="362"/>
      <c r="J7219" s="362"/>
    </row>
    <row r="7220" spans="1:10" x14ac:dyDescent="0.25">
      <c r="A7220" s="362"/>
      <c r="B7220" s="609">
        <v>44575</v>
      </c>
      <c r="C7220" s="362" t="s">
        <v>84</v>
      </c>
      <c r="D7220" s="560">
        <v>486248385</v>
      </c>
      <c r="E7220" s="560">
        <v>21360775</v>
      </c>
      <c r="F7220" s="560">
        <v>507609100</v>
      </c>
      <c r="G7220" s="560">
        <f t="shared" si="152"/>
        <v>60</v>
      </c>
      <c r="H7220" s="362"/>
      <c r="I7220" s="362"/>
      <c r="J7220" s="362"/>
    </row>
    <row r="7221" spans="1:10" x14ac:dyDescent="0.25">
      <c r="A7221" s="362"/>
      <c r="B7221" s="609">
        <v>44575</v>
      </c>
      <c r="C7221" s="362" t="s">
        <v>4751</v>
      </c>
      <c r="D7221" s="560">
        <v>107027456</v>
      </c>
      <c r="E7221" s="560">
        <v>40736844</v>
      </c>
      <c r="F7221" s="560">
        <v>147764300</v>
      </c>
      <c r="G7221" s="560">
        <f t="shared" si="152"/>
        <v>0</v>
      </c>
      <c r="H7221" s="362"/>
      <c r="I7221" s="362"/>
      <c r="J7221" s="362"/>
    </row>
    <row r="7222" spans="1:10" x14ac:dyDescent="0.25">
      <c r="A7222" s="362"/>
      <c r="B7222" s="609">
        <v>44575</v>
      </c>
      <c r="C7222" s="362" t="s">
        <v>166</v>
      </c>
      <c r="D7222" s="560">
        <v>77628684</v>
      </c>
      <c r="E7222" s="560"/>
      <c r="F7222" s="560">
        <v>77629000</v>
      </c>
      <c r="G7222" s="560">
        <f t="shared" si="152"/>
        <v>-316</v>
      </c>
      <c r="H7222" s="362"/>
      <c r="I7222" s="362"/>
      <c r="J7222" s="362"/>
    </row>
    <row r="7223" spans="1:10" x14ac:dyDescent="0.25">
      <c r="A7223" s="362"/>
      <c r="B7223" s="609">
        <v>44575</v>
      </c>
      <c r="C7223" s="362" t="s">
        <v>3435</v>
      </c>
      <c r="D7223" s="560">
        <v>4750245</v>
      </c>
      <c r="E7223" s="560"/>
      <c r="F7223" s="560">
        <v>4750300</v>
      </c>
      <c r="G7223" s="560">
        <f t="shared" si="152"/>
        <v>-55</v>
      </c>
      <c r="H7223" s="362"/>
      <c r="I7223" s="362"/>
      <c r="J7223" s="362"/>
    </row>
    <row r="7224" spans="1:10" x14ac:dyDescent="0.25">
      <c r="A7224" s="362"/>
      <c r="B7224" s="609">
        <v>44575</v>
      </c>
      <c r="C7224" s="370" t="s">
        <v>85</v>
      </c>
      <c r="D7224" s="560">
        <v>28699200</v>
      </c>
      <c r="E7224" s="560"/>
      <c r="F7224" s="560">
        <v>28699200</v>
      </c>
      <c r="G7224" s="560">
        <f t="shared" si="152"/>
        <v>0</v>
      </c>
      <c r="H7224" s="362"/>
      <c r="I7224" s="362"/>
      <c r="J7224" s="362"/>
    </row>
    <row r="7225" spans="1:10" x14ac:dyDescent="0.25">
      <c r="A7225" s="530"/>
      <c r="B7225" s="530"/>
      <c r="C7225" s="530"/>
      <c r="D7225" s="562">
        <f>SUM(D7210:D7224)</f>
        <v>1379154051</v>
      </c>
      <c r="E7225" s="562">
        <f>SUM(E7210:E7224)</f>
        <v>435286006</v>
      </c>
      <c r="F7225" s="562">
        <f>SUM(F7210:F7224)</f>
        <v>1814440800</v>
      </c>
      <c r="G7225" s="562">
        <f>SUM(G7210:G7224)</f>
        <v>-743</v>
      </c>
      <c r="H7225" s="530"/>
      <c r="I7225" s="530"/>
      <c r="J7225" s="530"/>
    </row>
    <row r="7226" spans="1:10" x14ac:dyDescent="0.25">
      <c r="A7226" s="362"/>
      <c r="B7226" s="609">
        <v>44576</v>
      </c>
      <c r="C7226" s="362" t="s">
        <v>86</v>
      </c>
      <c r="D7226" s="560">
        <v>36248068</v>
      </c>
      <c r="E7226" s="560">
        <v>146363043</v>
      </c>
      <c r="F7226" s="560">
        <v>182611100</v>
      </c>
      <c r="G7226" s="560">
        <f t="shared" si="152"/>
        <v>11</v>
      </c>
      <c r="H7226" s="362"/>
      <c r="I7226" s="362"/>
      <c r="J7226" s="362"/>
    </row>
    <row r="7227" spans="1:10" x14ac:dyDescent="0.25">
      <c r="A7227" s="362"/>
      <c r="B7227" s="609">
        <v>44576</v>
      </c>
      <c r="C7227" s="362" t="s">
        <v>87</v>
      </c>
      <c r="D7227" s="560">
        <v>36857182</v>
      </c>
      <c r="E7227" s="560">
        <v>96762676</v>
      </c>
      <c r="F7227" s="560">
        <f>93087800+40532100</f>
        <v>133619900</v>
      </c>
      <c r="G7227" s="560">
        <f t="shared" si="152"/>
        <v>-42</v>
      </c>
      <c r="H7227" s="362"/>
      <c r="I7227" s="362"/>
      <c r="J7227" s="362"/>
    </row>
    <row r="7228" spans="1:10" x14ac:dyDescent="0.25">
      <c r="A7228" s="362"/>
      <c r="B7228" s="609">
        <v>44576</v>
      </c>
      <c r="C7228" s="362" t="s">
        <v>88</v>
      </c>
      <c r="D7228" s="560">
        <v>135833214</v>
      </c>
      <c r="E7228" s="560">
        <v>8269417</v>
      </c>
      <c r="F7228" s="560">
        <v>144102700</v>
      </c>
      <c r="G7228" s="560">
        <f t="shared" si="152"/>
        <v>-69</v>
      </c>
      <c r="H7228" s="362"/>
      <c r="I7228" s="362"/>
      <c r="J7228" s="362"/>
    </row>
    <row r="7229" spans="1:10" x14ac:dyDescent="0.25">
      <c r="A7229" s="362"/>
      <c r="B7229" s="609">
        <v>44576</v>
      </c>
      <c r="C7229" s="362" t="s">
        <v>82</v>
      </c>
      <c r="D7229" s="560">
        <v>42437183</v>
      </c>
      <c r="E7229" s="560">
        <v>22981204</v>
      </c>
      <c r="F7229" s="560">
        <v>65418400</v>
      </c>
      <c r="G7229" s="560">
        <f t="shared" si="152"/>
        <v>-13</v>
      </c>
      <c r="H7229" s="362"/>
      <c r="I7229" s="362"/>
      <c r="J7229" s="362"/>
    </row>
    <row r="7230" spans="1:10" x14ac:dyDescent="0.25">
      <c r="A7230" s="362"/>
      <c r="B7230" s="609">
        <v>44576</v>
      </c>
      <c r="C7230" s="362" t="s">
        <v>80</v>
      </c>
      <c r="D7230" s="560">
        <v>282742554</v>
      </c>
      <c r="E7230" s="560"/>
      <c r="F7230" s="560">
        <v>282742600</v>
      </c>
      <c r="G7230" s="560">
        <f t="shared" si="152"/>
        <v>-46</v>
      </c>
      <c r="H7230" s="362"/>
      <c r="I7230" s="362"/>
      <c r="J7230" s="362"/>
    </row>
    <row r="7231" spans="1:10" x14ac:dyDescent="0.25">
      <c r="A7231" s="362"/>
      <c r="B7231" s="609">
        <v>44576</v>
      </c>
      <c r="C7231" s="362" t="s">
        <v>83</v>
      </c>
      <c r="D7231" s="560">
        <v>77715289</v>
      </c>
      <c r="E7231" s="560">
        <v>16308211</v>
      </c>
      <c r="F7231" s="560">
        <v>94023500</v>
      </c>
      <c r="G7231" s="560">
        <f t="shared" si="152"/>
        <v>0</v>
      </c>
      <c r="H7231" s="362"/>
      <c r="I7231" s="362"/>
      <c r="J7231" s="362"/>
    </row>
    <row r="7232" spans="1:10" x14ac:dyDescent="0.25">
      <c r="A7232" s="362"/>
      <c r="B7232" s="609">
        <v>44576</v>
      </c>
      <c r="C7232" s="362" t="s">
        <v>78</v>
      </c>
      <c r="D7232" s="560">
        <v>31220640</v>
      </c>
      <c r="E7232" s="560">
        <v>9948760</v>
      </c>
      <c r="F7232" s="560">
        <v>41169400</v>
      </c>
      <c r="G7232" s="560">
        <f t="shared" si="152"/>
        <v>0</v>
      </c>
      <c r="H7232" s="362"/>
      <c r="I7232" s="362"/>
      <c r="J7232" s="362"/>
    </row>
    <row r="7233" spans="1:10" x14ac:dyDescent="0.25">
      <c r="A7233" s="362"/>
      <c r="B7233" s="609">
        <v>44576</v>
      </c>
      <c r="C7233" s="362" t="s">
        <v>141</v>
      </c>
      <c r="D7233" s="560">
        <v>42820135</v>
      </c>
      <c r="E7233" s="560">
        <v>583468</v>
      </c>
      <c r="F7233" s="560">
        <v>43403700</v>
      </c>
      <c r="G7233" s="560">
        <f t="shared" si="152"/>
        <v>-97</v>
      </c>
      <c r="H7233" s="362"/>
      <c r="I7233" s="362"/>
      <c r="J7233" s="362"/>
    </row>
    <row r="7234" spans="1:10" x14ac:dyDescent="0.25">
      <c r="A7234" s="362"/>
      <c r="B7234" s="609">
        <v>44576</v>
      </c>
      <c r="C7234" s="362" t="s">
        <v>89</v>
      </c>
      <c r="D7234" s="560">
        <v>37402970</v>
      </c>
      <c r="E7234" s="560">
        <v>68334030</v>
      </c>
      <c r="F7234" s="560">
        <v>105737000</v>
      </c>
      <c r="G7234" s="560">
        <f t="shared" si="152"/>
        <v>0</v>
      </c>
      <c r="H7234" s="362"/>
      <c r="I7234" s="362"/>
      <c r="J7234" s="362"/>
    </row>
    <row r="7235" spans="1:10" x14ac:dyDescent="0.25">
      <c r="A7235" s="362"/>
      <c r="B7235" s="609">
        <v>44576</v>
      </c>
      <c r="C7235" s="362" t="s">
        <v>81</v>
      </c>
      <c r="D7235" s="560">
        <v>56912507</v>
      </c>
      <c r="E7235" s="560">
        <v>29061540</v>
      </c>
      <c r="F7235" s="560">
        <f>72148900+13825200</f>
        <v>85974100</v>
      </c>
      <c r="G7235" s="560">
        <f t="shared" si="152"/>
        <v>-53</v>
      </c>
      <c r="H7235" s="362"/>
      <c r="I7235" s="362"/>
      <c r="J7235" s="362"/>
    </row>
    <row r="7236" spans="1:10" x14ac:dyDescent="0.25">
      <c r="A7236" s="362"/>
      <c r="B7236" s="609">
        <v>44576</v>
      </c>
      <c r="C7236" s="362" t="s">
        <v>84</v>
      </c>
      <c r="D7236" s="560">
        <v>239468861</v>
      </c>
      <c r="E7236" s="560">
        <v>24756543</v>
      </c>
      <c r="F7236" s="560">
        <v>264225500</v>
      </c>
      <c r="G7236" s="560">
        <f t="shared" si="152"/>
        <v>-96</v>
      </c>
      <c r="H7236" s="362"/>
      <c r="I7236" s="362"/>
      <c r="J7236" s="362"/>
    </row>
    <row r="7237" spans="1:10" x14ac:dyDescent="0.25">
      <c r="A7237" s="362"/>
      <c r="B7237" s="609">
        <v>44576</v>
      </c>
      <c r="C7237" s="362" t="s">
        <v>4751</v>
      </c>
      <c r="D7237" s="560">
        <v>197021220</v>
      </c>
      <c r="E7237" s="560">
        <v>8147080</v>
      </c>
      <c r="F7237" s="560">
        <v>205168300</v>
      </c>
      <c r="G7237" s="560">
        <f t="shared" si="152"/>
        <v>0</v>
      </c>
      <c r="H7237" s="362"/>
      <c r="I7237" s="362"/>
      <c r="J7237" s="362"/>
    </row>
    <row r="7238" spans="1:10" x14ac:dyDescent="0.25">
      <c r="A7238" s="362"/>
      <c r="B7238" s="609">
        <v>44576</v>
      </c>
      <c r="C7238" s="362" t="s">
        <v>166</v>
      </c>
      <c r="D7238" s="560"/>
      <c r="E7238" s="560"/>
      <c r="F7238" s="560"/>
      <c r="G7238" s="560">
        <f t="shared" si="152"/>
        <v>0</v>
      </c>
      <c r="H7238" s="362"/>
      <c r="I7238" s="362"/>
      <c r="J7238" s="362"/>
    </row>
    <row r="7239" spans="1:10" x14ac:dyDescent="0.25">
      <c r="A7239" s="362"/>
      <c r="B7239" s="609">
        <v>44576</v>
      </c>
      <c r="C7239" s="362" t="s">
        <v>3435</v>
      </c>
      <c r="D7239" s="560"/>
      <c r="E7239" s="560"/>
      <c r="F7239" s="560"/>
      <c r="G7239" s="560">
        <f t="shared" si="152"/>
        <v>0</v>
      </c>
      <c r="H7239" s="362"/>
      <c r="I7239" s="362"/>
      <c r="J7239" s="362"/>
    </row>
    <row r="7240" spans="1:10" x14ac:dyDescent="0.25">
      <c r="A7240" s="362"/>
      <c r="B7240" s="609">
        <v>44576</v>
      </c>
      <c r="C7240" s="370" t="s">
        <v>85</v>
      </c>
      <c r="D7240" s="560">
        <v>26201200</v>
      </c>
      <c r="E7240" s="560"/>
      <c r="F7240" s="560">
        <v>26201200</v>
      </c>
      <c r="G7240" s="560">
        <f t="shared" si="152"/>
        <v>0</v>
      </c>
      <c r="H7240" s="362"/>
      <c r="I7240" s="362"/>
      <c r="J7240" s="362"/>
    </row>
    <row r="7241" spans="1:10" x14ac:dyDescent="0.25">
      <c r="A7241" s="530"/>
      <c r="B7241" s="530"/>
      <c r="C7241" s="530"/>
      <c r="D7241" s="562">
        <f>SUM(D7226:D7240)</f>
        <v>1242881023</v>
      </c>
      <c r="E7241" s="562">
        <f>SUM(E7226:E7240)</f>
        <v>431515972</v>
      </c>
      <c r="F7241" s="562">
        <f>SUM(F7226:F7240)</f>
        <v>1674397400</v>
      </c>
      <c r="G7241" s="562">
        <f>SUM(G7226:G7240)</f>
        <v>-405</v>
      </c>
      <c r="H7241" s="530"/>
      <c r="I7241" s="530"/>
      <c r="J7241" s="530"/>
    </row>
    <row r="7242" spans="1:10" x14ac:dyDescent="0.25">
      <c r="A7242" s="362"/>
      <c r="B7242" s="609">
        <v>44578</v>
      </c>
      <c r="C7242" s="362" t="s">
        <v>86</v>
      </c>
      <c r="D7242" s="560">
        <v>78981418</v>
      </c>
      <c r="E7242" s="560">
        <v>9484641</v>
      </c>
      <c r="F7242" s="560">
        <v>88466100</v>
      </c>
      <c r="G7242" s="560">
        <f t="shared" si="152"/>
        <v>-41</v>
      </c>
      <c r="H7242" s="362"/>
      <c r="I7242" s="362"/>
      <c r="J7242" s="362"/>
    </row>
    <row r="7243" spans="1:10" x14ac:dyDescent="0.25">
      <c r="A7243" s="362"/>
      <c r="B7243" s="609">
        <v>44578</v>
      </c>
      <c r="C7243" s="362" t="s">
        <v>87</v>
      </c>
      <c r="D7243" s="560">
        <v>82344116</v>
      </c>
      <c r="E7243" s="560">
        <v>55987438</v>
      </c>
      <c r="F7243" s="560">
        <v>138331800</v>
      </c>
      <c r="G7243" s="560">
        <f t="shared" si="152"/>
        <v>-246</v>
      </c>
      <c r="H7243" s="362"/>
      <c r="I7243" s="362"/>
      <c r="J7243" s="362"/>
    </row>
    <row r="7244" spans="1:10" x14ac:dyDescent="0.25">
      <c r="A7244" s="362"/>
      <c r="B7244" s="609">
        <v>44578</v>
      </c>
      <c r="C7244" s="362" t="s">
        <v>88</v>
      </c>
      <c r="D7244" s="560">
        <v>165913742</v>
      </c>
      <c r="E7244" s="560">
        <v>25399108</v>
      </c>
      <c r="F7244" s="560">
        <v>191312900</v>
      </c>
      <c r="G7244" s="560">
        <f t="shared" ref="G7244:G7307" si="153">D7244+E7244-F7244</f>
        <v>-50</v>
      </c>
      <c r="H7244" s="362"/>
      <c r="I7244" s="362"/>
      <c r="J7244" s="362"/>
    </row>
    <row r="7245" spans="1:10" x14ac:dyDescent="0.25">
      <c r="A7245" s="362"/>
      <c r="B7245" s="609">
        <v>44578</v>
      </c>
      <c r="C7245" s="362" t="s">
        <v>82</v>
      </c>
      <c r="D7245" s="560">
        <v>46229347</v>
      </c>
      <c r="E7245" s="560">
        <v>52077070</v>
      </c>
      <c r="F7245" s="560">
        <v>98306500</v>
      </c>
      <c r="G7245" s="560">
        <f t="shared" si="153"/>
        <v>-83</v>
      </c>
      <c r="H7245" s="362"/>
      <c r="I7245" s="362"/>
      <c r="J7245" s="362"/>
    </row>
    <row r="7246" spans="1:10" x14ac:dyDescent="0.25">
      <c r="A7246" s="362"/>
      <c r="B7246" s="609">
        <v>44578</v>
      </c>
      <c r="C7246" s="362" t="s">
        <v>80</v>
      </c>
      <c r="D7246" s="560">
        <v>266566552</v>
      </c>
      <c r="E7246" s="560">
        <v>30780000</v>
      </c>
      <c r="F7246" s="560">
        <v>297331300</v>
      </c>
      <c r="G7246" s="560">
        <f t="shared" si="153"/>
        <v>15252</v>
      </c>
      <c r="H7246" s="362"/>
      <c r="I7246" s="362"/>
      <c r="J7246" s="362"/>
    </row>
    <row r="7247" spans="1:10" x14ac:dyDescent="0.25">
      <c r="A7247" s="362"/>
      <c r="B7247" s="609">
        <v>44578</v>
      </c>
      <c r="C7247" s="362" t="s">
        <v>83</v>
      </c>
      <c r="D7247" s="560">
        <v>187483527</v>
      </c>
      <c r="E7247" s="560">
        <v>10597663</v>
      </c>
      <c r="F7247" s="560">
        <v>198081200</v>
      </c>
      <c r="G7247" s="560">
        <f t="shared" si="153"/>
        <v>-10</v>
      </c>
      <c r="H7247" s="362"/>
      <c r="I7247" s="362"/>
      <c r="J7247" s="362"/>
    </row>
    <row r="7248" spans="1:10" x14ac:dyDescent="0.25">
      <c r="A7248" s="362"/>
      <c r="B7248" s="609">
        <v>44578</v>
      </c>
      <c r="C7248" s="362" t="s">
        <v>78</v>
      </c>
      <c r="D7248" s="560">
        <v>195547263</v>
      </c>
      <c r="E7248" s="560">
        <v>9353437</v>
      </c>
      <c r="F7248" s="560">
        <v>204900700</v>
      </c>
      <c r="G7248" s="560">
        <f t="shared" si="153"/>
        <v>0</v>
      </c>
      <c r="H7248" s="362"/>
      <c r="I7248" s="362"/>
      <c r="J7248" s="362"/>
    </row>
    <row r="7249" spans="1:10" x14ac:dyDescent="0.25">
      <c r="A7249" s="362"/>
      <c r="B7249" s="609">
        <v>44578</v>
      </c>
      <c r="C7249" s="362" t="s">
        <v>141</v>
      </c>
      <c r="D7249" s="560">
        <v>147734572</v>
      </c>
      <c r="E7249" s="560"/>
      <c r="F7249" s="560">
        <v>147734600</v>
      </c>
      <c r="G7249" s="560">
        <f t="shared" si="153"/>
        <v>-28</v>
      </c>
      <c r="H7249" s="362"/>
      <c r="I7249" s="362"/>
      <c r="J7249" s="362"/>
    </row>
    <row r="7250" spans="1:10" x14ac:dyDescent="0.25">
      <c r="A7250" s="362"/>
      <c r="B7250" s="609">
        <v>44578</v>
      </c>
      <c r="C7250" s="362" t="s">
        <v>89</v>
      </c>
      <c r="D7250" s="560">
        <v>94740201</v>
      </c>
      <c r="E7250" s="560">
        <v>40594099</v>
      </c>
      <c r="F7250" s="560">
        <v>135334200</v>
      </c>
      <c r="G7250" s="560">
        <f t="shared" si="153"/>
        <v>100</v>
      </c>
      <c r="H7250" s="362"/>
      <c r="I7250" s="362"/>
      <c r="J7250" s="362"/>
    </row>
    <row r="7251" spans="1:10" x14ac:dyDescent="0.25">
      <c r="A7251" s="362"/>
      <c r="B7251" s="609">
        <v>44578</v>
      </c>
      <c r="C7251" s="362" t="s">
        <v>81</v>
      </c>
      <c r="D7251" s="560">
        <v>150108119</v>
      </c>
      <c r="E7251" s="560">
        <v>23687029</v>
      </c>
      <c r="F7251" s="560">
        <v>173795200</v>
      </c>
      <c r="G7251" s="560">
        <f t="shared" si="153"/>
        <v>-52</v>
      </c>
      <c r="H7251" s="362"/>
      <c r="I7251" s="362"/>
      <c r="J7251" s="362"/>
    </row>
    <row r="7252" spans="1:10" x14ac:dyDescent="0.25">
      <c r="A7252" s="362"/>
      <c r="B7252" s="609">
        <v>44578</v>
      </c>
      <c r="C7252" s="362" t="s">
        <v>84</v>
      </c>
      <c r="D7252" s="560">
        <v>221238324</v>
      </c>
      <c r="E7252" s="560">
        <v>20426146</v>
      </c>
      <c r="F7252" s="560">
        <v>241664500</v>
      </c>
      <c r="G7252" s="560">
        <f t="shared" si="153"/>
        <v>-30</v>
      </c>
      <c r="H7252" s="362"/>
      <c r="I7252" s="362"/>
      <c r="J7252" s="362"/>
    </row>
    <row r="7253" spans="1:10" x14ac:dyDescent="0.25">
      <c r="A7253" s="362"/>
      <c r="B7253" s="609">
        <v>44578</v>
      </c>
      <c r="C7253" s="362" t="s">
        <v>4751</v>
      </c>
      <c r="D7253" s="560">
        <v>277669649</v>
      </c>
      <c r="E7253" s="560">
        <v>23543451</v>
      </c>
      <c r="F7253" s="560">
        <v>301213100</v>
      </c>
      <c r="G7253" s="560">
        <f t="shared" si="153"/>
        <v>0</v>
      </c>
      <c r="H7253" s="362"/>
      <c r="I7253" s="362"/>
      <c r="J7253" s="362"/>
    </row>
    <row r="7254" spans="1:10" x14ac:dyDescent="0.25">
      <c r="A7254" s="362"/>
      <c r="B7254" s="609">
        <v>44578</v>
      </c>
      <c r="C7254" s="362" t="s">
        <v>166</v>
      </c>
      <c r="D7254" s="560">
        <v>114375988</v>
      </c>
      <c r="E7254" s="560"/>
      <c r="F7254" s="560">
        <v>114376000</v>
      </c>
      <c r="G7254" s="560">
        <f t="shared" si="153"/>
        <v>-12</v>
      </c>
      <c r="H7254" s="362"/>
      <c r="I7254" s="362"/>
      <c r="J7254" s="362"/>
    </row>
    <row r="7255" spans="1:10" x14ac:dyDescent="0.25">
      <c r="A7255" s="362"/>
      <c r="B7255" s="609">
        <v>44578</v>
      </c>
      <c r="C7255" s="362" t="s">
        <v>3435</v>
      </c>
      <c r="D7255" s="560">
        <v>11294686</v>
      </c>
      <c r="E7255" s="560"/>
      <c r="F7255" s="560">
        <v>11294700</v>
      </c>
      <c r="G7255" s="560">
        <f t="shared" si="153"/>
        <v>-14</v>
      </c>
      <c r="H7255" s="362"/>
      <c r="I7255" s="362"/>
      <c r="J7255" s="362"/>
    </row>
    <row r="7256" spans="1:10" x14ac:dyDescent="0.25">
      <c r="A7256" s="362"/>
      <c r="B7256" s="609">
        <v>44578</v>
      </c>
      <c r="C7256" s="370" t="s">
        <v>85</v>
      </c>
      <c r="D7256" s="560">
        <v>48646900</v>
      </c>
      <c r="E7256" s="560"/>
      <c r="F7256" s="560">
        <v>48646900</v>
      </c>
      <c r="G7256" s="560">
        <f t="shared" si="153"/>
        <v>0</v>
      </c>
      <c r="H7256" s="362"/>
      <c r="I7256" s="362"/>
      <c r="J7256" s="362"/>
    </row>
    <row r="7257" spans="1:10" x14ac:dyDescent="0.25">
      <c r="A7257" s="530"/>
      <c r="B7257" s="530"/>
      <c r="C7257" s="530"/>
      <c r="D7257" s="562">
        <f>SUM(D7242:D7256)</f>
        <v>2088874404</v>
      </c>
      <c r="E7257" s="562">
        <f>SUM(E7242:E7256)</f>
        <v>301930082</v>
      </c>
      <c r="F7257" s="562">
        <f>SUM(F7242:F7256)</f>
        <v>2390789700</v>
      </c>
      <c r="G7257" s="562">
        <f>SUM(G7242:G7256)</f>
        <v>14786</v>
      </c>
      <c r="H7257" s="530"/>
      <c r="I7257" s="530"/>
      <c r="J7257" s="530"/>
    </row>
    <row r="7258" spans="1:10" x14ac:dyDescent="0.25">
      <c r="A7258" s="362"/>
      <c r="B7258" s="609">
        <v>44579</v>
      </c>
      <c r="C7258" s="362" t="s">
        <v>86</v>
      </c>
      <c r="D7258" s="560">
        <v>58483243</v>
      </c>
      <c r="E7258" s="560">
        <v>52328090</v>
      </c>
      <c r="F7258" s="560">
        <v>110811400</v>
      </c>
      <c r="G7258" s="560">
        <f t="shared" si="153"/>
        <v>-67</v>
      </c>
      <c r="H7258" s="362"/>
      <c r="I7258" s="362"/>
      <c r="J7258" s="362"/>
    </row>
    <row r="7259" spans="1:10" x14ac:dyDescent="0.25">
      <c r="A7259" s="362"/>
      <c r="B7259" s="609">
        <v>44579</v>
      </c>
      <c r="C7259" s="362" t="s">
        <v>87</v>
      </c>
      <c r="D7259" s="560">
        <v>162156601</v>
      </c>
      <c r="E7259" s="560">
        <v>79220982</v>
      </c>
      <c r="F7259" s="560">
        <v>241377800</v>
      </c>
      <c r="G7259" s="560">
        <f t="shared" si="153"/>
        <v>-217</v>
      </c>
      <c r="H7259" s="362"/>
      <c r="I7259" s="362"/>
      <c r="J7259" s="362"/>
    </row>
    <row r="7260" spans="1:10" x14ac:dyDescent="0.25">
      <c r="A7260" s="362"/>
      <c r="B7260" s="609">
        <v>44579</v>
      </c>
      <c r="C7260" s="362" t="s">
        <v>88</v>
      </c>
      <c r="D7260" s="560">
        <v>132032894</v>
      </c>
      <c r="E7260" s="560">
        <v>20130278</v>
      </c>
      <c r="F7260" s="560">
        <v>152163200</v>
      </c>
      <c r="G7260" s="560">
        <f t="shared" si="153"/>
        <v>-28</v>
      </c>
      <c r="H7260" s="362"/>
      <c r="I7260" s="362"/>
      <c r="J7260" s="362"/>
    </row>
    <row r="7261" spans="1:10" x14ac:dyDescent="0.25">
      <c r="A7261" s="362"/>
      <c r="B7261" s="609">
        <v>44579</v>
      </c>
      <c r="C7261" s="362" t="s">
        <v>82</v>
      </c>
      <c r="D7261" s="560">
        <v>53788739</v>
      </c>
      <c r="E7261" s="560">
        <v>13297893</v>
      </c>
      <c r="F7261" s="560">
        <v>67086700</v>
      </c>
      <c r="G7261" s="560">
        <f t="shared" si="153"/>
        <v>-68</v>
      </c>
      <c r="H7261" s="362"/>
      <c r="I7261" s="362"/>
      <c r="J7261" s="362"/>
    </row>
    <row r="7262" spans="1:10" x14ac:dyDescent="0.25">
      <c r="A7262" s="362"/>
      <c r="B7262" s="609">
        <v>44579</v>
      </c>
      <c r="C7262" s="362" t="s">
        <v>80</v>
      </c>
      <c r="D7262" s="560">
        <v>301518908</v>
      </c>
      <c r="E7262" s="560">
        <v>115139343</v>
      </c>
      <c r="F7262" s="560">
        <v>416662400</v>
      </c>
      <c r="G7262" s="560">
        <f t="shared" si="153"/>
        <v>-4149</v>
      </c>
      <c r="H7262" s="362"/>
      <c r="I7262" s="362"/>
      <c r="J7262" s="362"/>
    </row>
    <row r="7263" spans="1:10" x14ac:dyDescent="0.25">
      <c r="A7263" s="362"/>
      <c r="B7263" s="609">
        <v>44579</v>
      </c>
      <c r="C7263" s="362" t="s">
        <v>83</v>
      </c>
      <c r="D7263" s="560">
        <v>174697080</v>
      </c>
      <c r="E7263" s="560">
        <v>16144082</v>
      </c>
      <c r="F7263" s="560">
        <v>190841200</v>
      </c>
      <c r="G7263" s="560">
        <f t="shared" si="153"/>
        <v>-38</v>
      </c>
      <c r="H7263" s="362"/>
      <c r="I7263" s="362"/>
      <c r="J7263" s="362"/>
    </row>
    <row r="7264" spans="1:10" x14ac:dyDescent="0.25">
      <c r="A7264" s="362"/>
      <c r="B7264" s="609">
        <v>44579</v>
      </c>
      <c r="C7264" s="362" t="s">
        <v>78</v>
      </c>
      <c r="D7264" s="560">
        <v>143441717</v>
      </c>
      <c r="E7264" s="560">
        <v>2822183</v>
      </c>
      <c r="F7264" s="560">
        <v>146255900</v>
      </c>
      <c r="G7264" s="560">
        <f t="shared" si="153"/>
        <v>8000</v>
      </c>
      <c r="H7264" s="362"/>
      <c r="I7264" s="362"/>
      <c r="J7264" s="362"/>
    </row>
    <row r="7265" spans="1:10" x14ac:dyDescent="0.25">
      <c r="A7265" s="362"/>
      <c r="B7265" s="609">
        <v>44579</v>
      </c>
      <c r="C7265" s="362" t="s">
        <v>141</v>
      </c>
      <c r="D7265" s="560">
        <v>87964692</v>
      </c>
      <c r="E7265" s="560"/>
      <c r="F7265" s="560">
        <v>87964700</v>
      </c>
      <c r="G7265" s="560">
        <f t="shared" si="153"/>
        <v>-8</v>
      </c>
      <c r="H7265" s="362"/>
      <c r="I7265" s="362"/>
      <c r="J7265" s="362"/>
    </row>
    <row r="7266" spans="1:10" x14ac:dyDescent="0.25">
      <c r="A7266" s="362"/>
      <c r="B7266" s="609">
        <v>44579</v>
      </c>
      <c r="C7266" s="362" t="s">
        <v>89</v>
      </c>
      <c r="D7266" s="560">
        <v>128680367</v>
      </c>
      <c r="E7266" s="560">
        <v>55762633</v>
      </c>
      <c r="F7266" s="560">
        <v>184443000</v>
      </c>
      <c r="G7266" s="560">
        <f t="shared" si="153"/>
        <v>0</v>
      </c>
      <c r="H7266" s="362"/>
      <c r="I7266" s="362"/>
      <c r="J7266" s="362"/>
    </row>
    <row r="7267" spans="1:10" x14ac:dyDescent="0.25">
      <c r="A7267" s="362"/>
      <c r="B7267" s="609">
        <v>44579</v>
      </c>
      <c r="C7267" s="362" t="s">
        <v>81</v>
      </c>
      <c r="D7267" s="560">
        <v>73046676</v>
      </c>
      <c r="E7267" s="560">
        <v>8181823</v>
      </c>
      <c r="F7267" s="560">
        <v>81228500</v>
      </c>
      <c r="G7267" s="560">
        <f t="shared" si="153"/>
        <v>-1</v>
      </c>
      <c r="H7267" s="362"/>
      <c r="I7267" s="362"/>
      <c r="J7267" s="362"/>
    </row>
    <row r="7268" spans="1:10" x14ac:dyDescent="0.25">
      <c r="A7268" s="362"/>
      <c r="B7268" s="609">
        <v>44579</v>
      </c>
      <c r="C7268" s="362" t="s">
        <v>84</v>
      </c>
      <c r="D7268" s="560">
        <v>432519917</v>
      </c>
      <c r="E7268" s="560">
        <v>26411875</v>
      </c>
      <c r="F7268" s="560">
        <v>458931800</v>
      </c>
      <c r="G7268" s="560">
        <f t="shared" si="153"/>
        <v>-8</v>
      </c>
      <c r="H7268" s="362"/>
      <c r="I7268" s="362"/>
      <c r="J7268" s="362"/>
    </row>
    <row r="7269" spans="1:10" x14ac:dyDescent="0.25">
      <c r="A7269" s="362"/>
      <c r="B7269" s="609">
        <v>44579</v>
      </c>
      <c r="C7269" s="362" t="s">
        <v>4751</v>
      </c>
      <c r="D7269" s="560">
        <v>348265152</v>
      </c>
      <c r="E7269" s="560">
        <v>18734548</v>
      </c>
      <c r="F7269" s="560">
        <v>366999700</v>
      </c>
      <c r="G7269" s="560">
        <f t="shared" si="153"/>
        <v>0</v>
      </c>
      <c r="H7269" s="362"/>
      <c r="I7269" s="362"/>
      <c r="J7269" s="362"/>
    </row>
    <row r="7270" spans="1:10" x14ac:dyDescent="0.25">
      <c r="A7270" s="362"/>
      <c r="B7270" s="609">
        <v>44579</v>
      </c>
      <c r="C7270" s="362" t="s">
        <v>166</v>
      </c>
      <c r="D7270" s="560">
        <v>128033764</v>
      </c>
      <c r="E7270" s="560"/>
      <c r="F7270" s="560">
        <v>128033800</v>
      </c>
      <c r="G7270" s="560">
        <f t="shared" si="153"/>
        <v>-36</v>
      </c>
      <c r="H7270" s="362"/>
      <c r="I7270" s="362"/>
      <c r="J7270" s="362"/>
    </row>
    <row r="7271" spans="1:10" x14ac:dyDescent="0.25">
      <c r="A7271" s="362"/>
      <c r="B7271" s="609">
        <v>44579</v>
      </c>
      <c r="C7271" s="362" t="s">
        <v>3435</v>
      </c>
      <c r="D7271" s="560">
        <v>133285563</v>
      </c>
      <c r="E7271" s="560"/>
      <c r="F7271" s="560">
        <v>133285600</v>
      </c>
      <c r="G7271" s="560">
        <f t="shared" si="153"/>
        <v>-37</v>
      </c>
      <c r="H7271" s="362"/>
      <c r="I7271" s="362"/>
      <c r="J7271" s="362"/>
    </row>
    <row r="7272" spans="1:10" x14ac:dyDescent="0.25">
      <c r="A7272" s="370"/>
      <c r="B7272" s="850">
        <v>44579</v>
      </c>
      <c r="C7272" s="370" t="s">
        <v>85</v>
      </c>
      <c r="D7272" s="563">
        <v>39238200</v>
      </c>
      <c r="E7272" s="563"/>
      <c r="F7272" s="563">
        <v>39238200</v>
      </c>
      <c r="G7272" s="560">
        <f t="shared" si="153"/>
        <v>0</v>
      </c>
      <c r="H7272" s="370"/>
      <c r="I7272" s="370"/>
      <c r="J7272" s="370"/>
    </row>
    <row r="7273" spans="1:10" x14ac:dyDescent="0.25">
      <c r="A7273" s="530"/>
      <c r="B7273" s="530"/>
      <c r="C7273" s="530"/>
      <c r="D7273" s="630">
        <f>SUM(D7258:D7272)</f>
        <v>2397153513</v>
      </c>
      <c r="E7273" s="630">
        <f>SUM(E7258:E7272)</f>
        <v>408173730</v>
      </c>
      <c r="F7273" s="630">
        <f>SUM(F7258:F7272)</f>
        <v>2805323900</v>
      </c>
      <c r="G7273" s="630">
        <f>SUM(G7258:G7272)</f>
        <v>3343</v>
      </c>
      <c r="H7273" s="530"/>
      <c r="I7273" s="530"/>
      <c r="J7273" s="530"/>
    </row>
    <row r="7274" spans="1:10" x14ac:dyDescent="0.25">
      <c r="A7274" s="362"/>
      <c r="B7274" s="609">
        <v>44580</v>
      </c>
      <c r="C7274" s="362" t="s">
        <v>86</v>
      </c>
      <c r="D7274" s="560">
        <v>168430382</v>
      </c>
      <c r="E7274" s="560">
        <v>18032101</v>
      </c>
      <c r="F7274" s="560">
        <v>186462500</v>
      </c>
      <c r="G7274" s="560">
        <f t="shared" si="153"/>
        <v>-17</v>
      </c>
      <c r="H7274" s="362"/>
      <c r="I7274" s="362"/>
      <c r="J7274" s="362"/>
    </row>
    <row r="7275" spans="1:10" x14ac:dyDescent="0.25">
      <c r="A7275" s="362"/>
      <c r="B7275" s="609">
        <v>44580</v>
      </c>
      <c r="C7275" s="362" t="s">
        <v>87</v>
      </c>
      <c r="D7275" s="560">
        <v>66847128</v>
      </c>
      <c r="E7275" s="560">
        <v>123120653</v>
      </c>
      <c r="F7275" s="560">
        <v>189968800</v>
      </c>
      <c r="G7275" s="560">
        <f t="shared" si="153"/>
        <v>-1019</v>
      </c>
      <c r="H7275" s="362"/>
      <c r="I7275" s="362"/>
      <c r="J7275" s="362"/>
    </row>
    <row r="7276" spans="1:10" x14ac:dyDescent="0.25">
      <c r="A7276" s="362"/>
      <c r="B7276" s="609">
        <v>44580</v>
      </c>
      <c r="C7276" s="362" t="s">
        <v>88</v>
      </c>
      <c r="D7276" s="560">
        <v>130991942</v>
      </c>
      <c r="E7276" s="560">
        <v>7408915</v>
      </c>
      <c r="F7276" s="560">
        <v>138400900</v>
      </c>
      <c r="G7276" s="560">
        <f t="shared" si="153"/>
        <v>-43</v>
      </c>
      <c r="H7276" s="362"/>
      <c r="I7276" s="362"/>
      <c r="J7276" s="362"/>
    </row>
    <row r="7277" spans="1:10" x14ac:dyDescent="0.25">
      <c r="A7277" s="362"/>
      <c r="B7277" s="609">
        <v>44580</v>
      </c>
      <c r="C7277" s="362" t="s">
        <v>82</v>
      </c>
      <c r="D7277" s="560">
        <v>108405189</v>
      </c>
      <c r="E7277" s="560">
        <v>2903294</v>
      </c>
      <c r="F7277" s="560">
        <v>111308500</v>
      </c>
      <c r="G7277" s="560">
        <f t="shared" si="153"/>
        <v>-17</v>
      </c>
      <c r="H7277" s="362"/>
      <c r="I7277" s="362"/>
      <c r="J7277" s="362"/>
    </row>
    <row r="7278" spans="1:10" x14ac:dyDescent="0.25">
      <c r="A7278" s="362"/>
      <c r="B7278" s="609">
        <v>44580</v>
      </c>
      <c r="C7278" s="362" t="s">
        <v>80</v>
      </c>
      <c r="D7278" s="560">
        <v>372296234</v>
      </c>
      <c r="E7278" s="560"/>
      <c r="F7278" s="560">
        <v>372296100</v>
      </c>
      <c r="G7278" s="560">
        <f t="shared" si="153"/>
        <v>134</v>
      </c>
      <c r="H7278" s="362"/>
      <c r="I7278" s="362"/>
      <c r="J7278" s="362"/>
    </row>
    <row r="7279" spans="1:10" x14ac:dyDescent="0.25">
      <c r="A7279" s="362"/>
      <c r="B7279" s="609">
        <v>44580</v>
      </c>
      <c r="C7279" s="362" t="s">
        <v>83</v>
      </c>
      <c r="D7279" s="560">
        <v>166429573</v>
      </c>
      <c r="E7279" s="560">
        <v>15071041</v>
      </c>
      <c r="F7279" s="560">
        <v>181500600</v>
      </c>
      <c r="G7279" s="560">
        <f t="shared" si="153"/>
        <v>14</v>
      </c>
      <c r="H7279" s="362"/>
      <c r="I7279" s="362"/>
      <c r="J7279" s="362"/>
    </row>
    <row r="7280" spans="1:10" x14ac:dyDescent="0.25">
      <c r="A7280" s="362"/>
      <c r="B7280" s="609">
        <v>44580</v>
      </c>
      <c r="C7280" s="362" t="s">
        <v>78</v>
      </c>
      <c r="D7280" s="560">
        <v>124107702</v>
      </c>
      <c r="E7280" s="560">
        <v>12070098</v>
      </c>
      <c r="F7280" s="560">
        <v>136177800</v>
      </c>
      <c r="G7280" s="560">
        <f t="shared" si="153"/>
        <v>0</v>
      </c>
      <c r="H7280" s="362"/>
      <c r="I7280" s="362"/>
      <c r="J7280" s="362"/>
    </row>
    <row r="7281" spans="1:10" x14ac:dyDescent="0.25">
      <c r="A7281" s="362"/>
      <c r="B7281" s="609">
        <v>44580</v>
      </c>
      <c r="C7281" s="362" t="s">
        <v>141</v>
      </c>
      <c r="D7281" s="560">
        <v>189957914</v>
      </c>
      <c r="E7281" s="560"/>
      <c r="F7281" s="560">
        <v>189958000</v>
      </c>
      <c r="G7281" s="560">
        <f t="shared" si="153"/>
        <v>-86</v>
      </c>
      <c r="H7281" s="362"/>
      <c r="I7281" s="362"/>
      <c r="J7281" s="362"/>
    </row>
    <row r="7282" spans="1:10" x14ac:dyDescent="0.25">
      <c r="A7282" s="362"/>
      <c r="B7282" s="609">
        <v>44580</v>
      </c>
      <c r="C7282" s="362" t="s">
        <v>89</v>
      </c>
      <c r="D7282" s="560">
        <v>171177445</v>
      </c>
      <c r="E7282" s="560">
        <v>43926455</v>
      </c>
      <c r="F7282" s="560">
        <v>215103900</v>
      </c>
      <c r="G7282" s="560">
        <f t="shared" si="153"/>
        <v>0</v>
      </c>
      <c r="H7282" s="362"/>
      <c r="I7282" s="362"/>
      <c r="J7282" s="362"/>
    </row>
    <row r="7283" spans="1:10" x14ac:dyDescent="0.25">
      <c r="A7283" s="362"/>
      <c r="B7283" s="609">
        <v>44580</v>
      </c>
      <c r="C7283" s="362" t="s">
        <v>81</v>
      </c>
      <c r="D7283" s="560">
        <v>88593623</v>
      </c>
      <c r="E7283" s="560">
        <v>26051583</v>
      </c>
      <c r="F7283" s="560">
        <v>114645200</v>
      </c>
      <c r="G7283" s="560">
        <f t="shared" si="153"/>
        <v>6</v>
      </c>
      <c r="H7283" s="362"/>
      <c r="I7283" s="362"/>
      <c r="J7283" s="362"/>
    </row>
    <row r="7284" spans="1:10" x14ac:dyDescent="0.25">
      <c r="A7284" s="362"/>
      <c r="B7284" s="609">
        <v>44580</v>
      </c>
      <c r="C7284" s="362" t="s">
        <v>84</v>
      </c>
      <c r="D7284" s="560">
        <v>234743524</v>
      </c>
      <c r="E7284" s="560">
        <v>20812817</v>
      </c>
      <c r="F7284" s="560">
        <v>255556300</v>
      </c>
      <c r="G7284" s="560">
        <f t="shared" si="153"/>
        <v>41</v>
      </c>
      <c r="H7284" s="362"/>
      <c r="I7284" s="362"/>
      <c r="J7284" s="362"/>
    </row>
    <row r="7285" spans="1:10" x14ac:dyDescent="0.25">
      <c r="A7285" s="362"/>
      <c r="B7285" s="609">
        <v>44580</v>
      </c>
      <c r="C7285" s="362" t="s">
        <v>4751</v>
      </c>
      <c r="D7285" s="560">
        <v>166117852</v>
      </c>
      <c r="E7285" s="560">
        <v>5467148</v>
      </c>
      <c r="F7285" s="560">
        <v>171585000</v>
      </c>
      <c r="G7285" s="560">
        <f t="shared" si="153"/>
        <v>0</v>
      </c>
      <c r="H7285" s="362"/>
      <c r="I7285" s="362"/>
      <c r="J7285" s="362"/>
    </row>
    <row r="7286" spans="1:10" x14ac:dyDescent="0.25">
      <c r="A7286" s="362"/>
      <c r="B7286" s="609">
        <v>44580</v>
      </c>
      <c r="C7286" s="362" t="s">
        <v>166</v>
      </c>
      <c r="D7286" s="560">
        <v>87441806</v>
      </c>
      <c r="E7286" s="560"/>
      <c r="F7286" s="560">
        <v>87442000</v>
      </c>
      <c r="G7286" s="560">
        <f t="shared" si="153"/>
        <v>-194</v>
      </c>
      <c r="H7286" s="362"/>
      <c r="I7286" s="362"/>
      <c r="J7286" s="362"/>
    </row>
    <row r="7287" spans="1:10" x14ac:dyDescent="0.25">
      <c r="A7287" s="362"/>
      <c r="B7287" s="609">
        <v>44580</v>
      </c>
      <c r="C7287" s="362" t="s">
        <v>3435</v>
      </c>
      <c r="D7287" s="560">
        <v>55619492</v>
      </c>
      <c r="E7287" s="560"/>
      <c r="F7287" s="560">
        <v>55619500</v>
      </c>
      <c r="G7287" s="560">
        <f t="shared" si="153"/>
        <v>-8</v>
      </c>
      <c r="H7287" s="362"/>
      <c r="I7287" s="362"/>
      <c r="J7287" s="362"/>
    </row>
    <row r="7288" spans="1:10" x14ac:dyDescent="0.25">
      <c r="A7288" s="362"/>
      <c r="B7288" s="609">
        <v>44580</v>
      </c>
      <c r="C7288" s="370" t="s">
        <v>85</v>
      </c>
      <c r="D7288" s="560">
        <v>48744700</v>
      </c>
      <c r="E7288" s="560"/>
      <c r="F7288" s="560">
        <v>48744700</v>
      </c>
      <c r="G7288" s="560">
        <f t="shared" si="153"/>
        <v>0</v>
      </c>
      <c r="H7288" s="362"/>
      <c r="I7288" s="362"/>
      <c r="J7288" s="362"/>
    </row>
    <row r="7289" spans="1:10" x14ac:dyDescent="0.25">
      <c r="A7289" s="530"/>
      <c r="B7289" s="530"/>
      <c r="C7289" s="530"/>
      <c r="D7289" s="562">
        <f>SUM(D7274:D7288)</f>
        <v>2179904506</v>
      </c>
      <c r="E7289" s="562">
        <f>SUM(E7274:E7288)</f>
        <v>274864105</v>
      </c>
      <c r="F7289" s="562">
        <f>SUM(F7274:F7288)</f>
        <v>2454769800</v>
      </c>
      <c r="G7289" s="562">
        <f>SUM(G7274:G7288)</f>
        <v>-1189</v>
      </c>
      <c r="H7289" s="530"/>
      <c r="I7289" s="530"/>
      <c r="J7289" s="530"/>
    </row>
    <row r="7290" spans="1:10" x14ac:dyDescent="0.25">
      <c r="A7290" s="362"/>
      <c r="B7290" s="609">
        <v>44581</v>
      </c>
      <c r="C7290" s="362" t="s">
        <v>86</v>
      </c>
      <c r="D7290" s="560">
        <v>185636878</v>
      </c>
      <c r="E7290" s="560">
        <v>52233502</v>
      </c>
      <c r="F7290" s="560">
        <v>237870400</v>
      </c>
      <c r="G7290" s="560">
        <f t="shared" si="153"/>
        <v>-20</v>
      </c>
      <c r="H7290" s="362"/>
      <c r="I7290" s="362"/>
      <c r="J7290" s="362"/>
    </row>
    <row r="7291" spans="1:10" x14ac:dyDescent="0.25">
      <c r="A7291" s="362"/>
      <c r="B7291" s="609">
        <v>44581</v>
      </c>
      <c r="C7291" s="362" t="s">
        <v>87</v>
      </c>
      <c r="D7291" s="560">
        <v>88832147</v>
      </c>
      <c r="E7291" s="560">
        <v>114396111</v>
      </c>
      <c r="F7291" s="560">
        <v>203228200</v>
      </c>
      <c r="G7291" s="560">
        <f t="shared" si="153"/>
        <v>58</v>
      </c>
      <c r="H7291" s="362"/>
      <c r="I7291" s="362"/>
      <c r="J7291" s="362"/>
    </row>
    <row r="7292" spans="1:10" x14ac:dyDescent="0.25">
      <c r="A7292" s="362"/>
      <c r="B7292" s="609">
        <v>44581</v>
      </c>
      <c r="C7292" s="362" t="s">
        <v>88</v>
      </c>
      <c r="D7292" s="560">
        <v>173404670</v>
      </c>
      <c r="E7292" s="560">
        <v>8911911</v>
      </c>
      <c r="F7292" s="560">
        <v>182316600</v>
      </c>
      <c r="G7292" s="560">
        <f t="shared" si="153"/>
        <v>-19</v>
      </c>
      <c r="H7292" s="362"/>
      <c r="I7292" s="362"/>
      <c r="J7292" s="362"/>
    </row>
    <row r="7293" spans="1:10" x14ac:dyDescent="0.25">
      <c r="A7293" s="362"/>
      <c r="B7293" s="609">
        <v>44581</v>
      </c>
      <c r="C7293" s="362" t="s">
        <v>82</v>
      </c>
      <c r="D7293" s="560">
        <v>200494727</v>
      </c>
      <c r="E7293" s="560">
        <v>3231850</v>
      </c>
      <c r="F7293" s="560">
        <v>203726600</v>
      </c>
      <c r="G7293" s="560">
        <f t="shared" si="153"/>
        <v>-23</v>
      </c>
      <c r="H7293" s="362"/>
      <c r="I7293" s="362"/>
      <c r="J7293" s="362"/>
    </row>
    <row r="7294" spans="1:10" x14ac:dyDescent="0.25">
      <c r="A7294" s="362"/>
      <c r="B7294" s="609">
        <v>44581</v>
      </c>
      <c r="C7294" s="362" t="s">
        <v>80</v>
      </c>
      <c r="D7294" s="560">
        <v>297194357</v>
      </c>
      <c r="E7294" s="560"/>
      <c r="F7294" s="560">
        <v>297195600</v>
      </c>
      <c r="G7294" s="560">
        <f t="shared" si="153"/>
        <v>-1243</v>
      </c>
      <c r="H7294" s="362"/>
      <c r="I7294" s="362"/>
      <c r="J7294" s="362"/>
    </row>
    <row r="7295" spans="1:10" x14ac:dyDescent="0.25">
      <c r="A7295" s="362"/>
      <c r="B7295" s="609">
        <v>44581</v>
      </c>
      <c r="C7295" s="362" t="s">
        <v>83</v>
      </c>
      <c r="D7295" s="560">
        <v>173373226</v>
      </c>
      <c r="E7295" s="560">
        <v>71662689</v>
      </c>
      <c r="F7295" s="560">
        <v>245036000</v>
      </c>
      <c r="G7295" s="560">
        <f t="shared" si="153"/>
        <v>-85</v>
      </c>
      <c r="H7295" s="362"/>
      <c r="I7295" s="362"/>
      <c r="J7295" s="362"/>
    </row>
    <row r="7296" spans="1:10" x14ac:dyDescent="0.25">
      <c r="A7296" s="362"/>
      <c r="B7296" s="609">
        <v>44581</v>
      </c>
      <c r="C7296" s="362" t="s">
        <v>78</v>
      </c>
      <c r="D7296" s="560">
        <v>124814457</v>
      </c>
      <c r="E7296" s="560">
        <v>10377443</v>
      </c>
      <c r="F7296" s="560">
        <v>135191900</v>
      </c>
      <c r="G7296" s="560">
        <f t="shared" si="153"/>
        <v>0</v>
      </c>
      <c r="H7296" s="362"/>
      <c r="I7296" s="362"/>
      <c r="J7296" s="362"/>
    </row>
    <row r="7297" spans="1:10" x14ac:dyDescent="0.25">
      <c r="A7297" s="362"/>
      <c r="B7297" s="609">
        <v>44581</v>
      </c>
      <c r="C7297" s="362" t="s">
        <v>141</v>
      </c>
      <c r="D7297" s="560">
        <v>79742408</v>
      </c>
      <c r="E7297" s="560">
        <v>484992</v>
      </c>
      <c r="F7297" s="560">
        <v>80227400</v>
      </c>
      <c r="G7297" s="560">
        <f t="shared" si="153"/>
        <v>0</v>
      </c>
      <c r="H7297" s="362"/>
      <c r="I7297" s="362"/>
      <c r="J7297" s="362"/>
    </row>
    <row r="7298" spans="1:10" x14ac:dyDescent="0.25">
      <c r="A7298" s="362"/>
      <c r="B7298" s="609">
        <v>44581</v>
      </c>
      <c r="C7298" s="362" t="s">
        <v>89</v>
      </c>
      <c r="D7298" s="560">
        <v>132985116</v>
      </c>
      <c r="E7298" s="560">
        <v>56917184</v>
      </c>
      <c r="F7298" s="560">
        <v>189902300</v>
      </c>
      <c r="G7298" s="560">
        <f t="shared" si="153"/>
        <v>0</v>
      </c>
      <c r="H7298" s="362"/>
      <c r="I7298" s="362"/>
      <c r="J7298" s="362"/>
    </row>
    <row r="7299" spans="1:10" x14ac:dyDescent="0.25">
      <c r="A7299" s="362"/>
      <c r="B7299" s="609">
        <v>44581</v>
      </c>
      <c r="C7299" s="362" t="s">
        <v>81</v>
      </c>
      <c r="D7299" s="560">
        <v>210143252</v>
      </c>
      <c r="E7299" s="560">
        <v>23020306</v>
      </c>
      <c r="F7299" s="560">
        <v>233163600</v>
      </c>
      <c r="G7299" s="560">
        <f t="shared" si="153"/>
        <v>-42</v>
      </c>
      <c r="H7299" s="362"/>
      <c r="I7299" s="362"/>
      <c r="J7299" s="362"/>
    </row>
    <row r="7300" spans="1:10" x14ac:dyDescent="0.25">
      <c r="A7300" s="362"/>
      <c r="B7300" s="609">
        <v>44581</v>
      </c>
      <c r="C7300" s="362" t="s">
        <v>84</v>
      </c>
      <c r="D7300" s="560">
        <v>248152242</v>
      </c>
      <c r="E7300" s="560">
        <v>36284562</v>
      </c>
      <c r="F7300" s="560">
        <v>284436900</v>
      </c>
      <c r="G7300" s="560">
        <f t="shared" si="153"/>
        <v>-96</v>
      </c>
      <c r="H7300" s="362"/>
      <c r="I7300" s="362"/>
      <c r="J7300" s="362"/>
    </row>
    <row r="7301" spans="1:10" x14ac:dyDescent="0.25">
      <c r="A7301" s="362"/>
      <c r="B7301" s="609">
        <v>44581</v>
      </c>
      <c r="C7301" s="362" t="s">
        <v>4751</v>
      </c>
      <c r="D7301" s="560">
        <v>268660405</v>
      </c>
      <c r="E7301" s="560">
        <v>27514695</v>
      </c>
      <c r="F7301" s="560">
        <v>296175100</v>
      </c>
      <c r="G7301" s="560">
        <f t="shared" si="153"/>
        <v>0</v>
      </c>
      <c r="H7301" s="362"/>
      <c r="I7301" s="362"/>
      <c r="J7301" s="362"/>
    </row>
    <row r="7302" spans="1:10" x14ac:dyDescent="0.25">
      <c r="A7302" s="362"/>
      <c r="B7302" s="609">
        <v>44581</v>
      </c>
      <c r="C7302" s="362" t="s">
        <v>166</v>
      </c>
      <c r="D7302" s="560">
        <v>93103501</v>
      </c>
      <c r="E7302" s="560"/>
      <c r="F7302" s="560">
        <v>93103500</v>
      </c>
      <c r="G7302" s="560">
        <f t="shared" si="153"/>
        <v>1</v>
      </c>
      <c r="H7302" s="362"/>
      <c r="I7302" s="362"/>
      <c r="J7302" s="362"/>
    </row>
    <row r="7303" spans="1:10" x14ac:dyDescent="0.25">
      <c r="A7303" s="362"/>
      <c r="B7303" s="609">
        <v>44581</v>
      </c>
      <c r="C7303" s="362" t="s">
        <v>3435</v>
      </c>
      <c r="D7303" s="560">
        <v>103341116</v>
      </c>
      <c r="E7303" s="560"/>
      <c r="F7303" s="560">
        <v>103341200</v>
      </c>
      <c r="G7303" s="560">
        <f t="shared" si="153"/>
        <v>-84</v>
      </c>
      <c r="H7303" s="362"/>
      <c r="I7303" s="362"/>
      <c r="J7303" s="362"/>
    </row>
    <row r="7304" spans="1:10" x14ac:dyDescent="0.25">
      <c r="A7304" s="362"/>
      <c r="B7304" s="609">
        <v>44581</v>
      </c>
      <c r="C7304" s="370" t="s">
        <v>85</v>
      </c>
      <c r="D7304" s="560">
        <v>36666800</v>
      </c>
      <c r="E7304" s="560"/>
      <c r="F7304" s="560">
        <v>36666800</v>
      </c>
      <c r="G7304" s="560">
        <f t="shared" si="153"/>
        <v>0</v>
      </c>
      <c r="H7304" s="362"/>
      <c r="I7304" s="362"/>
      <c r="J7304" s="362"/>
    </row>
    <row r="7305" spans="1:10" x14ac:dyDescent="0.25">
      <c r="A7305" s="530"/>
      <c r="B7305" s="530"/>
      <c r="C7305" s="530"/>
      <c r="D7305" s="562">
        <f>SUM(D7290:D7304)</f>
        <v>2416545302</v>
      </c>
      <c r="E7305" s="562">
        <f>SUM(E7290:E7304)</f>
        <v>405035245</v>
      </c>
      <c r="F7305" s="562">
        <f>SUM(F7290:F7304)</f>
        <v>2821582100</v>
      </c>
      <c r="G7305" s="562">
        <f>SUM(G7290:G7304)</f>
        <v>-1553</v>
      </c>
      <c r="H7305" s="530"/>
      <c r="I7305" s="530"/>
      <c r="J7305" s="530"/>
    </row>
    <row r="7306" spans="1:10" x14ac:dyDescent="0.25">
      <c r="A7306" s="362"/>
      <c r="B7306" s="609">
        <v>44582</v>
      </c>
      <c r="C7306" s="362" t="s">
        <v>86</v>
      </c>
      <c r="D7306" s="560">
        <v>82294709</v>
      </c>
      <c r="E7306" s="560">
        <v>4459547</v>
      </c>
      <c r="F7306" s="560">
        <v>86754400</v>
      </c>
      <c r="G7306" s="560">
        <f t="shared" si="153"/>
        <v>-144</v>
      </c>
      <c r="H7306" s="362"/>
      <c r="I7306" s="362"/>
      <c r="J7306" s="362"/>
    </row>
    <row r="7307" spans="1:10" x14ac:dyDescent="0.25">
      <c r="A7307" s="362"/>
      <c r="B7307" s="609">
        <v>44582</v>
      </c>
      <c r="C7307" s="362" t="s">
        <v>87</v>
      </c>
      <c r="D7307" s="560">
        <v>81104338</v>
      </c>
      <c r="E7307" s="560">
        <v>100125814</v>
      </c>
      <c r="F7307" s="560">
        <v>181230200</v>
      </c>
      <c r="G7307" s="560">
        <f t="shared" si="153"/>
        <v>-48</v>
      </c>
      <c r="H7307" s="362"/>
      <c r="I7307" s="362"/>
      <c r="J7307" s="362"/>
    </row>
    <row r="7308" spans="1:10" x14ac:dyDescent="0.25">
      <c r="A7308" s="362"/>
      <c r="B7308" s="609">
        <v>44582</v>
      </c>
      <c r="C7308" s="362" t="s">
        <v>88</v>
      </c>
      <c r="D7308" s="560">
        <v>163189016</v>
      </c>
      <c r="E7308" s="560">
        <v>109470593</v>
      </c>
      <c r="F7308" s="560">
        <v>272659700</v>
      </c>
      <c r="G7308" s="560">
        <f t="shared" ref="G7308:G7371" si="154">D7308+E7308-F7308</f>
        <v>-91</v>
      </c>
      <c r="H7308" s="362"/>
      <c r="I7308" s="362"/>
      <c r="J7308" s="362"/>
    </row>
    <row r="7309" spans="1:10" x14ac:dyDescent="0.25">
      <c r="A7309" s="362"/>
      <c r="B7309" s="609">
        <v>44582</v>
      </c>
      <c r="C7309" s="362" t="s">
        <v>82</v>
      </c>
      <c r="D7309" s="560">
        <v>99047979</v>
      </c>
      <c r="E7309" s="560">
        <v>34572393</v>
      </c>
      <c r="F7309" s="560">
        <v>133427600</v>
      </c>
      <c r="G7309" s="560">
        <f t="shared" si="154"/>
        <v>192772</v>
      </c>
      <c r="H7309" s="362"/>
      <c r="I7309" s="362"/>
      <c r="J7309" s="362"/>
    </row>
    <row r="7310" spans="1:10" x14ac:dyDescent="0.25">
      <c r="A7310" s="362"/>
      <c r="B7310" s="609">
        <v>44582</v>
      </c>
      <c r="C7310" s="362" t="s">
        <v>80</v>
      </c>
      <c r="D7310" s="560">
        <v>268850076</v>
      </c>
      <c r="E7310" s="560">
        <v>5914224</v>
      </c>
      <c r="F7310" s="560">
        <v>274764300</v>
      </c>
      <c r="G7310" s="560">
        <f t="shared" si="154"/>
        <v>0</v>
      </c>
      <c r="H7310" s="362"/>
      <c r="I7310" s="362"/>
      <c r="J7310" s="362"/>
    </row>
    <row r="7311" spans="1:10" x14ac:dyDescent="0.25">
      <c r="A7311" s="362"/>
      <c r="B7311" s="609">
        <v>44582</v>
      </c>
      <c r="C7311" s="362" t="s">
        <v>83</v>
      </c>
      <c r="D7311" s="560">
        <v>205639755</v>
      </c>
      <c r="E7311" s="560">
        <v>8320245</v>
      </c>
      <c r="F7311" s="560">
        <v>213960000</v>
      </c>
      <c r="G7311" s="560">
        <f t="shared" si="154"/>
        <v>0</v>
      </c>
      <c r="H7311" s="362"/>
      <c r="I7311" s="362"/>
      <c r="J7311" s="362"/>
    </row>
    <row r="7312" spans="1:10" x14ac:dyDescent="0.25">
      <c r="A7312" s="362"/>
      <c r="B7312" s="609">
        <v>44582</v>
      </c>
      <c r="C7312" s="362" t="s">
        <v>78</v>
      </c>
      <c r="D7312" s="560">
        <v>213554973</v>
      </c>
      <c r="E7312" s="560">
        <v>7126927</v>
      </c>
      <c r="F7312" s="560">
        <v>220681900</v>
      </c>
      <c r="G7312" s="560">
        <f t="shared" si="154"/>
        <v>0</v>
      </c>
      <c r="H7312" s="362"/>
      <c r="I7312" s="362"/>
      <c r="J7312" s="362"/>
    </row>
    <row r="7313" spans="1:10" x14ac:dyDescent="0.25">
      <c r="A7313" s="362"/>
      <c r="B7313" s="609">
        <v>44582</v>
      </c>
      <c r="C7313" s="362" t="s">
        <v>141</v>
      </c>
      <c r="D7313" s="560">
        <v>93545724</v>
      </c>
      <c r="E7313" s="560"/>
      <c r="F7313" s="560">
        <v>93545800</v>
      </c>
      <c r="G7313" s="560">
        <f t="shared" si="154"/>
        <v>-76</v>
      </c>
      <c r="H7313" s="362"/>
      <c r="I7313" s="362"/>
      <c r="J7313" s="362"/>
    </row>
    <row r="7314" spans="1:10" x14ac:dyDescent="0.25">
      <c r="A7314" s="362"/>
      <c r="B7314" s="609">
        <v>44582</v>
      </c>
      <c r="C7314" s="362" t="s">
        <v>89</v>
      </c>
      <c r="D7314" s="560">
        <v>201240492</v>
      </c>
      <c r="E7314" s="560">
        <v>32127408</v>
      </c>
      <c r="F7314" s="560">
        <v>233367900</v>
      </c>
      <c r="G7314" s="560">
        <f t="shared" si="154"/>
        <v>0</v>
      </c>
      <c r="H7314" s="362"/>
      <c r="I7314" s="362"/>
      <c r="J7314" s="362"/>
    </row>
    <row r="7315" spans="1:10" x14ac:dyDescent="0.25">
      <c r="A7315" s="362"/>
      <c r="B7315" s="609">
        <v>44582</v>
      </c>
      <c r="C7315" s="362" t="s">
        <v>81</v>
      </c>
      <c r="D7315" s="560">
        <v>115772098</v>
      </c>
      <c r="E7315" s="560">
        <v>13696312</v>
      </c>
      <c r="F7315" s="560">
        <v>129468400</v>
      </c>
      <c r="G7315" s="560">
        <f t="shared" si="154"/>
        <v>10</v>
      </c>
      <c r="H7315" s="362"/>
      <c r="I7315" s="362"/>
      <c r="J7315" s="362"/>
    </row>
    <row r="7316" spans="1:10" x14ac:dyDescent="0.25">
      <c r="A7316" s="362"/>
      <c r="B7316" s="609">
        <v>44582</v>
      </c>
      <c r="C7316" s="362" t="s">
        <v>84</v>
      </c>
      <c r="D7316" s="560">
        <v>286085318</v>
      </c>
      <c r="E7316" s="560">
        <v>17956403</v>
      </c>
      <c r="F7316" s="560">
        <v>304041500</v>
      </c>
      <c r="G7316" s="560">
        <f t="shared" si="154"/>
        <v>221</v>
      </c>
      <c r="H7316" s="362"/>
      <c r="I7316" s="362"/>
      <c r="J7316" s="362"/>
    </row>
    <row r="7317" spans="1:10" x14ac:dyDescent="0.25">
      <c r="A7317" s="362"/>
      <c r="B7317" s="609">
        <v>44582</v>
      </c>
      <c r="C7317" s="362" t="s">
        <v>4751</v>
      </c>
      <c r="D7317" s="560">
        <v>171257243</v>
      </c>
      <c r="E7317" s="560">
        <v>9864557</v>
      </c>
      <c r="F7317" s="560">
        <v>181121800</v>
      </c>
      <c r="G7317" s="560">
        <f t="shared" si="154"/>
        <v>0</v>
      </c>
      <c r="H7317" s="362"/>
      <c r="I7317" s="362"/>
      <c r="J7317" s="362"/>
    </row>
    <row r="7318" spans="1:10" x14ac:dyDescent="0.25">
      <c r="A7318" s="362"/>
      <c r="B7318" s="609">
        <v>44582</v>
      </c>
      <c r="C7318" s="362" t="s">
        <v>166</v>
      </c>
      <c r="D7318" s="560">
        <v>50957791</v>
      </c>
      <c r="E7318" s="560"/>
      <c r="F7318" s="560">
        <v>50957900</v>
      </c>
      <c r="G7318" s="560">
        <f t="shared" si="154"/>
        <v>-109</v>
      </c>
      <c r="H7318" s="362"/>
      <c r="I7318" s="362"/>
      <c r="J7318" s="362"/>
    </row>
    <row r="7319" spans="1:10" x14ac:dyDescent="0.25">
      <c r="A7319" s="362"/>
      <c r="B7319" s="609">
        <v>44582</v>
      </c>
      <c r="C7319" s="362" t="s">
        <v>3435</v>
      </c>
      <c r="D7319" s="560">
        <v>80972128</v>
      </c>
      <c r="E7319" s="560"/>
      <c r="F7319" s="560">
        <v>80972200</v>
      </c>
      <c r="G7319" s="560">
        <f t="shared" si="154"/>
        <v>-72</v>
      </c>
      <c r="H7319" s="362"/>
      <c r="I7319" s="362"/>
      <c r="J7319" s="362"/>
    </row>
    <row r="7320" spans="1:10" x14ac:dyDescent="0.25">
      <c r="A7320" s="362"/>
      <c r="B7320" s="609">
        <v>44582</v>
      </c>
      <c r="C7320" s="370" t="s">
        <v>85</v>
      </c>
      <c r="D7320" s="560">
        <v>37343400</v>
      </c>
      <c r="E7320" s="560"/>
      <c r="F7320" s="560">
        <v>37343400</v>
      </c>
      <c r="G7320" s="560">
        <f t="shared" si="154"/>
        <v>0</v>
      </c>
      <c r="H7320" s="362"/>
      <c r="I7320" s="362"/>
      <c r="J7320" s="362"/>
    </row>
    <row r="7321" spans="1:10" x14ac:dyDescent="0.25">
      <c r="A7321" s="530"/>
      <c r="B7321" s="530"/>
      <c r="C7321" s="530"/>
      <c r="D7321" s="562">
        <f>SUM(D7306:D7320)</f>
        <v>2150855040</v>
      </c>
      <c r="E7321" s="562">
        <f>SUM(E7306:E7320)</f>
        <v>343634423</v>
      </c>
      <c r="F7321" s="562">
        <f>SUM(F7306:F7320)</f>
        <v>2494297000</v>
      </c>
      <c r="G7321" s="562">
        <f>SUM(G7306:G7320)</f>
        <v>192463</v>
      </c>
      <c r="H7321" s="530"/>
      <c r="I7321" s="530"/>
      <c r="J7321" s="530"/>
    </row>
    <row r="7322" spans="1:10" x14ac:dyDescent="0.25">
      <c r="A7322" s="362"/>
      <c r="B7322" s="609">
        <v>44583</v>
      </c>
      <c r="C7322" s="362" t="s">
        <v>86</v>
      </c>
      <c r="D7322" s="560">
        <v>59887069</v>
      </c>
      <c r="E7322" s="560">
        <v>70347749</v>
      </c>
      <c r="F7322" s="560">
        <v>130234700</v>
      </c>
      <c r="G7322" s="560">
        <f t="shared" si="154"/>
        <v>118</v>
      </c>
      <c r="H7322" s="362"/>
      <c r="I7322" s="362"/>
      <c r="J7322" s="362"/>
    </row>
    <row r="7323" spans="1:10" x14ac:dyDescent="0.25">
      <c r="A7323" s="362"/>
      <c r="B7323" s="609">
        <v>44583</v>
      </c>
      <c r="C7323" s="362" t="s">
        <v>87</v>
      </c>
      <c r="D7323" s="560">
        <v>46020733</v>
      </c>
      <c r="E7323" s="560">
        <v>137134748</v>
      </c>
      <c r="F7323" s="560">
        <f>29025000+154055600</f>
        <v>183080600</v>
      </c>
      <c r="G7323" s="560">
        <f t="shared" si="154"/>
        <v>74881</v>
      </c>
      <c r="H7323" s="362"/>
      <c r="I7323" s="362"/>
      <c r="J7323" s="362"/>
    </row>
    <row r="7324" spans="1:10" x14ac:dyDescent="0.25">
      <c r="A7324" s="362"/>
      <c r="B7324" s="609">
        <v>44583</v>
      </c>
      <c r="C7324" s="362" t="s">
        <v>88</v>
      </c>
      <c r="D7324" s="560">
        <v>124430411</v>
      </c>
      <c r="E7324" s="560">
        <v>7477139</v>
      </c>
      <c r="F7324" s="560">
        <v>131907600</v>
      </c>
      <c r="G7324" s="560">
        <f t="shared" si="154"/>
        <v>-50</v>
      </c>
      <c r="H7324" s="362"/>
      <c r="I7324" s="362"/>
      <c r="J7324" s="362"/>
    </row>
    <row r="7325" spans="1:10" x14ac:dyDescent="0.25">
      <c r="A7325" s="362"/>
      <c r="B7325" s="609">
        <v>44583</v>
      </c>
      <c r="C7325" s="362" t="s">
        <v>82</v>
      </c>
      <c r="D7325" s="560">
        <v>139923953</v>
      </c>
      <c r="E7325" s="560">
        <v>38653210</v>
      </c>
      <c r="F7325" s="560">
        <v>178577200</v>
      </c>
      <c r="G7325" s="560">
        <f t="shared" si="154"/>
        <v>-37</v>
      </c>
      <c r="H7325" s="362"/>
      <c r="I7325" s="362"/>
      <c r="J7325" s="362"/>
    </row>
    <row r="7326" spans="1:10" x14ac:dyDescent="0.25">
      <c r="A7326" s="362"/>
      <c r="B7326" s="609">
        <v>44583</v>
      </c>
      <c r="C7326" s="362" t="s">
        <v>80</v>
      </c>
      <c r="D7326" s="560">
        <v>314802462</v>
      </c>
      <c r="E7326" s="560">
        <v>6123960</v>
      </c>
      <c r="F7326" s="560">
        <v>320924500</v>
      </c>
      <c r="G7326" s="560">
        <f t="shared" si="154"/>
        <v>1922</v>
      </c>
      <c r="H7326" s="362"/>
      <c r="I7326" s="362"/>
      <c r="J7326" s="362"/>
    </row>
    <row r="7327" spans="1:10" x14ac:dyDescent="0.25">
      <c r="A7327" s="362"/>
      <c r="B7327" s="609">
        <v>44583</v>
      </c>
      <c r="C7327" s="362" t="s">
        <v>83</v>
      </c>
      <c r="D7327" s="560">
        <v>171971159</v>
      </c>
      <c r="E7327" s="560">
        <v>125342241</v>
      </c>
      <c r="F7327" s="560">
        <v>297313400</v>
      </c>
      <c r="G7327" s="560">
        <f t="shared" si="154"/>
        <v>0</v>
      </c>
      <c r="H7327" s="362"/>
      <c r="I7327" s="362"/>
      <c r="J7327" s="362"/>
    </row>
    <row r="7328" spans="1:10" x14ac:dyDescent="0.25">
      <c r="A7328" s="362"/>
      <c r="B7328" s="609">
        <v>44583</v>
      </c>
      <c r="C7328" s="362" t="s">
        <v>78</v>
      </c>
      <c r="D7328" s="560">
        <v>162549693</v>
      </c>
      <c r="E7328" s="560">
        <v>10756507</v>
      </c>
      <c r="F7328" s="560">
        <v>173306200</v>
      </c>
      <c r="G7328" s="560">
        <f t="shared" si="154"/>
        <v>0</v>
      </c>
      <c r="H7328" s="362"/>
      <c r="I7328" s="362"/>
      <c r="J7328" s="362"/>
    </row>
    <row r="7329" spans="1:10" x14ac:dyDescent="0.25">
      <c r="A7329" s="362"/>
      <c r="B7329" s="609">
        <v>44583</v>
      </c>
      <c r="C7329" s="362" t="s">
        <v>141</v>
      </c>
      <c r="D7329" s="560">
        <v>65543413</v>
      </c>
      <c r="E7329" s="560"/>
      <c r="F7329" s="560">
        <v>65543500</v>
      </c>
      <c r="G7329" s="560">
        <f t="shared" si="154"/>
        <v>-87</v>
      </c>
      <c r="H7329" s="362"/>
      <c r="I7329" s="362"/>
      <c r="J7329" s="362"/>
    </row>
    <row r="7330" spans="1:10" x14ac:dyDescent="0.25">
      <c r="A7330" s="362"/>
      <c r="B7330" s="609">
        <v>44583</v>
      </c>
      <c r="C7330" s="362" t="s">
        <v>89</v>
      </c>
      <c r="D7330" s="560">
        <v>87552847</v>
      </c>
      <c r="E7330" s="560">
        <v>46626153</v>
      </c>
      <c r="F7330" s="560">
        <v>134178900</v>
      </c>
      <c r="G7330" s="560">
        <f t="shared" si="154"/>
        <v>100</v>
      </c>
      <c r="H7330" s="362"/>
      <c r="I7330" s="362"/>
      <c r="J7330" s="362"/>
    </row>
    <row r="7331" spans="1:10" x14ac:dyDescent="0.25">
      <c r="A7331" s="362"/>
      <c r="B7331" s="609">
        <v>44583</v>
      </c>
      <c r="C7331" s="362" t="s">
        <v>81</v>
      </c>
      <c r="D7331" s="560">
        <v>135088668</v>
      </c>
      <c r="E7331" s="560">
        <v>39801848</v>
      </c>
      <c r="F7331" s="560">
        <f>100925600+73965000</f>
        <v>174890600</v>
      </c>
      <c r="G7331" s="560">
        <f t="shared" si="154"/>
        <v>-84</v>
      </c>
      <c r="H7331" s="362"/>
      <c r="I7331" s="362"/>
      <c r="J7331" s="362"/>
    </row>
    <row r="7332" spans="1:10" x14ac:dyDescent="0.25">
      <c r="A7332" s="362"/>
      <c r="B7332" s="609">
        <v>44583</v>
      </c>
      <c r="C7332" s="362" t="s">
        <v>84</v>
      </c>
      <c r="D7332" s="560">
        <v>183567574</v>
      </c>
      <c r="E7332" s="560">
        <v>13912514</v>
      </c>
      <c r="F7332" s="560">
        <v>197480000</v>
      </c>
      <c r="G7332" s="560">
        <f t="shared" si="154"/>
        <v>88</v>
      </c>
      <c r="H7332" s="362"/>
      <c r="I7332" s="362"/>
      <c r="J7332" s="362"/>
    </row>
    <row r="7333" spans="1:10" x14ac:dyDescent="0.25">
      <c r="A7333" s="362"/>
      <c r="B7333" s="609">
        <v>44583</v>
      </c>
      <c r="C7333" s="362" t="s">
        <v>4751</v>
      </c>
      <c r="D7333" s="560">
        <v>267032620</v>
      </c>
      <c r="E7333" s="560">
        <v>19958680</v>
      </c>
      <c r="F7333" s="560">
        <v>286991300</v>
      </c>
      <c r="G7333" s="560">
        <f t="shared" si="154"/>
        <v>0</v>
      </c>
      <c r="H7333" s="362"/>
      <c r="I7333" s="362"/>
      <c r="J7333" s="362"/>
    </row>
    <row r="7334" spans="1:10" x14ac:dyDescent="0.25">
      <c r="A7334" s="362"/>
      <c r="B7334" s="609">
        <v>44583</v>
      </c>
      <c r="C7334" s="362" t="s">
        <v>166</v>
      </c>
      <c r="D7334" s="560"/>
      <c r="E7334" s="560"/>
      <c r="F7334" s="560"/>
      <c r="G7334" s="560">
        <f t="shared" si="154"/>
        <v>0</v>
      </c>
      <c r="H7334" s="362"/>
      <c r="I7334" s="362"/>
      <c r="J7334" s="362"/>
    </row>
    <row r="7335" spans="1:10" x14ac:dyDescent="0.25">
      <c r="A7335" s="362"/>
      <c r="B7335" s="609">
        <v>44583</v>
      </c>
      <c r="C7335" s="362" t="s">
        <v>3435</v>
      </c>
      <c r="D7335" s="560"/>
      <c r="E7335" s="560"/>
      <c r="F7335" s="560"/>
      <c r="G7335" s="560">
        <f t="shared" si="154"/>
        <v>0</v>
      </c>
      <c r="H7335" s="362"/>
      <c r="I7335" s="362"/>
      <c r="J7335" s="362"/>
    </row>
    <row r="7336" spans="1:10" x14ac:dyDescent="0.25">
      <c r="A7336" s="362"/>
      <c r="B7336" s="609">
        <v>44583</v>
      </c>
      <c r="C7336" s="370" t="s">
        <v>85</v>
      </c>
      <c r="D7336" s="560">
        <v>49321600</v>
      </c>
      <c r="E7336" s="560"/>
      <c r="F7336" s="560">
        <v>49321600</v>
      </c>
      <c r="G7336" s="560">
        <f t="shared" si="154"/>
        <v>0</v>
      </c>
      <c r="H7336" s="362"/>
      <c r="I7336" s="362"/>
      <c r="J7336" s="362"/>
    </row>
    <row r="7337" spans="1:10" x14ac:dyDescent="0.25">
      <c r="A7337" s="530"/>
      <c r="B7337" s="530"/>
      <c r="C7337" s="530"/>
      <c r="D7337" s="562">
        <f>SUM(D7322:D7336)</f>
        <v>1807692202</v>
      </c>
      <c r="E7337" s="562">
        <f>SUM(E7322:E7336)</f>
        <v>516134749</v>
      </c>
      <c r="F7337" s="562">
        <f>SUM(F7322:F7336)</f>
        <v>2323750100</v>
      </c>
      <c r="G7337" s="562">
        <f>SUM(G7322:G7336)</f>
        <v>76851</v>
      </c>
      <c r="H7337" s="530"/>
      <c r="I7337" s="530"/>
      <c r="J7337" s="530"/>
    </row>
    <row r="7338" spans="1:10" x14ac:dyDescent="0.25">
      <c r="A7338" s="362"/>
      <c r="B7338" s="609">
        <v>44585</v>
      </c>
      <c r="C7338" s="362" t="s">
        <v>86</v>
      </c>
      <c r="D7338" s="560">
        <v>31276055</v>
      </c>
      <c r="E7338" s="560">
        <v>56320850</v>
      </c>
      <c r="F7338" s="560">
        <v>87597000</v>
      </c>
      <c r="G7338" s="560">
        <f t="shared" si="154"/>
        <v>-95</v>
      </c>
      <c r="H7338" s="362"/>
      <c r="I7338" s="362"/>
      <c r="J7338" s="362"/>
    </row>
    <row r="7339" spans="1:10" x14ac:dyDescent="0.25">
      <c r="A7339" s="362"/>
      <c r="B7339" s="609">
        <v>44585</v>
      </c>
      <c r="C7339" s="362" t="s">
        <v>87</v>
      </c>
      <c r="D7339" s="560">
        <v>159620433</v>
      </c>
      <c r="E7339" s="560">
        <v>13839648</v>
      </c>
      <c r="F7339" s="560">
        <v>173460100</v>
      </c>
      <c r="G7339" s="560">
        <f t="shared" si="154"/>
        <v>-19</v>
      </c>
      <c r="H7339" s="362"/>
      <c r="I7339" s="362"/>
      <c r="J7339" s="362"/>
    </row>
    <row r="7340" spans="1:10" x14ac:dyDescent="0.25">
      <c r="A7340" s="362"/>
      <c r="B7340" s="609">
        <v>44585</v>
      </c>
      <c r="C7340" s="362" t="s">
        <v>88</v>
      </c>
      <c r="D7340" s="560">
        <v>128707871</v>
      </c>
      <c r="E7340" s="560">
        <v>85222504</v>
      </c>
      <c r="F7340" s="560">
        <v>213930400</v>
      </c>
      <c r="G7340" s="560">
        <f t="shared" si="154"/>
        <v>-25</v>
      </c>
      <c r="H7340" s="362"/>
      <c r="I7340" s="362"/>
      <c r="J7340" s="362"/>
    </row>
    <row r="7341" spans="1:10" x14ac:dyDescent="0.25">
      <c r="A7341" s="362"/>
      <c r="B7341" s="609">
        <v>44585</v>
      </c>
      <c r="C7341" s="362" t="s">
        <v>82</v>
      </c>
      <c r="D7341" s="560">
        <v>59778102</v>
      </c>
      <c r="E7341" s="560">
        <v>3125472</v>
      </c>
      <c r="F7341" s="560">
        <v>62903600</v>
      </c>
      <c r="G7341" s="560">
        <f t="shared" si="154"/>
        <v>-26</v>
      </c>
      <c r="H7341" s="362"/>
      <c r="I7341" s="362"/>
      <c r="J7341" s="362"/>
    </row>
    <row r="7342" spans="1:10" x14ac:dyDescent="0.25">
      <c r="A7342" s="362"/>
      <c r="B7342" s="609">
        <v>44585</v>
      </c>
      <c r="C7342" s="362" t="s">
        <v>80</v>
      </c>
      <c r="D7342" s="560">
        <v>237148939</v>
      </c>
      <c r="E7342" s="560">
        <v>9067200</v>
      </c>
      <c r="F7342" s="560">
        <v>246216200</v>
      </c>
      <c r="G7342" s="560">
        <f t="shared" si="154"/>
        <v>-61</v>
      </c>
      <c r="H7342" s="362"/>
      <c r="I7342" s="362"/>
      <c r="J7342" s="362"/>
    </row>
    <row r="7343" spans="1:10" x14ac:dyDescent="0.25">
      <c r="A7343" s="362"/>
      <c r="B7343" s="609">
        <v>44585</v>
      </c>
      <c r="C7343" s="362" t="s">
        <v>83</v>
      </c>
      <c r="D7343" s="560">
        <v>219311178</v>
      </c>
      <c r="E7343" s="560">
        <v>10942763</v>
      </c>
      <c r="F7343" s="560">
        <v>230254000</v>
      </c>
      <c r="G7343" s="560">
        <f t="shared" si="154"/>
        <v>-59</v>
      </c>
      <c r="H7343" s="362"/>
      <c r="I7343" s="362"/>
      <c r="J7343" s="362"/>
    </row>
    <row r="7344" spans="1:10" x14ac:dyDescent="0.25">
      <c r="A7344" s="362"/>
      <c r="B7344" s="609">
        <v>44585</v>
      </c>
      <c r="C7344" s="362" t="s">
        <v>78</v>
      </c>
      <c r="D7344" s="560">
        <v>95059518</v>
      </c>
      <c r="E7344" s="560">
        <v>9920482</v>
      </c>
      <c r="F7344" s="560">
        <v>104980000</v>
      </c>
      <c r="G7344" s="560">
        <f t="shared" si="154"/>
        <v>0</v>
      </c>
      <c r="H7344" s="362"/>
      <c r="I7344" s="362"/>
      <c r="J7344" s="362"/>
    </row>
    <row r="7345" spans="1:10" x14ac:dyDescent="0.25">
      <c r="A7345" s="362"/>
      <c r="B7345" s="609">
        <v>44585</v>
      </c>
      <c r="C7345" s="362" t="s">
        <v>141</v>
      </c>
      <c r="D7345" s="560">
        <v>107365736</v>
      </c>
      <c r="E7345" s="560"/>
      <c r="F7345" s="560">
        <v>107365800</v>
      </c>
      <c r="G7345" s="560">
        <f t="shared" si="154"/>
        <v>-64</v>
      </c>
      <c r="H7345" s="362"/>
      <c r="I7345" s="362"/>
      <c r="J7345" s="362"/>
    </row>
    <row r="7346" spans="1:10" x14ac:dyDescent="0.25">
      <c r="A7346" s="362"/>
      <c r="B7346" s="609">
        <v>44585</v>
      </c>
      <c r="C7346" s="362" t="s">
        <v>89</v>
      </c>
      <c r="D7346" s="560">
        <v>118173232</v>
      </c>
      <c r="E7346" s="560">
        <v>30534968</v>
      </c>
      <c r="F7346" s="560">
        <v>148707800</v>
      </c>
      <c r="G7346" s="560">
        <f t="shared" si="154"/>
        <v>400</v>
      </c>
      <c r="H7346" s="362"/>
      <c r="I7346" s="362"/>
      <c r="J7346" s="362"/>
    </row>
    <row r="7347" spans="1:10" x14ac:dyDescent="0.25">
      <c r="A7347" s="362"/>
      <c r="B7347" s="609">
        <v>44585</v>
      </c>
      <c r="C7347" s="362" t="s">
        <v>81</v>
      </c>
      <c r="D7347" s="560">
        <v>155764737</v>
      </c>
      <c r="E7347" s="560">
        <v>12056251</v>
      </c>
      <c r="F7347" s="560">
        <v>167821000</v>
      </c>
      <c r="G7347" s="560">
        <f t="shared" si="154"/>
        <v>-12</v>
      </c>
      <c r="H7347" s="362"/>
      <c r="I7347" s="362"/>
      <c r="J7347" s="362"/>
    </row>
    <row r="7348" spans="1:10" x14ac:dyDescent="0.25">
      <c r="A7348" s="362"/>
      <c r="B7348" s="609">
        <v>44585</v>
      </c>
      <c r="C7348" s="362" t="s">
        <v>84</v>
      </c>
      <c r="D7348" s="560">
        <v>384994815</v>
      </c>
      <c r="E7348" s="560">
        <v>19571288</v>
      </c>
      <c r="F7348" s="560">
        <v>404566800</v>
      </c>
      <c r="G7348" s="560">
        <f t="shared" si="154"/>
        <v>-697</v>
      </c>
      <c r="H7348" s="362"/>
      <c r="I7348" s="362"/>
      <c r="J7348" s="362"/>
    </row>
    <row r="7349" spans="1:10" x14ac:dyDescent="0.25">
      <c r="A7349" s="362"/>
      <c r="B7349" s="609">
        <v>44585</v>
      </c>
      <c r="C7349" s="362" t="s">
        <v>4751</v>
      </c>
      <c r="D7349" s="560">
        <v>226971306</v>
      </c>
      <c r="E7349" s="560">
        <v>11757794</v>
      </c>
      <c r="F7349" s="560">
        <v>238729100</v>
      </c>
      <c r="G7349" s="560">
        <f t="shared" si="154"/>
        <v>0</v>
      </c>
      <c r="H7349" s="362"/>
      <c r="I7349" s="362"/>
      <c r="J7349" s="362"/>
    </row>
    <row r="7350" spans="1:10" x14ac:dyDescent="0.25">
      <c r="A7350" s="362"/>
      <c r="B7350" s="609">
        <v>44585</v>
      </c>
      <c r="C7350" s="362" t="s">
        <v>166</v>
      </c>
      <c r="D7350" s="560">
        <v>67681695</v>
      </c>
      <c r="E7350" s="560"/>
      <c r="F7350" s="560">
        <v>67681700</v>
      </c>
      <c r="G7350" s="560">
        <f t="shared" si="154"/>
        <v>-5</v>
      </c>
      <c r="H7350" s="362"/>
      <c r="I7350" s="362"/>
      <c r="J7350" s="362"/>
    </row>
    <row r="7351" spans="1:10" x14ac:dyDescent="0.25">
      <c r="A7351" s="362"/>
      <c r="B7351" s="609">
        <v>44585</v>
      </c>
      <c r="C7351" s="362" t="s">
        <v>3435</v>
      </c>
      <c r="D7351" s="560">
        <v>31010983</v>
      </c>
      <c r="E7351" s="560"/>
      <c r="F7351" s="560">
        <v>31011000</v>
      </c>
      <c r="G7351" s="560">
        <f t="shared" si="154"/>
        <v>-17</v>
      </c>
      <c r="H7351" s="362"/>
      <c r="I7351" s="362"/>
      <c r="J7351" s="362"/>
    </row>
    <row r="7352" spans="1:10" x14ac:dyDescent="0.25">
      <c r="A7352" s="362"/>
      <c r="B7352" s="609">
        <v>44585</v>
      </c>
      <c r="C7352" s="370" t="s">
        <v>85</v>
      </c>
      <c r="D7352" s="560">
        <v>69487800</v>
      </c>
      <c r="E7352" s="560"/>
      <c r="F7352" s="560">
        <v>69487800</v>
      </c>
      <c r="G7352" s="560">
        <f t="shared" si="154"/>
        <v>0</v>
      </c>
      <c r="H7352" s="362"/>
      <c r="I7352" s="362"/>
      <c r="J7352" s="362"/>
    </row>
    <row r="7353" spans="1:10" x14ac:dyDescent="0.25">
      <c r="A7353" s="530"/>
      <c r="B7353" s="530"/>
      <c r="C7353" s="530"/>
      <c r="D7353" s="562">
        <f>SUM(D7338:D7352)</f>
        <v>2092352400</v>
      </c>
      <c r="E7353" s="562">
        <f>SUM(E7338:E7352)</f>
        <v>262359220</v>
      </c>
      <c r="F7353" s="562">
        <f>SUM(F7338:F7352)</f>
        <v>2354712300</v>
      </c>
      <c r="G7353" s="562">
        <f>SUM(G7338:G7352)</f>
        <v>-680</v>
      </c>
      <c r="H7353" s="530"/>
      <c r="I7353" s="530"/>
      <c r="J7353" s="530"/>
    </row>
    <row r="7354" spans="1:10" x14ac:dyDescent="0.25">
      <c r="A7354" s="362"/>
      <c r="B7354" s="609">
        <v>44586</v>
      </c>
      <c r="C7354" s="362" t="s">
        <v>86</v>
      </c>
      <c r="D7354" s="560">
        <v>99099434</v>
      </c>
      <c r="E7354" s="560">
        <v>17857832</v>
      </c>
      <c r="F7354" s="560">
        <v>116957200</v>
      </c>
      <c r="G7354" s="560">
        <f t="shared" si="154"/>
        <v>66</v>
      </c>
      <c r="H7354" s="362"/>
      <c r="I7354" s="362"/>
      <c r="J7354" s="362"/>
    </row>
    <row r="7355" spans="1:10" x14ac:dyDescent="0.25">
      <c r="A7355" s="362"/>
      <c r="B7355" s="609">
        <v>44586</v>
      </c>
      <c r="C7355" s="362" t="s">
        <v>87</v>
      </c>
      <c r="D7355" s="560">
        <v>57831895</v>
      </c>
      <c r="E7355" s="560">
        <v>98531046</v>
      </c>
      <c r="F7355" s="560">
        <v>156363400</v>
      </c>
      <c r="G7355" s="560">
        <f t="shared" si="154"/>
        <v>-459</v>
      </c>
      <c r="H7355" s="362"/>
      <c r="I7355" s="362"/>
      <c r="J7355" s="362"/>
    </row>
    <row r="7356" spans="1:10" x14ac:dyDescent="0.25">
      <c r="A7356" s="362"/>
      <c r="B7356" s="609">
        <v>44586</v>
      </c>
      <c r="C7356" s="362" t="s">
        <v>88</v>
      </c>
      <c r="D7356" s="560">
        <v>107618165</v>
      </c>
      <c r="E7356" s="560">
        <v>105736828</v>
      </c>
      <c r="F7356" s="560">
        <v>213355000</v>
      </c>
      <c r="G7356" s="560">
        <f t="shared" si="154"/>
        <v>-7</v>
      </c>
      <c r="H7356" s="362"/>
      <c r="I7356" s="362"/>
      <c r="J7356" s="362"/>
    </row>
    <row r="7357" spans="1:10" x14ac:dyDescent="0.25">
      <c r="A7357" s="362"/>
      <c r="B7357" s="609">
        <v>44586</v>
      </c>
      <c r="C7357" s="362" t="s">
        <v>82</v>
      </c>
      <c r="D7357" s="560">
        <v>107366946</v>
      </c>
      <c r="E7357" s="560">
        <v>3645622</v>
      </c>
      <c r="F7357" s="560">
        <v>111012600</v>
      </c>
      <c r="G7357" s="560">
        <f t="shared" si="154"/>
        <v>-32</v>
      </c>
      <c r="H7357" s="362"/>
      <c r="I7357" s="362"/>
      <c r="J7357" s="362"/>
    </row>
    <row r="7358" spans="1:10" x14ac:dyDescent="0.25">
      <c r="A7358" s="362"/>
      <c r="B7358" s="609">
        <v>44586</v>
      </c>
      <c r="C7358" s="362" t="s">
        <v>80</v>
      </c>
      <c r="D7358" s="560">
        <v>345050486</v>
      </c>
      <c r="E7358" s="560">
        <v>26303814</v>
      </c>
      <c r="F7358" s="560">
        <v>371354300</v>
      </c>
      <c r="G7358" s="560">
        <f t="shared" si="154"/>
        <v>0</v>
      </c>
      <c r="H7358" s="362"/>
      <c r="I7358" s="362"/>
      <c r="J7358" s="362"/>
    </row>
    <row r="7359" spans="1:10" x14ac:dyDescent="0.25">
      <c r="A7359" s="362"/>
      <c r="B7359" s="609">
        <v>44586</v>
      </c>
      <c r="C7359" s="362" t="s">
        <v>83</v>
      </c>
      <c r="D7359" s="560">
        <v>250327899</v>
      </c>
      <c r="E7359" s="560">
        <v>12244101</v>
      </c>
      <c r="F7359" s="560">
        <v>262572000</v>
      </c>
      <c r="G7359" s="560">
        <f t="shared" si="154"/>
        <v>0</v>
      </c>
      <c r="H7359" s="362"/>
      <c r="I7359" s="362"/>
      <c r="J7359" s="362"/>
    </row>
    <row r="7360" spans="1:10" x14ac:dyDescent="0.25">
      <c r="A7360" s="362"/>
      <c r="B7360" s="609">
        <v>44586</v>
      </c>
      <c r="C7360" s="362" t="s">
        <v>78</v>
      </c>
      <c r="D7360" s="560">
        <v>153527532</v>
      </c>
      <c r="E7360" s="560">
        <v>7372768</v>
      </c>
      <c r="F7360" s="560">
        <v>160900300</v>
      </c>
      <c r="G7360" s="560">
        <f t="shared" si="154"/>
        <v>0</v>
      </c>
      <c r="H7360" s="362"/>
      <c r="I7360" s="362"/>
      <c r="J7360" s="362"/>
    </row>
    <row r="7361" spans="1:10" x14ac:dyDescent="0.25">
      <c r="A7361" s="362"/>
      <c r="B7361" s="609">
        <v>44586</v>
      </c>
      <c r="C7361" s="362" t="s">
        <v>141</v>
      </c>
      <c r="D7361" s="560">
        <v>139396192</v>
      </c>
      <c r="E7361" s="560"/>
      <c r="F7361" s="560">
        <v>139396200</v>
      </c>
      <c r="G7361" s="560">
        <f t="shared" si="154"/>
        <v>-8</v>
      </c>
      <c r="H7361" s="362"/>
      <c r="I7361" s="362"/>
      <c r="J7361" s="362"/>
    </row>
    <row r="7362" spans="1:10" x14ac:dyDescent="0.25">
      <c r="A7362" s="362"/>
      <c r="B7362" s="609">
        <v>44586</v>
      </c>
      <c r="C7362" s="362" t="s">
        <v>89</v>
      </c>
      <c r="D7362" s="560">
        <v>212806805</v>
      </c>
      <c r="E7362" s="560">
        <v>52689495</v>
      </c>
      <c r="F7362" s="560">
        <v>265496300</v>
      </c>
      <c r="G7362" s="560">
        <f t="shared" si="154"/>
        <v>0</v>
      </c>
      <c r="H7362" s="362"/>
      <c r="I7362" s="362"/>
      <c r="J7362" s="362"/>
    </row>
    <row r="7363" spans="1:10" x14ac:dyDescent="0.25">
      <c r="A7363" s="362"/>
      <c r="B7363" s="609">
        <v>44586</v>
      </c>
      <c r="C7363" s="362" t="s">
        <v>81</v>
      </c>
      <c r="D7363" s="560">
        <v>175654210</v>
      </c>
      <c r="E7363" s="560">
        <v>33379322</v>
      </c>
      <c r="F7363" s="560">
        <v>209033500</v>
      </c>
      <c r="G7363" s="560">
        <f t="shared" si="154"/>
        <v>32</v>
      </c>
      <c r="H7363" s="362"/>
      <c r="I7363" s="362"/>
      <c r="J7363" s="362"/>
    </row>
    <row r="7364" spans="1:10" x14ac:dyDescent="0.25">
      <c r="A7364" s="362"/>
      <c r="B7364" s="609">
        <v>44586</v>
      </c>
      <c r="C7364" s="362" t="s">
        <v>84</v>
      </c>
      <c r="D7364" s="560">
        <v>302240261</v>
      </c>
      <c r="E7364" s="560">
        <v>61374459</v>
      </c>
      <c r="F7364" s="560">
        <v>363614800</v>
      </c>
      <c r="G7364" s="560">
        <f t="shared" si="154"/>
        <v>-80</v>
      </c>
      <c r="H7364" s="362"/>
      <c r="I7364" s="362"/>
      <c r="J7364" s="362"/>
    </row>
    <row r="7365" spans="1:10" x14ac:dyDescent="0.25">
      <c r="A7365" s="362"/>
      <c r="B7365" s="609">
        <v>44586</v>
      </c>
      <c r="C7365" s="362" t="s">
        <v>4751</v>
      </c>
      <c r="D7365" s="560">
        <v>228436777</v>
      </c>
      <c r="E7365" s="560">
        <v>7621523</v>
      </c>
      <c r="F7365" s="560">
        <v>235958300</v>
      </c>
      <c r="G7365" s="560">
        <f t="shared" si="154"/>
        <v>100000</v>
      </c>
      <c r="H7365" s="362"/>
      <c r="I7365" s="362"/>
      <c r="J7365" s="362"/>
    </row>
    <row r="7366" spans="1:10" x14ac:dyDescent="0.25">
      <c r="A7366" s="362"/>
      <c r="B7366" s="609">
        <v>44586</v>
      </c>
      <c r="C7366" s="362" t="s">
        <v>166</v>
      </c>
      <c r="D7366" s="560">
        <v>101189323</v>
      </c>
      <c r="E7366" s="560"/>
      <c r="F7366" s="560">
        <v>101189300</v>
      </c>
      <c r="G7366" s="560">
        <f t="shared" si="154"/>
        <v>23</v>
      </c>
      <c r="H7366" s="362"/>
      <c r="I7366" s="362"/>
      <c r="J7366" s="362"/>
    </row>
    <row r="7367" spans="1:10" x14ac:dyDescent="0.25">
      <c r="A7367" s="362"/>
      <c r="B7367" s="609">
        <v>44586</v>
      </c>
      <c r="C7367" s="362" t="s">
        <v>3435</v>
      </c>
      <c r="D7367" s="560">
        <v>88096538</v>
      </c>
      <c r="E7367" s="560"/>
      <c r="F7367" s="560">
        <v>88096600</v>
      </c>
      <c r="G7367" s="560">
        <f t="shared" si="154"/>
        <v>-62</v>
      </c>
      <c r="H7367" s="362"/>
      <c r="I7367" s="362"/>
      <c r="J7367" s="362"/>
    </row>
    <row r="7368" spans="1:10" x14ac:dyDescent="0.25">
      <c r="A7368" s="362"/>
      <c r="B7368" s="609">
        <v>44586</v>
      </c>
      <c r="C7368" s="370" t="s">
        <v>85</v>
      </c>
      <c r="D7368" s="560">
        <v>49245700</v>
      </c>
      <c r="E7368" s="560"/>
      <c r="F7368" s="560">
        <v>49245700</v>
      </c>
      <c r="G7368" s="560">
        <f t="shared" si="154"/>
        <v>0</v>
      </c>
      <c r="H7368" s="362"/>
      <c r="I7368" s="362"/>
      <c r="J7368" s="362"/>
    </row>
    <row r="7369" spans="1:10" x14ac:dyDescent="0.25">
      <c r="A7369" s="530"/>
      <c r="B7369" s="530"/>
      <c r="C7369" s="530"/>
      <c r="D7369" s="562">
        <f>SUM(D7354:D7368)</f>
        <v>2417888163</v>
      </c>
      <c r="E7369" s="562">
        <f>SUM(E7354:E7368)</f>
        <v>426756810</v>
      </c>
      <c r="F7369" s="562">
        <f>SUM(F7354:F7368)</f>
        <v>2844545500</v>
      </c>
      <c r="G7369" s="562">
        <f>SUM(G7354:G7368)</f>
        <v>99473</v>
      </c>
      <c r="H7369" s="530"/>
      <c r="I7369" s="530"/>
      <c r="J7369" s="530"/>
    </row>
    <row r="7370" spans="1:10" x14ac:dyDescent="0.25">
      <c r="A7370" s="362"/>
      <c r="B7370" s="609">
        <v>44587</v>
      </c>
      <c r="C7370" s="362" t="s">
        <v>86</v>
      </c>
      <c r="D7370" s="560">
        <v>114390568</v>
      </c>
      <c r="E7370" s="560">
        <v>4922612</v>
      </c>
      <c r="F7370" s="560">
        <v>119313100</v>
      </c>
      <c r="G7370" s="560">
        <f t="shared" si="154"/>
        <v>80</v>
      </c>
      <c r="H7370" s="362"/>
      <c r="I7370" s="362"/>
      <c r="J7370" s="362"/>
    </row>
    <row r="7371" spans="1:10" x14ac:dyDescent="0.25">
      <c r="A7371" s="362"/>
      <c r="B7371" s="609">
        <v>44587</v>
      </c>
      <c r="C7371" s="362" t="s">
        <v>87</v>
      </c>
      <c r="D7371" s="560">
        <v>113675022</v>
      </c>
      <c r="E7371" s="560">
        <v>79174018</v>
      </c>
      <c r="F7371" s="560">
        <v>192849200</v>
      </c>
      <c r="G7371" s="560">
        <f t="shared" si="154"/>
        <v>-160</v>
      </c>
      <c r="H7371" s="362"/>
      <c r="I7371" s="362"/>
      <c r="J7371" s="362"/>
    </row>
    <row r="7372" spans="1:10" x14ac:dyDescent="0.25">
      <c r="A7372" s="362"/>
      <c r="B7372" s="609">
        <v>44587</v>
      </c>
      <c r="C7372" s="362" t="s">
        <v>88</v>
      </c>
      <c r="D7372" s="560">
        <v>225087249</v>
      </c>
      <c r="E7372" s="560">
        <v>27483174</v>
      </c>
      <c r="F7372" s="560">
        <v>252570500</v>
      </c>
      <c r="G7372" s="560">
        <f t="shared" ref="G7372:G7435" si="155">D7372+E7372-F7372</f>
        <v>-77</v>
      </c>
      <c r="H7372" s="362"/>
      <c r="I7372" s="362"/>
      <c r="J7372" s="362"/>
    </row>
    <row r="7373" spans="1:10" x14ac:dyDescent="0.25">
      <c r="A7373" s="362"/>
      <c r="B7373" s="609">
        <v>44587</v>
      </c>
      <c r="C7373" s="362" t="s">
        <v>82</v>
      </c>
      <c r="D7373" s="560">
        <v>143796331</v>
      </c>
      <c r="E7373" s="560">
        <v>9544219</v>
      </c>
      <c r="F7373" s="560">
        <v>153340600</v>
      </c>
      <c r="G7373" s="560">
        <f t="shared" si="155"/>
        <v>-50</v>
      </c>
      <c r="H7373" s="362"/>
      <c r="I7373" s="362"/>
      <c r="J7373" s="362"/>
    </row>
    <row r="7374" spans="1:10" x14ac:dyDescent="0.25">
      <c r="A7374" s="362"/>
      <c r="B7374" s="609">
        <v>44587</v>
      </c>
      <c r="C7374" s="362" t="s">
        <v>80</v>
      </c>
      <c r="D7374" s="560">
        <v>356623621</v>
      </c>
      <c r="E7374" s="560"/>
      <c r="F7374" s="560">
        <v>356625800</v>
      </c>
      <c r="G7374" s="560">
        <f t="shared" si="155"/>
        <v>-2179</v>
      </c>
      <c r="H7374" s="362"/>
      <c r="I7374" s="362"/>
      <c r="J7374" s="362"/>
    </row>
    <row r="7375" spans="1:10" x14ac:dyDescent="0.25">
      <c r="A7375" s="362"/>
      <c r="B7375" s="609">
        <v>44587</v>
      </c>
      <c r="C7375" s="362" t="s">
        <v>83</v>
      </c>
      <c r="D7375" s="560">
        <v>192593548</v>
      </c>
      <c r="E7375" s="560">
        <v>13882514</v>
      </c>
      <c r="F7375" s="560">
        <v>206476000</v>
      </c>
      <c r="G7375" s="560">
        <f t="shared" si="155"/>
        <v>62</v>
      </c>
      <c r="H7375" s="362"/>
      <c r="I7375" s="362"/>
      <c r="J7375" s="362"/>
    </row>
    <row r="7376" spans="1:10" x14ac:dyDescent="0.25">
      <c r="A7376" s="362"/>
      <c r="B7376" s="609">
        <v>44587</v>
      </c>
      <c r="C7376" s="362" t="s">
        <v>78</v>
      </c>
      <c r="D7376" s="560">
        <v>175372523</v>
      </c>
      <c r="E7376" s="560">
        <v>12682677</v>
      </c>
      <c r="F7376" s="560">
        <v>188055200</v>
      </c>
      <c r="G7376" s="560">
        <f t="shared" si="155"/>
        <v>0</v>
      </c>
      <c r="H7376" s="362"/>
      <c r="I7376" s="362"/>
      <c r="J7376" s="362"/>
    </row>
    <row r="7377" spans="1:10" x14ac:dyDescent="0.25">
      <c r="A7377" s="362"/>
      <c r="B7377" s="609">
        <v>44587</v>
      </c>
      <c r="C7377" s="362" t="s">
        <v>141</v>
      </c>
      <c r="D7377" s="560">
        <v>147980051</v>
      </c>
      <c r="E7377" s="560"/>
      <c r="F7377" s="560">
        <v>147980100</v>
      </c>
      <c r="G7377" s="560">
        <f t="shared" si="155"/>
        <v>-49</v>
      </c>
      <c r="H7377" s="362"/>
      <c r="I7377" s="362"/>
      <c r="J7377" s="362"/>
    </row>
    <row r="7378" spans="1:10" x14ac:dyDescent="0.25">
      <c r="A7378" s="362"/>
      <c r="B7378" s="609">
        <v>44587</v>
      </c>
      <c r="C7378" s="362" t="s">
        <v>89</v>
      </c>
      <c r="D7378" s="560">
        <v>186801704</v>
      </c>
      <c r="E7378" s="560">
        <v>95267996</v>
      </c>
      <c r="F7378" s="560">
        <v>282069800</v>
      </c>
      <c r="G7378" s="560">
        <f t="shared" si="155"/>
        <v>-100</v>
      </c>
      <c r="H7378" s="362"/>
      <c r="I7378" s="362"/>
      <c r="J7378" s="362"/>
    </row>
    <row r="7379" spans="1:10" x14ac:dyDescent="0.25">
      <c r="A7379" s="362"/>
      <c r="B7379" s="609">
        <v>44587</v>
      </c>
      <c r="C7379" s="362" t="s">
        <v>81</v>
      </c>
      <c r="D7379" s="560">
        <v>179881624</v>
      </c>
      <c r="E7379" s="560">
        <v>35423421</v>
      </c>
      <c r="F7379" s="560">
        <v>215305100</v>
      </c>
      <c r="G7379" s="560">
        <f t="shared" si="155"/>
        <v>-55</v>
      </c>
      <c r="H7379" s="362"/>
      <c r="I7379" s="362"/>
      <c r="J7379" s="362"/>
    </row>
    <row r="7380" spans="1:10" x14ac:dyDescent="0.25">
      <c r="A7380" s="362"/>
      <c r="B7380" s="609">
        <v>44587</v>
      </c>
      <c r="C7380" s="362" t="s">
        <v>84</v>
      </c>
      <c r="D7380" s="560">
        <v>296142325</v>
      </c>
      <c r="E7380" s="560">
        <v>11156511</v>
      </c>
      <c r="F7380" s="560">
        <v>307298800</v>
      </c>
      <c r="G7380" s="560">
        <f t="shared" si="155"/>
        <v>36</v>
      </c>
      <c r="H7380" s="362"/>
      <c r="I7380" s="362"/>
      <c r="J7380" s="362"/>
    </row>
    <row r="7381" spans="1:10" x14ac:dyDescent="0.25">
      <c r="A7381" s="362"/>
      <c r="B7381" s="609">
        <v>44587</v>
      </c>
      <c r="C7381" s="362" t="s">
        <v>4751</v>
      </c>
      <c r="D7381" s="560">
        <v>240791689</v>
      </c>
      <c r="E7381" s="560">
        <v>12884211</v>
      </c>
      <c r="F7381" s="560">
        <v>253675900</v>
      </c>
      <c r="G7381" s="560">
        <f t="shared" si="155"/>
        <v>0</v>
      </c>
      <c r="H7381" s="362"/>
      <c r="I7381" s="362"/>
      <c r="J7381" s="362"/>
    </row>
    <row r="7382" spans="1:10" x14ac:dyDescent="0.25">
      <c r="A7382" s="362"/>
      <c r="B7382" s="609">
        <v>44587</v>
      </c>
      <c r="C7382" s="362" t="s">
        <v>166</v>
      </c>
      <c r="D7382" s="560">
        <v>70305532</v>
      </c>
      <c r="E7382" s="560"/>
      <c r="F7382" s="560">
        <v>70305500</v>
      </c>
      <c r="G7382" s="560">
        <f t="shared" si="155"/>
        <v>32</v>
      </c>
      <c r="H7382" s="362"/>
      <c r="I7382" s="362"/>
      <c r="J7382" s="362"/>
    </row>
    <row r="7383" spans="1:10" x14ac:dyDescent="0.25">
      <c r="A7383" s="362"/>
      <c r="B7383" s="609">
        <v>44587</v>
      </c>
      <c r="C7383" s="362" t="s">
        <v>3435</v>
      </c>
      <c r="D7383" s="560">
        <v>68686358</v>
      </c>
      <c r="E7383" s="560"/>
      <c r="F7383" s="560">
        <v>68686400</v>
      </c>
      <c r="G7383" s="560">
        <f t="shared" si="155"/>
        <v>-42</v>
      </c>
      <c r="H7383" s="362"/>
      <c r="I7383" s="362"/>
      <c r="J7383" s="362"/>
    </row>
    <row r="7384" spans="1:10" x14ac:dyDescent="0.25">
      <c r="A7384" s="362"/>
      <c r="B7384" s="609">
        <v>44587</v>
      </c>
      <c r="C7384" s="370" t="s">
        <v>85</v>
      </c>
      <c r="D7384" s="560">
        <v>53167600</v>
      </c>
      <c r="E7384" s="560"/>
      <c r="F7384" s="560">
        <v>53167600</v>
      </c>
      <c r="G7384" s="560">
        <f t="shared" si="155"/>
        <v>0</v>
      </c>
      <c r="H7384" s="362"/>
      <c r="I7384" s="362"/>
      <c r="J7384" s="362"/>
    </row>
    <row r="7385" spans="1:10" x14ac:dyDescent="0.25">
      <c r="A7385" s="530"/>
      <c r="B7385" s="530"/>
      <c r="C7385" s="530"/>
      <c r="D7385" s="562">
        <f>SUM(D7370:D7384)</f>
        <v>2565295745</v>
      </c>
      <c r="E7385" s="562">
        <f>SUM(E7370:E7384)</f>
        <v>302421353</v>
      </c>
      <c r="F7385" s="562">
        <f>SUM(F7370:F7384)</f>
        <v>2867719600</v>
      </c>
      <c r="G7385" s="562">
        <f>SUM(G7370:G7384)</f>
        <v>-2502</v>
      </c>
      <c r="H7385" s="530"/>
      <c r="I7385" s="530"/>
      <c r="J7385" s="530"/>
    </row>
    <row r="7386" spans="1:10" x14ac:dyDescent="0.25">
      <c r="A7386" s="362"/>
      <c r="B7386" s="609">
        <v>44588</v>
      </c>
      <c r="C7386" s="362" t="s">
        <v>86</v>
      </c>
      <c r="D7386" s="560">
        <v>87836524</v>
      </c>
      <c r="E7386" s="560">
        <v>90001940</v>
      </c>
      <c r="F7386" s="560">
        <v>177838500</v>
      </c>
      <c r="G7386" s="560">
        <f t="shared" si="155"/>
        <v>-36</v>
      </c>
      <c r="H7386" s="362"/>
      <c r="I7386" s="362"/>
      <c r="J7386" s="362"/>
    </row>
    <row r="7387" spans="1:10" x14ac:dyDescent="0.25">
      <c r="A7387" s="362"/>
      <c r="B7387" s="609">
        <v>44588</v>
      </c>
      <c r="C7387" s="362" t="s">
        <v>87</v>
      </c>
      <c r="D7387" s="560">
        <v>88569988</v>
      </c>
      <c r="E7387" s="560">
        <v>67483175</v>
      </c>
      <c r="F7387" s="560">
        <v>156053200</v>
      </c>
      <c r="G7387" s="560">
        <f t="shared" si="155"/>
        <v>-37</v>
      </c>
      <c r="H7387" s="362"/>
      <c r="I7387" s="362"/>
      <c r="J7387" s="362"/>
    </row>
    <row r="7388" spans="1:10" x14ac:dyDescent="0.25">
      <c r="A7388" s="362"/>
      <c r="B7388" s="609">
        <v>44588</v>
      </c>
      <c r="C7388" s="362" t="s">
        <v>88</v>
      </c>
      <c r="D7388" s="560">
        <v>170684276</v>
      </c>
      <c r="E7388" s="560">
        <v>30861487</v>
      </c>
      <c r="F7388" s="560">
        <v>201545800</v>
      </c>
      <c r="G7388" s="560">
        <f t="shared" si="155"/>
        <v>-37</v>
      </c>
      <c r="H7388" s="362"/>
      <c r="I7388" s="362"/>
      <c r="J7388" s="362"/>
    </row>
    <row r="7389" spans="1:10" x14ac:dyDescent="0.25">
      <c r="A7389" s="362"/>
      <c r="B7389" s="609">
        <v>44588</v>
      </c>
      <c r="C7389" s="362" t="s">
        <v>82</v>
      </c>
      <c r="D7389" s="560">
        <v>183733966</v>
      </c>
      <c r="E7389" s="560">
        <v>2391986</v>
      </c>
      <c r="F7389" s="560">
        <v>186126100</v>
      </c>
      <c r="G7389" s="560">
        <f t="shared" si="155"/>
        <v>-148</v>
      </c>
      <c r="H7389" s="362"/>
      <c r="I7389" s="362"/>
      <c r="J7389" s="362"/>
    </row>
    <row r="7390" spans="1:10" x14ac:dyDescent="0.25">
      <c r="A7390" s="362"/>
      <c r="B7390" s="609">
        <v>44588</v>
      </c>
      <c r="C7390" s="362" t="s">
        <v>80</v>
      </c>
      <c r="D7390" s="560">
        <v>310394241</v>
      </c>
      <c r="E7390" s="560"/>
      <c r="F7390" s="560">
        <v>310389800</v>
      </c>
      <c r="G7390" s="560">
        <f t="shared" si="155"/>
        <v>4441</v>
      </c>
      <c r="H7390" s="362"/>
      <c r="I7390" s="362"/>
      <c r="J7390" s="362"/>
    </row>
    <row r="7391" spans="1:10" x14ac:dyDescent="0.25">
      <c r="A7391" s="362"/>
      <c r="B7391" s="609">
        <v>44588</v>
      </c>
      <c r="C7391" s="362" t="s">
        <v>83</v>
      </c>
      <c r="D7391" s="560">
        <v>141329942</v>
      </c>
      <c r="E7391" s="560">
        <v>28558076</v>
      </c>
      <c r="F7391" s="560">
        <v>169888100</v>
      </c>
      <c r="G7391" s="560">
        <f t="shared" si="155"/>
        <v>-82</v>
      </c>
      <c r="H7391" s="362"/>
      <c r="I7391" s="362"/>
      <c r="J7391" s="362"/>
    </row>
    <row r="7392" spans="1:10" x14ac:dyDescent="0.25">
      <c r="A7392" s="362"/>
      <c r="B7392" s="609">
        <v>44588</v>
      </c>
      <c r="C7392" s="362" t="s">
        <v>78</v>
      </c>
      <c r="D7392" s="560">
        <v>174156945</v>
      </c>
      <c r="E7392" s="560">
        <v>1081655</v>
      </c>
      <c r="F7392" s="560">
        <v>175238600</v>
      </c>
      <c r="G7392" s="560">
        <f t="shared" si="155"/>
        <v>0</v>
      </c>
      <c r="H7392" s="362"/>
      <c r="I7392" s="362"/>
      <c r="J7392" s="362"/>
    </row>
    <row r="7393" spans="1:10" x14ac:dyDescent="0.25">
      <c r="A7393" s="362"/>
      <c r="B7393" s="609">
        <v>44588</v>
      </c>
      <c r="C7393" s="362" t="s">
        <v>141</v>
      </c>
      <c r="D7393" s="560">
        <v>111816290</v>
      </c>
      <c r="E7393" s="560"/>
      <c r="F7393" s="560">
        <v>111816300</v>
      </c>
      <c r="G7393" s="560">
        <f>D7393+E7393-F7393</f>
        <v>-10</v>
      </c>
      <c r="H7393" s="362"/>
      <c r="I7393" s="362"/>
      <c r="J7393" s="362"/>
    </row>
    <row r="7394" spans="1:10" x14ac:dyDescent="0.25">
      <c r="A7394" s="362"/>
      <c r="B7394" s="609">
        <v>44588</v>
      </c>
      <c r="C7394" s="362" t="s">
        <v>89</v>
      </c>
      <c r="D7394" s="560">
        <v>224872204</v>
      </c>
      <c r="E7394" s="560">
        <v>12134696</v>
      </c>
      <c r="F7394" s="560">
        <v>237006900</v>
      </c>
      <c r="G7394" s="560">
        <f t="shared" si="155"/>
        <v>0</v>
      </c>
      <c r="H7394" s="362"/>
      <c r="I7394" s="362"/>
      <c r="J7394" s="362"/>
    </row>
    <row r="7395" spans="1:10" x14ac:dyDescent="0.25">
      <c r="A7395" s="362"/>
      <c r="B7395" s="609">
        <v>44588</v>
      </c>
      <c r="C7395" s="362" t="s">
        <v>81</v>
      </c>
      <c r="D7395" s="560">
        <v>96491734</v>
      </c>
      <c r="E7395" s="560">
        <v>19530640</v>
      </c>
      <c r="F7395" s="560">
        <v>116022400</v>
      </c>
      <c r="G7395" s="560">
        <f t="shared" si="155"/>
        <v>-26</v>
      </c>
      <c r="H7395" s="362"/>
      <c r="I7395" s="362"/>
      <c r="J7395" s="362"/>
    </row>
    <row r="7396" spans="1:10" x14ac:dyDescent="0.25">
      <c r="A7396" s="362"/>
      <c r="B7396" s="609">
        <v>44588</v>
      </c>
      <c r="C7396" s="362" t="s">
        <v>84</v>
      </c>
      <c r="D7396" s="560">
        <v>314310217</v>
      </c>
      <c r="E7396" s="560">
        <v>23352569</v>
      </c>
      <c r="F7396" s="560">
        <v>337662900</v>
      </c>
      <c r="G7396" s="560">
        <f t="shared" si="155"/>
        <v>-114</v>
      </c>
      <c r="H7396" s="362"/>
      <c r="I7396" s="362"/>
      <c r="J7396" s="362"/>
    </row>
    <row r="7397" spans="1:10" x14ac:dyDescent="0.25">
      <c r="A7397" s="362"/>
      <c r="B7397" s="609">
        <v>44588</v>
      </c>
      <c r="C7397" s="362" t="s">
        <v>4751</v>
      </c>
      <c r="D7397" s="560">
        <v>345552733</v>
      </c>
      <c r="E7397" s="560">
        <v>10428667</v>
      </c>
      <c r="F7397" s="560">
        <v>355981400</v>
      </c>
      <c r="G7397" s="560">
        <f t="shared" si="155"/>
        <v>0</v>
      </c>
      <c r="H7397" s="362"/>
      <c r="I7397" s="362"/>
      <c r="J7397" s="362"/>
    </row>
    <row r="7398" spans="1:10" x14ac:dyDescent="0.25">
      <c r="A7398" s="362"/>
      <c r="B7398" s="609">
        <v>44588</v>
      </c>
      <c r="C7398" s="362" t="s">
        <v>166</v>
      </c>
      <c r="D7398" s="560">
        <v>170030545</v>
      </c>
      <c r="E7398" s="560"/>
      <c r="F7398" s="560">
        <v>170030600</v>
      </c>
      <c r="G7398" s="560">
        <f t="shared" si="155"/>
        <v>-55</v>
      </c>
      <c r="H7398" s="362"/>
      <c r="I7398" s="362"/>
      <c r="J7398" s="362"/>
    </row>
    <row r="7399" spans="1:10" x14ac:dyDescent="0.25">
      <c r="A7399" s="362"/>
      <c r="B7399" s="609">
        <v>44588</v>
      </c>
      <c r="C7399" s="362" t="s">
        <v>3435</v>
      </c>
      <c r="D7399" s="560">
        <v>81267015</v>
      </c>
      <c r="E7399" s="560"/>
      <c r="F7399" s="560">
        <v>81267100</v>
      </c>
      <c r="G7399" s="560">
        <f t="shared" si="155"/>
        <v>-85</v>
      </c>
      <c r="H7399" s="362"/>
      <c r="I7399" s="362"/>
      <c r="J7399" s="362"/>
    </row>
    <row r="7400" spans="1:10" x14ac:dyDescent="0.25">
      <c r="A7400" s="362"/>
      <c r="B7400" s="609">
        <v>44588</v>
      </c>
      <c r="C7400" s="370" t="s">
        <v>85</v>
      </c>
      <c r="D7400" s="560">
        <v>45797900</v>
      </c>
      <c r="E7400" s="560"/>
      <c r="F7400" s="560">
        <v>45797900</v>
      </c>
      <c r="G7400" s="560">
        <f t="shared" si="155"/>
        <v>0</v>
      </c>
      <c r="H7400" s="362"/>
      <c r="I7400" s="362"/>
      <c r="J7400" s="362"/>
    </row>
    <row r="7401" spans="1:10" x14ac:dyDescent="0.25">
      <c r="A7401" s="530"/>
      <c r="B7401" s="530"/>
      <c r="C7401" s="530"/>
      <c r="D7401" s="562">
        <f>SUM(D7386:D7400)</f>
        <v>2546844520</v>
      </c>
      <c r="E7401" s="562">
        <f>SUM(E7386:E7400)</f>
        <v>285824891</v>
      </c>
      <c r="F7401" s="562">
        <f>SUM(F7386:F7400)</f>
        <v>2832665600</v>
      </c>
      <c r="G7401" s="562">
        <f>SUM(G7386:G7400)</f>
        <v>3811</v>
      </c>
      <c r="H7401" s="530"/>
      <c r="I7401" s="530"/>
      <c r="J7401" s="530"/>
    </row>
    <row r="7402" spans="1:10" x14ac:dyDescent="0.25">
      <c r="A7402" s="362"/>
      <c r="B7402" s="609">
        <v>44589</v>
      </c>
      <c r="C7402" s="362" t="s">
        <v>86</v>
      </c>
      <c r="D7402" s="560">
        <v>62271870</v>
      </c>
      <c r="E7402" s="560">
        <v>62408945</v>
      </c>
      <c r="F7402" s="560"/>
      <c r="G7402" s="560">
        <f t="shared" si="155"/>
        <v>124680815</v>
      </c>
      <c r="H7402" s="362"/>
      <c r="I7402" s="362"/>
      <c r="J7402" s="362"/>
    </row>
    <row r="7403" spans="1:10" x14ac:dyDescent="0.25">
      <c r="A7403" s="362"/>
      <c r="B7403" s="609">
        <v>44589</v>
      </c>
      <c r="C7403" s="362" t="s">
        <v>87</v>
      </c>
      <c r="D7403" s="560">
        <v>127254594</v>
      </c>
      <c r="E7403" s="560">
        <v>49109513</v>
      </c>
      <c r="F7403" s="560"/>
      <c r="G7403" s="560">
        <f t="shared" si="155"/>
        <v>176364107</v>
      </c>
      <c r="H7403" s="362"/>
      <c r="I7403" s="362"/>
      <c r="J7403" s="362"/>
    </row>
    <row r="7404" spans="1:10" x14ac:dyDescent="0.25">
      <c r="A7404" s="362"/>
      <c r="B7404" s="609">
        <v>44589</v>
      </c>
      <c r="C7404" s="362" t="s">
        <v>88</v>
      </c>
      <c r="D7404" s="560">
        <v>150062553</v>
      </c>
      <c r="E7404" s="560">
        <v>26691041</v>
      </c>
      <c r="F7404" s="560"/>
      <c r="G7404" s="560">
        <f t="shared" si="155"/>
        <v>176753594</v>
      </c>
      <c r="H7404" s="362"/>
      <c r="I7404" s="362"/>
      <c r="J7404" s="362"/>
    </row>
    <row r="7405" spans="1:10" x14ac:dyDescent="0.25">
      <c r="A7405" s="362"/>
      <c r="B7405" s="609">
        <v>44589</v>
      </c>
      <c r="C7405" s="362" t="s">
        <v>82</v>
      </c>
      <c r="D7405" s="560">
        <v>63024572</v>
      </c>
      <c r="E7405" s="560">
        <v>16093435</v>
      </c>
      <c r="F7405" s="560"/>
      <c r="G7405" s="560">
        <f t="shared" si="155"/>
        <v>79118007</v>
      </c>
      <c r="H7405" s="362"/>
      <c r="I7405" s="362"/>
      <c r="J7405" s="362"/>
    </row>
    <row r="7406" spans="1:10" x14ac:dyDescent="0.25">
      <c r="A7406" s="362"/>
      <c r="B7406" s="609">
        <v>44589</v>
      </c>
      <c r="C7406" s="362" t="s">
        <v>80</v>
      </c>
      <c r="D7406" s="560">
        <v>292309469</v>
      </c>
      <c r="E7406" s="560">
        <v>97908131</v>
      </c>
      <c r="F7406" s="560"/>
      <c r="G7406" s="560">
        <f t="shared" si="155"/>
        <v>390217600</v>
      </c>
      <c r="H7406" s="362"/>
      <c r="I7406" s="362"/>
      <c r="J7406" s="362"/>
    </row>
    <row r="7407" spans="1:10" x14ac:dyDescent="0.25">
      <c r="A7407" s="362"/>
      <c r="B7407" s="609">
        <v>44589</v>
      </c>
      <c r="C7407" s="362" t="s">
        <v>83</v>
      </c>
      <c r="D7407" s="560">
        <v>151310528</v>
      </c>
      <c r="E7407" s="560">
        <v>210217501</v>
      </c>
      <c r="F7407" s="560"/>
      <c r="G7407" s="560">
        <f t="shared" si="155"/>
        <v>361528029</v>
      </c>
      <c r="H7407" s="362"/>
      <c r="I7407" s="362"/>
      <c r="J7407" s="362"/>
    </row>
    <row r="7408" spans="1:10" x14ac:dyDescent="0.25">
      <c r="A7408" s="362"/>
      <c r="B7408" s="609">
        <v>44589</v>
      </c>
      <c r="C7408" s="362" t="s">
        <v>78</v>
      </c>
      <c r="D7408" s="560">
        <v>158537605</v>
      </c>
      <c r="E7408" s="560">
        <v>2209195</v>
      </c>
      <c r="F7408" s="560"/>
      <c r="G7408" s="560">
        <f t="shared" si="155"/>
        <v>160746800</v>
      </c>
      <c r="H7408" s="362"/>
      <c r="I7408" s="362"/>
      <c r="J7408" s="362"/>
    </row>
    <row r="7409" spans="1:10" x14ac:dyDescent="0.25">
      <c r="A7409" s="362"/>
      <c r="B7409" s="609">
        <v>44589</v>
      </c>
      <c r="C7409" s="362" t="s">
        <v>141</v>
      </c>
      <c r="D7409" s="560">
        <v>122928471</v>
      </c>
      <c r="E7409" s="560"/>
      <c r="F7409" s="560"/>
      <c r="G7409" s="560">
        <f t="shared" si="155"/>
        <v>122928471</v>
      </c>
      <c r="H7409" s="362"/>
      <c r="I7409" s="362"/>
      <c r="J7409" s="362"/>
    </row>
    <row r="7410" spans="1:10" x14ac:dyDescent="0.25">
      <c r="A7410" s="362"/>
      <c r="B7410" s="609">
        <v>44589</v>
      </c>
      <c r="C7410" s="362" t="s">
        <v>89</v>
      </c>
      <c r="D7410" s="560">
        <v>231312123</v>
      </c>
      <c r="E7410" s="560">
        <v>198818477</v>
      </c>
      <c r="F7410" s="560"/>
      <c r="G7410" s="560">
        <f t="shared" si="155"/>
        <v>430130600</v>
      </c>
      <c r="H7410" s="362"/>
      <c r="I7410" s="362"/>
      <c r="J7410" s="362"/>
    </row>
    <row r="7411" spans="1:10" x14ac:dyDescent="0.25">
      <c r="A7411" s="362"/>
      <c r="B7411" s="609">
        <v>44589</v>
      </c>
      <c r="C7411" s="362" t="s">
        <v>81</v>
      </c>
      <c r="D7411" s="560">
        <v>114016255</v>
      </c>
      <c r="E7411" s="560">
        <v>6181195</v>
      </c>
      <c r="F7411" s="560"/>
      <c r="G7411" s="560">
        <f t="shared" si="155"/>
        <v>120197450</v>
      </c>
      <c r="H7411" s="362"/>
      <c r="I7411" s="362"/>
      <c r="J7411" s="362"/>
    </row>
    <row r="7412" spans="1:10" x14ac:dyDescent="0.25">
      <c r="A7412" s="362"/>
      <c r="B7412" s="609">
        <v>44589</v>
      </c>
      <c r="C7412" s="362" t="s">
        <v>84</v>
      </c>
      <c r="D7412" s="560">
        <v>313722555</v>
      </c>
      <c r="E7412" s="560">
        <v>56994458</v>
      </c>
      <c r="F7412" s="560"/>
      <c r="G7412" s="560">
        <f t="shared" si="155"/>
        <v>370717013</v>
      </c>
      <c r="H7412" s="362"/>
      <c r="I7412" s="362"/>
      <c r="J7412" s="362"/>
    </row>
    <row r="7413" spans="1:10" x14ac:dyDescent="0.25">
      <c r="A7413" s="362"/>
      <c r="B7413" s="609">
        <v>44589</v>
      </c>
      <c r="C7413" s="362" t="s">
        <v>4751</v>
      </c>
      <c r="D7413" s="560">
        <v>161336502</v>
      </c>
      <c r="E7413" s="560">
        <v>25521498</v>
      </c>
      <c r="F7413" s="560"/>
      <c r="G7413" s="560">
        <f t="shared" si="155"/>
        <v>186858000</v>
      </c>
      <c r="H7413" s="362"/>
      <c r="I7413" s="362"/>
      <c r="J7413" s="362"/>
    </row>
    <row r="7414" spans="1:10" x14ac:dyDescent="0.25">
      <c r="A7414" s="362"/>
      <c r="B7414" s="609">
        <v>44589</v>
      </c>
      <c r="C7414" s="362" t="s">
        <v>166</v>
      </c>
      <c r="D7414" s="560">
        <v>37608262</v>
      </c>
      <c r="E7414" s="560"/>
      <c r="F7414" s="560"/>
      <c r="G7414" s="560">
        <f t="shared" si="155"/>
        <v>37608262</v>
      </c>
      <c r="H7414" s="362"/>
      <c r="I7414" s="362"/>
      <c r="J7414" s="362"/>
    </row>
    <row r="7415" spans="1:10" x14ac:dyDescent="0.25">
      <c r="A7415" s="362"/>
      <c r="B7415" s="609">
        <v>44589</v>
      </c>
      <c r="C7415" s="362" t="s">
        <v>3435</v>
      </c>
      <c r="D7415" s="560">
        <v>22968538</v>
      </c>
      <c r="E7415" s="560"/>
      <c r="F7415" s="560"/>
      <c r="G7415" s="560">
        <f t="shared" si="155"/>
        <v>22968538</v>
      </c>
      <c r="H7415" s="362"/>
      <c r="I7415" s="362"/>
      <c r="J7415" s="362"/>
    </row>
    <row r="7416" spans="1:10" x14ac:dyDescent="0.25">
      <c r="A7416" s="362"/>
      <c r="B7416" s="609">
        <v>44589</v>
      </c>
      <c r="C7416" s="370" t="s">
        <v>85</v>
      </c>
      <c r="D7416" s="560">
        <v>39722500</v>
      </c>
      <c r="E7416" s="560"/>
      <c r="F7416" s="560"/>
      <c r="G7416" s="560">
        <f t="shared" si="155"/>
        <v>39722500</v>
      </c>
      <c r="H7416" s="362"/>
      <c r="I7416" s="362"/>
      <c r="J7416" s="362"/>
    </row>
    <row r="7417" spans="1:10" x14ac:dyDescent="0.25">
      <c r="A7417" s="530"/>
      <c r="B7417" s="530"/>
      <c r="C7417" s="530"/>
      <c r="D7417" s="562">
        <f>SUM(D7402:D7416)</f>
        <v>2048386397</v>
      </c>
      <c r="E7417" s="562">
        <f>SUM(E7402:E7416)</f>
        <v>752153389</v>
      </c>
      <c r="F7417" s="562">
        <f>SUM(F7402:F7416)</f>
        <v>0</v>
      </c>
      <c r="G7417" s="562">
        <f>SUM(G7402:G7416)</f>
        <v>2800539786</v>
      </c>
      <c r="H7417" s="530"/>
      <c r="I7417" s="530"/>
      <c r="J7417" s="530"/>
    </row>
    <row r="7418" spans="1:10" x14ac:dyDescent="0.25">
      <c r="A7418" s="362"/>
      <c r="B7418" s="609">
        <v>44590</v>
      </c>
      <c r="C7418" s="362" t="s">
        <v>86</v>
      </c>
      <c r="D7418" s="560">
        <v>33528665</v>
      </c>
      <c r="E7418" s="560">
        <v>49276621</v>
      </c>
      <c r="F7418" s="560"/>
      <c r="G7418" s="560">
        <f t="shared" si="155"/>
        <v>82805286</v>
      </c>
      <c r="H7418" s="362"/>
      <c r="I7418" s="362"/>
      <c r="J7418" s="362"/>
    </row>
    <row r="7419" spans="1:10" x14ac:dyDescent="0.25">
      <c r="A7419" s="362"/>
      <c r="B7419" s="609">
        <v>44590</v>
      </c>
      <c r="C7419" s="362" t="s">
        <v>87</v>
      </c>
      <c r="D7419" s="560">
        <v>98054025</v>
      </c>
      <c r="E7419" s="560">
        <v>231539487</v>
      </c>
      <c r="F7419" s="560"/>
      <c r="G7419" s="560">
        <f t="shared" si="155"/>
        <v>329593512</v>
      </c>
      <c r="H7419" s="362"/>
      <c r="I7419" s="362"/>
      <c r="J7419" s="362"/>
    </row>
    <row r="7420" spans="1:10" x14ac:dyDescent="0.25">
      <c r="A7420" s="362"/>
      <c r="B7420" s="609">
        <v>44590</v>
      </c>
      <c r="C7420" s="362" t="s">
        <v>88</v>
      </c>
      <c r="D7420" s="560">
        <v>139470546</v>
      </c>
      <c r="E7420" s="560">
        <v>42760975</v>
      </c>
      <c r="F7420" s="560"/>
      <c r="G7420" s="560">
        <f t="shared" si="155"/>
        <v>182231521</v>
      </c>
      <c r="H7420" s="362"/>
      <c r="I7420" s="362"/>
      <c r="J7420" s="362"/>
    </row>
    <row r="7421" spans="1:10" x14ac:dyDescent="0.25">
      <c r="A7421" s="362"/>
      <c r="B7421" s="609">
        <v>44590</v>
      </c>
      <c r="C7421" s="362" t="s">
        <v>82</v>
      </c>
      <c r="D7421" s="560">
        <v>94184821</v>
      </c>
      <c r="E7421" s="560">
        <v>25245915</v>
      </c>
      <c r="F7421" s="560"/>
      <c r="G7421" s="560">
        <f t="shared" si="155"/>
        <v>119430736</v>
      </c>
      <c r="H7421" s="362"/>
      <c r="I7421" s="362"/>
      <c r="J7421" s="362"/>
    </row>
    <row r="7422" spans="1:10" x14ac:dyDescent="0.25">
      <c r="A7422" s="362"/>
      <c r="B7422" s="609">
        <v>44590</v>
      </c>
      <c r="C7422" s="362" t="s">
        <v>80</v>
      </c>
      <c r="D7422" s="560">
        <v>304046347</v>
      </c>
      <c r="E7422" s="560">
        <v>5232600</v>
      </c>
      <c r="F7422" s="560"/>
      <c r="G7422" s="560">
        <f t="shared" si="155"/>
        <v>309278947</v>
      </c>
      <c r="H7422" s="362"/>
      <c r="I7422" s="362"/>
      <c r="J7422" s="362"/>
    </row>
    <row r="7423" spans="1:10" x14ac:dyDescent="0.25">
      <c r="A7423" s="362"/>
      <c r="B7423" s="609">
        <v>44590</v>
      </c>
      <c r="C7423" s="362" t="s">
        <v>83</v>
      </c>
      <c r="D7423" s="560">
        <v>194479544</v>
      </c>
      <c r="E7423" s="560">
        <v>99046756</v>
      </c>
      <c r="F7423" s="560"/>
      <c r="G7423" s="560">
        <f t="shared" si="155"/>
        <v>293526300</v>
      </c>
      <c r="H7423" s="362"/>
      <c r="I7423" s="362"/>
      <c r="J7423" s="362"/>
    </row>
    <row r="7424" spans="1:10" x14ac:dyDescent="0.25">
      <c r="A7424" s="362"/>
      <c r="B7424" s="609">
        <v>44590</v>
      </c>
      <c r="C7424" s="362" t="s">
        <v>78</v>
      </c>
      <c r="D7424" s="560">
        <v>167670978</v>
      </c>
      <c r="E7424" s="560">
        <v>19322022</v>
      </c>
      <c r="F7424" s="560"/>
      <c r="G7424" s="560">
        <f t="shared" si="155"/>
        <v>186993000</v>
      </c>
      <c r="H7424" s="362"/>
      <c r="I7424" s="362"/>
      <c r="J7424" s="362"/>
    </row>
    <row r="7425" spans="1:10" x14ac:dyDescent="0.25">
      <c r="A7425" s="362"/>
      <c r="B7425" s="609">
        <v>44590</v>
      </c>
      <c r="C7425" s="362" t="s">
        <v>141</v>
      </c>
      <c r="D7425" s="560">
        <v>56540410</v>
      </c>
      <c r="E7425" s="560"/>
      <c r="F7425" s="560"/>
      <c r="G7425" s="560">
        <f t="shared" si="155"/>
        <v>56540410</v>
      </c>
      <c r="H7425" s="362"/>
      <c r="I7425" s="362"/>
      <c r="J7425" s="362"/>
    </row>
    <row r="7426" spans="1:10" x14ac:dyDescent="0.25">
      <c r="A7426" s="362"/>
      <c r="B7426" s="609">
        <v>44590</v>
      </c>
      <c r="C7426" s="362" t="s">
        <v>89</v>
      </c>
      <c r="D7426" s="560">
        <v>135318499</v>
      </c>
      <c r="E7426" s="560">
        <v>50920301</v>
      </c>
      <c r="F7426" s="560"/>
      <c r="G7426" s="560">
        <f t="shared" si="155"/>
        <v>186238800</v>
      </c>
      <c r="H7426" s="362"/>
      <c r="I7426" s="362"/>
      <c r="J7426" s="362"/>
    </row>
    <row r="7427" spans="1:10" x14ac:dyDescent="0.25">
      <c r="A7427" s="362"/>
      <c r="B7427" s="609">
        <v>44590</v>
      </c>
      <c r="C7427" s="362" t="s">
        <v>81</v>
      </c>
      <c r="D7427" s="560">
        <v>173583205</v>
      </c>
      <c r="E7427" s="560">
        <v>61077840</v>
      </c>
      <c r="F7427" s="560"/>
      <c r="G7427" s="560">
        <f t="shared" si="155"/>
        <v>234661045</v>
      </c>
      <c r="H7427" s="362"/>
      <c r="I7427" s="362"/>
      <c r="J7427" s="362"/>
    </row>
    <row r="7428" spans="1:10" x14ac:dyDescent="0.25">
      <c r="A7428" s="362"/>
      <c r="B7428" s="609">
        <v>44590</v>
      </c>
      <c r="C7428" s="362" t="s">
        <v>84</v>
      </c>
      <c r="D7428" s="560">
        <v>296130449</v>
      </c>
      <c r="E7428" s="560">
        <v>17262427</v>
      </c>
      <c r="F7428" s="560"/>
      <c r="G7428" s="560">
        <f t="shared" si="155"/>
        <v>313392876</v>
      </c>
      <c r="H7428" s="362"/>
      <c r="I7428" s="362"/>
      <c r="J7428" s="362"/>
    </row>
    <row r="7429" spans="1:10" x14ac:dyDescent="0.25">
      <c r="A7429" s="362"/>
      <c r="B7429" s="609">
        <v>44590</v>
      </c>
      <c r="C7429" s="362" t="s">
        <v>4751</v>
      </c>
      <c r="D7429" s="560">
        <v>248146445</v>
      </c>
      <c r="E7429" s="560">
        <v>17543655</v>
      </c>
      <c r="F7429" s="560"/>
      <c r="G7429" s="560">
        <f t="shared" si="155"/>
        <v>265690100</v>
      </c>
      <c r="H7429" s="362"/>
      <c r="I7429" s="362"/>
      <c r="J7429" s="362"/>
    </row>
    <row r="7430" spans="1:10" x14ac:dyDescent="0.25">
      <c r="A7430" s="362"/>
      <c r="B7430" s="609">
        <v>44590</v>
      </c>
      <c r="C7430" s="362" t="s">
        <v>166</v>
      </c>
      <c r="D7430" s="560"/>
      <c r="E7430" s="560"/>
      <c r="F7430" s="560"/>
      <c r="G7430" s="560">
        <f t="shared" si="155"/>
        <v>0</v>
      </c>
      <c r="H7430" s="362"/>
      <c r="I7430" s="362"/>
      <c r="J7430" s="362"/>
    </row>
    <row r="7431" spans="1:10" x14ac:dyDescent="0.25">
      <c r="A7431" s="362"/>
      <c r="B7431" s="609">
        <v>44590</v>
      </c>
      <c r="C7431" s="362" t="s">
        <v>3435</v>
      </c>
      <c r="D7431" s="560"/>
      <c r="E7431" s="560"/>
      <c r="F7431" s="560"/>
      <c r="G7431" s="560">
        <f t="shared" si="155"/>
        <v>0</v>
      </c>
      <c r="H7431" s="362"/>
      <c r="I7431" s="362"/>
      <c r="J7431" s="362"/>
    </row>
    <row r="7432" spans="1:10" x14ac:dyDescent="0.25">
      <c r="A7432" s="362"/>
      <c r="B7432" s="609">
        <v>44590</v>
      </c>
      <c r="C7432" s="370" t="s">
        <v>85</v>
      </c>
      <c r="D7432" s="560">
        <v>36064500</v>
      </c>
      <c r="E7432" s="560"/>
      <c r="F7432" s="560"/>
      <c r="G7432" s="560">
        <f t="shared" si="155"/>
        <v>36064500</v>
      </c>
      <c r="H7432" s="362"/>
      <c r="I7432" s="362"/>
      <c r="J7432" s="362"/>
    </row>
    <row r="7433" spans="1:10" x14ac:dyDescent="0.25">
      <c r="A7433" s="530"/>
      <c r="B7433" s="530"/>
      <c r="C7433" s="530"/>
      <c r="D7433" s="562">
        <f>SUM(D7418:D7432)</f>
        <v>1977218434</v>
      </c>
      <c r="E7433" s="562">
        <f>SUM(E7418:E7432)</f>
        <v>619228599</v>
      </c>
      <c r="F7433" s="562">
        <f>SUM(F7418:F7432)</f>
        <v>0</v>
      </c>
      <c r="G7433" s="562">
        <f>SUM(G7418:G7432)</f>
        <v>2596447033</v>
      </c>
      <c r="H7433" s="530"/>
      <c r="I7433" s="530"/>
      <c r="J7433" s="530"/>
    </row>
    <row r="7434" spans="1:10" x14ac:dyDescent="0.25">
      <c r="A7434" s="362"/>
      <c r="B7434" s="609">
        <v>44592</v>
      </c>
      <c r="C7434" s="362" t="s">
        <v>86</v>
      </c>
      <c r="D7434" s="560">
        <v>72569475</v>
      </c>
      <c r="E7434" s="560">
        <v>119433000</v>
      </c>
      <c r="F7434" s="560">
        <v>192002500</v>
      </c>
      <c r="G7434" s="560">
        <f t="shared" si="155"/>
        <v>-25</v>
      </c>
      <c r="H7434" s="362"/>
      <c r="I7434" s="362"/>
      <c r="J7434" s="362"/>
    </row>
    <row r="7435" spans="1:10" x14ac:dyDescent="0.25">
      <c r="A7435" s="362"/>
      <c r="B7435" s="609">
        <v>44592</v>
      </c>
      <c r="C7435" s="362" t="s">
        <v>87</v>
      </c>
      <c r="D7435" s="560">
        <v>161699191</v>
      </c>
      <c r="E7435" s="560">
        <v>90044894</v>
      </c>
      <c r="F7435" s="560">
        <v>251744100</v>
      </c>
      <c r="G7435" s="560">
        <f t="shared" si="155"/>
        <v>-15</v>
      </c>
      <c r="H7435" s="362"/>
      <c r="I7435" s="362"/>
      <c r="J7435" s="362"/>
    </row>
    <row r="7436" spans="1:10" x14ac:dyDescent="0.25">
      <c r="A7436" s="362"/>
      <c r="B7436" s="609">
        <v>44592</v>
      </c>
      <c r="C7436" s="362" t="s">
        <v>88</v>
      </c>
      <c r="D7436" s="560">
        <v>161982803</v>
      </c>
      <c r="E7436" s="560">
        <v>7713029</v>
      </c>
      <c r="F7436" s="560">
        <v>169695900</v>
      </c>
      <c r="G7436" s="560">
        <f t="shared" ref="G7436:G7499" si="156">D7436+E7436-F7436</f>
        <v>-68</v>
      </c>
      <c r="H7436" s="362"/>
      <c r="I7436" s="362"/>
      <c r="J7436" s="362"/>
    </row>
    <row r="7437" spans="1:10" x14ac:dyDescent="0.25">
      <c r="A7437" s="362"/>
      <c r="B7437" s="609">
        <v>44592</v>
      </c>
      <c r="C7437" s="362" t="s">
        <v>82</v>
      </c>
      <c r="D7437" s="560">
        <v>55967849</v>
      </c>
      <c r="E7437" s="560">
        <v>1785158</v>
      </c>
      <c r="F7437" s="560">
        <v>57753100</v>
      </c>
      <c r="G7437" s="560">
        <f t="shared" si="156"/>
        <v>-93</v>
      </c>
      <c r="H7437" s="362"/>
      <c r="I7437" s="362"/>
      <c r="J7437" s="362"/>
    </row>
    <row r="7438" spans="1:10" x14ac:dyDescent="0.25">
      <c r="A7438" s="362"/>
      <c r="B7438" s="609">
        <v>44592</v>
      </c>
      <c r="C7438" s="362" t="s">
        <v>80</v>
      </c>
      <c r="D7438" s="560">
        <v>239249524</v>
      </c>
      <c r="E7438" s="560">
        <v>14151876</v>
      </c>
      <c r="F7438" s="560">
        <v>253401400</v>
      </c>
      <c r="G7438" s="560">
        <f t="shared" si="156"/>
        <v>0</v>
      </c>
      <c r="H7438" s="362"/>
      <c r="I7438" s="362"/>
      <c r="J7438" s="362"/>
    </row>
    <row r="7439" spans="1:10" x14ac:dyDescent="0.25">
      <c r="A7439" s="362"/>
      <c r="B7439" s="609">
        <v>44592</v>
      </c>
      <c r="C7439" s="362" t="s">
        <v>83</v>
      </c>
      <c r="D7439" s="560">
        <v>133824022</v>
      </c>
      <c r="E7439" s="560">
        <v>19308535</v>
      </c>
      <c r="F7439" s="560">
        <v>153132600</v>
      </c>
      <c r="G7439" s="560">
        <f t="shared" si="156"/>
        <v>-43</v>
      </c>
      <c r="H7439" s="362"/>
      <c r="I7439" s="362"/>
      <c r="J7439" s="362"/>
    </row>
    <row r="7440" spans="1:10" x14ac:dyDescent="0.25">
      <c r="A7440" s="362"/>
      <c r="B7440" s="609">
        <v>44592</v>
      </c>
      <c r="C7440" s="362" t="s">
        <v>78</v>
      </c>
      <c r="D7440" s="560">
        <v>169872135</v>
      </c>
      <c r="E7440" s="560">
        <v>1212265</v>
      </c>
      <c r="F7440" s="560">
        <v>171084400</v>
      </c>
      <c r="G7440" s="560">
        <f t="shared" si="156"/>
        <v>0</v>
      </c>
      <c r="H7440" s="362"/>
      <c r="I7440" s="362"/>
      <c r="J7440" s="362"/>
    </row>
    <row r="7441" spans="1:10" x14ac:dyDescent="0.25">
      <c r="A7441" s="362"/>
      <c r="B7441" s="609">
        <v>44592</v>
      </c>
      <c r="C7441" s="362" t="s">
        <v>141</v>
      </c>
      <c r="D7441" s="560">
        <v>140119285</v>
      </c>
      <c r="E7441" s="560"/>
      <c r="F7441" s="560">
        <v>140119300</v>
      </c>
      <c r="G7441" s="560">
        <f t="shared" si="156"/>
        <v>-15</v>
      </c>
      <c r="H7441" s="362"/>
      <c r="I7441" s="362"/>
      <c r="J7441" s="362"/>
    </row>
    <row r="7442" spans="1:10" x14ac:dyDescent="0.25">
      <c r="A7442" s="362"/>
      <c r="B7442" s="609">
        <v>44592</v>
      </c>
      <c r="C7442" s="362" t="s">
        <v>89</v>
      </c>
      <c r="D7442" s="560">
        <v>162735094</v>
      </c>
      <c r="E7442" s="560">
        <v>26379006</v>
      </c>
      <c r="F7442" s="560">
        <v>189114100</v>
      </c>
      <c r="G7442" s="560">
        <f t="shared" si="156"/>
        <v>0</v>
      </c>
      <c r="H7442" s="362"/>
      <c r="I7442" s="362"/>
      <c r="J7442" s="362"/>
    </row>
    <row r="7443" spans="1:10" x14ac:dyDescent="0.25">
      <c r="A7443" s="362"/>
      <c r="B7443" s="609">
        <v>44592</v>
      </c>
      <c r="C7443" s="362" t="s">
        <v>81</v>
      </c>
      <c r="D7443" s="560">
        <v>124009728</v>
      </c>
      <c r="E7443" s="560">
        <v>17393408</v>
      </c>
      <c r="F7443" s="560">
        <v>141403200</v>
      </c>
      <c r="G7443" s="560">
        <f t="shared" si="156"/>
        <v>-64</v>
      </c>
      <c r="H7443" s="362"/>
      <c r="I7443" s="362"/>
      <c r="J7443" s="362"/>
    </row>
    <row r="7444" spans="1:10" x14ac:dyDescent="0.25">
      <c r="A7444" s="362"/>
      <c r="B7444" s="609">
        <v>44592</v>
      </c>
      <c r="C7444" s="362" t="s">
        <v>84</v>
      </c>
      <c r="D7444" s="560">
        <v>368397258</v>
      </c>
      <c r="E7444" s="560">
        <v>15989718</v>
      </c>
      <c r="F7444" s="560">
        <v>384387000</v>
      </c>
      <c r="G7444" s="560">
        <f t="shared" si="156"/>
        <v>-24</v>
      </c>
      <c r="H7444" s="362"/>
      <c r="I7444" s="362"/>
      <c r="J7444" s="362"/>
    </row>
    <row r="7445" spans="1:10" x14ac:dyDescent="0.25">
      <c r="A7445" s="362"/>
      <c r="B7445" s="609">
        <v>44592</v>
      </c>
      <c r="C7445" s="362" t="s">
        <v>4751</v>
      </c>
      <c r="D7445" s="560">
        <v>264230034</v>
      </c>
      <c r="E7445" s="560">
        <v>7783966</v>
      </c>
      <c r="F7445" s="560">
        <v>272014000</v>
      </c>
      <c r="G7445" s="560">
        <f t="shared" si="156"/>
        <v>0</v>
      </c>
      <c r="H7445" s="362"/>
      <c r="I7445" s="362"/>
      <c r="J7445" s="362"/>
    </row>
    <row r="7446" spans="1:10" x14ac:dyDescent="0.25">
      <c r="A7446" s="362"/>
      <c r="B7446" s="609">
        <v>44592</v>
      </c>
      <c r="C7446" s="362" t="s">
        <v>166</v>
      </c>
      <c r="D7446" s="560">
        <v>84648753</v>
      </c>
      <c r="E7446" s="560"/>
      <c r="F7446" s="560">
        <v>84649000</v>
      </c>
      <c r="G7446" s="560">
        <f t="shared" si="156"/>
        <v>-247</v>
      </c>
      <c r="H7446" s="362"/>
      <c r="I7446" s="362"/>
      <c r="J7446" s="362"/>
    </row>
    <row r="7447" spans="1:10" x14ac:dyDescent="0.25">
      <c r="A7447" s="362"/>
      <c r="B7447" s="609">
        <v>44592</v>
      </c>
      <c r="C7447" s="362" t="s">
        <v>3435</v>
      </c>
      <c r="D7447" s="560">
        <v>33785968</v>
      </c>
      <c r="E7447" s="560"/>
      <c r="F7447" s="560">
        <v>33786000</v>
      </c>
      <c r="G7447" s="560">
        <f t="shared" si="156"/>
        <v>-32</v>
      </c>
      <c r="H7447" s="362"/>
      <c r="I7447" s="362"/>
      <c r="J7447" s="362"/>
    </row>
    <row r="7448" spans="1:10" x14ac:dyDescent="0.25">
      <c r="A7448" s="362"/>
      <c r="B7448" s="609">
        <v>44592</v>
      </c>
      <c r="C7448" s="370" t="s">
        <v>85</v>
      </c>
      <c r="D7448" s="560">
        <v>66206000</v>
      </c>
      <c r="E7448" s="560"/>
      <c r="F7448" s="560">
        <v>66206000</v>
      </c>
      <c r="G7448" s="560">
        <f t="shared" si="156"/>
        <v>0</v>
      </c>
      <c r="H7448" s="362"/>
      <c r="I7448" s="362"/>
      <c r="J7448" s="362"/>
    </row>
    <row r="7449" spans="1:10" x14ac:dyDescent="0.25">
      <c r="A7449" s="530"/>
      <c r="B7449" s="530"/>
      <c r="C7449" s="530"/>
      <c r="D7449" s="562">
        <f>SUM(D7434:D7448)</f>
        <v>2239297119</v>
      </c>
      <c r="E7449" s="562">
        <f>SUM(E7434:E7448)</f>
        <v>321194855</v>
      </c>
      <c r="F7449" s="562">
        <f>SUM(F7434:F7448)</f>
        <v>2560492600</v>
      </c>
      <c r="G7449" s="562">
        <f>SUM(G7434:G7448)</f>
        <v>-626</v>
      </c>
      <c r="H7449" s="530"/>
      <c r="I7449" s="530"/>
      <c r="J7449" s="530"/>
    </row>
    <row r="7450" spans="1:10" x14ac:dyDescent="0.25">
      <c r="A7450" s="362"/>
      <c r="B7450" s="609">
        <v>44593</v>
      </c>
      <c r="C7450" s="362" t="s">
        <v>86</v>
      </c>
      <c r="D7450" s="560">
        <v>72590506</v>
      </c>
      <c r="E7450" s="560">
        <v>25862950</v>
      </c>
      <c r="F7450" s="560">
        <v>98453400</v>
      </c>
      <c r="G7450" s="560">
        <f t="shared" si="156"/>
        <v>56</v>
      </c>
      <c r="H7450" s="362"/>
      <c r="I7450" s="362"/>
      <c r="J7450" s="362"/>
    </row>
    <row r="7451" spans="1:10" x14ac:dyDescent="0.25">
      <c r="A7451" s="362"/>
      <c r="B7451" s="609">
        <v>44593</v>
      </c>
      <c r="C7451" s="362" t="s">
        <v>87</v>
      </c>
      <c r="D7451" s="560">
        <v>92930889</v>
      </c>
      <c r="E7451" s="560">
        <v>50165352</v>
      </c>
      <c r="F7451" s="560">
        <v>143096200</v>
      </c>
      <c r="G7451" s="560">
        <f t="shared" si="156"/>
        <v>41</v>
      </c>
      <c r="H7451" s="362"/>
      <c r="I7451" s="362"/>
      <c r="J7451" s="362"/>
    </row>
    <row r="7452" spans="1:10" x14ac:dyDescent="0.25">
      <c r="A7452" s="362"/>
      <c r="B7452" s="609">
        <v>44593</v>
      </c>
      <c r="C7452" s="362" t="s">
        <v>88</v>
      </c>
      <c r="D7452" s="560">
        <v>100907569</v>
      </c>
      <c r="E7452" s="560">
        <v>14632485</v>
      </c>
      <c r="F7452" s="560">
        <v>115540100</v>
      </c>
      <c r="G7452" s="560">
        <f t="shared" si="156"/>
        <v>-46</v>
      </c>
      <c r="H7452" s="362"/>
      <c r="I7452" s="362"/>
      <c r="J7452" s="362"/>
    </row>
    <row r="7453" spans="1:10" x14ac:dyDescent="0.25">
      <c r="A7453" s="362"/>
      <c r="B7453" s="609">
        <v>44593</v>
      </c>
      <c r="C7453" s="362" t="s">
        <v>82</v>
      </c>
      <c r="D7453" s="560">
        <v>184904789</v>
      </c>
      <c r="E7453" s="560">
        <v>11814369</v>
      </c>
      <c r="F7453" s="560">
        <v>196719200</v>
      </c>
      <c r="G7453" s="560">
        <f t="shared" si="156"/>
        <v>-42</v>
      </c>
      <c r="H7453" s="362"/>
      <c r="I7453" s="362"/>
      <c r="J7453" s="362"/>
    </row>
    <row r="7454" spans="1:10" x14ac:dyDescent="0.25">
      <c r="A7454" s="362"/>
      <c r="B7454" s="609">
        <v>44593</v>
      </c>
      <c r="C7454" s="362" t="s">
        <v>80</v>
      </c>
      <c r="D7454" s="560">
        <v>201255126</v>
      </c>
      <c r="E7454" s="560">
        <v>576015</v>
      </c>
      <c r="F7454" s="560">
        <v>201837200</v>
      </c>
      <c r="G7454" s="560">
        <f t="shared" si="156"/>
        <v>-6059</v>
      </c>
      <c r="H7454" s="362"/>
      <c r="I7454" s="362"/>
      <c r="J7454" s="362"/>
    </row>
    <row r="7455" spans="1:10" x14ac:dyDescent="0.25">
      <c r="A7455" s="362"/>
      <c r="B7455" s="609">
        <v>44593</v>
      </c>
      <c r="C7455" s="362" t="s">
        <v>83</v>
      </c>
      <c r="D7455" s="560">
        <v>154235634</v>
      </c>
      <c r="E7455" s="560">
        <v>16827878</v>
      </c>
      <c r="F7455" s="560">
        <v>171063500</v>
      </c>
      <c r="G7455" s="560">
        <f t="shared" si="156"/>
        <v>12</v>
      </c>
      <c r="H7455" s="362"/>
      <c r="I7455" s="362"/>
      <c r="J7455" s="362"/>
    </row>
    <row r="7456" spans="1:10" x14ac:dyDescent="0.25">
      <c r="A7456" s="362"/>
      <c r="B7456" s="609">
        <v>44593</v>
      </c>
      <c r="C7456" s="362" t="s">
        <v>78</v>
      </c>
      <c r="D7456" s="560">
        <v>165232474</v>
      </c>
      <c r="E7456" s="560">
        <v>3216126</v>
      </c>
      <c r="F7456" s="560">
        <v>168448600</v>
      </c>
      <c r="G7456" s="560">
        <f t="shared" si="156"/>
        <v>0</v>
      </c>
      <c r="H7456" s="362"/>
      <c r="I7456" s="362"/>
      <c r="J7456" s="362"/>
    </row>
    <row r="7457" spans="1:10" x14ac:dyDescent="0.25">
      <c r="A7457" s="362"/>
      <c r="B7457" s="609">
        <v>44593</v>
      </c>
      <c r="C7457" s="362" t="s">
        <v>141</v>
      </c>
      <c r="D7457" s="560">
        <v>71420957</v>
      </c>
      <c r="E7457" s="560"/>
      <c r="F7457" s="560">
        <v>71421100</v>
      </c>
      <c r="G7457" s="560">
        <f t="shared" si="156"/>
        <v>-143</v>
      </c>
      <c r="H7457" s="362"/>
      <c r="I7457" s="362"/>
      <c r="J7457" s="362"/>
    </row>
    <row r="7458" spans="1:10" x14ac:dyDescent="0.25">
      <c r="A7458" s="362"/>
      <c r="B7458" s="609">
        <v>44593</v>
      </c>
      <c r="C7458" s="362" t="s">
        <v>89</v>
      </c>
      <c r="D7458" s="560">
        <v>139469499</v>
      </c>
      <c r="E7458" s="560">
        <v>7306301</v>
      </c>
      <c r="F7458" s="560">
        <v>146775800</v>
      </c>
      <c r="G7458" s="560">
        <f t="shared" si="156"/>
        <v>0</v>
      </c>
      <c r="H7458" s="362"/>
      <c r="I7458" s="362"/>
      <c r="J7458" s="362"/>
    </row>
    <row r="7459" spans="1:10" x14ac:dyDescent="0.25">
      <c r="A7459" s="362"/>
      <c r="B7459" s="609">
        <v>44593</v>
      </c>
      <c r="C7459" s="362" t="s">
        <v>81</v>
      </c>
      <c r="D7459" s="560">
        <v>66306124</v>
      </c>
      <c r="E7459" s="560">
        <v>10482391</v>
      </c>
      <c r="F7459" s="560">
        <v>76788500</v>
      </c>
      <c r="G7459" s="560">
        <f t="shared" si="156"/>
        <v>15</v>
      </c>
      <c r="H7459" s="362"/>
      <c r="I7459" s="362"/>
      <c r="J7459" s="362"/>
    </row>
    <row r="7460" spans="1:10" x14ac:dyDescent="0.25">
      <c r="A7460" s="362"/>
      <c r="B7460" s="609">
        <v>44593</v>
      </c>
      <c r="C7460" s="362" t="s">
        <v>84</v>
      </c>
      <c r="D7460" s="560">
        <v>217667615</v>
      </c>
      <c r="E7460" s="560">
        <v>19121225</v>
      </c>
      <c r="F7460" s="560">
        <v>236788900</v>
      </c>
      <c r="G7460" s="560">
        <f t="shared" si="156"/>
        <v>-60</v>
      </c>
      <c r="H7460" s="362"/>
      <c r="I7460" s="362"/>
      <c r="J7460" s="362"/>
    </row>
    <row r="7461" spans="1:10" x14ac:dyDescent="0.25">
      <c r="A7461" s="362"/>
      <c r="B7461" s="609">
        <v>44593</v>
      </c>
      <c r="C7461" s="362" t="s">
        <v>4751</v>
      </c>
      <c r="D7461" s="560">
        <v>215955875</v>
      </c>
      <c r="E7461" s="560">
        <v>7208925</v>
      </c>
      <c r="F7461" s="560">
        <v>223164800</v>
      </c>
      <c r="G7461" s="560">
        <f t="shared" si="156"/>
        <v>0</v>
      </c>
      <c r="H7461" s="362"/>
      <c r="I7461" s="362"/>
      <c r="J7461" s="362"/>
    </row>
    <row r="7462" spans="1:10" x14ac:dyDescent="0.25">
      <c r="A7462" s="362"/>
      <c r="B7462" s="609">
        <v>44593</v>
      </c>
      <c r="C7462" s="362" t="s">
        <v>166</v>
      </c>
      <c r="D7462" s="560">
        <v>78841652</v>
      </c>
      <c r="E7462" s="560"/>
      <c r="F7462" s="560">
        <v>78841700</v>
      </c>
      <c r="G7462" s="560">
        <f t="shared" si="156"/>
        <v>-48</v>
      </c>
      <c r="H7462" s="362"/>
      <c r="I7462" s="362"/>
      <c r="J7462" s="362"/>
    </row>
    <row r="7463" spans="1:10" x14ac:dyDescent="0.25">
      <c r="A7463" s="362"/>
      <c r="B7463" s="609">
        <v>44593</v>
      </c>
      <c r="C7463" s="362" t="s">
        <v>3435</v>
      </c>
      <c r="D7463" s="560">
        <v>22163071</v>
      </c>
      <c r="E7463" s="560"/>
      <c r="F7463" s="560">
        <v>22163100</v>
      </c>
      <c r="G7463" s="560">
        <f t="shared" si="156"/>
        <v>-29</v>
      </c>
      <c r="H7463" s="362"/>
      <c r="I7463" s="362"/>
      <c r="J7463" s="362"/>
    </row>
    <row r="7464" spans="1:10" x14ac:dyDescent="0.25">
      <c r="A7464" s="362"/>
      <c r="B7464" s="609">
        <v>44593</v>
      </c>
      <c r="C7464" s="370" t="s">
        <v>85</v>
      </c>
      <c r="D7464" s="560">
        <v>51141500</v>
      </c>
      <c r="E7464" s="560"/>
      <c r="F7464" s="560">
        <v>51141500</v>
      </c>
      <c r="G7464" s="560">
        <f t="shared" si="156"/>
        <v>0</v>
      </c>
      <c r="H7464" s="362"/>
      <c r="I7464" s="362"/>
      <c r="J7464" s="362"/>
    </row>
    <row r="7465" spans="1:10" x14ac:dyDescent="0.25">
      <c r="A7465" s="530"/>
      <c r="B7465" s="530"/>
      <c r="C7465" s="530"/>
      <c r="D7465" s="562">
        <f>SUM(D7450:D7464)</f>
        <v>1835023280</v>
      </c>
      <c r="E7465" s="562">
        <f>SUM(E7450:E7464)</f>
        <v>167214017</v>
      </c>
      <c r="F7465" s="562">
        <f>SUM(F7450:F7464)</f>
        <v>2002243600</v>
      </c>
      <c r="G7465" s="562">
        <f>SUM(G7450:G7464)</f>
        <v>-6303</v>
      </c>
      <c r="H7465" s="530"/>
      <c r="I7465" s="530"/>
      <c r="J7465" s="530"/>
    </row>
    <row r="7466" spans="1:10" x14ac:dyDescent="0.25">
      <c r="A7466" s="362"/>
      <c r="B7466" s="609">
        <v>44594</v>
      </c>
      <c r="C7466" s="362" t="s">
        <v>86</v>
      </c>
      <c r="D7466" s="560">
        <v>108577297</v>
      </c>
      <c r="E7466" s="560">
        <v>17320100</v>
      </c>
      <c r="F7466" s="560"/>
      <c r="G7466" s="560">
        <f t="shared" si="156"/>
        <v>125897397</v>
      </c>
      <c r="H7466" s="362"/>
      <c r="I7466" s="362"/>
      <c r="J7466" s="362"/>
    </row>
    <row r="7467" spans="1:10" x14ac:dyDescent="0.25">
      <c r="A7467" s="362"/>
      <c r="B7467" s="609">
        <v>44594</v>
      </c>
      <c r="C7467" s="362" t="s">
        <v>87</v>
      </c>
      <c r="D7467" s="560">
        <v>61020844</v>
      </c>
      <c r="E7467" s="560">
        <v>33763732</v>
      </c>
      <c r="F7467" s="560"/>
      <c r="G7467" s="560">
        <f t="shared" si="156"/>
        <v>94784576</v>
      </c>
      <c r="H7467" s="362"/>
      <c r="I7467" s="362"/>
      <c r="J7467" s="362"/>
    </row>
    <row r="7468" spans="1:10" x14ac:dyDescent="0.25">
      <c r="A7468" s="362"/>
      <c r="B7468" s="609">
        <v>44594</v>
      </c>
      <c r="C7468" s="362" t="s">
        <v>88</v>
      </c>
      <c r="D7468" s="560">
        <v>158005495</v>
      </c>
      <c r="E7468" s="560">
        <v>47204300</v>
      </c>
      <c r="F7468" s="560"/>
      <c r="G7468" s="560">
        <f t="shared" si="156"/>
        <v>205209795</v>
      </c>
      <c r="H7468" s="362"/>
      <c r="I7468" s="362"/>
      <c r="J7468" s="362"/>
    </row>
    <row r="7469" spans="1:10" x14ac:dyDescent="0.25">
      <c r="A7469" s="362"/>
      <c r="B7469" s="609">
        <v>44594</v>
      </c>
      <c r="C7469" s="362" t="s">
        <v>82</v>
      </c>
      <c r="D7469" s="560">
        <v>131786250</v>
      </c>
      <c r="E7469" s="560">
        <v>1038560</v>
      </c>
      <c r="F7469" s="560"/>
      <c r="G7469" s="560">
        <f t="shared" si="156"/>
        <v>132824810</v>
      </c>
      <c r="H7469" s="362"/>
      <c r="I7469" s="362"/>
      <c r="J7469" s="362"/>
    </row>
    <row r="7470" spans="1:10" x14ac:dyDescent="0.25">
      <c r="A7470" s="362"/>
      <c r="B7470" s="609">
        <v>44594</v>
      </c>
      <c r="C7470" s="362" t="s">
        <v>80</v>
      </c>
      <c r="D7470" s="560">
        <v>333178765</v>
      </c>
      <c r="E7470" s="560"/>
      <c r="F7470" s="560"/>
      <c r="G7470" s="560">
        <f t="shared" si="156"/>
        <v>333178765</v>
      </c>
      <c r="H7470" s="362"/>
      <c r="I7470" s="362"/>
      <c r="J7470" s="362"/>
    </row>
    <row r="7471" spans="1:10" x14ac:dyDescent="0.25">
      <c r="A7471" s="362"/>
      <c r="B7471" s="609">
        <v>44594</v>
      </c>
      <c r="C7471" s="362" t="s">
        <v>83</v>
      </c>
      <c r="D7471" s="560">
        <v>133605911</v>
      </c>
      <c r="E7471" s="560">
        <v>14425589</v>
      </c>
      <c r="F7471" s="560"/>
      <c r="G7471" s="560">
        <f t="shared" si="156"/>
        <v>148031500</v>
      </c>
      <c r="H7471" s="362"/>
      <c r="I7471" s="362"/>
      <c r="J7471" s="362"/>
    </row>
    <row r="7472" spans="1:10" x14ac:dyDescent="0.25">
      <c r="A7472" s="362"/>
      <c r="B7472" s="609">
        <v>44594</v>
      </c>
      <c r="C7472" s="362" t="s">
        <v>78</v>
      </c>
      <c r="D7472" s="560">
        <v>289867948</v>
      </c>
      <c r="E7472" s="560">
        <v>5204752</v>
      </c>
      <c r="F7472" s="560"/>
      <c r="G7472" s="560">
        <f t="shared" si="156"/>
        <v>295072700</v>
      </c>
      <c r="H7472" s="362"/>
      <c r="I7472" s="362"/>
      <c r="J7472" s="362"/>
    </row>
    <row r="7473" spans="1:10" x14ac:dyDescent="0.25">
      <c r="A7473" s="362"/>
      <c r="B7473" s="609">
        <v>44594</v>
      </c>
      <c r="C7473" s="362" t="s">
        <v>141</v>
      </c>
      <c r="D7473" s="560">
        <v>219831390</v>
      </c>
      <c r="E7473" s="560"/>
      <c r="F7473" s="560"/>
      <c r="G7473" s="560">
        <f t="shared" si="156"/>
        <v>219831390</v>
      </c>
      <c r="H7473" s="362"/>
      <c r="I7473" s="362"/>
      <c r="J7473" s="362"/>
    </row>
    <row r="7474" spans="1:10" x14ac:dyDescent="0.25">
      <c r="A7474" s="362"/>
      <c r="B7474" s="609">
        <v>44594</v>
      </c>
      <c r="C7474" s="362" t="s">
        <v>89</v>
      </c>
      <c r="D7474" s="560">
        <v>193637765</v>
      </c>
      <c r="E7474" s="560">
        <v>88239935</v>
      </c>
      <c r="F7474" s="560"/>
      <c r="G7474" s="560">
        <f t="shared" si="156"/>
        <v>281877700</v>
      </c>
      <c r="H7474" s="362"/>
      <c r="I7474" s="362"/>
      <c r="J7474" s="362"/>
    </row>
    <row r="7475" spans="1:10" x14ac:dyDescent="0.25">
      <c r="A7475" s="362"/>
      <c r="B7475" s="609">
        <v>44594</v>
      </c>
      <c r="C7475" s="362" t="s">
        <v>81</v>
      </c>
      <c r="D7475" s="560">
        <v>105288610</v>
      </c>
      <c r="E7475" s="560">
        <v>8249120</v>
      </c>
      <c r="F7475" s="560"/>
      <c r="G7475" s="560">
        <f t="shared" si="156"/>
        <v>113537730</v>
      </c>
      <c r="H7475" s="362"/>
      <c r="I7475" s="362"/>
      <c r="J7475" s="362"/>
    </row>
    <row r="7476" spans="1:10" x14ac:dyDescent="0.25">
      <c r="A7476" s="362"/>
      <c r="B7476" s="609">
        <v>44594</v>
      </c>
      <c r="C7476" s="362" t="s">
        <v>84</v>
      </c>
      <c r="D7476" s="560">
        <v>340264252</v>
      </c>
      <c r="E7476" s="560">
        <v>16966478</v>
      </c>
      <c r="F7476" s="560"/>
      <c r="G7476" s="560">
        <f t="shared" si="156"/>
        <v>357230730</v>
      </c>
      <c r="H7476" s="362"/>
      <c r="I7476" s="362"/>
      <c r="J7476" s="362"/>
    </row>
    <row r="7477" spans="1:10" x14ac:dyDescent="0.25">
      <c r="A7477" s="362"/>
      <c r="B7477" s="609">
        <v>44594</v>
      </c>
      <c r="C7477" s="362" t="s">
        <v>4751</v>
      </c>
      <c r="D7477" s="560">
        <v>192417677</v>
      </c>
      <c r="E7477" s="560">
        <v>11768923</v>
      </c>
      <c r="F7477" s="560"/>
      <c r="G7477" s="560">
        <f t="shared" si="156"/>
        <v>204186600</v>
      </c>
      <c r="H7477" s="362"/>
      <c r="I7477" s="362"/>
      <c r="J7477" s="362"/>
    </row>
    <row r="7478" spans="1:10" x14ac:dyDescent="0.25">
      <c r="A7478" s="362"/>
      <c r="B7478" s="609">
        <v>44594</v>
      </c>
      <c r="C7478" s="362" t="s">
        <v>166</v>
      </c>
      <c r="D7478" s="560">
        <v>86544890</v>
      </c>
      <c r="E7478" s="560"/>
      <c r="F7478" s="560"/>
      <c r="G7478" s="560">
        <f t="shared" si="156"/>
        <v>86544890</v>
      </c>
      <c r="H7478" s="362"/>
      <c r="I7478" s="362"/>
      <c r="J7478" s="362"/>
    </row>
    <row r="7479" spans="1:10" x14ac:dyDescent="0.25">
      <c r="A7479" s="362"/>
      <c r="B7479" s="609">
        <v>44594</v>
      </c>
      <c r="C7479" s="362" t="s">
        <v>3435</v>
      </c>
      <c r="D7479" s="560">
        <v>62315810</v>
      </c>
      <c r="E7479" s="560"/>
      <c r="F7479" s="560"/>
      <c r="G7479" s="560">
        <f t="shared" si="156"/>
        <v>62315810</v>
      </c>
      <c r="H7479" s="362"/>
      <c r="I7479" s="362"/>
      <c r="J7479" s="362"/>
    </row>
    <row r="7480" spans="1:10" x14ac:dyDescent="0.25">
      <c r="A7480" s="362"/>
      <c r="B7480" s="609">
        <v>44594</v>
      </c>
      <c r="C7480" s="370" t="s">
        <v>85</v>
      </c>
      <c r="D7480" s="560">
        <v>54850800</v>
      </c>
      <c r="E7480" s="560"/>
      <c r="F7480" s="560"/>
      <c r="G7480" s="560">
        <f t="shared" si="156"/>
        <v>54850800</v>
      </c>
      <c r="H7480" s="362"/>
      <c r="I7480" s="362"/>
      <c r="J7480" s="362"/>
    </row>
    <row r="7481" spans="1:10" x14ac:dyDescent="0.25">
      <c r="A7481" s="530"/>
      <c r="B7481" s="530"/>
      <c r="C7481" s="530"/>
      <c r="D7481" s="562">
        <f>SUM(D7466:D7480)</f>
        <v>2471193704</v>
      </c>
      <c r="E7481" s="562">
        <f>SUM(E7466:E7480)</f>
        <v>244181489</v>
      </c>
      <c r="F7481" s="562">
        <f>SUM(F7466:F7480)</f>
        <v>0</v>
      </c>
      <c r="G7481" s="562">
        <f>SUM(G7466:G7480)</f>
        <v>2715375193</v>
      </c>
      <c r="H7481" s="530"/>
      <c r="I7481" s="530"/>
      <c r="J7481" s="530"/>
    </row>
    <row r="7482" spans="1:10" x14ac:dyDescent="0.25">
      <c r="A7482" s="362"/>
      <c r="B7482" s="609">
        <v>44595</v>
      </c>
      <c r="C7482" s="362" t="s">
        <v>86</v>
      </c>
      <c r="D7482" s="560">
        <v>133339127</v>
      </c>
      <c r="E7482" s="560">
        <v>33151870</v>
      </c>
      <c r="F7482" s="560"/>
      <c r="G7482" s="560">
        <f t="shared" si="156"/>
        <v>166490997</v>
      </c>
      <c r="H7482" s="362"/>
      <c r="I7482" s="362"/>
      <c r="J7482" s="362"/>
    </row>
    <row r="7483" spans="1:10" x14ac:dyDescent="0.25">
      <c r="A7483" s="362"/>
      <c r="B7483" s="609">
        <v>44595</v>
      </c>
      <c r="C7483" s="362" t="s">
        <v>87</v>
      </c>
      <c r="D7483" s="560">
        <v>89417972</v>
      </c>
      <c r="E7483" s="560">
        <v>127192266</v>
      </c>
      <c r="F7483" s="560"/>
      <c r="G7483" s="560">
        <f t="shared" si="156"/>
        <v>216610238</v>
      </c>
      <c r="H7483" s="362"/>
      <c r="I7483" s="362"/>
      <c r="J7483" s="362"/>
    </row>
    <row r="7484" spans="1:10" x14ac:dyDescent="0.25">
      <c r="A7484" s="362"/>
      <c r="B7484" s="609">
        <v>44595</v>
      </c>
      <c r="C7484" s="362" t="s">
        <v>88</v>
      </c>
      <c r="D7484" s="560">
        <v>141892781</v>
      </c>
      <c r="E7484" s="560">
        <v>9012528</v>
      </c>
      <c r="F7484" s="560"/>
      <c r="G7484" s="560">
        <f t="shared" si="156"/>
        <v>150905309</v>
      </c>
      <c r="H7484" s="362"/>
      <c r="I7484" s="362"/>
      <c r="J7484" s="362"/>
    </row>
    <row r="7485" spans="1:10" x14ac:dyDescent="0.25">
      <c r="A7485" s="362"/>
      <c r="B7485" s="609">
        <v>44595</v>
      </c>
      <c r="C7485" s="362" t="s">
        <v>82</v>
      </c>
      <c r="D7485" s="560">
        <v>219541480</v>
      </c>
      <c r="E7485" s="560">
        <v>2388872</v>
      </c>
      <c r="F7485" s="560"/>
      <c r="G7485" s="560">
        <f t="shared" si="156"/>
        <v>221930352</v>
      </c>
      <c r="H7485" s="362"/>
      <c r="I7485" s="362"/>
      <c r="J7485" s="362"/>
    </row>
    <row r="7486" spans="1:10" x14ac:dyDescent="0.25">
      <c r="A7486" s="362"/>
      <c r="B7486" s="609">
        <v>44595</v>
      </c>
      <c r="C7486" s="362" t="s">
        <v>80</v>
      </c>
      <c r="D7486" s="560">
        <v>326449800</v>
      </c>
      <c r="E7486" s="560"/>
      <c r="F7486" s="560"/>
      <c r="G7486" s="560">
        <f t="shared" si="156"/>
        <v>326449800</v>
      </c>
      <c r="H7486" s="362"/>
      <c r="I7486" s="362"/>
      <c r="J7486" s="362"/>
    </row>
    <row r="7487" spans="1:10" x14ac:dyDescent="0.25">
      <c r="A7487" s="362"/>
      <c r="B7487" s="609">
        <v>44595</v>
      </c>
      <c r="C7487" s="362" t="s">
        <v>83</v>
      </c>
      <c r="D7487" s="560">
        <v>120730020</v>
      </c>
      <c r="E7487" s="560">
        <v>14712880</v>
      </c>
      <c r="F7487" s="560"/>
      <c r="G7487" s="560">
        <f t="shared" si="156"/>
        <v>135442900</v>
      </c>
      <c r="H7487" s="362"/>
      <c r="I7487" s="362"/>
      <c r="J7487" s="362"/>
    </row>
    <row r="7488" spans="1:10" x14ac:dyDescent="0.25">
      <c r="A7488" s="362"/>
      <c r="B7488" s="609">
        <v>44595</v>
      </c>
      <c r="C7488" s="362" t="s">
        <v>78</v>
      </c>
      <c r="D7488" s="560">
        <v>120828053</v>
      </c>
      <c r="E7488" s="560">
        <v>3346447</v>
      </c>
      <c r="F7488" s="560"/>
      <c r="G7488" s="560">
        <f t="shared" si="156"/>
        <v>124174500</v>
      </c>
      <c r="H7488" s="362"/>
      <c r="I7488" s="362"/>
      <c r="J7488" s="362"/>
    </row>
    <row r="7489" spans="1:10" x14ac:dyDescent="0.25">
      <c r="A7489" s="362"/>
      <c r="B7489" s="609">
        <v>44595</v>
      </c>
      <c r="C7489" s="362" t="s">
        <v>141</v>
      </c>
      <c r="D7489" s="560">
        <v>96563132</v>
      </c>
      <c r="E7489" s="560"/>
      <c r="F7489" s="560">
        <v>96563200</v>
      </c>
      <c r="G7489" s="560">
        <f t="shared" si="156"/>
        <v>-68</v>
      </c>
      <c r="H7489" s="362"/>
      <c r="I7489" s="362"/>
      <c r="J7489" s="362"/>
    </row>
    <row r="7490" spans="1:10" x14ac:dyDescent="0.25">
      <c r="A7490" s="362"/>
      <c r="B7490" s="609">
        <v>44595</v>
      </c>
      <c r="C7490" s="362" t="s">
        <v>89</v>
      </c>
      <c r="D7490" s="560">
        <v>176203039</v>
      </c>
      <c r="E7490" s="560">
        <v>12537461</v>
      </c>
      <c r="F7490" s="560"/>
      <c r="G7490" s="560">
        <f t="shared" si="156"/>
        <v>188740500</v>
      </c>
      <c r="H7490" s="362"/>
      <c r="I7490" s="362"/>
      <c r="J7490" s="362"/>
    </row>
    <row r="7491" spans="1:10" x14ac:dyDescent="0.25">
      <c r="A7491" s="362"/>
      <c r="B7491" s="609">
        <v>44595</v>
      </c>
      <c r="C7491" s="362" t="s">
        <v>81</v>
      </c>
      <c r="D7491" s="560">
        <v>193812216</v>
      </c>
      <c r="E7491" s="560">
        <v>31178408</v>
      </c>
      <c r="F7491" s="560"/>
      <c r="G7491" s="560">
        <f t="shared" si="156"/>
        <v>224990624</v>
      </c>
      <c r="H7491" s="362"/>
      <c r="I7491" s="362"/>
      <c r="J7491" s="362"/>
    </row>
    <row r="7492" spans="1:10" x14ac:dyDescent="0.25">
      <c r="A7492" s="362"/>
      <c r="B7492" s="609">
        <v>44595</v>
      </c>
      <c r="C7492" s="362" t="s">
        <v>84</v>
      </c>
      <c r="D7492" s="560">
        <v>218967802</v>
      </c>
      <c r="E7492" s="560">
        <v>26675373</v>
      </c>
      <c r="F7492" s="560"/>
      <c r="G7492" s="560">
        <f t="shared" si="156"/>
        <v>245643175</v>
      </c>
      <c r="H7492" s="362"/>
      <c r="I7492" s="362"/>
      <c r="J7492" s="362"/>
    </row>
    <row r="7493" spans="1:10" x14ac:dyDescent="0.25">
      <c r="A7493" s="362"/>
      <c r="B7493" s="609">
        <v>44595</v>
      </c>
      <c r="C7493" s="362" t="s">
        <v>4751</v>
      </c>
      <c r="D7493" s="560">
        <v>188568512</v>
      </c>
      <c r="E7493" s="560">
        <v>11676088</v>
      </c>
      <c r="F7493" s="560"/>
      <c r="G7493" s="560">
        <f t="shared" si="156"/>
        <v>200244600</v>
      </c>
      <c r="H7493" s="362"/>
      <c r="I7493" s="362"/>
      <c r="J7493" s="362"/>
    </row>
    <row r="7494" spans="1:10" x14ac:dyDescent="0.25">
      <c r="A7494" s="362"/>
      <c r="B7494" s="609">
        <v>44595</v>
      </c>
      <c r="C7494" s="362" t="s">
        <v>166</v>
      </c>
      <c r="D7494" s="560">
        <v>110655581</v>
      </c>
      <c r="E7494" s="560"/>
      <c r="F7494" s="560"/>
      <c r="G7494" s="560">
        <f t="shared" si="156"/>
        <v>110655581</v>
      </c>
      <c r="H7494" s="362"/>
      <c r="I7494" s="362"/>
      <c r="J7494" s="362"/>
    </row>
    <row r="7495" spans="1:10" x14ac:dyDescent="0.25">
      <c r="A7495" s="362"/>
      <c r="B7495" s="609">
        <v>44595</v>
      </c>
      <c r="C7495" s="362" t="s">
        <v>3435</v>
      </c>
      <c r="D7495" s="560">
        <v>83622667</v>
      </c>
      <c r="E7495" s="560"/>
      <c r="F7495" s="560"/>
      <c r="G7495" s="560">
        <f t="shared" si="156"/>
        <v>83622667</v>
      </c>
      <c r="H7495" s="362"/>
      <c r="I7495" s="362"/>
      <c r="J7495" s="362"/>
    </row>
    <row r="7496" spans="1:10" x14ac:dyDescent="0.25">
      <c r="A7496" s="362"/>
      <c r="B7496" s="609">
        <v>44595</v>
      </c>
      <c r="C7496" s="370" t="s">
        <v>85</v>
      </c>
      <c r="D7496" s="560">
        <v>27452300</v>
      </c>
      <c r="E7496" s="560"/>
      <c r="F7496" s="560"/>
      <c r="G7496" s="560">
        <f t="shared" si="156"/>
        <v>27452300</v>
      </c>
      <c r="H7496" s="362"/>
      <c r="I7496" s="362"/>
      <c r="J7496" s="362"/>
    </row>
    <row r="7497" spans="1:10" x14ac:dyDescent="0.25">
      <c r="A7497" s="530"/>
      <c r="B7497" s="530"/>
      <c r="C7497" s="530"/>
      <c r="D7497" s="562">
        <f>SUM(D7482:D7496)</f>
        <v>2248044482</v>
      </c>
      <c r="E7497" s="562">
        <f>SUM(E7482:E7496)</f>
        <v>271872193</v>
      </c>
      <c r="F7497" s="562">
        <f>SUM(F7482:F7496)</f>
        <v>96563200</v>
      </c>
      <c r="G7497" s="562">
        <f>SUM(G7482:G7496)</f>
        <v>2423353475</v>
      </c>
      <c r="H7497" s="530"/>
      <c r="I7497" s="530"/>
      <c r="J7497" s="530"/>
    </row>
    <row r="7498" spans="1:10" x14ac:dyDescent="0.25">
      <c r="A7498" s="362"/>
      <c r="B7498" s="609">
        <v>44596</v>
      </c>
      <c r="C7498" s="362" t="s">
        <v>86</v>
      </c>
      <c r="D7498" s="560">
        <v>56236671</v>
      </c>
      <c r="E7498" s="560">
        <v>31117600</v>
      </c>
      <c r="F7498" s="560">
        <v>87354400</v>
      </c>
      <c r="G7498" s="560">
        <f t="shared" si="156"/>
        <v>-129</v>
      </c>
      <c r="H7498" s="362"/>
      <c r="I7498" s="362"/>
      <c r="J7498" s="362"/>
    </row>
    <row r="7499" spans="1:10" x14ac:dyDescent="0.25">
      <c r="A7499" s="362"/>
      <c r="B7499" s="609">
        <v>44596</v>
      </c>
      <c r="C7499" s="362" t="s">
        <v>87</v>
      </c>
      <c r="D7499" s="560">
        <v>142791606</v>
      </c>
      <c r="E7499" s="560">
        <v>134670625</v>
      </c>
      <c r="F7499" s="560">
        <v>277462300</v>
      </c>
      <c r="G7499" s="560">
        <f t="shared" si="156"/>
        <v>-69</v>
      </c>
      <c r="H7499" s="362"/>
      <c r="I7499" s="362"/>
      <c r="J7499" s="362"/>
    </row>
    <row r="7500" spans="1:10" x14ac:dyDescent="0.25">
      <c r="A7500" s="362"/>
      <c r="B7500" s="609">
        <v>44596</v>
      </c>
      <c r="C7500" s="362" t="s">
        <v>88</v>
      </c>
      <c r="D7500" s="560">
        <v>105658952</v>
      </c>
      <c r="E7500" s="560">
        <v>39505148</v>
      </c>
      <c r="F7500" s="560">
        <v>145164100</v>
      </c>
      <c r="G7500" s="560">
        <f t="shared" ref="G7500:G7563" si="157">D7500+E7500-F7500</f>
        <v>0</v>
      </c>
      <c r="H7500" s="362"/>
      <c r="I7500" s="362"/>
      <c r="J7500" s="362"/>
    </row>
    <row r="7501" spans="1:10" x14ac:dyDescent="0.25">
      <c r="A7501" s="362"/>
      <c r="B7501" s="609">
        <v>44596</v>
      </c>
      <c r="C7501" s="362" t="s">
        <v>82</v>
      </c>
      <c r="D7501" s="560">
        <v>109492499</v>
      </c>
      <c r="E7501" s="560">
        <v>5308654</v>
      </c>
      <c r="F7501" s="560">
        <v>114801300</v>
      </c>
      <c r="G7501" s="560">
        <f t="shared" si="157"/>
        <v>-147</v>
      </c>
      <c r="H7501" s="362"/>
      <c r="I7501" s="362"/>
      <c r="J7501" s="362"/>
    </row>
    <row r="7502" spans="1:10" x14ac:dyDescent="0.25">
      <c r="A7502" s="362"/>
      <c r="B7502" s="609">
        <v>44596</v>
      </c>
      <c r="C7502" s="362" t="s">
        <v>80</v>
      </c>
      <c r="D7502" s="560">
        <v>394755890</v>
      </c>
      <c r="E7502" s="560">
        <v>10820000</v>
      </c>
      <c r="F7502" s="560">
        <v>405575300</v>
      </c>
      <c r="G7502" s="560">
        <f t="shared" si="157"/>
        <v>590</v>
      </c>
      <c r="H7502" s="362"/>
      <c r="I7502" s="362"/>
      <c r="J7502" s="362"/>
    </row>
    <row r="7503" spans="1:10" x14ac:dyDescent="0.25">
      <c r="A7503" s="362"/>
      <c r="B7503" s="609">
        <v>44596</v>
      </c>
      <c r="C7503" s="362" t="s">
        <v>83</v>
      </c>
      <c r="D7503" s="560">
        <v>119002936</v>
      </c>
      <c r="E7503" s="560">
        <v>16121264</v>
      </c>
      <c r="F7503" s="560">
        <v>135124200</v>
      </c>
      <c r="G7503" s="560">
        <f t="shared" si="157"/>
        <v>0</v>
      </c>
      <c r="H7503" s="362"/>
      <c r="I7503" s="362"/>
      <c r="J7503" s="362"/>
    </row>
    <row r="7504" spans="1:10" x14ac:dyDescent="0.25">
      <c r="A7504" s="362"/>
      <c r="B7504" s="609">
        <v>44596</v>
      </c>
      <c r="C7504" s="362" t="s">
        <v>78</v>
      </c>
      <c r="D7504" s="560">
        <v>153235633</v>
      </c>
      <c r="E7504" s="560">
        <v>3948267</v>
      </c>
      <c r="F7504" s="560">
        <v>157183900</v>
      </c>
      <c r="G7504" s="560">
        <f t="shared" si="157"/>
        <v>0</v>
      </c>
      <c r="H7504" s="362"/>
      <c r="I7504" s="362"/>
      <c r="J7504" s="362"/>
    </row>
    <row r="7505" spans="1:10" x14ac:dyDescent="0.25">
      <c r="A7505" s="362"/>
      <c r="B7505" s="609">
        <v>44596</v>
      </c>
      <c r="C7505" s="362" t="s">
        <v>141</v>
      </c>
      <c r="D7505" s="560">
        <v>126637029</v>
      </c>
      <c r="E7505" s="560"/>
      <c r="F7505" s="560">
        <v>126637100</v>
      </c>
      <c r="G7505" s="560">
        <f t="shared" si="157"/>
        <v>-71</v>
      </c>
      <c r="H7505" s="362"/>
      <c r="I7505" s="362"/>
      <c r="J7505" s="362"/>
    </row>
    <row r="7506" spans="1:10" x14ac:dyDescent="0.25">
      <c r="A7506" s="362"/>
      <c r="B7506" s="609">
        <v>44596</v>
      </c>
      <c r="C7506" s="362" t="s">
        <v>89</v>
      </c>
      <c r="D7506" s="560">
        <v>152836193</v>
      </c>
      <c r="E7506" s="560">
        <v>87741907</v>
      </c>
      <c r="F7506" s="560">
        <v>240578100</v>
      </c>
      <c r="G7506" s="560">
        <f t="shared" si="157"/>
        <v>0</v>
      </c>
      <c r="H7506" s="362"/>
      <c r="I7506" s="362"/>
      <c r="J7506" s="362"/>
    </row>
    <row r="7507" spans="1:10" x14ac:dyDescent="0.25">
      <c r="A7507" s="362"/>
      <c r="B7507" s="609">
        <v>44596</v>
      </c>
      <c r="C7507" s="362" t="s">
        <v>81</v>
      </c>
      <c r="D7507" s="560">
        <v>81127078</v>
      </c>
      <c r="E7507" s="560">
        <v>9964336</v>
      </c>
      <c r="F7507" s="560">
        <v>91091400</v>
      </c>
      <c r="G7507" s="560">
        <f t="shared" si="157"/>
        <v>14</v>
      </c>
      <c r="H7507" s="362"/>
      <c r="I7507" s="362"/>
      <c r="J7507" s="362"/>
    </row>
    <row r="7508" spans="1:10" x14ac:dyDescent="0.25">
      <c r="A7508" s="362"/>
      <c r="B7508" s="609">
        <v>44596</v>
      </c>
      <c r="C7508" s="362" t="s">
        <v>84</v>
      </c>
      <c r="D7508" s="560">
        <v>213681548</v>
      </c>
      <c r="E7508" s="560">
        <v>15925919</v>
      </c>
      <c r="F7508" s="560">
        <v>229607600</v>
      </c>
      <c r="G7508" s="560">
        <f t="shared" si="157"/>
        <v>-133</v>
      </c>
      <c r="H7508" s="362"/>
      <c r="I7508" s="362"/>
      <c r="J7508" s="362"/>
    </row>
    <row r="7509" spans="1:10" x14ac:dyDescent="0.25">
      <c r="A7509" s="362"/>
      <c r="B7509" s="609">
        <v>44596</v>
      </c>
      <c r="C7509" s="362" t="s">
        <v>4751</v>
      </c>
      <c r="D7509" s="560">
        <v>164348331</v>
      </c>
      <c r="E7509" s="560">
        <v>9520469</v>
      </c>
      <c r="F7509" s="560">
        <v>173868800</v>
      </c>
      <c r="G7509" s="560">
        <f t="shared" si="157"/>
        <v>0</v>
      </c>
      <c r="H7509" s="362"/>
      <c r="I7509" s="362"/>
      <c r="J7509" s="362"/>
    </row>
    <row r="7510" spans="1:10" x14ac:dyDescent="0.25">
      <c r="A7510" s="362"/>
      <c r="B7510" s="609">
        <v>44596</v>
      </c>
      <c r="C7510" s="362" t="s">
        <v>166</v>
      </c>
      <c r="D7510" s="560">
        <v>44776838</v>
      </c>
      <c r="E7510" s="560"/>
      <c r="F7510" s="560">
        <v>44777000</v>
      </c>
      <c r="G7510" s="560">
        <f t="shared" si="157"/>
        <v>-162</v>
      </c>
      <c r="H7510" s="362"/>
      <c r="I7510" s="362"/>
      <c r="J7510" s="362"/>
    </row>
    <row r="7511" spans="1:10" x14ac:dyDescent="0.25">
      <c r="A7511" s="362"/>
      <c r="B7511" s="609">
        <v>44596</v>
      </c>
      <c r="C7511" s="362" t="s">
        <v>3435</v>
      </c>
      <c r="D7511" s="560">
        <v>147199589</v>
      </c>
      <c r="E7511" s="560"/>
      <c r="F7511" s="560">
        <v>147199600</v>
      </c>
      <c r="G7511" s="560">
        <f t="shared" si="157"/>
        <v>-11</v>
      </c>
      <c r="H7511" s="362"/>
      <c r="I7511" s="362"/>
      <c r="J7511" s="362"/>
    </row>
    <row r="7512" spans="1:10" x14ac:dyDescent="0.25">
      <c r="A7512" s="362"/>
      <c r="B7512" s="609">
        <v>44596</v>
      </c>
      <c r="C7512" s="370" t="s">
        <v>85</v>
      </c>
      <c r="D7512" s="560">
        <v>23061700</v>
      </c>
      <c r="E7512" s="560"/>
      <c r="F7512" s="560">
        <v>23061700</v>
      </c>
      <c r="G7512" s="560">
        <f t="shared" si="157"/>
        <v>0</v>
      </c>
      <c r="H7512" s="362"/>
      <c r="I7512" s="362"/>
      <c r="J7512" s="362"/>
    </row>
    <row r="7513" spans="1:10" x14ac:dyDescent="0.25">
      <c r="A7513" s="530"/>
      <c r="B7513" s="530"/>
      <c r="C7513" s="530"/>
      <c r="D7513" s="562">
        <f>SUM(D7498:D7512)</f>
        <v>2034842493</v>
      </c>
      <c r="E7513" s="562">
        <f>SUM(E7498:E7512)</f>
        <v>364644189</v>
      </c>
      <c r="F7513" s="562">
        <f>SUM(F7498:F7512)</f>
        <v>2399486800</v>
      </c>
      <c r="G7513" s="562">
        <f>SUM(G7498:G7512)</f>
        <v>-118</v>
      </c>
      <c r="H7513" s="530"/>
      <c r="I7513" s="530"/>
      <c r="J7513" s="530"/>
    </row>
    <row r="7514" spans="1:10" x14ac:dyDescent="0.25">
      <c r="A7514" s="362"/>
      <c r="B7514" s="609">
        <v>44597</v>
      </c>
      <c r="C7514" s="362" t="s">
        <v>86</v>
      </c>
      <c r="D7514" s="560">
        <v>83261747</v>
      </c>
      <c r="E7514" s="560">
        <v>48738870</v>
      </c>
      <c r="F7514" s="560"/>
      <c r="G7514" s="560">
        <f t="shared" si="157"/>
        <v>132000617</v>
      </c>
      <c r="H7514" s="362"/>
      <c r="I7514" s="362"/>
      <c r="J7514" s="362"/>
    </row>
    <row r="7515" spans="1:10" x14ac:dyDescent="0.25">
      <c r="A7515" s="362"/>
      <c r="B7515" s="609">
        <v>44597</v>
      </c>
      <c r="C7515" s="362" t="s">
        <v>87</v>
      </c>
      <c r="D7515" s="560">
        <v>83535223</v>
      </c>
      <c r="E7515" s="560">
        <v>48848204</v>
      </c>
      <c r="F7515" s="560"/>
      <c r="G7515" s="560">
        <f t="shared" si="157"/>
        <v>132383427</v>
      </c>
      <c r="H7515" s="362"/>
      <c r="I7515" s="362"/>
      <c r="J7515" s="362"/>
    </row>
    <row r="7516" spans="1:10" x14ac:dyDescent="0.25">
      <c r="A7516" s="362"/>
      <c r="B7516" s="609">
        <v>44597</v>
      </c>
      <c r="C7516" s="362" t="s">
        <v>88</v>
      </c>
      <c r="D7516" s="560">
        <v>162303516</v>
      </c>
      <c r="E7516" s="560">
        <v>17159655</v>
      </c>
      <c r="F7516" s="560"/>
      <c r="G7516" s="560">
        <f t="shared" si="157"/>
        <v>179463171</v>
      </c>
      <c r="H7516" s="362"/>
      <c r="I7516" s="362"/>
      <c r="J7516" s="362"/>
    </row>
    <row r="7517" spans="1:10" x14ac:dyDescent="0.25">
      <c r="A7517" s="362"/>
      <c r="B7517" s="609">
        <v>44597</v>
      </c>
      <c r="C7517" s="362" t="s">
        <v>82</v>
      </c>
      <c r="D7517" s="560">
        <v>78183771</v>
      </c>
      <c r="E7517" s="560">
        <v>11113639</v>
      </c>
      <c r="F7517" s="560"/>
      <c r="G7517" s="560">
        <f t="shared" si="157"/>
        <v>89297410</v>
      </c>
      <c r="H7517" s="362"/>
      <c r="I7517" s="362"/>
      <c r="J7517" s="362"/>
    </row>
    <row r="7518" spans="1:10" x14ac:dyDescent="0.25">
      <c r="A7518" s="362"/>
      <c r="B7518" s="609">
        <v>44597</v>
      </c>
      <c r="C7518" s="362" t="s">
        <v>80</v>
      </c>
      <c r="D7518" s="560">
        <v>258799005</v>
      </c>
      <c r="E7518" s="560">
        <v>5865195</v>
      </c>
      <c r="F7518" s="560"/>
      <c r="G7518" s="560">
        <f t="shared" si="157"/>
        <v>264664200</v>
      </c>
      <c r="H7518" s="362"/>
      <c r="I7518" s="362"/>
      <c r="J7518" s="362"/>
    </row>
    <row r="7519" spans="1:10" x14ac:dyDescent="0.25">
      <c r="A7519" s="362"/>
      <c r="B7519" s="609">
        <v>44597</v>
      </c>
      <c r="C7519" s="362" t="s">
        <v>83</v>
      </c>
      <c r="D7519" s="560">
        <v>126956226</v>
      </c>
      <c r="E7519" s="560">
        <v>105864357</v>
      </c>
      <c r="F7519" s="560"/>
      <c r="G7519" s="560">
        <f t="shared" si="157"/>
        <v>232820583</v>
      </c>
      <c r="H7519" s="362"/>
      <c r="I7519" s="362"/>
      <c r="J7519" s="362"/>
    </row>
    <row r="7520" spans="1:10" x14ac:dyDescent="0.25">
      <c r="A7520" s="362"/>
      <c r="B7520" s="609">
        <v>44597</v>
      </c>
      <c r="C7520" s="362" t="s">
        <v>78</v>
      </c>
      <c r="D7520" s="560">
        <v>158819359</v>
      </c>
      <c r="E7520" s="560">
        <v>8030241</v>
      </c>
      <c r="F7520" s="560"/>
      <c r="G7520" s="560">
        <f t="shared" si="157"/>
        <v>166849600</v>
      </c>
      <c r="H7520" s="362"/>
      <c r="I7520" s="362"/>
      <c r="J7520" s="362"/>
    </row>
    <row r="7521" spans="1:10" x14ac:dyDescent="0.25">
      <c r="A7521" s="362"/>
      <c r="B7521" s="609">
        <v>44597</v>
      </c>
      <c r="C7521" s="362" t="s">
        <v>141</v>
      </c>
      <c r="D7521" s="560">
        <v>92701190</v>
      </c>
      <c r="E7521" s="560"/>
      <c r="F7521" s="560"/>
      <c r="G7521" s="560">
        <f t="shared" si="157"/>
        <v>92701190</v>
      </c>
      <c r="H7521" s="362"/>
      <c r="I7521" s="362"/>
      <c r="J7521" s="362"/>
    </row>
    <row r="7522" spans="1:10" x14ac:dyDescent="0.25">
      <c r="A7522" s="362"/>
      <c r="B7522" s="609">
        <v>44597</v>
      </c>
      <c r="C7522" s="362" t="s">
        <v>89</v>
      </c>
      <c r="D7522" s="560">
        <v>95557599</v>
      </c>
      <c r="E7522" s="560">
        <v>9852001</v>
      </c>
      <c r="F7522" s="560"/>
      <c r="G7522" s="560">
        <f t="shared" si="157"/>
        <v>105409600</v>
      </c>
      <c r="H7522" s="362"/>
      <c r="I7522" s="362"/>
      <c r="J7522" s="362"/>
    </row>
    <row r="7523" spans="1:10" x14ac:dyDescent="0.25">
      <c r="A7523" s="362"/>
      <c r="B7523" s="609">
        <v>44597</v>
      </c>
      <c r="C7523" s="362" t="s">
        <v>81</v>
      </c>
      <c r="D7523" s="560">
        <v>171531134</v>
      </c>
      <c r="E7523" s="560">
        <v>56902070</v>
      </c>
      <c r="F7523" s="560"/>
      <c r="G7523" s="560">
        <f t="shared" si="157"/>
        <v>228433204</v>
      </c>
      <c r="H7523" s="362"/>
      <c r="I7523" s="362"/>
      <c r="J7523" s="362"/>
    </row>
    <row r="7524" spans="1:10" x14ac:dyDescent="0.25">
      <c r="A7524" s="362"/>
      <c r="B7524" s="609">
        <v>44597</v>
      </c>
      <c r="C7524" s="362" t="s">
        <v>84</v>
      </c>
      <c r="D7524" s="560">
        <v>331956065</v>
      </c>
      <c r="E7524" s="560">
        <v>37779876</v>
      </c>
      <c r="F7524" s="560"/>
      <c r="G7524" s="560">
        <f t="shared" si="157"/>
        <v>369735941</v>
      </c>
      <c r="H7524" s="362"/>
      <c r="I7524" s="362"/>
      <c r="J7524" s="362"/>
    </row>
    <row r="7525" spans="1:10" x14ac:dyDescent="0.25">
      <c r="A7525" s="362"/>
      <c r="B7525" s="609">
        <v>44597</v>
      </c>
      <c r="C7525" s="362" t="s">
        <v>4751</v>
      </c>
      <c r="D7525" s="560">
        <v>201029841</v>
      </c>
      <c r="E7525" s="560">
        <v>11400259</v>
      </c>
      <c r="F7525" s="560"/>
      <c r="G7525" s="560">
        <f t="shared" si="157"/>
        <v>212430100</v>
      </c>
      <c r="H7525" s="362"/>
      <c r="I7525" s="362"/>
      <c r="J7525" s="362"/>
    </row>
    <row r="7526" spans="1:10" x14ac:dyDescent="0.25">
      <c r="A7526" s="362"/>
      <c r="B7526" s="609">
        <v>44597</v>
      </c>
      <c r="C7526" s="362" t="s">
        <v>166</v>
      </c>
      <c r="D7526" s="560"/>
      <c r="E7526" s="560"/>
      <c r="F7526" s="560"/>
      <c r="G7526" s="560">
        <f t="shared" si="157"/>
        <v>0</v>
      </c>
      <c r="H7526" s="362"/>
      <c r="I7526" s="362"/>
      <c r="J7526" s="362"/>
    </row>
    <row r="7527" spans="1:10" x14ac:dyDescent="0.25">
      <c r="A7527" s="362"/>
      <c r="B7527" s="609">
        <v>44597</v>
      </c>
      <c r="C7527" s="362" t="s">
        <v>3435</v>
      </c>
      <c r="D7527" s="560"/>
      <c r="E7527" s="560"/>
      <c r="F7527" s="560"/>
      <c r="G7527" s="560">
        <f t="shared" si="157"/>
        <v>0</v>
      </c>
      <c r="H7527" s="362"/>
      <c r="I7527" s="362"/>
      <c r="J7527" s="362"/>
    </row>
    <row r="7528" spans="1:10" x14ac:dyDescent="0.25">
      <c r="A7528" s="362"/>
      <c r="B7528" s="609">
        <v>44597</v>
      </c>
      <c r="C7528" s="370" t="s">
        <v>85</v>
      </c>
      <c r="D7528" s="560">
        <v>49074200</v>
      </c>
      <c r="E7528" s="560"/>
      <c r="F7528" s="560"/>
      <c r="G7528" s="560">
        <f t="shared" si="157"/>
        <v>49074200</v>
      </c>
      <c r="H7528" s="362"/>
      <c r="I7528" s="362"/>
      <c r="J7528" s="362"/>
    </row>
    <row r="7529" spans="1:10" x14ac:dyDescent="0.25">
      <c r="A7529" s="530"/>
      <c r="B7529" s="530"/>
      <c r="C7529" s="530"/>
      <c r="D7529" s="562">
        <f>SUM(D7514:D7528)</f>
        <v>1893708876</v>
      </c>
      <c r="E7529" s="562">
        <f>SUM(E7514:E7528)</f>
        <v>361554367</v>
      </c>
      <c r="F7529" s="562">
        <f>SUM(F7514:F7528)</f>
        <v>0</v>
      </c>
      <c r="G7529" s="562">
        <f>SUM(G7514:G7528)</f>
        <v>2255263243</v>
      </c>
      <c r="H7529" s="530"/>
      <c r="I7529" s="530"/>
      <c r="J7529" s="530"/>
    </row>
    <row r="7530" spans="1:10" x14ac:dyDescent="0.25">
      <c r="A7530" s="362"/>
      <c r="B7530" s="609">
        <v>44598</v>
      </c>
      <c r="C7530" s="362" t="s">
        <v>86</v>
      </c>
      <c r="D7530" s="560">
        <v>68830920</v>
      </c>
      <c r="E7530" s="560">
        <v>15233700</v>
      </c>
      <c r="F7530" s="560"/>
      <c r="G7530" s="560">
        <f t="shared" si="157"/>
        <v>84064620</v>
      </c>
      <c r="H7530" s="362"/>
      <c r="I7530" s="362"/>
      <c r="J7530" s="362"/>
    </row>
    <row r="7531" spans="1:10" x14ac:dyDescent="0.25">
      <c r="A7531" s="362"/>
      <c r="B7531" s="609">
        <v>44598</v>
      </c>
      <c r="C7531" s="362" t="s">
        <v>87</v>
      </c>
      <c r="D7531" s="560">
        <v>126130938</v>
      </c>
      <c r="E7531" s="560">
        <v>91197985</v>
      </c>
      <c r="F7531" s="560"/>
      <c r="G7531" s="560">
        <f t="shared" si="157"/>
        <v>217328923</v>
      </c>
      <c r="H7531" s="362"/>
      <c r="I7531" s="362"/>
      <c r="J7531" s="362"/>
    </row>
    <row r="7532" spans="1:10" x14ac:dyDescent="0.25">
      <c r="A7532" s="362"/>
      <c r="B7532" s="609">
        <v>44598</v>
      </c>
      <c r="C7532" s="362" t="s">
        <v>88</v>
      </c>
      <c r="D7532" s="560">
        <v>142639466</v>
      </c>
      <c r="E7532" s="560">
        <v>121223694</v>
      </c>
      <c r="F7532" s="560"/>
      <c r="G7532" s="560">
        <f t="shared" si="157"/>
        <v>263863160</v>
      </c>
      <c r="H7532" s="362"/>
      <c r="I7532" s="362"/>
      <c r="J7532" s="362"/>
    </row>
    <row r="7533" spans="1:10" x14ac:dyDescent="0.25">
      <c r="A7533" s="362"/>
      <c r="B7533" s="609">
        <v>44598</v>
      </c>
      <c r="C7533" s="362" t="s">
        <v>82</v>
      </c>
      <c r="D7533" s="560">
        <v>54123343</v>
      </c>
      <c r="E7533" s="560">
        <v>15315844</v>
      </c>
      <c r="F7533" s="560"/>
      <c r="G7533" s="560">
        <f t="shared" si="157"/>
        <v>69439187</v>
      </c>
      <c r="H7533" s="362"/>
      <c r="I7533" s="362"/>
      <c r="J7533" s="362"/>
    </row>
    <row r="7534" spans="1:10" x14ac:dyDescent="0.25">
      <c r="A7534" s="362"/>
      <c r="B7534" s="609">
        <v>44598</v>
      </c>
      <c r="C7534" s="362" t="s">
        <v>80</v>
      </c>
      <c r="D7534" s="560">
        <v>503003000</v>
      </c>
      <c r="E7534" s="560">
        <v>60660420</v>
      </c>
      <c r="F7534" s="560"/>
      <c r="G7534" s="560">
        <f t="shared" si="157"/>
        <v>563663420</v>
      </c>
      <c r="H7534" s="362"/>
      <c r="I7534" s="362"/>
      <c r="J7534" s="362"/>
    </row>
    <row r="7535" spans="1:10" x14ac:dyDescent="0.25">
      <c r="A7535" s="362"/>
      <c r="B7535" s="609">
        <v>44598</v>
      </c>
      <c r="C7535" s="362" t="s">
        <v>83</v>
      </c>
      <c r="D7535" s="560">
        <v>203033592</v>
      </c>
      <c r="E7535" s="560">
        <v>262131085</v>
      </c>
      <c r="F7535" s="560"/>
      <c r="G7535" s="560">
        <f t="shared" si="157"/>
        <v>465164677</v>
      </c>
      <c r="H7535" s="362"/>
      <c r="I7535" s="362"/>
      <c r="J7535" s="362"/>
    </row>
    <row r="7536" spans="1:10" x14ac:dyDescent="0.25">
      <c r="A7536" s="362"/>
      <c r="B7536" s="609">
        <v>44598</v>
      </c>
      <c r="C7536" s="362" t="s">
        <v>78</v>
      </c>
      <c r="D7536" s="560">
        <v>120684724</v>
      </c>
      <c r="E7536" s="560">
        <v>2530376</v>
      </c>
      <c r="F7536" s="560"/>
      <c r="G7536" s="560">
        <f t="shared" si="157"/>
        <v>123215100</v>
      </c>
      <c r="H7536" s="362"/>
      <c r="I7536" s="362"/>
      <c r="J7536" s="362"/>
    </row>
    <row r="7537" spans="1:10" x14ac:dyDescent="0.25">
      <c r="A7537" s="362"/>
      <c r="B7537" s="609">
        <v>44598</v>
      </c>
      <c r="C7537" s="362" t="s">
        <v>141</v>
      </c>
      <c r="D7537" s="560">
        <v>153653049</v>
      </c>
      <c r="E7537" s="560"/>
      <c r="F7537" s="560"/>
      <c r="G7537" s="560">
        <f t="shared" si="157"/>
        <v>153653049</v>
      </c>
      <c r="H7537" s="362"/>
      <c r="I7537" s="362"/>
      <c r="J7537" s="362"/>
    </row>
    <row r="7538" spans="1:10" x14ac:dyDescent="0.25">
      <c r="A7538" s="362"/>
      <c r="B7538" s="609">
        <v>44598</v>
      </c>
      <c r="C7538" s="362" t="s">
        <v>89</v>
      </c>
      <c r="D7538" s="560">
        <v>130294143</v>
      </c>
      <c r="E7538" s="560">
        <v>115171157</v>
      </c>
      <c r="F7538" s="560"/>
      <c r="G7538" s="560">
        <f t="shared" si="157"/>
        <v>245465300</v>
      </c>
      <c r="H7538" s="362"/>
      <c r="I7538" s="362"/>
      <c r="J7538" s="362"/>
    </row>
    <row r="7539" spans="1:10" x14ac:dyDescent="0.25">
      <c r="A7539" s="362"/>
      <c r="B7539" s="609">
        <v>44598</v>
      </c>
      <c r="C7539" s="362" t="s">
        <v>81</v>
      </c>
      <c r="D7539" s="560">
        <v>141761018</v>
      </c>
      <c r="E7539" s="560">
        <v>10132056</v>
      </c>
      <c r="F7539" s="560"/>
      <c r="G7539" s="560">
        <f t="shared" si="157"/>
        <v>151893074</v>
      </c>
      <c r="H7539" s="362"/>
      <c r="I7539" s="362"/>
      <c r="J7539" s="362"/>
    </row>
    <row r="7540" spans="1:10" x14ac:dyDescent="0.25">
      <c r="A7540" s="362"/>
      <c r="B7540" s="609">
        <v>44598</v>
      </c>
      <c r="C7540" s="362" t="s">
        <v>84</v>
      </c>
      <c r="D7540" s="560">
        <v>314107737</v>
      </c>
      <c r="E7540" s="560">
        <v>31473801</v>
      </c>
      <c r="F7540" s="560"/>
      <c r="G7540" s="560">
        <f t="shared" si="157"/>
        <v>345581538</v>
      </c>
      <c r="H7540" s="362"/>
      <c r="I7540" s="362"/>
      <c r="J7540" s="362"/>
    </row>
    <row r="7541" spans="1:10" x14ac:dyDescent="0.25">
      <c r="A7541" s="362"/>
      <c r="B7541" s="609">
        <v>44598</v>
      </c>
      <c r="C7541" s="362" t="s">
        <v>4751</v>
      </c>
      <c r="D7541" s="560">
        <v>203363483</v>
      </c>
      <c r="E7541" s="560">
        <v>11261017</v>
      </c>
      <c r="F7541" s="560"/>
      <c r="G7541" s="560">
        <f t="shared" si="157"/>
        <v>214624500</v>
      </c>
      <c r="H7541" s="362"/>
      <c r="I7541" s="362"/>
      <c r="J7541" s="362"/>
    </row>
    <row r="7542" spans="1:10" x14ac:dyDescent="0.25">
      <c r="A7542" s="362"/>
      <c r="B7542" s="609">
        <v>44598</v>
      </c>
      <c r="C7542" s="362" t="s">
        <v>166</v>
      </c>
      <c r="D7542" s="560">
        <v>62119789</v>
      </c>
      <c r="E7542" s="560"/>
      <c r="F7542" s="560"/>
      <c r="G7542" s="560">
        <f t="shared" si="157"/>
        <v>62119789</v>
      </c>
      <c r="H7542" s="362"/>
      <c r="I7542" s="362"/>
      <c r="J7542" s="362"/>
    </row>
    <row r="7543" spans="1:10" x14ac:dyDescent="0.25">
      <c r="A7543" s="362"/>
      <c r="B7543" s="609">
        <v>44598</v>
      </c>
      <c r="C7543" s="362" t="s">
        <v>3435</v>
      </c>
      <c r="D7543" s="560">
        <v>20764069</v>
      </c>
      <c r="E7543" s="560"/>
      <c r="F7543" s="560"/>
      <c r="G7543" s="560">
        <f t="shared" si="157"/>
        <v>20764069</v>
      </c>
      <c r="H7543" s="362"/>
      <c r="I7543" s="362"/>
      <c r="J7543" s="362"/>
    </row>
    <row r="7544" spans="1:10" x14ac:dyDescent="0.25">
      <c r="A7544" s="362"/>
      <c r="B7544" s="609">
        <v>44598</v>
      </c>
      <c r="C7544" s="370" t="s">
        <v>85</v>
      </c>
      <c r="D7544" s="560">
        <v>63739300</v>
      </c>
      <c r="E7544" s="560"/>
      <c r="F7544" s="560"/>
      <c r="G7544" s="560">
        <f t="shared" si="157"/>
        <v>63739300</v>
      </c>
      <c r="H7544" s="362"/>
      <c r="I7544" s="362"/>
      <c r="J7544" s="362"/>
    </row>
    <row r="7545" spans="1:10" x14ac:dyDescent="0.25">
      <c r="A7545" s="530"/>
      <c r="B7545" s="530"/>
      <c r="C7545" s="530"/>
      <c r="D7545" s="562">
        <f>SUM(D7530:D7544)</f>
        <v>2308248571</v>
      </c>
      <c r="E7545" s="562">
        <f>SUM(E7530:E7544)</f>
        <v>736331135</v>
      </c>
      <c r="F7545" s="562">
        <f>SUM(F7530:F7544)</f>
        <v>0</v>
      </c>
      <c r="G7545" s="562">
        <f>SUM(G7530:G7544)</f>
        <v>3044579706</v>
      </c>
      <c r="H7545" s="530"/>
      <c r="I7545" s="530"/>
      <c r="J7545" s="530"/>
    </row>
    <row r="7546" spans="1:10" x14ac:dyDescent="0.25">
      <c r="A7546" s="362"/>
      <c r="B7546" s="609">
        <v>44600</v>
      </c>
      <c r="C7546" s="362" t="s">
        <v>86</v>
      </c>
      <c r="D7546" s="560">
        <v>106960418</v>
      </c>
      <c r="E7546" s="560">
        <v>120102700</v>
      </c>
      <c r="F7546" s="560"/>
      <c r="G7546" s="560">
        <f t="shared" si="157"/>
        <v>227063118</v>
      </c>
      <c r="H7546" s="362"/>
      <c r="I7546" s="362"/>
      <c r="J7546" s="362"/>
    </row>
    <row r="7547" spans="1:10" x14ac:dyDescent="0.25">
      <c r="A7547" s="362"/>
      <c r="B7547" s="609">
        <v>44600</v>
      </c>
      <c r="C7547" s="362" t="s">
        <v>87</v>
      </c>
      <c r="D7547" s="560">
        <v>89827809</v>
      </c>
      <c r="E7547" s="560">
        <v>179360076</v>
      </c>
      <c r="F7547" s="560"/>
      <c r="G7547" s="560">
        <f t="shared" si="157"/>
        <v>269187885</v>
      </c>
      <c r="H7547" s="362"/>
      <c r="I7547" s="362"/>
      <c r="J7547" s="362"/>
    </row>
    <row r="7548" spans="1:10" x14ac:dyDescent="0.25">
      <c r="A7548" s="362"/>
      <c r="B7548" s="609">
        <v>44600</v>
      </c>
      <c r="C7548" s="362" t="s">
        <v>88</v>
      </c>
      <c r="D7548" s="560">
        <v>187857733</v>
      </c>
      <c r="E7548" s="560">
        <v>81594155</v>
      </c>
      <c r="F7548" s="560"/>
      <c r="G7548" s="560">
        <f t="shared" si="157"/>
        <v>269451888</v>
      </c>
      <c r="H7548" s="362"/>
      <c r="I7548" s="362"/>
      <c r="J7548" s="362"/>
    </row>
    <row r="7549" spans="1:10" x14ac:dyDescent="0.25">
      <c r="A7549" s="362"/>
      <c r="B7549" s="609">
        <v>44600</v>
      </c>
      <c r="C7549" s="362" t="s">
        <v>82</v>
      </c>
      <c r="D7549" s="560">
        <v>90287976</v>
      </c>
      <c r="E7549" s="560">
        <v>3074132</v>
      </c>
      <c r="F7549" s="560"/>
      <c r="G7549" s="560">
        <f t="shared" si="157"/>
        <v>93362108</v>
      </c>
      <c r="H7549" s="362"/>
      <c r="I7549" s="362"/>
      <c r="J7549" s="362"/>
    </row>
    <row r="7550" spans="1:10" x14ac:dyDescent="0.25">
      <c r="A7550" s="362"/>
      <c r="B7550" s="609">
        <v>44600</v>
      </c>
      <c r="C7550" s="362" t="s">
        <v>80</v>
      </c>
      <c r="D7550" s="560">
        <v>304376616</v>
      </c>
      <c r="E7550" s="560">
        <v>390400000</v>
      </c>
      <c r="F7550" s="560"/>
      <c r="G7550" s="560">
        <f t="shared" si="157"/>
        <v>694776616</v>
      </c>
      <c r="H7550" s="362"/>
      <c r="I7550" s="362"/>
      <c r="J7550" s="362"/>
    </row>
    <row r="7551" spans="1:10" x14ac:dyDescent="0.25">
      <c r="A7551" s="362"/>
      <c r="B7551" s="609">
        <v>44600</v>
      </c>
      <c r="C7551" s="362" t="s">
        <v>83</v>
      </c>
      <c r="D7551" s="560">
        <v>157583538</v>
      </c>
      <c r="E7551" s="560">
        <v>24902956</v>
      </c>
      <c r="F7551" s="560"/>
      <c r="G7551" s="560">
        <f t="shared" si="157"/>
        <v>182486494</v>
      </c>
      <c r="H7551" s="362"/>
      <c r="I7551" s="362"/>
      <c r="J7551" s="362"/>
    </row>
    <row r="7552" spans="1:10" x14ac:dyDescent="0.25">
      <c r="A7552" s="362"/>
      <c r="B7552" s="609">
        <v>44600</v>
      </c>
      <c r="C7552" s="362" t="s">
        <v>78</v>
      </c>
      <c r="D7552" s="560">
        <v>171073567</v>
      </c>
      <c r="E7552" s="560">
        <v>2605433</v>
      </c>
      <c r="F7552" s="560"/>
      <c r="G7552" s="560">
        <f t="shared" si="157"/>
        <v>173679000</v>
      </c>
      <c r="H7552" s="362"/>
      <c r="I7552" s="362"/>
      <c r="J7552" s="362"/>
    </row>
    <row r="7553" spans="1:10" x14ac:dyDescent="0.25">
      <c r="A7553" s="362"/>
      <c r="B7553" s="609">
        <v>44600</v>
      </c>
      <c r="C7553" s="362" t="s">
        <v>141</v>
      </c>
      <c r="D7553" s="560">
        <v>147473144</v>
      </c>
      <c r="E7553" s="560"/>
      <c r="F7553" s="560"/>
      <c r="G7553" s="560">
        <f t="shared" si="157"/>
        <v>147473144</v>
      </c>
      <c r="H7553" s="362"/>
      <c r="I7553" s="362"/>
      <c r="J7553" s="362"/>
    </row>
    <row r="7554" spans="1:10" x14ac:dyDescent="0.25">
      <c r="A7554" s="362"/>
      <c r="B7554" s="609">
        <v>44600</v>
      </c>
      <c r="C7554" s="362" t="s">
        <v>89</v>
      </c>
      <c r="D7554" s="560">
        <v>232800830</v>
      </c>
      <c r="E7554" s="560">
        <v>16077670</v>
      </c>
      <c r="F7554" s="560"/>
      <c r="G7554" s="560">
        <f t="shared" si="157"/>
        <v>248878500</v>
      </c>
      <c r="H7554" s="362"/>
      <c r="I7554" s="362"/>
      <c r="J7554" s="362"/>
    </row>
    <row r="7555" spans="1:10" x14ac:dyDescent="0.25">
      <c r="A7555" s="362"/>
      <c r="B7555" s="609">
        <v>44600</v>
      </c>
      <c r="C7555" s="362" t="s">
        <v>81</v>
      </c>
      <c r="D7555" s="560">
        <v>154401075</v>
      </c>
      <c r="E7555" s="560">
        <v>6011096</v>
      </c>
      <c r="F7555" s="560"/>
      <c r="G7555" s="560">
        <f t="shared" si="157"/>
        <v>160412171</v>
      </c>
      <c r="H7555" s="362"/>
      <c r="I7555" s="362"/>
      <c r="J7555" s="362"/>
    </row>
    <row r="7556" spans="1:10" x14ac:dyDescent="0.25">
      <c r="A7556" s="362"/>
      <c r="B7556" s="609">
        <v>44600</v>
      </c>
      <c r="C7556" s="362" t="s">
        <v>84</v>
      </c>
      <c r="D7556" s="560">
        <v>472827138</v>
      </c>
      <c r="E7556" s="560">
        <v>34472282</v>
      </c>
      <c r="F7556" s="560"/>
      <c r="G7556" s="560">
        <f t="shared" si="157"/>
        <v>507299420</v>
      </c>
      <c r="H7556" s="362"/>
      <c r="I7556" s="362"/>
      <c r="J7556" s="362"/>
    </row>
    <row r="7557" spans="1:10" x14ac:dyDescent="0.25">
      <c r="A7557" s="362"/>
      <c r="B7557" s="609">
        <v>44600</v>
      </c>
      <c r="C7557" s="362" t="s">
        <v>4751</v>
      </c>
      <c r="D7557" s="560">
        <v>299563380</v>
      </c>
      <c r="E7557" s="560">
        <v>22677020</v>
      </c>
      <c r="F7557" s="560"/>
      <c r="G7557" s="560">
        <f t="shared" si="157"/>
        <v>322240400</v>
      </c>
      <c r="H7557" s="362"/>
      <c r="I7557" s="362"/>
      <c r="J7557" s="362"/>
    </row>
    <row r="7558" spans="1:10" x14ac:dyDescent="0.25">
      <c r="A7558" s="362"/>
      <c r="B7558" s="609">
        <v>44600</v>
      </c>
      <c r="C7558" s="362" t="s">
        <v>166</v>
      </c>
      <c r="D7558" s="560">
        <v>96526647</v>
      </c>
      <c r="E7558" s="560">
        <v>51290000</v>
      </c>
      <c r="F7558" s="560"/>
      <c r="G7558" s="560">
        <f t="shared" si="157"/>
        <v>147816647</v>
      </c>
      <c r="H7558" s="362"/>
      <c r="I7558" s="362"/>
      <c r="J7558" s="362"/>
    </row>
    <row r="7559" spans="1:10" x14ac:dyDescent="0.25">
      <c r="A7559" s="362"/>
      <c r="B7559" s="609">
        <v>44600</v>
      </c>
      <c r="C7559" s="362" t="s">
        <v>3435</v>
      </c>
      <c r="D7559" s="560">
        <v>34197756</v>
      </c>
      <c r="E7559" s="560"/>
      <c r="F7559" s="560"/>
      <c r="G7559" s="560">
        <f t="shared" si="157"/>
        <v>34197756</v>
      </c>
      <c r="H7559" s="362"/>
      <c r="I7559" s="362"/>
      <c r="J7559" s="362"/>
    </row>
    <row r="7560" spans="1:10" x14ac:dyDescent="0.25">
      <c r="A7560" s="362"/>
      <c r="B7560" s="609">
        <v>44600</v>
      </c>
      <c r="C7560" s="370" t="s">
        <v>85</v>
      </c>
      <c r="D7560" s="560">
        <v>47521000</v>
      </c>
      <c r="E7560" s="560"/>
      <c r="F7560" s="560"/>
      <c r="G7560" s="560">
        <f t="shared" si="157"/>
        <v>47521000</v>
      </c>
      <c r="H7560" s="362"/>
      <c r="I7560" s="362"/>
      <c r="J7560" s="362"/>
    </row>
    <row r="7561" spans="1:10" x14ac:dyDescent="0.25">
      <c r="A7561" s="530"/>
      <c r="B7561" s="530"/>
      <c r="C7561" s="530"/>
      <c r="D7561" s="562">
        <f>SUM(D7546:D7560)</f>
        <v>2593278627</v>
      </c>
      <c r="E7561" s="562">
        <f>SUM(E7546:E7560)</f>
        <v>932567520</v>
      </c>
      <c r="F7561" s="562">
        <f>SUM(F7546:F7560)</f>
        <v>0</v>
      </c>
      <c r="G7561" s="562">
        <f>SUM(G7546:G7560)</f>
        <v>3525846147</v>
      </c>
      <c r="H7561" s="530"/>
      <c r="I7561" s="530"/>
      <c r="J7561" s="530"/>
    </row>
    <row r="7562" spans="1:10" x14ac:dyDescent="0.25">
      <c r="A7562" s="362"/>
      <c r="B7562" s="609">
        <v>44601</v>
      </c>
      <c r="C7562" s="362" t="s">
        <v>86</v>
      </c>
      <c r="D7562" s="560">
        <v>90912877</v>
      </c>
      <c r="E7562" s="560">
        <v>52766650</v>
      </c>
      <c r="F7562" s="560"/>
      <c r="G7562" s="560">
        <f t="shared" si="157"/>
        <v>143679527</v>
      </c>
      <c r="H7562" s="362"/>
      <c r="I7562" s="362"/>
      <c r="J7562" s="362"/>
    </row>
    <row r="7563" spans="1:10" x14ac:dyDescent="0.25">
      <c r="A7563" s="362"/>
      <c r="B7563" s="609">
        <v>44601</v>
      </c>
      <c r="C7563" s="362" t="s">
        <v>87</v>
      </c>
      <c r="D7563" s="560">
        <v>102450649</v>
      </c>
      <c r="E7563" s="560">
        <v>192795670</v>
      </c>
      <c r="F7563" s="560"/>
      <c r="G7563" s="560">
        <f t="shared" si="157"/>
        <v>295246319</v>
      </c>
      <c r="H7563" s="362"/>
      <c r="I7563" s="362"/>
      <c r="J7563" s="362"/>
    </row>
    <row r="7564" spans="1:10" x14ac:dyDescent="0.25">
      <c r="A7564" s="362"/>
      <c r="B7564" s="609">
        <v>44601</v>
      </c>
      <c r="C7564" s="362" t="s">
        <v>88</v>
      </c>
      <c r="D7564" s="560">
        <v>163461394</v>
      </c>
      <c r="E7564" s="560">
        <v>85573992</v>
      </c>
      <c r="F7564" s="560"/>
      <c r="G7564" s="560">
        <f t="shared" ref="G7564:G7627" si="158">D7564+E7564-F7564</f>
        <v>249035386</v>
      </c>
      <c r="H7564" s="362"/>
      <c r="I7564" s="362"/>
      <c r="J7564" s="362"/>
    </row>
    <row r="7565" spans="1:10" x14ac:dyDescent="0.25">
      <c r="A7565" s="362"/>
      <c r="B7565" s="609">
        <v>44601</v>
      </c>
      <c r="C7565" s="362" t="s">
        <v>82</v>
      </c>
      <c r="D7565" s="560">
        <v>87884120</v>
      </c>
      <c r="E7565" s="560">
        <v>1806648</v>
      </c>
      <c r="F7565" s="560"/>
      <c r="G7565" s="560">
        <f t="shared" si="158"/>
        <v>89690768</v>
      </c>
      <c r="H7565" s="362"/>
      <c r="I7565" s="362"/>
      <c r="J7565" s="362"/>
    </row>
    <row r="7566" spans="1:10" x14ac:dyDescent="0.25">
      <c r="A7566" s="362"/>
      <c r="B7566" s="609">
        <v>44601</v>
      </c>
      <c r="C7566" s="362" t="s">
        <v>80</v>
      </c>
      <c r="D7566" s="560">
        <v>415628176</v>
      </c>
      <c r="E7566" s="560">
        <v>12610000</v>
      </c>
      <c r="F7566" s="560"/>
      <c r="G7566" s="560">
        <f t="shared" si="158"/>
        <v>428238176</v>
      </c>
      <c r="H7566" s="362"/>
      <c r="I7566" s="362"/>
      <c r="J7566" s="362"/>
    </row>
    <row r="7567" spans="1:10" x14ac:dyDescent="0.25">
      <c r="A7567" s="362"/>
      <c r="B7567" s="609">
        <v>44601</v>
      </c>
      <c r="C7567" s="362" t="s">
        <v>83</v>
      </c>
      <c r="D7567" s="560">
        <v>127110252</v>
      </c>
      <c r="E7567" s="560">
        <v>12367647</v>
      </c>
      <c r="F7567" s="560"/>
      <c r="G7567" s="560">
        <f t="shared" si="158"/>
        <v>139477899</v>
      </c>
      <c r="H7567" s="362"/>
      <c r="I7567" s="362"/>
      <c r="J7567" s="362"/>
    </row>
    <row r="7568" spans="1:10" x14ac:dyDescent="0.25">
      <c r="A7568" s="362"/>
      <c r="B7568" s="609">
        <v>44601</v>
      </c>
      <c r="C7568" s="362" t="s">
        <v>78</v>
      </c>
      <c r="D7568" s="560">
        <v>107004820</v>
      </c>
      <c r="E7568" s="560">
        <v>12101680</v>
      </c>
      <c r="F7568" s="560"/>
      <c r="G7568" s="560">
        <f t="shared" si="158"/>
        <v>119106500</v>
      </c>
      <c r="H7568" s="362"/>
      <c r="I7568" s="362"/>
      <c r="J7568" s="362"/>
    </row>
    <row r="7569" spans="1:10" x14ac:dyDescent="0.25">
      <c r="A7569" s="362"/>
      <c r="B7569" s="609">
        <v>44601</v>
      </c>
      <c r="C7569" s="362" t="s">
        <v>141</v>
      </c>
      <c r="D7569" s="560">
        <v>145548459</v>
      </c>
      <c r="E7569" s="560"/>
      <c r="F7569" s="560"/>
      <c r="G7569" s="560">
        <f t="shared" si="158"/>
        <v>145548459</v>
      </c>
      <c r="H7569" s="362"/>
      <c r="I7569" s="362"/>
      <c r="J7569" s="362"/>
    </row>
    <row r="7570" spans="1:10" x14ac:dyDescent="0.25">
      <c r="A7570" s="362"/>
      <c r="B7570" s="609">
        <v>44601</v>
      </c>
      <c r="C7570" s="362" t="s">
        <v>89</v>
      </c>
      <c r="D7570" s="560">
        <v>133625370</v>
      </c>
      <c r="E7570" s="560">
        <v>48257830</v>
      </c>
      <c r="F7570" s="560"/>
      <c r="G7570" s="560">
        <f t="shared" si="158"/>
        <v>181883200</v>
      </c>
      <c r="H7570" s="362"/>
      <c r="I7570" s="362"/>
      <c r="J7570" s="362"/>
    </row>
    <row r="7571" spans="1:10" x14ac:dyDescent="0.25">
      <c r="A7571" s="362"/>
      <c r="B7571" s="609">
        <v>44601</v>
      </c>
      <c r="C7571" s="362" t="s">
        <v>81</v>
      </c>
      <c r="D7571" s="560">
        <v>158904936</v>
      </c>
      <c r="E7571" s="560">
        <v>9413714</v>
      </c>
      <c r="F7571" s="560"/>
      <c r="G7571" s="560">
        <f t="shared" si="158"/>
        <v>168318650</v>
      </c>
      <c r="H7571" s="362"/>
      <c r="I7571" s="362"/>
      <c r="J7571" s="362"/>
    </row>
    <row r="7572" spans="1:10" x14ac:dyDescent="0.25">
      <c r="A7572" s="362"/>
      <c r="B7572" s="609">
        <v>44601</v>
      </c>
      <c r="C7572" s="362" t="s">
        <v>84</v>
      </c>
      <c r="D7572" s="560">
        <v>285743636</v>
      </c>
      <c r="E7572" s="560">
        <v>14263913</v>
      </c>
      <c r="F7572" s="560"/>
      <c r="G7572" s="560">
        <f t="shared" si="158"/>
        <v>300007549</v>
      </c>
      <c r="H7572" s="362"/>
      <c r="I7572" s="362"/>
      <c r="J7572" s="362"/>
    </row>
    <row r="7573" spans="1:10" x14ac:dyDescent="0.25">
      <c r="A7573" s="362"/>
      <c r="B7573" s="609">
        <v>44601</v>
      </c>
      <c r="C7573" s="362" t="s">
        <v>4751</v>
      </c>
      <c r="D7573" s="560">
        <v>212680911</v>
      </c>
      <c r="E7573" s="560">
        <v>47270089</v>
      </c>
      <c r="F7573" s="560"/>
      <c r="G7573" s="560">
        <f t="shared" si="158"/>
        <v>259951000</v>
      </c>
      <c r="H7573" s="362"/>
      <c r="I7573" s="362"/>
      <c r="J7573" s="362"/>
    </row>
    <row r="7574" spans="1:10" x14ac:dyDescent="0.25">
      <c r="A7574" s="362"/>
      <c r="B7574" s="609">
        <v>44601</v>
      </c>
      <c r="C7574" s="362" t="s">
        <v>166</v>
      </c>
      <c r="D7574" s="560">
        <v>105976300</v>
      </c>
      <c r="E7574" s="560"/>
      <c r="F7574" s="560"/>
      <c r="G7574" s="560">
        <f t="shared" si="158"/>
        <v>105976300</v>
      </c>
      <c r="H7574" s="362"/>
      <c r="I7574" s="362"/>
      <c r="J7574" s="362"/>
    </row>
    <row r="7575" spans="1:10" x14ac:dyDescent="0.25">
      <c r="A7575" s="362"/>
      <c r="B7575" s="609">
        <v>44601</v>
      </c>
      <c r="C7575" s="362" t="s">
        <v>3435</v>
      </c>
      <c r="D7575" s="560">
        <v>132742756</v>
      </c>
      <c r="E7575" s="560"/>
      <c r="F7575" s="560"/>
      <c r="G7575" s="560">
        <f t="shared" si="158"/>
        <v>132742756</v>
      </c>
      <c r="H7575" s="362"/>
      <c r="I7575" s="362"/>
      <c r="J7575" s="362"/>
    </row>
    <row r="7576" spans="1:10" x14ac:dyDescent="0.25">
      <c r="A7576" s="362"/>
      <c r="B7576" s="609">
        <v>44601</v>
      </c>
      <c r="C7576" s="370" t="s">
        <v>85</v>
      </c>
      <c r="D7576" s="560">
        <v>49872500</v>
      </c>
      <c r="E7576" s="560"/>
      <c r="F7576" s="560"/>
      <c r="G7576" s="560">
        <f t="shared" si="158"/>
        <v>49872500</v>
      </c>
      <c r="H7576" s="362"/>
      <c r="I7576" s="362"/>
      <c r="J7576" s="362"/>
    </row>
    <row r="7577" spans="1:10" x14ac:dyDescent="0.25">
      <c r="A7577" s="530"/>
      <c r="B7577" s="530"/>
      <c r="C7577" s="530"/>
      <c r="D7577" s="562">
        <f>SUM(D7562:D7576)</f>
        <v>2319547156</v>
      </c>
      <c r="E7577" s="562">
        <f>SUM(E7562:E7576)</f>
        <v>489227833</v>
      </c>
      <c r="F7577" s="562">
        <f>SUM(F7562:F7576)</f>
        <v>0</v>
      </c>
      <c r="G7577" s="562">
        <f>SUM(G7562:G7576)</f>
        <v>2808774989</v>
      </c>
      <c r="H7577" s="530"/>
      <c r="I7577" s="530"/>
      <c r="J7577" s="530"/>
    </row>
    <row r="7578" spans="1:10" x14ac:dyDescent="0.25">
      <c r="A7578" s="362"/>
      <c r="B7578" s="609">
        <v>44602</v>
      </c>
      <c r="C7578" s="362" t="s">
        <v>86</v>
      </c>
      <c r="D7578" s="560">
        <v>74191445</v>
      </c>
      <c r="E7578" s="560">
        <v>128443300</v>
      </c>
      <c r="F7578" s="560"/>
      <c r="G7578" s="560">
        <f t="shared" si="158"/>
        <v>202634745</v>
      </c>
      <c r="H7578" s="362"/>
      <c r="I7578" s="362"/>
      <c r="J7578" s="362"/>
    </row>
    <row r="7579" spans="1:10" x14ac:dyDescent="0.25">
      <c r="A7579" s="362"/>
      <c r="B7579" s="609">
        <v>44602</v>
      </c>
      <c r="C7579" s="362" t="s">
        <v>87</v>
      </c>
      <c r="D7579" s="560">
        <v>88199288</v>
      </c>
      <c r="E7579" s="560">
        <v>107851722</v>
      </c>
      <c r="F7579" s="560"/>
      <c r="G7579" s="560">
        <f t="shared" si="158"/>
        <v>196051010</v>
      </c>
      <c r="H7579" s="362"/>
      <c r="I7579" s="362"/>
      <c r="J7579" s="362"/>
    </row>
    <row r="7580" spans="1:10" x14ac:dyDescent="0.25">
      <c r="A7580" s="362"/>
      <c r="B7580" s="609">
        <v>44602</v>
      </c>
      <c r="C7580" s="362" t="s">
        <v>88</v>
      </c>
      <c r="D7580" s="560">
        <v>246592908</v>
      </c>
      <c r="E7580" s="560">
        <v>16497992</v>
      </c>
      <c r="F7580" s="560"/>
      <c r="G7580" s="560">
        <f t="shared" si="158"/>
        <v>263090900</v>
      </c>
      <c r="H7580" s="362"/>
      <c r="I7580" s="362"/>
      <c r="J7580" s="362"/>
    </row>
    <row r="7581" spans="1:10" x14ac:dyDescent="0.25">
      <c r="A7581" s="362"/>
      <c r="B7581" s="609">
        <v>44602</v>
      </c>
      <c r="C7581" s="362" t="s">
        <v>82</v>
      </c>
      <c r="D7581" s="560">
        <v>105129204</v>
      </c>
      <c r="E7581" s="560">
        <v>5727108</v>
      </c>
      <c r="F7581" s="560"/>
      <c r="G7581" s="560">
        <f t="shared" si="158"/>
        <v>110856312</v>
      </c>
      <c r="H7581" s="362"/>
      <c r="I7581" s="362"/>
      <c r="J7581" s="362"/>
    </row>
    <row r="7582" spans="1:10" x14ac:dyDescent="0.25">
      <c r="A7582" s="362"/>
      <c r="B7582" s="609">
        <v>44602</v>
      </c>
      <c r="C7582" s="362" t="s">
        <v>80</v>
      </c>
      <c r="D7582" s="560">
        <v>251526450</v>
      </c>
      <c r="E7582" s="560">
        <v>3170100</v>
      </c>
      <c r="F7582" s="560"/>
      <c r="G7582" s="560">
        <f t="shared" si="158"/>
        <v>254696550</v>
      </c>
      <c r="H7582" s="362"/>
      <c r="I7582" s="362"/>
      <c r="J7582" s="362"/>
    </row>
    <row r="7583" spans="1:10" x14ac:dyDescent="0.25">
      <c r="A7583" s="362"/>
      <c r="B7583" s="609">
        <v>44602</v>
      </c>
      <c r="C7583" s="362" t="s">
        <v>83</v>
      </c>
      <c r="D7583" s="560">
        <v>148737057</v>
      </c>
      <c r="E7583" s="560">
        <v>7185868</v>
      </c>
      <c r="F7583" s="560"/>
      <c r="G7583" s="560">
        <f t="shared" si="158"/>
        <v>155922925</v>
      </c>
      <c r="H7583" s="362"/>
      <c r="I7583" s="362"/>
      <c r="J7583" s="362"/>
    </row>
    <row r="7584" spans="1:10" x14ac:dyDescent="0.25">
      <c r="A7584" s="362"/>
      <c r="B7584" s="609">
        <v>44602</v>
      </c>
      <c r="C7584" s="362" t="s">
        <v>78</v>
      </c>
      <c r="D7584" s="560">
        <v>177580466</v>
      </c>
      <c r="E7584" s="560">
        <v>2225434</v>
      </c>
      <c r="F7584" s="560"/>
      <c r="G7584" s="560">
        <f t="shared" si="158"/>
        <v>179805900</v>
      </c>
      <c r="H7584" s="362"/>
      <c r="I7584" s="362"/>
      <c r="J7584" s="362"/>
    </row>
    <row r="7585" spans="1:10" x14ac:dyDescent="0.25">
      <c r="A7585" s="362"/>
      <c r="B7585" s="609">
        <v>44602</v>
      </c>
      <c r="C7585" s="362" t="s">
        <v>141</v>
      </c>
      <c r="D7585" s="560">
        <v>68259033</v>
      </c>
      <c r="E7585" s="560"/>
      <c r="F7585" s="560"/>
      <c r="G7585" s="560">
        <f t="shared" si="158"/>
        <v>68259033</v>
      </c>
      <c r="H7585" s="362"/>
      <c r="I7585" s="362"/>
      <c r="J7585" s="362"/>
    </row>
    <row r="7586" spans="1:10" x14ac:dyDescent="0.25">
      <c r="A7586" s="362"/>
      <c r="B7586" s="609">
        <v>44602</v>
      </c>
      <c r="C7586" s="362" t="s">
        <v>89</v>
      </c>
      <c r="D7586" s="560">
        <v>164691300</v>
      </c>
      <c r="E7586" s="560">
        <v>19088900</v>
      </c>
      <c r="F7586" s="560"/>
      <c r="G7586" s="560">
        <f t="shared" si="158"/>
        <v>183780200</v>
      </c>
      <c r="H7586" s="362"/>
      <c r="I7586" s="362"/>
      <c r="J7586" s="362"/>
    </row>
    <row r="7587" spans="1:10" x14ac:dyDescent="0.25">
      <c r="A7587" s="362"/>
      <c r="B7587" s="609">
        <v>44602</v>
      </c>
      <c r="C7587" s="362" t="s">
        <v>81</v>
      </c>
      <c r="D7587" s="560">
        <v>95351692</v>
      </c>
      <c r="E7587" s="560">
        <v>31055246</v>
      </c>
      <c r="F7587" s="560"/>
      <c r="G7587" s="560">
        <f t="shared" si="158"/>
        <v>126406938</v>
      </c>
      <c r="H7587" s="362"/>
      <c r="I7587" s="362"/>
      <c r="J7587" s="362"/>
    </row>
    <row r="7588" spans="1:10" x14ac:dyDescent="0.25">
      <c r="A7588" s="362"/>
      <c r="B7588" s="609">
        <v>44602</v>
      </c>
      <c r="C7588" s="362" t="s">
        <v>84</v>
      </c>
      <c r="D7588" s="560">
        <v>384768593</v>
      </c>
      <c r="E7588" s="560">
        <v>49387255</v>
      </c>
      <c r="F7588" s="560"/>
      <c r="G7588" s="560">
        <f t="shared" si="158"/>
        <v>434155848</v>
      </c>
      <c r="H7588" s="362"/>
      <c r="I7588" s="362"/>
      <c r="J7588" s="362"/>
    </row>
    <row r="7589" spans="1:10" x14ac:dyDescent="0.25">
      <c r="A7589" s="362"/>
      <c r="B7589" s="609">
        <v>44602</v>
      </c>
      <c r="C7589" s="362" t="s">
        <v>4751</v>
      </c>
      <c r="D7589" s="560">
        <v>289949138</v>
      </c>
      <c r="E7589" s="560">
        <v>13681262</v>
      </c>
      <c r="F7589" s="560"/>
      <c r="G7589" s="560">
        <f t="shared" si="158"/>
        <v>303630400</v>
      </c>
      <c r="H7589" s="362"/>
      <c r="I7589" s="362"/>
      <c r="J7589" s="362"/>
    </row>
    <row r="7590" spans="1:10" x14ac:dyDescent="0.25">
      <c r="A7590" s="362"/>
      <c r="B7590" s="609">
        <v>44602</v>
      </c>
      <c r="C7590" s="362" t="s">
        <v>166</v>
      </c>
      <c r="D7590" s="560">
        <v>104821522</v>
      </c>
      <c r="E7590" s="560"/>
      <c r="F7590" s="560"/>
      <c r="G7590" s="560">
        <f t="shared" si="158"/>
        <v>104821522</v>
      </c>
      <c r="H7590" s="362"/>
      <c r="I7590" s="362"/>
      <c r="J7590" s="362"/>
    </row>
    <row r="7591" spans="1:10" x14ac:dyDescent="0.25">
      <c r="A7591" s="362"/>
      <c r="B7591" s="609">
        <v>44602</v>
      </c>
      <c r="C7591" s="362" t="s">
        <v>3435</v>
      </c>
      <c r="D7591" s="560">
        <v>39003849</v>
      </c>
      <c r="E7591" s="560"/>
      <c r="F7591" s="560"/>
      <c r="G7591" s="560">
        <f t="shared" si="158"/>
        <v>39003849</v>
      </c>
      <c r="H7591" s="362"/>
      <c r="I7591" s="362"/>
      <c r="J7591" s="362"/>
    </row>
    <row r="7592" spans="1:10" x14ac:dyDescent="0.25">
      <c r="A7592" s="362"/>
      <c r="B7592" s="609">
        <v>44602</v>
      </c>
      <c r="C7592" s="370" t="s">
        <v>85</v>
      </c>
      <c r="D7592" s="560">
        <v>37520800</v>
      </c>
      <c r="E7592" s="560"/>
      <c r="F7592" s="560"/>
      <c r="G7592" s="560">
        <f t="shared" si="158"/>
        <v>37520800</v>
      </c>
      <c r="H7592" s="362"/>
      <c r="I7592" s="362"/>
      <c r="J7592" s="362"/>
    </row>
    <row r="7593" spans="1:10" x14ac:dyDescent="0.25">
      <c r="A7593" s="530"/>
      <c r="B7593" s="530"/>
      <c r="C7593" s="530"/>
      <c r="D7593" s="562">
        <f>SUM(D7578:D7592)</f>
        <v>2276322745</v>
      </c>
      <c r="E7593" s="562">
        <f>SUM(E7578:E7592)</f>
        <v>384314187</v>
      </c>
      <c r="F7593" s="562">
        <f>SUM(F7578:F7592)</f>
        <v>0</v>
      </c>
      <c r="G7593" s="562">
        <f>SUM(G7578:G7592)</f>
        <v>2660636932</v>
      </c>
      <c r="H7593" s="530"/>
      <c r="I7593" s="530"/>
      <c r="J7593" s="530"/>
    </row>
    <row r="7594" spans="1:10" x14ac:dyDescent="0.25">
      <c r="A7594" s="362"/>
      <c r="B7594" s="609">
        <v>44603</v>
      </c>
      <c r="C7594" s="362" t="s">
        <v>86</v>
      </c>
      <c r="D7594" s="560">
        <v>43416619</v>
      </c>
      <c r="E7594" s="560">
        <v>39005500</v>
      </c>
      <c r="F7594" s="560"/>
      <c r="G7594" s="560">
        <f t="shared" si="158"/>
        <v>82422119</v>
      </c>
      <c r="H7594" s="362"/>
      <c r="I7594" s="362"/>
      <c r="J7594" s="362"/>
    </row>
    <row r="7595" spans="1:10" x14ac:dyDescent="0.25">
      <c r="A7595" s="362"/>
      <c r="B7595" s="609">
        <v>44603</v>
      </c>
      <c r="C7595" s="362" t="s">
        <v>87</v>
      </c>
      <c r="D7595" s="560">
        <v>106916598</v>
      </c>
      <c r="E7595" s="560">
        <v>129836180</v>
      </c>
      <c r="F7595" s="560"/>
      <c r="G7595" s="560">
        <f t="shared" si="158"/>
        <v>236752778</v>
      </c>
      <c r="H7595" s="362"/>
      <c r="I7595" s="362"/>
      <c r="J7595" s="362"/>
    </row>
    <row r="7596" spans="1:10" x14ac:dyDescent="0.25">
      <c r="A7596" s="362"/>
      <c r="B7596" s="609">
        <v>44603</v>
      </c>
      <c r="C7596" s="362" t="s">
        <v>88</v>
      </c>
      <c r="D7596" s="560">
        <v>98917275</v>
      </c>
      <c r="E7596" s="560">
        <v>40283682</v>
      </c>
      <c r="F7596" s="560"/>
      <c r="G7596" s="560">
        <f t="shared" si="158"/>
        <v>139200957</v>
      </c>
      <c r="H7596" s="362"/>
      <c r="I7596" s="362"/>
      <c r="J7596" s="362"/>
    </row>
    <row r="7597" spans="1:10" x14ac:dyDescent="0.25">
      <c r="A7597" s="362"/>
      <c r="B7597" s="609">
        <v>44603</v>
      </c>
      <c r="C7597" s="362" t="s">
        <v>82</v>
      </c>
      <c r="D7597" s="560">
        <v>76234924</v>
      </c>
      <c r="E7597" s="560">
        <v>14305546</v>
      </c>
      <c r="F7597" s="560"/>
      <c r="G7597" s="560">
        <f t="shared" si="158"/>
        <v>90540470</v>
      </c>
      <c r="H7597" s="362"/>
      <c r="I7597" s="362"/>
      <c r="J7597" s="362"/>
    </row>
    <row r="7598" spans="1:10" x14ac:dyDescent="0.25">
      <c r="A7598" s="362"/>
      <c r="B7598" s="609">
        <v>44603</v>
      </c>
      <c r="C7598" s="362" t="s">
        <v>80</v>
      </c>
      <c r="D7598" s="560">
        <v>164042526</v>
      </c>
      <c r="E7598" s="560"/>
      <c r="F7598" s="560"/>
      <c r="G7598" s="560">
        <f t="shared" si="158"/>
        <v>164042526</v>
      </c>
      <c r="H7598" s="362"/>
      <c r="I7598" s="362"/>
      <c r="J7598" s="362"/>
    </row>
    <row r="7599" spans="1:10" x14ac:dyDescent="0.25">
      <c r="A7599" s="362"/>
      <c r="B7599" s="609">
        <v>44603</v>
      </c>
      <c r="C7599" s="362" t="s">
        <v>83</v>
      </c>
      <c r="D7599" s="560">
        <v>128137652</v>
      </c>
      <c r="E7599" s="560">
        <v>11425915</v>
      </c>
      <c r="F7599" s="560"/>
      <c r="G7599" s="560">
        <f t="shared" si="158"/>
        <v>139563567</v>
      </c>
      <c r="H7599" s="362"/>
      <c r="I7599" s="362"/>
      <c r="J7599" s="362"/>
    </row>
    <row r="7600" spans="1:10" x14ac:dyDescent="0.25">
      <c r="A7600" s="362"/>
      <c r="B7600" s="609">
        <v>44603</v>
      </c>
      <c r="C7600" s="362" t="s">
        <v>78</v>
      </c>
      <c r="D7600" s="560">
        <v>156876794</v>
      </c>
      <c r="E7600" s="560">
        <v>3116806</v>
      </c>
      <c r="F7600" s="560"/>
      <c r="G7600" s="560">
        <f t="shared" si="158"/>
        <v>159993600</v>
      </c>
      <c r="H7600" s="362"/>
      <c r="I7600" s="362"/>
      <c r="J7600" s="362"/>
    </row>
    <row r="7601" spans="1:10" x14ac:dyDescent="0.25">
      <c r="A7601" s="362"/>
      <c r="B7601" s="609">
        <v>44603</v>
      </c>
      <c r="C7601" s="362" t="s">
        <v>141</v>
      </c>
      <c r="D7601" s="560">
        <v>73730019</v>
      </c>
      <c r="E7601" s="560">
        <v>702800</v>
      </c>
      <c r="F7601" s="560"/>
      <c r="G7601" s="560">
        <f t="shared" si="158"/>
        <v>74432819</v>
      </c>
      <c r="H7601" s="362"/>
      <c r="I7601" s="362"/>
      <c r="J7601" s="362"/>
    </row>
    <row r="7602" spans="1:10" x14ac:dyDescent="0.25">
      <c r="A7602" s="362"/>
      <c r="B7602" s="609">
        <v>44603</v>
      </c>
      <c r="C7602" s="362" t="s">
        <v>89</v>
      </c>
      <c r="D7602" s="560">
        <v>168520848</v>
      </c>
      <c r="E7602" s="560">
        <v>91186352</v>
      </c>
      <c r="F7602" s="560"/>
      <c r="G7602" s="560">
        <f t="shared" si="158"/>
        <v>259707200</v>
      </c>
      <c r="H7602" s="362"/>
      <c r="I7602" s="362"/>
      <c r="J7602" s="362"/>
    </row>
    <row r="7603" spans="1:10" x14ac:dyDescent="0.25">
      <c r="A7603" s="362"/>
      <c r="B7603" s="609">
        <v>44603</v>
      </c>
      <c r="C7603" s="362" t="s">
        <v>81</v>
      </c>
      <c r="D7603" s="560">
        <v>117124838</v>
      </c>
      <c r="E7603" s="560">
        <v>18135854</v>
      </c>
      <c r="F7603" s="560"/>
      <c r="G7603" s="560">
        <f t="shared" si="158"/>
        <v>135260692</v>
      </c>
      <c r="H7603" s="362"/>
      <c r="I7603" s="362"/>
      <c r="J7603" s="362"/>
    </row>
    <row r="7604" spans="1:10" x14ac:dyDescent="0.25">
      <c r="A7604" s="362"/>
      <c r="B7604" s="609">
        <v>44603</v>
      </c>
      <c r="C7604" s="362" t="s">
        <v>84</v>
      </c>
      <c r="D7604" s="560">
        <v>282004474</v>
      </c>
      <c r="E7604" s="560">
        <v>16205476</v>
      </c>
      <c r="F7604" s="560"/>
      <c r="G7604" s="560">
        <f t="shared" si="158"/>
        <v>298209950</v>
      </c>
      <c r="H7604" s="362"/>
      <c r="I7604" s="362"/>
      <c r="J7604" s="362"/>
    </row>
    <row r="7605" spans="1:10" x14ac:dyDescent="0.25">
      <c r="A7605" s="362"/>
      <c r="B7605" s="609">
        <v>44603</v>
      </c>
      <c r="C7605" s="362" t="s">
        <v>4751</v>
      </c>
      <c r="D7605" s="560">
        <v>147552925</v>
      </c>
      <c r="E7605" s="560">
        <v>11925875</v>
      </c>
      <c r="F7605" s="560"/>
      <c r="G7605" s="560">
        <f t="shared" si="158"/>
        <v>159478800</v>
      </c>
      <c r="H7605" s="362"/>
      <c r="I7605" s="362"/>
      <c r="J7605" s="362"/>
    </row>
    <row r="7606" spans="1:10" x14ac:dyDescent="0.25">
      <c r="A7606" s="362"/>
      <c r="B7606" s="609">
        <v>44603</v>
      </c>
      <c r="C7606" s="362" t="s">
        <v>166</v>
      </c>
      <c r="D7606" s="560">
        <v>41869640</v>
      </c>
      <c r="E7606" s="560"/>
      <c r="F7606" s="560"/>
      <c r="G7606" s="560">
        <f t="shared" si="158"/>
        <v>41869640</v>
      </c>
      <c r="H7606" s="362"/>
      <c r="I7606" s="362"/>
      <c r="J7606" s="362"/>
    </row>
    <row r="7607" spans="1:10" x14ac:dyDescent="0.25">
      <c r="A7607" s="362"/>
      <c r="B7607" s="609">
        <v>44603</v>
      </c>
      <c r="C7607" s="362" t="s">
        <v>3435</v>
      </c>
      <c r="D7607" s="560">
        <v>14115560</v>
      </c>
      <c r="E7607" s="560"/>
      <c r="F7607" s="560"/>
      <c r="G7607" s="560">
        <f t="shared" si="158"/>
        <v>14115560</v>
      </c>
      <c r="H7607" s="362"/>
      <c r="I7607" s="362"/>
      <c r="J7607" s="362"/>
    </row>
    <row r="7608" spans="1:10" x14ac:dyDescent="0.25">
      <c r="A7608" s="362"/>
      <c r="B7608" s="609">
        <v>44603</v>
      </c>
      <c r="C7608" s="370" t="s">
        <v>85</v>
      </c>
      <c r="D7608" s="560">
        <v>34226700</v>
      </c>
      <c r="E7608" s="560"/>
      <c r="F7608" s="560"/>
      <c r="G7608" s="560">
        <f t="shared" si="158"/>
        <v>34226700</v>
      </c>
      <c r="H7608" s="362"/>
      <c r="I7608" s="362"/>
      <c r="J7608" s="362"/>
    </row>
    <row r="7609" spans="1:10" x14ac:dyDescent="0.25">
      <c r="A7609" s="530"/>
      <c r="B7609" s="530"/>
      <c r="C7609" s="530"/>
      <c r="D7609" s="562">
        <f>SUM(D7594:D7608)</f>
        <v>1653687392</v>
      </c>
      <c r="E7609" s="562">
        <f>SUM(E7594:E7608)</f>
        <v>376129986</v>
      </c>
      <c r="F7609" s="562">
        <f>SUM(F7594:F7608)</f>
        <v>0</v>
      </c>
      <c r="G7609" s="562">
        <f>SUM(G7594:G7608)</f>
        <v>2029817378</v>
      </c>
      <c r="H7609" s="530"/>
      <c r="I7609" s="530"/>
      <c r="J7609" s="530"/>
    </row>
    <row r="7610" spans="1:10" x14ac:dyDescent="0.25">
      <c r="A7610" s="362"/>
      <c r="B7610" s="609">
        <v>44604</v>
      </c>
      <c r="C7610" s="362" t="s">
        <v>86</v>
      </c>
      <c r="D7610" s="560">
        <v>30439241</v>
      </c>
      <c r="E7610" s="560">
        <v>81049900</v>
      </c>
      <c r="F7610" s="560"/>
      <c r="G7610" s="560">
        <f t="shared" si="158"/>
        <v>111489141</v>
      </c>
      <c r="H7610" s="362"/>
      <c r="I7610" s="362"/>
      <c r="J7610" s="362"/>
    </row>
    <row r="7611" spans="1:10" x14ac:dyDescent="0.25">
      <c r="A7611" s="362"/>
      <c r="B7611" s="609">
        <v>44604</v>
      </c>
      <c r="C7611" s="362" t="s">
        <v>87</v>
      </c>
      <c r="D7611" s="560">
        <v>62472123</v>
      </c>
      <c r="E7611" s="560">
        <v>64691431</v>
      </c>
      <c r="F7611" s="560"/>
      <c r="G7611" s="560">
        <f t="shared" si="158"/>
        <v>127163554</v>
      </c>
      <c r="H7611" s="362"/>
      <c r="I7611" s="362"/>
      <c r="J7611" s="362"/>
    </row>
    <row r="7612" spans="1:10" x14ac:dyDescent="0.25">
      <c r="A7612" s="362"/>
      <c r="B7612" s="609">
        <v>44604</v>
      </c>
      <c r="C7612" s="362" t="s">
        <v>88</v>
      </c>
      <c r="D7612" s="560">
        <v>83428042</v>
      </c>
      <c r="E7612" s="560">
        <v>54151695</v>
      </c>
      <c r="F7612" s="560"/>
      <c r="G7612" s="560">
        <f t="shared" si="158"/>
        <v>137579737</v>
      </c>
      <c r="H7612" s="362"/>
      <c r="I7612" s="362"/>
      <c r="J7612" s="362"/>
    </row>
    <row r="7613" spans="1:10" x14ac:dyDescent="0.25">
      <c r="A7613" s="362"/>
      <c r="B7613" s="609">
        <v>44604</v>
      </c>
      <c r="C7613" s="362" t="s">
        <v>82</v>
      </c>
      <c r="D7613" s="560">
        <v>142797022</v>
      </c>
      <c r="E7613" s="560">
        <v>12008676</v>
      </c>
      <c r="F7613" s="560"/>
      <c r="G7613" s="560">
        <f t="shared" si="158"/>
        <v>154805698</v>
      </c>
      <c r="H7613" s="362"/>
      <c r="I7613" s="362"/>
      <c r="J7613" s="362"/>
    </row>
    <row r="7614" spans="1:10" x14ac:dyDescent="0.25">
      <c r="A7614" s="362"/>
      <c r="B7614" s="609">
        <v>44604</v>
      </c>
      <c r="C7614" s="362" t="s">
        <v>80</v>
      </c>
      <c r="D7614" s="560">
        <v>239107482</v>
      </c>
      <c r="E7614" s="560">
        <v>49043343</v>
      </c>
      <c r="F7614" s="560"/>
      <c r="G7614" s="560">
        <f t="shared" si="158"/>
        <v>288150825</v>
      </c>
      <c r="H7614" s="362"/>
      <c r="I7614" s="362"/>
      <c r="J7614" s="362"/>
    </row>
    <row r="7615" spans="1:10" x14ac:dyDescent="0.25">
      <c r="A7615" s="362"/>
      <c r="B7615" s="609">
        <v>44604</v>
      </c>
      <c r="C7615" s="362" t="s">
        <v>83</v>
      </c>
      <c r="D7615" s="560">
        <v>114691980</v>
      </c>
      <c r="E7615" s="560">
        <v>248551720</v>
      </c>
      <c r="F7615" s="560"/>
      <c r="G7615" s="560">
        <f t="shared" si="158"/>
        <v>363243700</v>
      </c>
      <c r="H7615" s="362"/>
      <c r="I7615" s="362"/>
      <c r="J7615" s="362"/>
    </row>
    <row r="7616" spans="1:10" x14ac:dyDescent="0.25">
      <c r="A7616" s="362"/>
      <c r="B7616" s="609">
        <v>44604</v>
      </c>
      <c r="C7616" s="362" t="s">
        <v>78</v>
      </c>
      <c r="D7616" s="560">
        <v>145675755</v>
      </c>
      <c r="E7616" s="560">
        <v>11692345</v>
      </c>
      <c r="F7616" s="560"/>
      <c r="G7616" s="560">
        <f t="shared" si="158"/>
        <v>157368100</v>
      </c>
      <c r="H7616" s="362"/>
      <c r="I7616" s="362"/>
      <c r="J7616" s="362"/>
    </row>
    <row r="7617" spans="1:10" x14ac:dyDescent="0.25">
      <c r="A7617" s="362"/>
      <c r="B7617" s="609">
        <v>44604</v>
      </c>
      <c r="C7617" s="362" t="s">
        <v>141</v>
      </c>
      <c r="D7617" s="560">
        <v>88139921</v>
      </c>
      <c r="E7617" s="560">
        <v>1580200</v>
      </c>
      <c r="F7617" s="560"/>
      <c r="G7617" s="560">
        <f t="shared" si="158"/>
        <v>89720121</v>
      </c>
      <c r="H7617" s="362"/>
      <c r="I7617" s="362"/>
      <c r="J7617" s="362"/>
    </row>
    <row r="7618" spans="1:10" x14ac:dyDescent="0.25">
      <c r="A7618" s="362"/>
      <c r="B7618" s="609">
        <v>44604</v>
      </c>
      <c r="C7618" s="362" t="s">
        <v>89</v>
      </c>
      <c r="D7618" s="560">
        <v>145606640</v>
      </c>
      <c r="E7618" s="560">
        <v>69150260</v>
      </c>
      <c r="F7618" s="560"/>
      <c r="G7618" s="560">
        <f t="shared" si="158"/>
        <v>214756900</v>
      </c>
      <c r="H7618" s="362"/>
      <c r="I7618" s="362"/>
      <c r="J7618" s="362"/>
    </row>
    <row r="7619" spans="1:10" x14ac:dyDescent="0.25">
      <c r="A7619" s="362"/>
      <c r="B7619" s="609">
        <v>44604</v>
      </c>
      <c r="C7619" s="362" t="s">
        <v>81</v>
      </c>
      <c r="D7619" s="560">
        <v>161368679</v>
      </c>
      <c r="E7619" s="560">
        <v>32495592</v>
      </c>
      <c r="F7619" s="560"/>
      <c r="G7619" s="560">
        <f t="shared" si="158"/>
        <v>193864271</v>
      </c>
      <c r="H7619" s="362"/>
      <c r="I7619" s="362"/>
      <c r="J7619" s="362"/>
    </row>
    <row r="7620" spans="1:10" x14ac:dyDescent="0.25">
      <c r="A7620" s="362"/>
      <c r="B7620" s="609">
        <v>44604</v>
      </c>
      <c r="C7620" s="362" t="s">
        <v>84</v>
      </c>
      <c r="D7620" s="560">
        <v>181069429</v>
      </c>
      <c r="E7620" s="560">
        <v>21171464</v>
      </c>
      <c r="F7620" s="560"/>
      <c r="G7620" s="560">
        <f t="shared" si="158"/>
        <v>202240893</v>
      </c>
      <c r="H7620" s="362"/>
      <c r="I7620" s="362"/>
      <c r="J7620" s="362"/>
    </row>
    <row r="7621" spans="1:10" x14ac:dyDescent="0.25">
      <c r="A7621" s="362"/>
      <c r="B7621" s="609">
        <v>44604</v>
      </c>
      <c r="C7621" s="362" t="s">
        <v>4751</v>
      </c>
      <c r="D7621" s="560">
        <v>298922941</v>
      </c>
      <c r="E7621" s="560">
        <v>14747059</v>
      </c>
      <c r="F7621" s="560"/>
      <c r="G7621" s="560">
        <f t="shared" si="158"/>
        <v>313670000</v>
      </c>
      <c r="H7621" s="362"/>
      <c r="I7621" s="362"/>
      <c r="J7621" s="362"/>
    </row>
    <row r="7622" spans="1:10" x14ac:dyDescent="0.25">
      <c r="A7622" s="362"/>
      <c r="B7622" s="609">
        <v>44604</v>
      </c>
      <c r="C7622" s="362" t="s">
        <v>166</v>
      </c>
      <c r="D7622" s="560"/>
      <c r="E7622" s="560"/>
      <c r="F7622" s="560"/>
      <c r="G7622" s="560">
        <f t="shared" si="158"/>
        <v>0</v>
      </c>
      <c r="H7622" s="362"/>
      <c r="I7622" s="362"/>
      <c r="J7622" s="362"/>
    </row>
    <row r="7623" spans="1:10" x14ac:dyDescent="0.25">
      <c r="A7623" s="362"/>
      <c r="B7623" s="609">
        <v>44604</v>
      </c>
      <c r="C7623" s="362" t="s">
        <v>3435</v>
      </c>
      <c r="D7623" s="560"/>
      <c r="E7623" s="560"/>
      <c r="F7623" s="560"/>
      <c r="G7623" s="560">
        <f t="shared" si="158"/>
        <v>0</v>
      </c>
      <c r="H7623" s="362"/>
      <c r="I7623" s="362"/>
      <c r="J7623" s="362"/>
    </row>
    <row r="7624" spans="1:10" x14ac:dyDescent="0.25">
      <c r="A7624" s="362"/>
      <c r="B7624" s="609">
        <v>44604</v>
      </c>
      <c r="C7624" s="370" t="s">
        <v>85</v>
      </c>
      <c r="D7624" s="560">
        <v>23657700</v>
      </c>
      <c r="E7624" s="560"/>
      <c r="F7624" s="560"/>
      <c r="G7624" s="560">
        <f t="shared" si="158"/>
        <v>23657700</v>
      </c>
      <c r="H7624" s="362"/>
      <c r="I7624" s="362"/>
      <c r="J7624" s="362"/>
    </row>
    <row r="7625" spans="1:10" x14ac:dyDescent="0.25">
      <c r="A7625" s="530"/>
      <c r="B7625" s="530"/>
      <c r="C7625" s="530"/>
      <c r="D7625" s="562">
        <f>SUM(D7610:D7624)</f>
        <v>1717376955</v>
      </c>
      <c r="E7625" s="562">
        <f>SUM(E7610:E7624)</f>
        <v>660333685</v>
      </c>
      <c r="F7625" s="562">
        <f>SUM(F7610:F7624)</f>
        <v>0</v>
      </c>
      <c r="G7625" s="562">
        <f>SUM(G7610:G7624)</f>
        <v>2377710640</v>
      </c>
      <c r="H7625" s="530"/>
      <c r="I7625" s="530"/>
      <c r="J7625" s="530"/>
    </row>
    <row r="7626" spans="1:10" x14ac:dyDescent="0.25">
      <c r="A7626" s="362"/>
      <c r="B7626" s="609">
        <v>44606</v>
      </c>
      <c r="C7626" s="362" t="s">
        <v>86</v>
      </c>
      <c r="D7626" s="560">
        <v>202934361</v>
      </c>
      <c r="E7626" s="560"/>
      <c r="F7626" s="560"/>
      <c r="G7626" s="560">
        <f t="shared" si="158"/>
        <v>202934361</v>
      </c>
      <c r="H7626" s="362"/>
      <c r="I7626" s="362"/>
      <c r="J7626" s="362"/>
    </row>
    <row r="7627" spans="1:10" x14ac:dyDescent="0.25">
      <c r="A7627" s="362"/>
      <c r="B7627" s="609">
        <v>44606</v>
      </c>
      <c r="C7627" s="362" t="s">
        <v>87</v>
      </c>
      <c r="D7627" s="560">
        <v>157508520</v>
      </c>
      <c r="E7627" s="560"/>
      <c r="F7627" s="560"/>
      <c r="G7627" s="560">
        <f t="shared" si="158"/>
        <v>157508520</v>
      </c>
      <c r="H7627" s="362"/>
      <c r="I7627" s="362"/>
      <c r="J7627" s="362"/>
    </row>
    <row r="7628" spans="1:10" x14ac:dyDescent="0.25">
      <c r="A7628" s="362"/>
      <c r="B7628" s="609">
        <v>44606</v>
      </c>
      <c r="C7628" s="362" t="s">
        <v>88</v>
      </c>
      <c r="D7628" s="560">
        <v>251261182</v>
      </c>
      <c r="E7628" s="560"/>
      <c r="F7628" s="560"/>
      <c r="G7628" s="560">
        <f t="shared" ref="G7628:G7691" si="159">D7628+E7628-F7628</f>
        <v>251261182</v>
      </c>
      <c r="H7628" s="362"/>
      <c r="I7628" s="362"/>
      <c r="J7628" s="362"/>
    </row>
    <row r="7629" spans="1:10" x14ac:dyDescent="0.25">
      <c r="A7629" s="362"/>
      <c r="B7629" s="609">
        <v>44606</v>
      </c>
      <c r="C7629" s="362" t="s">
        <v>82</v>
      </c>
      <c r="D7629" s="560">
        <v>90038510</v>
      </c>
      <c r="E7629" s="560"/>
      <c r="F7629" s="560"/>
      <c r="G7629" s="560">
        <f t="shared" si="159"/>
        <v>90038510</v>
      </c>
      <c r="H7629" s="362"/>
      <c r="I7629" s="362"/>
      <c r="J7629" s="362"/>
    </row>
    <row r="7630" spans="1:10" x14ac:dyDescent="0.25">
      <c r="A7630" s="362"/>
      <c r="B7630" s="609">
        <v>44606</v>
      </c>
      <c r="C7630" s="362" t="s">
        <v>80</v>
      </c>
      <c r="D7630" s="560">
        <v>289327346</v>
      </c>
      <c r="E7630" s="560"/>
      <c r="F7630" s="560"/>
      <c r="G7630" s="560">
        <f t="shared" si="159"/>
        <v>289327346</v>
      </c>
      <c r="H7630" s="362"/>
      <c r="I7630" s="362"/>
      <c r="J7630" s="362"/>
    </row>
    <row r="7631" spans="1:10" x14ac:dyDescent="0.25">
      <c r="A7631" s="362"/>
      <c r="B7631" s="609">
        <v>44606</v>
      </c>
      <c r="C7631" s="362" t="s">
        <v>83</v>
      </c>
      <c r="D7631" s="560">
        <v>168675487</v>
      </c>
      <c r="E7631" s="560"/>
      <c r="F7631" s="560"/>
      <c r="G7631" s="560">
        <f t="shared" si="159"/>
        <v>168675487</v>
      </c>
      <c r="H7631" s="362"/>
      <c r="I7631" s="362"/>
      <c r="J7631" s="362"/>
    </row>
    <row r="7632" spans="1:10" x14ac:dyDescent="0.25">
      <c r="A7632" s="362"/>
      <c r="B7632" s="609">
        <v>44606</v>
      </c>
      <c r="C7632" s="362" t="s">
        <v>78</v>
      </c>
      <c r="D7632" s="560">
        <v>128168282</v>
      </c>
      <c r="E7632" s="560"/>
      <c r="F7632" s="560"/>
      <c r="G7632" s="560">
        <f t="shared" si="159"/>
        <v>128168282</v>
      </c>
      <c r="H7632" s="362"/>
      <c r="I7632" s="362"/>
      <c r="J7632" s="362"/>
    </row>
    <row r="7633" spans="1:10" x14ac:dyDescent="0.25">
      <c r="A7633" s="362"/>
      <c r="B7633" s="609">
        <v>44606</v>
      </c>
      <c r="C7633" s="362" t="s">
        <v>141</v>
      </c>
      <c r="D7633" s="560">
        <v>103733479</v>
      </c>
      <c r="E7633" s="560"/>
      <c r="F7633" s="560"/>
      <c r="G7633" s="560">
        <f t="shared" si="159"/>
        <v>103733479</v>
      </c>
      <c r="H7633" s="362"/>
      <c r="I7633" s="362"/>
      <c r="J7633" s="362"/>
    </row>
    <row r="7634" spans="1:10" x14ac:dyDescent="0.25">
      <c r="A7634" s="362"/>
      <c r="B7634" s="609">
        <v>44606</v>
      </c>
      <c r="C7634" s="362" t="s">
        <v>89</v>
      </c>
      <c r="D7634" s="560">
        <v>166520300</v>
      </c>
      <c r="E7634" s="560"/>
      <c r="F7634" s="560"/>
      <c r="G7634" s="560">
        <f t="shared" si="159"/>
        <v>166520300</v>
      </c>
      <c r="H7634" s="362"/>
      <c r="I7634" s="362"/>
      <c r="J7634" s="362"/>
    </row>
    <row r="7635" spans="1:10" x14ac:dyDescent="0.25">
      <c r="A7635" s="362"/>
      <c r="B7635" s="609">
        <v>44606</v>
      </c>
      <c r="C7635" s="362" t="s">
        <v>81</v>
      </c>
      <c r="D7635" s="560">
        <v>85022191</v>
      </c>
      <c r="E7635" s="560"/>
      <c r="F7635" s="560"/>
      <c r="G7635" s="560">
        <f t="shared" si="159"/>
        <v>85022191</v>
      </c>
      <c r="H7635" s="362"/>
      <c r="I7635" s="362"/>
      <c r="J7635" s="362"/>
    </row>
    <row r="7636" spans="1:10" x14ac:dyDescent="0.25">
      <c r="A7636" s="362"/>
      <c r="B7636" s="609">
        <v>44606</v>
      </c>
      <c r="C7636" s="362" t="s">
        <v>84</v>
      </c>
      <c r="D7636" s="560">
        <v>361264031</v>
      </c>
      <c r="E7636" s="560"/>
      <c r="F7636" s="560"/>
      <c r="G7636" s="560">
        <f t="shared" si="159"/>
        <v>361264031</v>
      </c>
      <c r="H7636" s="362"/>
      <c r="I7636" s="362"/>
      <c r="J7636" s="362"/>
    </row>
    <row r="7637" spans="1:10" x14ac:dyDescent="0.25">
      <c r="A7637" s="362"/>
      <c r="B7637" s="609">
        <v>44606</v>
      </c>
      <c r="C7637" s="362" t="s">
        <v>4751</v>
      </c>
      <c r="D7637" s="560">
        <v>243494900</v>
      </c>
      <c r="E7637" s="560"/>
      <c r="F7637" s="560"/>
      <c r="G7637" s="560">
        <f t="shared" si="159"/>
        <v>243494900</v>
      </c>
      <c r="H7637" s="362"/>
      <c r="I7637" s="362"/>
      <c r="J7637" s="362"/>
    </row>
    <row r="7638" spans="1:10" x14ac:dyDescent="0.25">
      <c r="A7638" s="362"/>
      <c r="B7638" s="609">
        <v>44606</v>
      </c>
      <c r="C7638" s="362" t="s">
        <v>166</v>
      </c>
      <c r="D7638" s="560">
        <v>59329885</v>
      </c>
      <c r="E7638" s="560"/>
      <c r="F7638" s="560"/>
      <c r="G7638" s="560">
        <f t="shared" si="159"/>
        <v>59329885</v>
      </c>
      <c r="H7638" s="362"/>
      <c r="I7638" s="362"/>
      <c r="J7638" s="362"/>
    </row>
    <row r="7639" spans="1:10" x14ac:dyDescent="0.25">
      <c r="A7639" s="362"/>
      <c r="B7639" s="609">
        <v>44606</v>
      </c>
      <c r="C7639" s="362" t="s">
        <v>3435</v>
      </c>
      <c r="D7639" s="560">
        <v>11846663</v>
      </c>
      <c r="E7639" s="560"/>
      <c r="F7639" s="560"/>
      <c r="G7639" s="560">
        <f t="shared" si="159"/>
        <v>11846663</v>
      </c>
      <c r="H7639" s="362"/>
      <c r="I7639" s="362"/>
      <c r="J7639" s="362"/>
    </row>
    <row r="7640" spans="1:10" x14ac:dyDescent="0.25">
      <c r="A7640" s="362"/>
      <c r="B7640" s="609">
        <v>44606</v>
      </c>
      <c r="C7640" s="370" t="s">
        <v>85</v>
      </c>
      <c r="D7640" s="560">
        <v>65607900</v>
      </c>
      <c r="E7640" s="560"/>
      <c r="F7640" s="560"/>
      <c r="G7640" s="560">
        <f t="shared" si="159"/>
        <v>65607900</v>
      </c>
      <c r="H7640" s="362"/>
      <c r="I7640" s="362"/>
      <c r="J7640" s="362"/>
    </row>
    <row r="7641" spans="1:10" x14ac:dyDescent="0.25">
      <c r="A7641" s="530"/>
      <c r="B7641" s="530"/>
      <c r="C7641" s="530"/>
      <c r="D7641" s="562">
        <f>SUM(D7626:D7640)</f>
        <v>2384733037</v>
      </c>
      <c r="E7641" s="562">
        <f>SUM(E7626:E7640)</f>
        <v>0</v>
      </c>
      <c r="F7641" s="562">
        <f>SUM(F7626:F7640)</f>
        <v>0</v>
      </c>
      <c r="G7641" s="562">
        <f>SUM(G7626:G7640)</f>
        <v>2384733037</v>
      </c>
      <c r="H7641" s="530"/>
      <c r="I7641" s="530"/>
      <c r="J7641" s="530"/>
    </row>
    <row r="7642" spans="1:10" x14ac:dyDescent="0.25">
      <c r="A7642" s="362"/>
      <c r="B7642" s="609">
        <v>44607</v>
      </c>
      <c r="C7642" s="362" t="s">
        <v>86</v>
      </c>
      <c r="D7642" s="560">
        <v>86947599</v>
      </c>
      <c r="E7642" s="560"/>
      <c r="F7642" s="560"/>
      <c r="G7642" s="560">
        <f t="shared" si="159"/>
        <v>86947599</v>
      </c>
      <c r="H7642" s="362"/>
      <c r="I7642" s="362"/>
      <c r="J7642" s="362"/>
    </row>
    <row r="7643" spans="1:10" x14ac:dyDescent="0.25">
      <c r="A7643" s="362"/>
      <c r="B7643" s="609">
        <v>44607</v>
      </c>
      <c r="C7643" s="362" t="s">
        <v>87</v>
      </c>
      <c r="D7643" s="560">
        <v>195070752</v>
      </c>
      <c r="E7643" s="560"/>
      <c r="F7643" s="560"/>
      <c r="G7643" s="560">
        <f t="shared" si="159"/>
        <v>195070752</v>
      </c>
      <c r="H7643" s="362"/>
      <c r="I7643" s="362"/>
      <c r="J7643" s="362"/>
    </row>
    <row r="7644" spans="1:10" x14ac:dyDescent="0.25">
      <c r="A7644" s="362"/>
      <c r="B7644" s="609">
        <v>44607</v>
      </c>
      <c r="C7644" s="362" t="s">
        <v>88</v>
      </c>
      <c r="D7644" s="560">
        <v>111010315</v>
      </c>
      <c r="E7644" s="560"/>
      <c r="F7644" s="560">
        <v>111010400</v>
      </c>
      <c r="G7644" s="560">
        <f t="shared" si="159"/>
        <v>-85</v>
      </c>
      <c r="H7644" s="362"/>
      <c r="I7644" s="362"/>
      <c r="J7644" s="362"/>
    </row>
    <row r="7645" spans="1:10" x14ac:dyDescent="0.25">
      <c r="A7645" s="362"/>
      <c r="B7645" s="609">
        <v>44607</v>
      </c>
      <c r="C7645" s="362" t="s">
        <v>82</v>
      </c>
      <c r="D7645" s="560">
        <v>76430775</v>
      </c>
      <c r="E7645" s="560"/>
      <c r="F7645" s="560">
        <v>76430800</v>
      </c>
      <c r="G7645" s="560">
        <f t="shared" si="159"/>
        <v>-25</v>
      </c>
      <c r="H7645" s="362"/>
      <c r="I7645" s="362"/>
      <c r="J7645" s="362"/>
    </row>
    <row r="7646" spans="1:10" x14ac:dyDescent="0.25">
      <c r="A7646" s="362"/>
      <c r="B7646" s="609">
        <v>44607</v>
      </c>
      <c r="C7646" s="362" t="s">
        <v>80</v>
      </c>
      <c r="D7646" s="560">
        <v>383189400</v>
      </c>
      <c r="E7646" s="560"/>
      <c r="F7646" s="560">
        <v>383189400</v>
      </c>
      <c r="G7646" s="560">
        <f t="shared" si="159"/>
        <v>0</v>
      </c>
      <c r="H7646" s="362"/>
      <c r="I7646" s="362"/>
      <c r="J7646" s="362"/>
    </row>
    <row r="7647" spans="1:10" x14ac:dyDescent="0.25">
      <c r="A7647" s="362"/>
      <c r="B7647" s="609">
        <v>44607</v>
      </c>
      <c r="C7647" s="362" t="s">
        <v>83</v>
      </c>
      <c r="D7647" s="560">
        <v>501807319</v>
      </c>
      <c r="E7647" s="560"/>
      <c r="F7647" s="560">
        <v>501807400</v>
      </c>
      <c r="G7647" s="560">
        <f t="shared" si="159"/>
        <v>-81</v>
      </c>
      <c r="H7647" s="362"/>
      <c r="I7647" s="362"/>
      <c r="J7647" s="362"/>
    </row>
    <row r="7648" spans="1:10" x14ac:dyDescent="0.25">
      <c r="A7648" s="362"/>
      <c r="B7648" s="609">
        <v>44607</v>
      </c>
      <c r="C7648" s="362" t="s">
        <v>78</v>
      </c>
      <c r="D7648" s="560">
        <v>87912903</v>
      </c>
      <c r="E7648" s="560"/>
      <c r="F7648" s="560"/>
      <c r="G7648" s="560">
        <f t="shared" si="159"/>
        <v>87912903</v>
      </c>
      <c r="H7648" s="362"/>
      <c r="I7648" s="362"/>
      <c r="J7648" s="362"/>
    </row>
    <row r="7649" spans="1:10" x14ac:dyDescent="0.25">
      <c r="A7649" s="362"/>
      <c r="B7649" s="609">
        <v>44607</v>
      </c>
      <c r="C7649" s="362" t="s">
        <v>141</v>
      </c>
      <c r="D7649" s="560">
        <v>55888496</v>
      </c>
      <c r="E7649" s="560"/>
      <c r="F7649" s="560">
        <v>56475700</v>
      </c>
      <c r="G7649" s="560">
        <f t="shared" si="159"/>
        <v>-587204</v>
      </c>
      <c r="H7649" s="362"/>
      <c r="I7649" s="362"/>
      <c r="J7649" s="362"/>
    </row>
    <row r="7650" spans="1:10" x14ac:dyDescent="0.25">
      <c r="A7650" s="362"/>
      <c r="B7650" s="609">
        <v>44607</v>
      </c>
      <c r="C7650" s="362" t="s">
        <v>89</v>
      </c>
      <c r="D7650" s="560">
        <v>130353900</v>
      </c>
      <c r="E7650" s="560"/>
      <c r="F7650" s="560">
        <v>130353900</v>
      </c>
      <c r="G7650" s="560">
        <f t="shared" si="159"/>
        <v>0</v>
      </c>
      <c r="H7650" s="362"/>
      <c r="I7650" s="362"/>
      <c r="J7650" s="362"/>
    </row>
    <row r="7651" spans="1:10" x14ac:dyDescent="0.25">
      <c r="A7651" s="362"/>
      <c r="B7651" s="609">
        <v>44607</v>
      </c>
      <c r="C7651" s="362" t="s">
        <v>81</v>
      </c>
      <c r="D7651" s="560">
        <v>84738581</v>
      </c>
      <c r="E7651" s="560"/>
      <c r="F7651" s="560">
        <v>84738700</v>
      </c>
      <c r="G7651" s="560">
        <f t="shared" si="159"/>
        <v>-119</v>
      </c>
      <c r="H7651" s="362"/>
      <c r="I7651" s="362"/>
      <c r="J7651" s="362"/>
    </row>
    <row r="7652" spans="1:10" x14ac:dyDescent="0.25">
      <c r="A7652" s="362"/>
      <c r="B7652" s="609">
        <v>44607</v>
      </c>
      <c r="C7652" s="362" t="s">
        <v>84</v>
      </c>
      <c r="D7652" s="560">
        <v>234074089</v>
      </c>
      <c r="E7652" s="560"/>
      <c r="F7652" s="560">
        <v>234074200</v>
      </c>
      <c r="G7652" s="560">
        <f t="shared" si="159"/>
        <v>-111</v>
      </c>
      <c r="H7652" s="362"/>
      <c r="I7652" s="362"/>
      <c r="J7652" s="362"/>
    </row>
    <row r="7653" spans="1:10" x14ac:dyDescent="0.25">
      <c r="A7653" s="362"/>
      <c r="B7653" s="609">
        <v>44607</v>
      </c>
      <c r="C7653" s="362" t="s">
        <v>4751</v>
      </c>
      <c r="D7653" s="560">
        <v>213272100</v>
      </c>
      <c r="E7653" s="560"/>
      <c r="F7653" s="560">
        <v>213272100</v>
      </c>
      <c r="G7653" s="560">
        <f t="shared" si="159"/>
        <v>0</v>
      </c>
      <c r="H7653" s="362"/>
      <c r="I7653" s="362"/>
      <c r="J7653" s="362"/>
    </row>
    <row r="7654" spans="1:10" x14ac:dyDescent="0.25">
      <c r="A7654" s="362"/>
      <c r="B7654" s="609">
        <v>44607</v>
      </c>
      <c r="C7654" s="362" t="s">
        <v>166</v>
      </c>
      <c r="D7654" s="560">
        <v>127970420</v>
      </c>
      <c r="E7654" s="560"/>
      <c r="F7654" s="560"/>
      <c r="G7654" s="560">
        <f t="shared" si="159"/>
        <v>127970420</v>
      </c>
      <c r="H7654" s="362"/>
      <c r="I7654" s="362"/>
      <c r="J7654" s="362"/>
    </row>
    <row r="7655" spans="1:10" x14ac:dyDescent="0.25">
      <c r="A7655" s="362"/>
      <c r="B7655" s="609">
        <v>44607</v>
      </c>
      <c r="C7655" s="362" t="s">
        <v>3435</v>
      </c>
      <c r="D7655" s="560">
        <v>70531610</v>
      </c>
      <c r="E7655" s="560"/>
      <c r="F7655" s="560">
        <v>70531700</v>
      </c>
      <c r="G7655" s="560">
        <f t="shared" si="159"/>
        <v>-90</v>
      </c>
      <c r="H7655" s="362"/>
      <c r="I7655" s="362"/>
      <c r="J7655" s="362"/>
    </row>
    <row r="7656" spans="1:10" x14ac:dyDescent="0.25">
      <c r="A7656" s="362"/>
      <c r="B7656" s="609">
        <v>44607</v>
      </c>
      <c r="C7656" s="370" t="s">
        <v>85</v>
      </c>
      <c r="D7656" s="560">
        <v>35753100</v>
      </c>
      <c r="E7656" s="560"/>
      <c r="F7656" s="560">
        <v>35753100</v>
      </c>
      <c r="G7656" s="560">
        <f t="shared" si="159"/>
        <v>0</v>
      </c>
      <c r="H7656" s="362"/>
      <c r="I7656" s="362"/>
      <c r="J7656" s="362"/>
    </row>
    <row r="7657" spans="1:10" x14ac:dyDescent="0.25">
      <c r="A7657" s="530"/>
      <c r="B7657" s="530"/>
      <c r="C7657" s="530"/>
      <c r="D7657" s="562">
        <f>SUM(D7642:D7656)</f>
        <v>2394951359</v>
      </c>
      <c r="E7657" s="562">
        <f>SUM(E7642:E7656)</f>
        <v>0</v>
      </c>
      <c r="F7657" s="562">
        <f>SUM(F7642:F7656)</f>
        <v>1897637400</v>
      </c>
      <c r="G7657" s="562">
        <f>SUM(G7642:G7656)</f>
        <v>497313959</v>
      </c>
      <c r="H7657" s="530"/>
      <c r="I7657" s="530"/>
      <c r="J7657" s="530"/>
    </row>
    <row r="7658" spans="1:10" x14ac:dyDescent="0.25">
      <c r="A7658" s="362"/>
      <c r="B7658" s="609">
        <v>44608</v>
      </c>
      <c r="C7658" s="362" t="s">
        <v>86</v>
      </c>
      <c r="D7658" s="560">
        <v>216679451</v>
      </c>
      <c r="E7658" s="560"/>
      <c r="F7658" s="560"/>
      <c r="G7658" s="560">
        <f t="shared" si="159"/>
        <v>216679451</v>
      </c>
      <c r="H7658" s="362"/>
      <c r="I7658" s="362"/>
      <c r="J7658" s="362"/>
    </row>
    <row r="7659" spans="1:10" x14ac:dyDescent="0.25">
      <c r="A7659" s="362"/>
      <c r="B7659" s="609">
        <v>44608</v>
      </c>
      <c r="C7659" s="362" t="s">
        <v>87</v>
      </c>
      <c r="D7659" s="560">
        <v>135073945</v>
      </c>
      <c r="E7659" s="560"/>
      <c r="F7659" s="560"/>
      <c r="G7659" s="560">
        <f t="shared" si="159"/>
        <v>135073945</v>
      </c>
      <c r="H7659" s="362"/>
      <c r="I7659" s="362"/>
      <c r="J7659" s="362"/>
    </row>
    <row r="7660" spans="1:10" x14ac:dyDescent="0.25">
      <c r="A7660" s="362"/>
      <c r="B7660" s="609">
        <v>44608</v>
      </c>
      <c r="C7660" s="362" t="s">
        <v>88</v>
      </c>
      <c r="D7660" s="560">
        <v>270769955</v>
      </c>
      <c r="E7660" s="560"/>
      <c r="F7660" s="560"/>
      <c r="G7660" s="560">
        <f t="shared" si="159"/>
        <v>270769955</v>
      </c>
      <c r="H7660" s="362"/>
      <c r="I7660" s="362"/>
      <c r="J7660" s="362"/>
    </row>
    <row r="7661" spans="1:10" x14ac:dyDescent="0.25">
      <c r="A7661" s="362"/>
      <c r="B7661" s="609">
        <v>44608</v>
      </c>
      <c r="C7661" s="362" t="s">
        <v>82</v>
      </c>
      <c r="D7661" s="560">
        <v>135752096</v>
      </c>
      <c r="E7661" s="560"/>
      <c r="F7661" s="560"/>
      <c r="G7661" s="560">
        <f t="shared" si="159"/>
        <v>135752096</v>
      </c>
      <c r="H7661" s="362"/>
      <c r="I7661" s="362"/>
      <c r="J7661" s="362"/>
    </row>
    <row r="7662" spans="1:10" x14ac:dyDescent="0.25">
      <c r="A7662" s="362"/>
      <c r="B7662" s="609">
        <v>44608</v>
      </c>
      <c r="C7662" s="362" t="s">
        <v>80</v>
      </c>
      <c r="D7662" s="560">
        <v>495629823</v>
      </c>
      <c r="E7662" s="560"/>
      <c r="F7662" s="560"/>
      <c r="G7662" s="560">
        <f t="shared" si="159"/>
        <v>495629823</v>
      </c>
      <c r="H7662" s="362"/>
      <c r="I7662" s="362"/>
      <c r="J7662" s="362"/>
    </row>
    <row r="7663" spans="1:10" x14ac:dyDescent="0.25">
      <c r="A7663" s="362"/>
      <c r="B7663" s="609">
        <v>44608</v>
      </c>
      <c r="C7663" s="362" t="s">
        <v>83</v>
      </c>
      <c r="D7663" s="560">
        <v>207815529</v>
      </c>
      <c r="E7663" s="560"/>
      <c r="F7663" s="560"/>
      <c r="G7663" s="560">
        <f t="shared" si="159"/>
        <v>207815529</v>
      </c>
      <c r="H7663" s="362"/>
      <c r="I7663" s="362"/>
      <c r="J7663" s="362"/>
    </row>
    <row r="7664" spans="1:10" x14ac:dyDescent="0.25">
      <c r="A7664" s="362"/>
      <c r="B7664" s="609">
        <v>44608</v>
      </c>
      <c r="C7664" s="362" t="s">
        <v>78</v>
      </c>
      <c r="D7664" s="560">
        <v>115285925</v>
      </c>
      <c r="E7664" s="560"/>
      <c r="F7664" s="560"/>
      <c r="G7664" s="560">
        <f t="shared" si="159"/>
        <v>115285925</v>
      </c>
      <c r="H7664" s="362"/>
      <c r="I7664" s="362"/>
      <c r="J7664" s="362"/>
    </row>
    <row r="7665" spans="1:10" x14ac:dyDescent="0.25">
      <c r="A7665" s="362"/>
      <c r="B7665" s="609">
        <v>44608</v>
      </c>
      <c r="C7665" s="362" t="s">
        <v>141</v>
      </c>
      <c r="D7665" s="560">
        <v>182415848</v>
      </c>
      <c r="E7665" s="560"/>
      <c r="F7665" s="560"/>
      <c r="G7665" s="560">
        <f t="shared" si="159"/>
        <v>182415848</v>
      </c>
      <c r="H7665" s="362"/>
      <c r="I7665" s="362"/>
      <c r="J7665" s="362"/>
    </row>
    <row r="7666" spans="1:10" x14ac:dyDescent="0.25">
      <c r="A7666" s="362"/>
      <c r="B7666" s="609">
        <v>44608</v>
      </c>
      <c r="C7666" s="362" t="s">
        <v>89</v>
      </c>
      <c r="D7666" s="560">
        <v>168335300</v>
      </c>
      <c r="E7666" s="560"/>
      <c r="F7666" s="560"/>
      <c r="G7666" s="560">
        <f t="shared" si="159"/>
        <v>168335300</v>
      </c>
      <c r="H7666" s="362"/>
      <c r="I7666" s="362"/>
      <c r="J7666" s="362"/>
    </row>
    <row r="7667" spans="1:10" x14ac:dyDescent="0.25">
      <c r="A7667" s="362"/>
      <c r="B7667" s="609">
        <v>44608</v>
      </c>
      <c r="C7667" s="362" t="s">
        <v>81</v>
      </c>
      <c r="D7667" s="560">
        <v>94267755</v>
      </c>
      <c r="E7667" s="560"/>
      <c r="F7667" s="560"/>
      <c r="G7667" s="560">
        <f t="shared" si="159"/>
        <v>94267755</v>
      </c>
      <c r="H7667" s="362"/>
      <c r="I7667" s="362"/>
      <c r="J7667" s="362"/>
    </row>
    <row r="7668" spans="1:10" x14ac:dyDescent="0.25">
      <c r="A7668" s="362"/>
      <c r="B7668" s="609">
        <v>44608</v>
      </c>
      <c r="C7668" s="362" t="s">
        <v>84</v>
      </c>
      <c r="D7668" s="560">
        <v>257802596</v>
      </c>
      <c r="E7668" s="560"/>
      <c r="F7668" s="560"/>
      <c r="G7668" s="560">
        <f t="shared" si="159"/>
        <v>257802596</v>
      </c>
      <c r="H7668" s="362"/>
      <c r="I7668" s="362"/>
      <c r="J7668" s="362"/>
    </row>
    <row r="7669" spans="1:10" x14ac:dyDescent="0.25">
      <c r="A7669" s="362"/>
      <c r="B7669" s="609">
        <v>44608</v>
      </c>
      <c r="C7669" s="362" t="s">
        <v>4751</v>
      </c>
      <c r="D7669" s="560">
        <v>181852200</v>
      </c>
      <c r="E7669" s="560"/>
      <c r="F7669" s="560"/>
      <c r="G7669" s="560">
        <f t="shared" si="159"/>
        <v>181852200</v>
      </c>
      <c r="H7669" s="362"/>
      <c r="I7669" s="362"/>
      <c r="J7669" s="362"/>
    </row>
    <row r="7670" spans="1:10" x14ac:dyDescent="0.25">
      <c r="A7670" s="362"/>
      <c r="B7670" s="609">
        <v>44608</v>
      </c>
      <c r="C7670" s="362" t="s">
        <v>166</v>
      </c>
      <c r="D7670" s="560">
        <v>74605548</v>
      </c>
      <c r="E7670" s="560"/>
      <c r="F7670" s="560"/>
      <c r="G7670" s="560">
        <f t="shared" si="159"/>
        <v>74605548</v>
      </c>
      <c r="H7670" s="362"/>
      <c r="I7670" s="362"/>
      <c r="J7670" s="362"/>
    </row>
    <row r="7671" spans="1:10" x14ac:dyDescent="0.25">
      <c r="A7671" s="362"/>
      <c r="B7671" s="609">
        <v>44608</v>
      </c>
      <c r="C7671" s="362" t="s">
        <v>3435</v>
      </c>
      <c r="D7671" s="560">
        <v>40022361</v>
      </c>
      <c r="E7671" s="560"/>
      <c r="F7671" s="560"/>
      <c r="G7671" s="560">
        <f t="shared" si="159"/>
        <v>40022361</v>
      </c>
      <c r="H7671" s="362"/>
      <c r="I7671" s="362"/>
      <c r="J7671" s="362"/>
    </row>
    <row r="7672" spans="1:10" x14ac:dyDescent="0.25">
      <c r="A7672" s="362"/>
      <c r="B7672" s="609">
        <v>44608</v>
      </c>
      <c r="C7672" s="370" t="s">
        <v>85</v>
      </c>
      <c r="D7672" s="560">
        <v>45905700</v>
      </c>
      <c r="E7672" s="560"/>
      <c r="F7672" s="560"/>
      <c r="G7672" s="560">
        <f t="shared" si="159"/>
        <v>45905700</v>
      </c>
      <c r="H7672" s="362"/>
      <c r="I7672" s="362"/>
      <c r="J7672" s="362"/>
    </row>
    <row r="7673" spans="1:10" x14ac:dyDescent="0.25">
      <c r="A7673" s="530"/>
      <c r="B7673" s="530"/>
      <c r="C7673" s="530"/>
      <c r="D7673" s="562">
        <f>SUM(D7658:D7672)</f>
        <v>2622214032</v>
      </c>
      <c r="E7673" s="562"/>
      <c r="F7673" s="562"/>
      <c r="G7673" s="562">
        <f>SUM(G7658:G7672)</f>
        <v>2622214032</v>
      </c>
      <c r="H7673" s="530"/>
      <c r="I7673" s="530"/>
      <c r="J7673" s="530"/>
    </row>
    <row r="7674" spans="1:10" x14ac:dyDescent="0.25">
      <c r="A7674" s="362"/>
      <c r="B7674" s="609">
        <v>44609</v>
      </c>
      <c r="C7674" s="362" t="s">
        <v>86</v>
      </c>
      <c r="D7674" s="560">
        <v>312336420</v>
      </c>
      <c r="E7674" s="560"/>
      <c r="F7674" s="560"/>
      <c r="G7674" s="560">
        <f t="shared" si="159"/>
        <v>312336420</v>
      </c>
      <c r="H7674" s="362"/>
      <c r="I7674" s="362"/>
      <c r="J7674" s="362"/>
    </row>
    <row r="7675" spans="1:10" x14ac:dyDescent="0.25">
      <c r="A7675" s="362"/>
      <c r="B7675" s="609">
        <v>44609</v>
      </c>
      <c r="C7675" s="362" t="s">
        <v>87</v>
      </c>
      <c r="D7675" s="560">
        <v>201466183</v>
      </c>
      <c r="E7675" s="560"/>
      <c r="F7675" s="560"/>
      <c r="G7675" s="560">
        <f t="shared" si="159"/>
        <v>201466183</v>
      </c>
      <c r="H7675" s="362"/>
      <c r="I7675" s="362"/>
      <c r="J7675" s="362"/>
    </row>
    <row r="7676" spans="1:10" x14ac:dyDescent="0.25">
      <c r="A7676" s="362"/>
      <c r="B7676" s="609">
        <v>44609</v>
      </c>
      <c r="C7676" s="362" t="s">
        <v>88</v>
      </c>
      <c r="D7676" s="560">
        <v>214217103</v>
      </c>
      <c r="E7676" s="560"/>
      <c r="F7676" s="560"/>
      <c r="G7676" s="560">
        <f t="shared" si="159"/>
        <v>214217103</v>
      </c>
      <c r="H7676" s="362"/>
      <c r="I7676" s="362"/>
      <c r="J7676" s="362"/>
    </row>
    <row r="7677" spans="1:10" x14ac:dyDescent="0.25">
      <c r="A7677" s="362"/>
      <c r="B7677" s="609">
        <v>44609</v>
      </c>
      <c r="C7677" s="362" t="s">
        <v>82</v>
      </c>
      <c r="D7677" s="560">
        <v>126550640</v>
      </c>
      <c r="E7677" s="560"/>
      <c r="F7677" s="560"/>
      <c r="G7677" s="560">
        <f t="shared" si="159"/>
        <v>126550640</v>
      </c>
      <c r="H7677" s="362"/>
      <c r="I7677" s="362"/>
      <c r="J7677" s="362"/>
    </row>
    <row r="7678" spans="1:10" x14ac:dyDescent="0.25">
      <c r="A7678" s="362"/>
      <c r="B7678" s="609">
        <v>44609</v>
      </c>
      <c r="C7678" s="362" t="s">
        <v>80</v>
      </c>
      <c r="D7678" s="560">
        <v>486445984</v>
      </c>
      <c r="E7678" s="560"/>
      <c r="F7678" s="560"/>
      <c r="G7678" s="560">
        <f t="shared" si="159"/>
        <v>486445984</v>
      </c>
      <c r="H7678" s="362"/>
      <c r="I7678" s="362"/>
      <c r="J7678" s="362"/>
    </row>
    <row r="7679" spans="1:10" x14ac:dyDescent="0.25">
      <c r="A7679" s="362"/>
      <c r="B7679" s="609">
        <v>44609</v>
      </c>
      <c r="C7679" s="362" t="s">
        <v>83</v>
      </c>
      <c r="D7679" s="560">
        <v>156939255</v>
      </c>
      <c r="E7679" s="560"/>
      <c r="F7679" s="560"/>
      <c r="G7679" s="560">
        <f t="shared" si="159"/>
        <v>156939255</v>
      </c>
      <c r="H7679" s="362"/>
      <c r="I7679" s="362"/>
      <c r="J7679" s="362"/>
    </row>
    <row r="7680" spans="1:10" x14ac:dyDescent="0.25">
      <c r="A7680" s="362"/>
      <c r="B7680" s="609">
        <v>44609</v>
      </c>
      <c r="C7680" s="362" t="s">
        <v>78</v>
      </c>
      <c r="D7680" s="560">
        <v>134663520</v>
      </c>
      <c r="E7680" s="560"/>
      <c r="F7680" s="560"/>
      <c r="G7680" s="560">
        <f t="shared" si="159"/>
        <v>134663520</v>
      </c>
      <c r="H7680" s="362"/>
      <c r="I7680" s="362"/>
      <c r="J7680" s="362"/>
    </row>
    <row r="7681" spans="1:10" x14ac:dyDescent="0.25">
      <c r="A7681" s="362"/>
      <c r="B7681" s="609">
        <v>44609</v>
      </c>
      <c r="C7681" s="362" t="s">
        <v>141</v>
      </c>
      <c r="D7681" s="560">
        <v>60431474</v>
      </c>
      <c r="E7681" s="560"/>
      <c r="F7681" s="560"/>
      <c r="G7681" s="560">
        <f t="shared" si="159"/>
        <v>60431474</v>
      </c>
      <c r="H7681" s="362"/>
      <c r="I7681" s="362"/>
      <c r="J7681" s="362"/>
    </row>
    <row r="7682" spans="1:10" x14ac:dyDescent="0.25">
      <c r="A7682" s="362"/>
      <c r="B7682" s="609">
        <v>44609</v>
      </c>
      <c r="C7682" s="362" t="s">
        <v>89</v>
      </c>
      <c r="D7682" s="560">
        <v>167331700</v>
      </c>
      <c r="E7682" s="560"/>
      <c r="F7682" s="560"/>
      <c r="G7682" s="560">
        <f t="shared" si="159"/>
        <v>167331700</v>
      </c>
      <c r="H7682" s="362"/>
      <c r="I7682" s="362"/>
      <c r="J7682" s="362"/>
    </row>
    <row r="7683" spans="1:10" x14ac:dyDescent="0.25">
      <c r="A7683" s="362"/>
      <c r="B7683" s="609">
        <v>44609</v>
      </c>
      <c r="C7683" s="362" t="s">
        <v>81</v>
      </c>
      <c r="D7683" s="560">
        <v>169404305</v>
      </c>
      <c r="E7683" s="560"/>
      <c r="F7683" s="560"/>
      <c r="G7683" s="560">
        <f t="shared" si="159"/>
        <v>169404305</v>
      </c>
      <c r="H7683" s="362"/>
      <c r="I7683" s="362"/>
      <c r="J7683" s="362"/>
    </row>
    <row r="7684" spans="1:10" x14ac:dyDescent="0.25">
      <c r="A7684" s="362"/>
      <c r="B7684" s="609">
        <v>44609</v>
      </c>
      <c r="C7684" s="362" t="s">
        <v>84</v>
      </c>
      <c r="D7684" s="560">
        <v>296387574</v>
      </c>
      <c r="E7684" s="560"/>
      <c r="F7684" s="560"/>
      <c r="G7684" s="560">
        <f t="shared" si="159"/>
        <v>296387574</v>
      </c>
      <c r="H7684" s="362"/>
      <c r="I7684" s="362"/>
      <c r="J7684" s="362"/>
    </row>
    <row r="7685" spans="1:10" x14ac:dyDescent="0.25">
      <c r="A7685" s="362"/>
      <c r="B7685" s="609">
        <v>44609</v>
      </c>
      <c r="C7685" s="362" t="s">
        <v>4751</v>
      </c>
      <c r="D7685" s="560">
        <v>185049300</v>
      </c>
      <c r="E7685" s="560"/>
      <c r="F7685" s="560"/>
      <c r="G7685" s="560">
        <f t="shared" si="159"/>
        <v>185049300</v>
      </c>
      <c r="H7685" s="362"/>
      <c r="I7685" s="362"/>
      <c r="J7685" s="362"/>
    </row>
    <row r="7686" spans="1:10" x14ac:dyDescent="0.25">
      <c r="A7686" s="362"/>
      <c r="B7686" s="609">
        <v>44609</v>
      </c>
      <c r="C7686" s="362" t="s">
        <v>166</v>
      </c>
      <c r="D7686" s="560">
        <v>120092365</v>
      </c>
      <c r="E7686" s="560"/>
      <c r="F7686" s="560"/>
      <c r="G7686" s="560">
        <f t="shared" si="159"/>
        <v>120092365</v>
      </c>
      <c r="H7686" s="362"/>
      <c r="I7686" s="362"/>
      <c r="J7686" s="362"/>
    </row>
    <row r="7687" spans="1:10" x14ac:dyDescent="0.25">
      <c r="A7687" s="362"/>
      <c r="B7687" s="609">
        <v>44609</v>
      </c>
      <c r="C7687" s="362" t="s">
        <v>3435</v>
      </c>
      <c r="D7687" s="560">
        <v>104968256</v>
      </c>
      <c r="E7687" s="560"/>
      <c r="F7687" s="560"/>
      <c r="G7687" s="560">
        <f t="shared" si="159"/>
        <v>104968256</v>
      </c>
      <c r="H7687" s="362"/>
      <c r="I7687" s="362"/>
      <c r="J7687" s="362"/>
    </row>
    <row r="7688" spans="1:10" x14ac:dyDescent="0.25">
      <c r="A7688" s="362"/>
      <c r="B7688" s="609">
        <v>44609</v>
      </c>
      <c r="C7688" s="370" t="s">
        <v>85</v>
      </c>
      <c r="D7688" s="560">
        <v>23939200</v>
      </c>
      <c r="E7688" s="560"/>
      <c r="F7688" s="560"/>
      <c r="G7688" s="560">
        <f t="shared" si="159"/>
        <v>23939200</v>
      </c>
      <c r="H7688" s="362"/>
      <c r="I7688" s="362"/>
      <c r="J7688" s="362"/>
    </row>
    <row r="7689" spans="1:10" x14ac:dyDescent="0.25">
      <c r="A7689" s="530"/>
      <c r="B7689" s="530"/>
      <c r="C7689" s="530"/>
      <c r="D7689" s="562">
        <f>SUM(D7674:D7688)</f>
        <v>2760223279</v>
      </c>
      <c r="E7689" s="562">
        <f>SUM(E7674:E7688)</f>
        <v>0</v>
      </c>
      <c r="F7689" s="562">
        <f>SUM(F7674:F7688)</f>
        <v>0</v>
      </c>
      <c r="G7689" s="562">
        <f>SUM(G7674:G7688)</f>
        <v>2760223279</v>
      </c>
      <c r="H7689" s="530"/>
      <c r="I7689" s="530"/>
      <c r="J7689" s="530"/>
    </row>
    <row r="7690" spans="1:10" x14ac:dyDescent="0.25">
      <c r="A7690" s="362"/>
      <c r="B7690" s="609">
        <v>44610</v>
      </c>
      <c r="C7690" s="362" t="s">
        <v>86</v>
      </c>
      <c r="D7690" s="560">
        <v>123876871</v>
      </c>
      <c r="E7690" s="560"/>
      <c r="F7690" s="560"/>
      <c r="G7690" s="560">
        <f t="shared" si="159"/>
        <v>123876871</v>
      </c>
      <c r="H7690" s="362"/>
      <c r="I7690" s="362"/>
      <c r="J7690" s="362"/>
    </row>
    <row r="7691" spans="1:10" x14ac:dyDescent="0.25">
      <c r="A7691" s="362"/>
      <c r="B7691" s="609">
        <v>44610</v>
      </c>
      <c r="C7691" s="362" t="s">
        <v>87</v>
      </c>
      <c r="D7691" s="560">
        <v>168998401</v>
      </c>
      <c r="E7691" s="560"/>
      <c r="F7691" s="560"/>
      <c r="G7691" s="560">
        <f t="shared" si="159"/>
        <v>168998401</v>
      </c>
      <c r="H7691" s="362"/>
      <c r="I7691" s="362"/>
      <c r="J7691" s="362"/>
    </row>
    <row r="7692" spans="1:10" x14ac:dyDescent="0.25">
      <c r="A7692" s="362"/>
      <c r="B7692" s="609">
        <v>44610</v>
      </c>
      <c r="C7692" s="362" t="s">
        <v>88</v>
      </c>
      <c r="D7692" s="560">
        <v>132133117</v>
      </c>
      <c r="E7692" s="560"/>
      <c r="F7692" s="560"/>
      <c r="G7692" s="560">
        <f t="shared" ref="G7692:G7755" si="160">D7692+E7692-F7692</f>
        <v>132133117</v>
      </c>
      <c r="H7692" s="362"/>
      <c r="I7692" s="362"/>
      <c r="J7692" s="362"/>
    </row>
    <row r="7693" spans="1:10" x14ac:dyDescent="0.25">
      <c r="A7693" s="362"/>
      <c r="B7693" s="609">
        <v>44610</v>
      </c>
      <c r="C7693" s="362" t="s">
        <v>82</v>
      </c>
      <c r="D7693" s="560">
        <v>116464254</v>
      </c>
      <c r="E7693" s="560"/>
      <c r="F7693" s="560"/>
      <c r="G7693" s="560">
        <f t="shared" si="160"/>
        <v>116464254</v>
      </c>
      <c r="H7693" s="362"/>
      <c r="I7693" s="362"/>
      <c r="J7693" s="362"/>
    </row>
    <row r="7694" spans="1:10" x14ac:dyDescent="0.25">
      <c r="A7694" s="362"/>
      <c r="B7694" s="609">
        <v>44610</v>
      </c>
      <c r="C7694" s="362" t="s">
        <v>80</v>
      </c>
      <c r="D7694" s="560">
        <v>257296179</v>
      </c>
      <c r="E7694" s="560"/>
      <c r="F7694" s="560"/>
      <c r="G7694" s="560">
        <f t="shared" si="160"/>
        <v>257296179</v>
      </c>
      <c r="H7694" s="362"/>
      <c r="I7694" s="362"/>
      <c r="J7694" s="362"/>
    </row>
    <row r="7695" spans="1:10" x14ac:dyDescent="0.25">
      <c r="A7695" s="362"/>
      <c r="B7695" s="609">
        <v>44610</v>
      </c>
      <c r="C7695" s="362" t="s">
        <v>83</v>
      </c>
      <c r="D7695" s="560">
        <v>147363998</v>
      </c>
      <c r="E7695" s="560"/>
      <c r="F7695" s="560"/>
      <c r="G7695" s="560">
        <f t="shared" si="160"/>
        <v>147363998</v>
      </c>
      <c r="H7695" s="362"/>
      <c r="I7695" s="362"/>
      <c r="J7695" s="362"/>
    </row>
    <row r="7696" spans="1:10" x14ac:dyDescent="0.25">
      <c r="A7696" s="362"/>
      <c r="B7696" s="609">
        <v>44610</v>
      </c>
      <c r="C7696" s="362" t="s">
        <v>78</v>
      </c>
      <c r="D7696" s="560">
        <v>139750528</v>
      </c>
      <c r="E7696" s="560"/>
      <c r="F7696" s="560"/>
      <c r="G7696" s="560">
        <f t="shared" si="160"/>
        <v>139750528</v>
      </c>
      <c r="H7696" s="362"/>
      <c r="I7696" s="362"/>
      <c r="J7696" s="362"/>
    </row>
    <row r="7697" spans="1:10" x14ac:dyDescent="0.25">
      <c r="A7697" s="362"/>
      <c r="B7697" s="609">
        <v>44610</v>
      </c>
      <c r="C7697" s="362" t="s">
        <v>141</v>
      </c>
      <c r="D7697" s="560">
        <v>83077731</v>
      </c>
      <c r="E7697" s="560"/>
      <c r="F7697" s="560"/>
      <c r="G7697" s="560">
        <f t="shared" si="160"/>
        <v>83077731</v>
      </c>
      <c r="H7697" s="362"/>
      <c r="I7697" s="362"/>
      <c r="J7697" s="362"/>
    </row>
    <row r="7698" spans="1:10" x14ac:dyDescent="0.25">
      <c r="A7698" s="362"/>
      <c r="B7698" s="609">
        <v>44610</v>
      </c>
      <c r="C7698" s="362" t="s">
        <v>89</v>
      </c>
      <c r="D7698" s="560">
        <v>203550200</v>
      </c>
      <c r="E7698" s="560"/>
      <c r="F7698" s="560"/>
      <c r="G7698" s="560">
        <f t="shared" si="160"/>
        <v>203550200</v>
      </c>
      <c r="H7698" s="362"/>
      <c r="I7698" s="362"/>
      <c r="J7698" s="362"/>
    </row>
    <row r="7699" spans="1:10" x14ac:dyDescent="0.25">
      <c r="A7699" s="362"/>
      <c r="B7699" s="609">
        <v>44610</v>
      </c>
      <c r="C7699" s="362" t="s">
        <v>81</v>
      </c>
      <c r="D7699" s="560">
        <v>115367351</v>
      </c>
      <c r="E7699" s="560"/>
      <c r="F7699" s="560"/>
      <c r="G7699" s="560">
        <f t="shared" si="160"/>
        <v>115367351</v>
      </c>
      <c r="H7699" s="362"/>
      <c r="I7699" s="362"/>
      <c r="J7699" s="362"/>
    </row>
    <row r="7700" spans="1:10" x14ac:dyDescent="0.25">
      <c r="A7700" s="362"/>
      <c r="B7700" s="609">
        <v>44610</v>
      </c>
      <c r="C7700" s="362" t="s">
        <v>84</v>
      </c>
      <c r="D7700" s="560">
        <v>357480125</v>
      </c>
      <c r="E7700" s="560"/>
      <c r="F7700" s="560"/>
      <c r="G7700" s="560">
        <f t="shared" si="160"/>
        <v>357480125</v>
      </c>
      <c r="H7700" s="362"/>
      <c r="I7700" s="362"/>
      <c r="J7700" s="362"/>
    </row>
    <row r="7701" spans="1:10" x14ac:dyDescent="0.25">
      <c r="A7701" s="362"/>
      <c r="B7701" s="609">
        <v>44610</v>
      </c>
      <c r="C7701" s="362" t="s">
        <v>4751</v>
      </c>
      <c r="D7701" s="560">
        <v>162139800</v>
      </c>
      <c r="E7701" s="560"/>
      <c r="F7701" s="560"/>
      <c r="G7701" s="560">
        <f t="shared" si="160"/>
        <v>162139800</v>
      </c>
      <c r="H7701" s="362"/>
      <c r="I7701" s="362"/>
      <c r="J7701" s="362"/>
    </row>
    <row r="7702" spans="1:10" x14ac:dyDescent="0.25">
      <c r="A7702" s="362"/>
      <c r="B7702" s="609">
        <v>44610</v>
      </c>
      <c r="C7702" s="362" t="s">
        <v>166</v>
      </c>
      <c r="D7702" s="560">
        <v>43224684</v>
      </c>
      <c r="E7702" s="560"/>
      <c r="F7702" s="560"/>
      <c r="G7702" s="560">
        <f t="shared" si="160"/>
        <v>43224684</v>
      </c>
      <c r="H7702" s="362"/>
      <c r="I7702" s="362"/>
      <c r="J7702" s="362"/>
    </row>
    <row r="7703" spans="1:10" x14ac:dyDescent="0.25">
      <c r="A7703" s="362"/>
      <c r="B7703" s="609">
        <v>44610</v>
      </c>
      <c r="C7703" s="362" t="s">
        <v>3435</v>
      </c>
      <c r="D7703" s="560">
        <v>112137035</v>
      </c>
      <c r="E7703" s="560"/>
      <c r="F7703" s="560"/>
      <c r="G7703" s="560">
        <f t="shared" si="160"/>
        <v>112137035</v>
      </c>
      <c r="H7703" s="362"/>
      <c r="I7703" s="362"/>
      <c r="J7703" s="362"/>
    </row>
    <row r="7704" spans="1:10" x14ac:dyDescent="0.25">
      <c r="A7704" s="362"/>
      <c r="B7704" s="609">
        <v>44610</v>
      </c>
      <c r="C7704" s="370" t="s">
        <v>85</v>
      </c>
      <c r="D7704" s="560">
        <v>25623700</v>
      </c>
      <c r="E7704" s="560"/>
      <c r="F7704" s="560"/>
      <c r="G7704" s="560">
        <f t="shared" si="160"/>
        <v>25623700</v>
      </c>
      <c r="H7704" s="362"/>
      <c r="I7704" s="362"/>
      <c r="J7704" s="362"/>
    </row>
    <row r="7705" spans="1:10" x14ac:dyDescent="0.25">
      <c r="A7705" s="530"/>
      <c r="B7705" s="530"/>
      <c r="C7705" s="530"/>
      <c r="D7705" s="562">
        <f>SUM(D7690:D7704)</f>
        <v>2188483974</v>
      </c>
      <c r="E7705" s="562">
        <f>SUM(E7690:E7704)</f>
        <v>0</v>
      </c>
      <c r="F7705" s="562">
        <f>SUM(F7690:F7704)</f>
        <v>0</v>
      </c>
      <c r="G7705" s="562">
        <f>SUM(G7690:G7704)</f>
        <v>2188483974</v>
      </c>
      <c r="H7705" s="530"/>
      <c r="I7705" s="530"/>
      <c r="J7705" s="530"/>
    </row>
    <row r="7706" spans="1:10" x14ac:dyDescent="0.25">
      <c r="A7706" s="362"/>
      <c r="B7706" s="609">
        <v>44611</v>
      </c>
      <c r="C7706" s="362" t="s">
        <v>86</v>
      </c>
      <c r="D7706" s="560">
        <v>102276528</v>
      </c>
      <c r="E7706" s="560"/>
      <c r="F7706" s="560"/>
      <c r="G7706" s="560">
        <f t="shared" si="160"/>
        <v>102276528</v>
      </c>
      <c r="H7706" s="362"/>
      <c r="I7706" s="362"/>
      <c r="J7706" s="362"/>
    </row>
    <row r="7707" spans="1:10" x14ac:dyDescent="0.25">
      <c r="A7707" s="362"/>
      <c r="B7707" s="609">
        <v>44611</v>
      </c>
      <c r="C7707" s="362" t="s">
        <v>87</v>
      </c>
      <c r="D7707" s="560">
        <v>200051480</v>
      </c>
      <c r="E7707" s="560"/>
      <c r="F7707" s="560"/>
      <c r="G7707" s="560">
        <f t="shared" si="160"/>
        <v>200051480</v>
      </c>
      <c r="H7707" s="362"/>
      <c r="I7707" s="362"/>
      <c r="J7707" s="362"/>
    </row>
    <row r="7708" spans="1:10" x14ac:dyDescent="0.25">
      <c r="A7708" s="362"/>
      <c r="B7708" s="609">
        <v>44611</v>
      </c>
      <c r="C7708" s="362" t="s">
        <v>88</v>
      </c>
      <c r="D7708" s="560">
        <v>146945697</v>
      </c>
      <c r="E7708" s="560"/>
      <c r="F7708" s="560"/>
      <c r="G7708" s="560">
        <f t="shared" si="160"/>
        <v>146945697</v>
      </c>
      <c r="H7708" s="362"/>
      <c r="I7708" s="362"/>
      <c r="J7708" s="362"/>
    </row>
    <row r="7709" spans="1:10" x14ac:dyDescent="0.25">
      <c r="A7709" s="362"/>
      <c r="B7709" s="609">
        <v>44611</v>
      </c>
      <c r="C7709" s="362" t="s">
        <v>82</v>
      </c>
      <c r="D7709" s="560">
        <v>95514312</v>
      </c>
      <c r="E7709" s="560"/>
      <c r="F7709" s="560"/>
      <c r="G7709" s="560">
        <f t="shared" si="160"/>
        <v>95514312</v>
      </c>
      <c r="H7709" s="362"/>
      <c r="I7709" s="362"/>
      <c r="J7709" s="362"/>
    </row>
    <row r="7710" spans="1:10" x14ac:dyDescent="0.25">
      <c r="A7710" s="362"/>
      <c r="B7710" s="609">
        <v>44611</v>
      </c>
      <c r="C7710" s="362" t="s">
        <v>80</v>
      </c>
      <c r="D7710" s="560">
        <v>294056375</v>
      </c>
      <c r="E7710" s="560"/>
      <c r="F7710" s="560"/>
      <c r="G7710" s="560">
        <f t="shared" si="160"/>
        <v>294056375</v>
      </c>
      <c r="H7710" s="362"/>
      <c r="I7710" s="362"/>
      <c r="J7710" s="362"/>
    </row>
    <row r="7711" spans="1:10" x14ac:dyDescent="0.25">
      <c r="A7711" s="362"/>
      <c r="B7711" s="609">
        <v>44611</v>
      </c>
      <c r="C7711" s="362" t="s">
        <v>83</v>
      </c>
      <c r="D7711" s="560">
        <v>333543802</v>
      </c>
      <c r="E7711" s="560"/>
      <c r="F7711" s="560"/>
      <c r="G7711" s="560">
        <f t="shared" si="160"/>
        <v>333543802</v>
      </c>
      <c r="H7711" s="362"/>
      <c r="I7711" s="362"/>
      <c r="J7711" s="362"/>
    </row>
    <row r="7712" spans="1:10" x14ac:dyDescent="0.25">
      <c r="A7712" s="362"/>
      <c r="B7712" s="609">
        <v>44611</v>
      </c>
      <c r="C7712" s="362" t="s">
        <v>78</v>
      </c>
      <c r="D7712" s="560">
        <v>144626066</v>
      </c>
      <c r="E7712" s="560"/>
      <c r="F7712" s="560"/>
      <c r="G7712" s="560">
        <f t="shared" si="160"/>
        <v>144626066</v>
      </c>
      <c r="H7712" s="362"/>
      <c r="I7712" s="362"/>
      <c r="J7712" s="362"/>
    </row>
    <row r="7713" spans="1:10" x14ac:dyDescent="0.25">
      <c r="A7713" s="362"/>
      <c r="B7713" s="609">
        <v>44611</v>
      </c>
      <c r="C7713" s="362" t="s">
        <v>141</v>
      </c>
      <c r="D7713" s="560">
        <v>62160924</v>
      </c>
      <c r="E7713" s="560"/>
      <c r="F7713" s="560"/>
      <c r="G7713" s="560">
        <f t="shared" si="160"/>
        <v>62160924</v>
      </c>
      <c r="H7713" s="362"/>
      <c r="I7713" s="362"/>
      <c r="J7713" s="362"/>
    </row>
    <row r="7714" spans="1:10" x14ac:dyDescent="0.25">
      <c r="A7714" s="362"/>
      <c r="B7714" s="609">
        <v>44611</v>
      </c>
      <c r="C7714" s="362" t="s">
        <v>89</v>
      </c>
      <c r="D7714" s="560">
        <v>111772500</v>
      </c>
      <c r="E7714" s="560"/>
      <c r="F7714" s="560"/>
      <c r="G7714" s="560">
        <f t="shared" si="160"/>
        <v>111772500</v>
      </c>
      <c r="H7714" s="362"/>
      <c r="I7714" s="362"/>
      <c r="J7714" s="362"/>
    </row>
    <row r="7715" spans="1:10" x14ac:dyDescent="0.25">
      <c r="A7715" s="362"/>
      <c r="B7715" s="609">
        <v>44611</v>
      </c>
      <c r="C7715" s="362" t="s">
        <v>81</v>
      </c>
      <c r="D7715" s="560">
        <v>182254179</v>
      </c>
      <c r="E7715" s="560"/>
      <c r="F7715" s="560"/>
      <c r="G7715" s="560">
        <f t="shared" si="160"/>
        <v>182254179</v>
      </c>
      <c r="H7715" s="362"/>
      <c r="I7715" s="362"/>
      <c r="J7715" s="362"/>
    </row>
    <row r="7716" spans="1:10" x14ac:dyDescent="0.25">
      <c r="A7716" s="362"/>
      <c r="B7716" s="609">
        <v>44611</v>
      </c>
      <c r="C7716" s="362" t="s">
        <v>84</v>
      </c>
      <c r="D7716" s="560">
        <v>268606395</v>
      </c>
      <c r="E7716" s="560"/>
      <c r="F7716" s="560"/>
      <c r="G7716" s="560">
        <f t="shared" si="160"/>
        <v>268606395</v>
      </c>
      <c r="H7716" s="362"/>
      <c r="I7716" s="362"/>
      <c r="J7716" s="362"/>
    </row>
    <row r="7717" spans="1:10" x14ac:dyDescent="0.25">
      <c r="A7717" s="362"/>
      <c r="B7717" s="609">
        <v>44611</v>
      </c>
      <c r="C7717" s="362" t="s">
        <v>4751</v>
      </c>
      <c r="D7717" s="560">
        <v>247970600</v>
      </c>
      <c r="E7717" s="560"/>
      <c r="F7717" s="560"/>
      <c r="G7717" s="560">
        <f t="shared" si="160"/>
        <v>247970600</v>
      </c>
      <c r="H7717" s="362"/>
      <c r="I7717" s="362"/>
      <c r="J7717" s="362"/>
    </row>
    <row r="7718" spans="1:10" x14ac:dyDescent="0.25">
      <c r="A7718" s="362"/>
      <c r="B7718" s="609">
        <v>44611</v>
      </c>
      <c r="C7718" s="362" t="s">
        <v>166</v>
      </c>
      <c r="D7718" s="560"/>
      <c r="E7718" s="560"/>
      <c r="F7718" s="560"/>
      <c r="G7718" s="560">
        <f t="shared" si="160"/>
        <v>0</v>
      </c>
      <c r="H7718" s="362"/>
      <c r="I7718" s="362"/>
      <c r="J7718" s="362"/>
    </row>
    <row r="7719" spans="1:10" x14ac:dyDescent="0.25">
      <c r="A7719" s="362"/>
      <c r="B7719" s="609">
        <v>44611</v>
      </c>
      <c r="C7719" s="362" t="s">
        <v>3435</v>
      </c>
      <c r="D7719" s="560"/>
      <c r="E7719" s="560"/>
      <c r="F7719" s="560"/>
      <c r="G7719" s="560">
        <f t="shared" si="160"/>
        <v>0</v>
      </c>
      <c r="H7719" s="362"/>
      <c r="I7719" s="362"/>
      <c r="J7719" s="362"/>
    </row>
    <row r="7720" spans="1:10" x14ac:dyDescent="0.25">
      <c r="A7720" s="362"/>
      <c r="B7720" s="609">
        <v>44611</v>
      </c>
      <c r="C7720" s="370" t="s">
        <v>85</v>
      </c>
      <c r="D7720" s="560">
        <v>36714500</v>
      </c>
      <c r="E7720" s="560"/>
      <c r="F7720" s="560"/>
      <c r="G7720" s="560">
        <f t="shared" si="160"/>
        <v>36714500</v>
      </c>
      <c r="H7720" s="362"/>
      <c r="I7720" s="362"/>
      <c r="J7720" s="362"/>
    </row>
    <row r="7721" spans="1:10" x14ac:dyDescent="0.25">
      <c r="A7721" s="530"/>
      <c r="B7721" s="530"/>
      <c r="C7721" s="530"/>
      <c r="D7721" s="562">
        <f>SUM(D7706:D7720)</f>
        <v>2226493358</v>
      </c>
      <c r="E7721" s="562">
        <f>SUM(E7706:E7720)</f>
        <v>0</v>
      </c>
      <c r="F7721" s="562">
        <f>SUM(F7706:F7720)</f>
        <v>0</v>
      </c>
      <c r="G7721" s="562">
        <f>SUM(G7706:G7720)</f>
        <v>2226493358</v>
      </c>
      <c r="H7721" s="530"/>
      <c r="I7721" s="530"/>
      <c r="J7721" s="530"/>
    </row>
    <row r="7722" spans="1:10" x14ac:dyDescent="0.25">
      <c r="A7722" s="362"/>
      <c r="B7722" s="609">
        <v>44613</v>
      </c>
      <c r="C7722" s="362" t="s">
        <v>86</v>
      </c>
      <c r="D7722" s="560">
        <v>70835908</v>
      </c>
      <c r="E7722" s="560"/>
      <c r="F7722" s="560">
        <v>70836000</v>
      </c>
      <c r="G7722" s="560">
        <f t="shared" si="160"/>
        <v>-92</v>
      </c>
      <c r="H7722" s="362"/>
      <c r="I7722" s="362"/>
      <c r="J7722" s="362"/>
    </row>
    <row r="7723" spans="1:10" x14ac:dyDescent="0.25">
      <c r="A7723" s="362"/>
      <c r="B7723" s="609">
        <v>44613</v>
      </c>
      <c r="C7723" s="362" t="s">
        <v>87</v>
      </c>
      <c r="D7723" s="560">
        <v>225269306</v>
      </c>
      <c r="E7723" s="560"/>
      <c r="F7723" s="560">
        <v>225269400</v>
      </c>
      <c r="G7723" s="560">
        <f t="shared" si="160"/>
        <v>-94</v>
      </c>
      <c r="H7723" s="362"/>
      <c r="I7723" s="362"/>
      <c r="J7723" s="362"/>
    </row>
    <row r="7724" spans="1:10" x14ac:dyDescent="0.25">
      <c r="A7724" s="362"/>
      <c r="B7724" s="609">
        <v>44613</v>
      </c>
      <c r="C7724" s="362" t="s">
        <v>88</v>
      </c>
      <c r="D7724" s="560">
        <v>225928336</v>
      </c>
      <c r="E7724" s="560"/>
      <c r="F7724" s="560">
        <v>225928400</v>
      </c>
      <c r="G7724" s="560">
        <f t="shared" si="160"/>
        <v>-64</v>
      </c>
      <c r="H7724" s="362"/>
      <c r="I7724" s="362"/>
      <c r="J7724" s="362"/>
    </row>
    <row r="7725" spans="1:10" x14ac:dyDescent="0.25">
      <c r="A7725" s="362"/>
      <c r="B7725" s="609">
        <v>44613</v>
      </c>
      <c r="C7725" s="362" t="s">
        <v>82</v>
      </c>
      <c r="D7725" s="560">
        <v>116265087</v>
      </c>
      <c r="E7725" s="560"/>
      <c r="F7725" s="560">
        <v>116267300</v>
      </c>
      <c r="G7725" s="560">
        <f t="shared" si="160"/>
        <v>-2213</v>
      </c>
      <c r="H7725" s="362"/>
      <c r="I7725" s="362"/>
      <c r="J7725" s="362"/>
    </row>
    <row r="7726" spans="1:10" x14ac:dyDescent="0.25">
      <c r="A7726" s="362"/>
      <c r="B7726" s="609">
        <v>44613</v>
      </c>
      <c r="C7726" s="362" t="s">
        <v>80</v>
      </c>
      <c r="D7726" s="560">
        <v>350531900</v>
      </c>
      <c r="E7726" s="560"/>
      <c r="F7726" s="560">
        <v>350531900</v>
      </c>
      <c r="G7726" s="560">
        <f t="shared" si="160"/>
        <v>0</v>
      </c>
      <c r="H7726" s="362"/>
      <c r="I7726" s="362"/>
      <c r="J7726" s="362"/>
    </row>
    <row r="7727" spans="1:10" x14ac:dyDescent="0.25">
      <c r="A7727" s="362"/>
      <c r="B7727" s="609">
        <v>44613</v>
      </c>
      <c r="C7727" s="362" t="s">
        <v>83</v>
      </c>
      <c r="D7727" s="560">
        <v>261853853</v>
      </c>
      <c r="E7727" s="560"/>
      <c r="F7727" s="560">
        <v>261853900</v>
      </c>
      <c r="G7727" s="560">
        <f t="shared" si="160"/>
        <v>-47</v>
      </c>
      <c r="H7727" s="362"/>
      <c r="I7727" s="362"/>
      <c r="J7727" s="362"/>
    </row>
    <row r="7728" spans="1:10" x14ac:dyDescent="0.25">
      <c r="A7728" s="362"/>
      <c r="B7728" s="609">
        <v>44613</v>
      </c>
      <c r="C7728" s="362" t="s">
        <v>78</v>
      </c>
      <c r="D7728" s="560">
        <v>88447000</v>
      </c>
      <c r="E7728" s="560"/>
      <c r="F7728" s="560">
        <v>88447000</v>
      </c>
      <c r="G7728" s="560">
        <f t="shared" si="160"/>
        <v>0</v>
      </c>
      <c r="H7728" s="362"/>
      <c r="I7728" s="362"/>
      <c r="J7728" s="362"/>
    </row>
    <row r="7729" spans="1:10" x14ac:dyDescent="0.25">
      <c r="A7729" s="362"/>
      <c r="B7729" s="609">
        <v>44613</v>
      </c>
      <c r="C7729" s="362" t="s">
        <v>141</v>
      </c>
      <c r="D7729" s="560">
        <v>63784019</v>
      </c>
      <c r="E7729" s="560"/>
      <c r="F7729" s="560">
        <v>63784100</v>
      </c>
      <c r="G7729" s="560">
        <f t="shared" si="160"/>
        <v>-81</v>
      </c>
      <c r="H7729" s="362"/>
      <c r="I7729" s="362"/>
      <c r="J7729" s="362"/>
    </row>
    <row r="7730" spans="1:10" x14ac:dyDescent="0.25">
      <c r="A7730" s="362"/>
      <c r="B7730" s="609">
        <v>44613</v>
      </c>
      <c r="C7730" s="362" t="s">
        <v>89</v>
      </c>
      <c r="D7730" s="560">
        <v>220778400</v>
      </c>
      <c r="E7730" s="560"/>
      <c r="F7730" s="560">
        <v>220778200</v>
      </c>
      <c r="G7730" s="560">
        <f t="shared" si="160"/>
        <v>200</v>
      </c>
      <c r="H7730" s="362"/>
      <c r="I7730" s="362"/>
      <c r="J7730" s="362"/>
    </row>
    <row r="7731" spans="1:10" x14ac:dyDescent="0.25">
      <c r="A7731" s="362"/>
      <c r="B7731" s="609">
        <v>44613</v>
      </c>
      <c r="C7731" s="362" t="s">
        <v>81</v>
      </c>
      <c r="D7731" s="560">
        <v>166038452</v>
      </c>
      <c r="E7731" s="560"/>
      <c r="F7731" s="560">
        <v>166038500</v>
      </c>
      <c r="G7731" s="560">
        <f t="shared" si="160"/>
        <v>-48</v>
      </c>
      <c r="H7731" s="362"/>
      <c r="I7731" s="362"/>
      <c r="J7731" s="362"/>
    </row>
    <row r="7732" spans="1:10" x14ac:dyDescent="0.25">
      <c r="A7732" s="362"/>
      <c r="B7732" s="609">
        <v>44613</v>
      </c>
      <c r="C7732" s="362" t="s">
        <v>84</v>
      </c>
      <c r="D7732" s="560">
        <v>401108608</v>
      </c>
      <c r="E7732" s="560"/>
      <c r="F7732" s="560">
        <v>401108600</v>
      </c>
      <c r="G7732" s="560">
        <f t="shared" si="160"/>
        <v>8</v>
      </c>
      <c r="H7732" s="362"/>
      <c r="I7732" s="362"/>
      <c r="J7732" s="362"/>
    </row>
    <row r="7733" spans="1:10" x14ac:dyDescent="0.25">
      <c r="A7733" s="362"/>
      <c r="B7733" s="609">
        <v>44613</v>
      </c>
      <c r="C7733" s="362" t="s">
        <v>4751</v>
      </c>
      <c r="D7733" s="560">
        <v>165470600</v>
      </c>
      <c r="E7733" s="560"/>
      <c r="F7733" s="560">
        <v>165470600</v>
      </c>
      <c r="G7733" s="560">
        <f t="shared" si="160"/>
        <v>0</v>
      </c>
      <c r="H7733" s="362"/>
      <c r="I7733" s="362"/>
      <c r="J7733" s="362"/>
    </row>
    <row r="7734" spans="1:10" x14ac:dyDescent="0.25">
      <c r="A7734" s="362"/>
      <c r="B7734" s="609">
        <v>44613</v>
      </c>
      <c r="C7734" s="362" t="s">
        <v>166</v>
      </c>
      <c r="D7734" s="560">
        <v>67160656</v>
      </c>
      <c r="E7734" s="560"/>
      <c r="F7734" s="560">
        <v>67160700</v>
      </c>
      <c r="G7734" s="560">
        <f t="shared" si="160"/>
        <v>-44</v>
      </c>
      <c r="H7734" s="362"/>
      <c r="I7734" s="362"/>
      <c r="J7734" s="362"/>
    </row>
    <row r="7735" spans="1:10" x14ac:dyDescent="0.25">
      <c r="A7735" s="362"/>
      <c r="B7735" s="609">
        <v>44613</v>
      </c>
      <c r="C7735" s="362" t="s">
        <v>3435</v>
      </c>
      <c r="D7735" s="560">
        <v>26437846</v>
      </c>
      <c r="E7735" s="560"/>
      <c r="F7735" s="560">
        <v>26437900</v>
      </c>
      <c r="G7735" s="560">
        <f t="shared" si="160"/>
        <v>-54</v>
      </c>
      <c r="H7735" s="362"/>
      <c r="I7735" s="362"/>
      <c r="J7735" s="362"/>
    </row>
    <row r="7736" spans="1:10" x14ac:dyDescent="0.25">
      <c r="A7736" s="362"/>
      <c r="B7736" s="609">
        <v>44613</v>
      </c>
      <c r="C7736" s="370" t="s">
        <v>85</v>
      </c>
      <c r="D7736" s="560">
        <v>57517200</v>
      </c>
      <c r="E7736" s="560"/>
      <c r="F7736" s="560">
        <v>57517200</v>
      </c>
      <c r="G7736" s="560">
        <f t="shared" si="160"/>
        <v>0</v>
      </c>
      <c r="H7736" s="362"/>
      <c r="I7736" s="362"/>
      <c r="J7736" s="362"/>
    </row>
    <row r="7737" spans="1:10" x14ac:dyDescent="0.25">
      <c r="A7737" s="530"/>
      <c r="B7737" s="530"/>
      <c r="C7737" s="530"/>
      <c r="D7737" s="562">
        <f>SUM(D7722:D7736)</f>
        <v>2507427171</v>
      </c>
      <c r="E7737" s="562">
        <f>SUM(E7722:E7736)</f>
        <v>0</v>
      </c>
      <c r="F7737" s="562">
        <f>SUM(F7722:F7736)</f>
        <v>2507429700</v>
      </c>
      <c r="G7737" s="562">
        <f>SUM(G7722:G7736)</f>
        <v>-2529</v>
      </c>
      <c r="H7737" s="530"/>
      <c r="I7737" s="530"/>
      <c r="J7737" s="530"/>
    </row>
    <row r="7738" spans="1:10" x14ac:dyDescent="0.25">
      <c r="A7738" s="362"/>
      <c r="B7738" s="609">
        <v>44614</v>
      </c>
      <c r="C7738" s="362" t="s">
        <v>86</v>
      </c>
      <c r="D7738" s="560">
        <v>145663785</v>
      </c>
      <c r="E7738" s="560"/>
      <c r="F7738" s="560">
        <v>145663800</v>
      </c>
      <c r="G7738" s="560">
        <f t="shared" si="160"/>
        <v>-15</v>
      </c>
      <c r="H7738" s="362"/>
      <c r="I7738" s="362"/>
      <c r="J7738" s="362"/>
    </row>
    <row r="7739" spans="1:10" x14ac:dyDescent="0.25">
      <c r="A7739" s="362"/>
      <c r="B7739" s="609">
        <v>44614</v>
      </c>
      <c r="C7739" s="362" t="s">
        <v>87</v>
      </c>
      <c r="D7739" s="560">
        <v>158906199</v>
      </c>
      <c r="E7739" s="560"/>
      <c r="F7739" s="560">
        <v>158906300</v>
      </c>
      <c r="G7739" s="560">
        <f t="shared" si="160"/>
        <v>-101</v>
      </c>
      <c r="H7739" s="362"/>
      <c r="I7739" s="362"/>
      <c r="J7739" s="362"/>
    </row>
    <row r="7740" spans="1:10" x14ac:dyDescent="0.25">
      <c r="A7740" s="362"/>
      <c r="B7740" s="609">
        <v>44614</v>
      </c>
      <c r="C7740" s="362" t="s">
        <v>88</v>
      </c>
      <c r="D7740" s="560">
        <v>314825225</v>
      </c>
      <c r="E7740" s="560"/>
      <c r="F7740" s="560">
        <v>314825300</v>
      </c>
      <c r="G7740" s="560">
        <f t="shared" si="160"/>
        <v>-75</v>
      </c>
      <c r="H7740" s="362"/>
      <c r="I7740" s="362"/>
      <c r="J7740" s="362"/>
    </row>
    <row r="7741" spans="1:10" x14ac:dyDescent="0.25">
      <c r="A7741" s="362"/>
      <c r="B7741" s="609">
        <v>44614</v>
      </c>
      <c r="C7741" s="362" t="s">
        <v>82</v>
      </c>
      <c r="D7741" s="560">
        <v>68400343</v>
      </c>
      <c r="E7741" s="560"/>
      <c r="F7741" s="560">
        <v>68400400</v>
      </c>
      <c r="G7741" s="560">
        <f t="shared" si="160"/>
        <v>-57</v>
      </c>
      <c r="H7741" s="362"/>
      <c r="I7741" s="362"/>
      <c r="J7741" s="362"/>
    </row>
    <row r="7742" spans="1:10" x14ac:dyDescent="0.25">
      <c r="A7742" s="362"/>
      <c r="B7742" s="609">
        <v>44614</v>
      </c>
      <c r="C7742" s="362" t="s">
        <v>80</v>
      </c>
      <c r="D7742" s="560">
        <v>266988309</v>
      </c>
      <c r="E7742" s="560"/>
      <c r="F7742" s="560">
        <v>266988800</v>
      </c>
      <c r="G7742" s="560">
        <f t="shared" si="160"/>
        <v>-491</v>
      </c>
      <c r="H7742" s="362"/>
      <c r="I7742" s="362"/>
      <c r="J7742" s="362"/>
    </row>
    <row r="7743" spans="1:10" x14ac:dyDescent="0.25">
      <c r="A7743" s="362"/>
      <c r="B7743" s="609">
        <v>44614</v>
      </c>
      <c r="C7743" s="362" t="s">
        <v>83</v>
      </c>
      <c r="D7743" s="560">
        <v>206115889</v>
      </c>
      <c r="E7743" s="560"/>
      <c r="F7743" s="560">
        <v>206115900</v>
      </c>
      <c r="G7743" s="560">
        <f t="shared" si="160"/>
        <v>-11</v>
      </c>
      <c r="H7743" s="362"/>
      <c r="I7743" s="362"/>
      <c r="J7743" s="362"/>
    </row>
    <row r="7744" spans="1:10" x14ac:dyDescent="0.25">
      <c r="A7744" s="362"/>
      <c r="B7744" s="609">
        <v>44614</v>
      </c>
      <c r="C7744" s="362" t="s">
        <v>78</v>
      </c>
      <c r="D7744" s="560">
        <v>227741573</v>
      </c>
      <c r="E7744" s="560"/>
      <c r="F7744" s="560">
        <v>227741600</v>
      </c>
      <c r="G7744" s="560">
        <f t="shared" si="160"/>
        <v>-27</v>
      </c>
      <c r="H7744" s="362"/>
      <c r="I7744" s="362"/>
      <c r="J7744" s="362"/>
    </row>
    <row r="7745" spans="1:10" x14ac:dyDescent="0.25">
      <c r="A7745" s="362"/>
      <c r="B7745" s="609">
        <v>44614</v>
      </c>
      <c r="C7745" s="362" t="s">
        <v>141</v>
      </c>
      <c r="D7745" s="560">
        <v>115391513</v>
      </c>
      <c r="E7745" s="560"/>
      <c r="F7745" s="560">
        <v>115391600</v>
      </c>
      <c r="G7745" s="560">
        <f t="shared" si="160"/>
        <v>-87</v>
      </c>
      <c r="H7745" s="362"/>
      <c r="I7745" s="362"/>
      <c r="J7745" s="362"/>
    </row>
    <row r="7746" spans="1:10" x14ac:dyDescent="0.25">
      <c r="A7746" s="362"/>
      <c r="B7746" s="609">
        <v>44614</v>
      </c>
      <c r="C7746" s="362" t="s">
        <v>89</v>
      </c>
      <c r="D7746" s="560">
        <v>275338900</v>
      </c>
      <c r="E7746" s="560"/>
      <c r="F7746" s="560">
        <v>275339000</v>
      </c>
      <c r="G7746" s="560">
        <f t="shared" si="160"/>
        <v>-100</v>
      </c>
      <c r="H7746" s="362"/>
      <c r="I7746" s="362"/>
      <c r="J7746" s="362"/>
    </row>
    <row r="7747" spans="1:10" x14ac:dyDescent="0.25">
      <c r="A7747" s="362"/>
      <c r="B7747" s="609">
        <v>44614</v>
      </c>
      <c r="C7747" s="362" t="s">
        <v>81</v>
      </c>
      <c r="D7747" s="560">
        <v>95219379</v>
      </c>
      <c r="E7747" s="560"/>
      <c r="F7747" s="560">
        <v>95219400</v>
      </c>
      <c r="G7747" s="560">
        <f t="shared" si="160"/>
        <v>-21</v>
      </c>
      <c r="H7747" s="362"/>
      <c r="I7747" s="362"/>
      <c r="J7747" s="362"/>
    </row>
    <row r="7748" spans="1:10" x14ac:dyDescent="0.25">
      <c r="A7748" s="362"/>
      <c r="B7748" s="609">
        <v>44614</v>
      </c>
      <c r="C7748" s="362" t="s">
        <v>84</v>
      </c>
      <c r="D7748" s="560">
        <v>386080121</v>
      </c>
      <c r="E7748" s="560"/>
      <c r="F7748" s="560">
        <v>386079900</v>
      </c>
      <c r="G7748" s="560">
        <f t="shared" si="160"/>
        <v>221</v>
      </c>
      <c r="H7748" s="362"/>
      <c r="I7748" s="362"/>
      <c r="J7748" s="362"/>
    </row>
    <row r="7749" spans="1:10" x14ac:dyDescent="0.25">
      <c r="A7749" s="362"/>
      <c r="B7749" s="609">
        <v>44614</v>
      </c>
      <c r="C7749" s="362" t="s">
        <v>4751</v>
      </c>
      <c r="D7749" s="560">
        <v>205549000</v>
      </c>
      <c r="E7749" s="560"/>
      <c r="F7749" s="560">
        <v>205549000</v>
      </c>
      <c r="G7749" s="560">
        <f t="shared" si="160"/>
        <v>0</v>
      </c>
      <c r="H7749" s="362"/>
      <c r="I7749" s="362"/>
      <c r="J7749" s="362"/>
    </row>
    <row r="7750" spans="1:10" x14ac:dyDescent="0.25">
      <c r="A7750" s="362"/>
      <c r="B7750" s="609">
        <v>44614</v>
      </c>
      <c r="C7750" s="362" t="s">
        <v>166</v>
      </c>
      <c r="D7750" s="560">
        <v>94672129</v>
      </c>
      <c r="E7750" s="560"/>
      <c r="F7750" s="560">
        <v>94672000</v>
      </c>
      <c r="G7750" s="560">
        <f t="shared" si="160"/>
        <v>129</v>
      </c>
      <c r="H7750" s="362"/>
      <c r="I7750" s="362"/>
      <c r="J7750" s="362"/>
    </row>
    <row r="7751" spans="1:10" x14ac:dyDescent="0.25">
      <c r="A7751" s="362"/>
      <c r="B7751" s="609">
        <v>44614</v>
      </c>
      <c r="C7751" s="362" t="s">
        <v>3435</v>
      </c>
      <c r="D7751" s="560">
        <v>134977547</v>
      </c>
      <c r="E7751" s="560"/>
      <c r="F7751" s="560">
        <v>134977600</v>
      </c>
      <c r="G7751" s="560">
        <f t="shared" si="160"/>
        <v>-53</v>
      </c>
      <c r="H7751" s="362"/>
      <c r="I7751" s="362"/>
      <c r="J7751" s="362"/>
    </row>
    <row r="7752" spans="1:10" x14ac:dyDescent="0.25">
      <c r="A7752" s="362"/>
      <c r="B7752" s="609">
        <v>44614</v>
      </c>
      <c r="C7752" s="370" t="s">
        <v>85</v>
      </c>
      <c r="D7752" s="560">
        <v>40285900</v>
      </c>
      <c r="E7752" s="560"/>
      <c r="F7752" s="560">
        <v>40285900</v>
      </c>
      <c r="G7752" s="560">
        <f t="shared" si="160"/>
        <v>0</v>
      </c>
      <c r="H7752" s="362"/>
      <c r="I7752" s="362"/>
      <c r="J7752" s="362"/>
    </row>
    <row r="7753" spans="1:10" x14ac:dyDescent="0.25">
      <c r="A7753" s="530"/>
      <c r="B7753" s="530"/>
      <c r="C7753" s="530"/>
      <c r="D7753" s="562">
        <f>SUM(D7738:D7752)</f>
        <v>2736155812</v>
      </c>
      <c r="E7753" s="562">
        <f>SUM(E7738:E7752)</f>
        <v>0</v>
      </c>
      <c r="F7753" s="562">
        <f>SUM(F7738:F7752)</f>
        <v>2736156500</v>
      </c>
      <c r="G7753" s="562">
        <f>SUM(G7738:G7752)</f>
        <v>-688</v>
      </c>
      <c r="H7753" s="530"/>
      <c r="I7753" s="530"/>
      <c r="J7753" s="530"/>
    </row>
    <row r="7754" spans="1:10" x14ac:dyDescent="0.25">
      <c r="A7754" s="362"/>
      <c r="B7754" s="609">
        <v>44615</v>
      </c>
      <c r="C7754" s="362" t="s">
        <v>86</v>
      </c>
      <c r="D7754" s="560">
        <v>87594942</v>
      </c>
      <c r="E7754" s="560"/>
      <c r="F7754" s="560"/>
      <c r="G7754" s="560">
        <f t="shared" si="160"/>
        <v>87594942</v>
      </c>
      <c r="H7754" s="362"/>
      <c r="I7754" s="362"/>
      <c r="J7754" s="362"/>
    </row>
    <row r="7755" spans="1:10" x14ac:dyDescent="0.25">
      <c r="A7755" s="362"/>
      <c r="B7755" s="609">
        <v>44615</v>
      </c>
      <c r="C7755" s="362" t="s">
        <v>87</v>
      </c>
      <c r="D7755" s="560">
        <v>189120797</v>
      </c>
      <c r="E7755" s="560"/>
      <c r="F7755" s="560"/>
      <c r="G7755" s="560">
        <f t="shared" si="160"/>
        <v>189120797</v>
      </c>
      <c r="H7755" s="362"/>
      <c r="I7755" s="362"/>
      <c r="J7755" s="362"/>
    </row>
    <row r="7756" spans="1:10" x14ac:dyDescent="0.25">
      <c r="A7756" s="362"/>
      <c r="B7756" s="609">
        <v>44615</v>
      </c>
      <c r="C7756" s="362" t="s">
        <v>88</v>
      </c>
      <c r="D7756" s="560">
        <v>278405564</v>
      </c>
      <c r="E7756" s="560"/>
      <c r="F7756" s="560"/>
      <c r="G7756" s="560">
        <f t="shared" ref="G7756:G7819" si="161">D7756+E7756-F7756</f>
        <v>278405564</v>
      </c>
      <c r="H7756" s="362"/>
      <c r="I7756" s="362"/>
      <c r="J7756" s="362"/>
    </row>
    <row r="7757" spans="1:10" x14ac:dyDescent="0.25">
      <c r="A7757" s="362"/>
      <c r="B7757" s="609">
        <v>44615</v>
      </c>
      <c r="C7757" s="362" t="s">
        <v>82</v>
      </c>
      <c r="D7757" s="560">
        <v>132416312</v>
      </c>
      <c r="E7757" s="560"/>
      <c r="F7757" s="560"/>
      <c r="G7757" s="560">
        <f t="shared" si="161"/>
        <v>132416312</v>
      </c>
      <c r="H7757" s="362"/>
      <c r="I7757" s="362"/>
      <c r="J7757" s="362"/>
    </row>
    <row r="7758" spans="1:10" x14ac:dyDescent="0.25">
      <c r="A7758" s="362"/>
      <c r="B7758" s="609">
        <v>44615</v>
      </c>
      <c r="C7758" s="362" t="s">
        <v>80</v>
      </c>
      <c r="D7758" s="560">
        <v>285884989</v>
      </c>
      <c r="E7758" s="560"/>
      <c r="F7758" s="560"/>
      <c r="G7758" s="560">
        <f t="shared" si="161"/>
        <v>285884989</v>
      </c>
      <c r="H7758" s="362"/>
      <c r="I7758" s="362"/>
      <c r="J7758" s="362"/>
    </row>
    <row r="7759" spans="1:10" x14ac:dyDescent="0.25">
      <c r="A7759" s="362"/>
      <c r="B7759" s="609">
        <v>44615</v>
      </c>
      <c r="C7759" s="362" t="s">
        <v>83</v>
      </c>
      <c r="D7759" s="560">
        <v>234963817</v>
      </c>
      <c r="E7759" s="560"/>
      <c r="F7759" s="560"/>
      <c r="G7759" s="560">
        <f t="shared" si="161"/>
        <v>234963817</v>
      </c>
      <c r="H7759" s="362"/>
      <c r="I7759" s="362"/>
      <c r="J7759" s="362"/>
    </row>
    <row r="7760" spans="1:10" x14ac:dyDescent="0.25">
      <c r="A7760" s="362"/>
      <c r="B7760" s="609">
        <v>44615</v>
      </c>
      <c r="C7760" s="362" t="s">
        <v>78</v>
      </c>
      <c r="D7760" s="560">
        <v>96112747</v>
      </c>
      <c r="E7760" s="560"/>
      <c r="F7760" s="560"/>
      <c r="G7760" s="560">
        <f t="shared" si="161"/>
        <v>96112747</v>
      </c>
      <c r="H7760" s="362"/>
      <c r="I7760" s="362"/>
      <c r="J7760" s="362"/>
    </row>
    <row r="7761" spans="1:10" x14ac:dyDescent="0.25">
      <c r="A7761" s="362"/>
      <c r="B7761" s="609">
        <v>44615</v>
      </c>
      <c r="C7761" s="362" t="s">
        <v>141</v>
      </c>
      <c r="D7761" s="560">
        <v>112792805</v>
      </c>
      <c r="E7761" s="560"/>
      <c r="F7761" s="560"/>
      <c r="G7761" s="560">
        <f t="shared" si="161"/>
        <v>112792805</v>
      </c>
      <c r="H7761" s="362"/>
      <c r="I7761" s="362"/>
      <c r="J7761" s="362"/>
    </row>
    <row r="7762" spans="1:10" x14ac:dyDescent="0.25">
      <c r="A7762" s="362"/>
      <c r="B7762" s="609">
        <v>44615</v>
      </c>
      <c r="C7762" s="362" t="s">
        <v>89</v>
      </c>
      <c r="D7762" s="560">
        <v>158278300</v>
      </c>
      <c r="E7762" s="560"/>
      <c r="F7762" s="560"/>
      <c r="G7762" s="560">
        <f t="shared" si="161"/>
        <v>158278300</v>
      </c>
      <c r="H7762" s="362"/>
      <c r="I7762" s="362"/>
      <c r="J7762" s="362"/>
    </row>
    <row r="7763" spans="1:10" x14ac:dyDescent="0.25">
      <c r="A7763" s="362"/>
      <c r="B7763" s="609">
        <v>44615</v>
      </c>
      <c r="C7763" s="362" t="s">
        <v>81</v>
      </c>
      <c r="D7763" s="560">
        <v>177862583</v>
      </c>
      <c r="E7763" s="560"/>
      <c r="F7763" s="560"/>
      <c r="G7763" s="560">
        <f t="shared" si="161"/>
        <v>177862583</v>
      </c>
      <c r="H7763" s="362"/>
      <c r="I7763" s="362"/>
      <c r="J7763" s="362"/>
    </row>
    <row r="7764" spans="1:10" x14ac:dyDescent="0.25">
      <c r="A7764" s="362"/>
      <c r="B7764" s="609">
        <v>44615</v>
      </c>
      <c r="C7764" s="362" t="s">
        <v>84</v>
      </c>
      <c r="D7764" s="560">
        <v>272697116</v>
      </c>
      <c r="E7764" s="560"/>
      <c r="F7764" s="560"/>
      <c r="G7764" s="560">
        <f t="shared" si="161"/>
        <v>272697116</v>
      </c>
      <c r="H7764" s="362"/>
      <c r="I7764" s="362"/>
      <c r="J7764" s="362"/>
    </row>
    <row r="7765" spans="1:10" x14ac:dyDescent="0.25">
      <c r="A7765" s="362"/>
      <c r="B7765" s="609">
        <v>44615</v>
      </c>
      <c r="C7765" s="362" t="s">
        <v>4751</v>
      </c>
      <c r="D7765" s="560">
        <v>203953700</v>
      </c>
      <c r="E7765" s="560"/>
      <c r="F7765" s="560"/>
      <c r="G7765" s="560">
        <f t="shared" si="161"/>
        <v>203953700</v>
      </c>
      <c r="H7765" s="362"/>
      <c r="I7765" s="362"/>
      <c r="J7765" s="362"/>
    </row>
    <row r="7766" spans="1:10" x14ac:dyDescent="0.25">
      <c r="A7766" s="362"/>
      <c r="B7766" s="609">
        <v>44615</v>
      </c>
      <c r="C7766" s="362" t="s">
        <v>166</v>
      </c>
      <c r="D7766" s="560">
        <v>84794382</v>
      </c>
      <c r="E7766" s="560"/>
      <c r="F7766" s="560"/>
      <c r="G7766" s="560">
        <f t="shared" si="161"/>
        <v>84794382</v>
      </c>
      <c r="H7766" s="362"/>
      <c r="I7766" s="362"/>
      <c r="J7766" s="362"/>
    </row>
    <row r="7767" spans="1:10" x14ac:dyDescent="0.25">
      <c r="A7767" s="362"/>
      <c r="B7767" s="609">
        <v>44615</v>
      </c>
      <c r="C7767" s="362" t="s">
        <v>3435</v>
      </c>
      <c r="D7767" s="560">
        <v>29860639</v>
      </c>
      <c r="E7767" s="560"/>
      <c r="F7767" s="560"/>
      <c r="G7767" s="560">
        <f t="shared" si="161"/>
        <v>29860639</v>
      </c>
      <c r="H7767" s="362"/>
      <c r="I7767" s="362"/>
      <c r="J7767" s="362"/>
    </row>
    <row r="7768" spans="1:10" x14ac:dyDescent="0.25">
      <c r="A7768" s="362"/>
      <c r="B7768" s="609">
        <v>44615</v>
      </c>
      <c r="C7768" s="370" t="s">
        <v>85</v>
      </c>
      <c r="D7768" s="560">
        <v>44950100</v>
      </c>
      <c r="E7768" s="560"/>
      <c r="F7768" s="560"/>
      <c r="G7768" s="560">
        <f t="shared" si="161"/>
        <v>44950100</v>
      </c>
      <c r="H7768" s="362"/>
      <c r="I7768" s="362"/>
      <c r="J7768" s="362"/>
    </row>
    <row r="7769" spans="1:10" x14ac:dyDescent="0.25">
      <c r="A7769" s="530"/>
      <c r="B7769" s="530"/>
      <c r="C7769" s="530"/>
      <c r="D7769" s="562">
        <f>SUM(D7754:D7768)</f>
        <v>2389688793</v>
      </c>
      <c r="E7769" s="562">
        <f>SUM(E7754:E7768)</f>
        <v>0</v>
      </c>
      <c r="F7769" s="562">
        <f>SUM(F7754:F7768)</f>
        <v>0</v>
      </c>
      <c r="G7769" s="562">
        <f>SUM(G7754:G7768)</f>
        <v>2389688793</v>
      </c>
      <c r="H7769" s="530"/>
      <c r="I7769" s="530"/>
      <c r="J7769" s="530"/>
    </row>
    <row r="7770" spans="1:10" x14ac:dyDescent="0.25">
      <c r="A7770" s="362"/>
      <c r="B7770" s="609">
        <v>44616</v>
      </c>
      <c r="C7770" s="362" t="s">
        <v>86</v>
      </c>
      <c r="D7770" s="560">
        <v>130164202</v>
      </c>
      <c r="E7770" s="560"/>
      <c r="F7770" s="560"/>
      <c r="G7770" s="560">
        <f t="shared" si="161"/>
        <v>130164202</v>
      </c>
      <c r="H7770" s="362"/>
      <c r="I7770" s="362"/>
      <c r="J7770" s="362"/>
    </row>
    <row r="7771" spans="1:10" x14ac:dyDescent="0.25">
      <c r="A7771" s="362"/>
      <c r="B7771" s="609">
        <v>44616</v>
      </c>
      <c r="C7771" s="362" t="s">
        <v>87</v>
      </c>
      <c r="D7771" s="560">
        <v>243056496</v>
      </c>
      <c r="E7771" s="560"/>
      <c r="F7771" s="560"/>
      <c r="G7771" s="560">
        <f t="shared" si="161"/>
        <v>243056496</v>
      </c>
      <c r="H7771" s="362"/>
      <c r="I7771" s="362"/>
      <c r="J7771" s="362"/>
    </row>
    <row r="7772" spans="1:10" x14ac:dyDescent="0.25">
      <c r="A7772" s="362"/>
      <c r="B7772" s="609">
        <v>44616</v>
      </c>
      <c r="C7772" s="362" t="s">
        <v>88</v>
      </c>
      <c r="D7772" s="560">
        <v>341955930</v>
      </c>
      <c r="E7772" s="560"/>
      <c r="F7772" s="560"/>
      <c r="G7772" s="560">
        <f t="shared" si="161"/>
        <v>341955930</v>
      </c>
      <c r="H7772" s="362"/>
      <c r="I7772" s="362"/>
      <c r="J7772" s="362"/>
    </row>
    <row r="7773" spans="1:10" x14ac:dyDescent="0.25">
      <c r="A7773" s="362"/>
      <c r="B7773" s="609">
        <v>44616</v>
      </c>
      <c r="C7773" s="362" t="s">
        <v>82</v>
      </c>
      <c r="D7773" s="560">
        <v>282346293</v>
      </c>
      <c r="E7773" s="560"/>
      <c r="F7773" s="560"/>
      <c r="G7773" s="560">
        <f t="shared" si="161"/>
        <v>282346293</v>
      </c>
      <c r="H7773" s="362"/>
      <c r="I7773" s="362"/>
      <c r="J7773" s="362"/>
    </row>
    <row r="7774" spans="1:10" x14ac:dyDescent="0.25">
      <c r="A7774" s="362"/>
      <c r="B7774" s="609">
        <v>44616</v>
      </c>
      <c r="C7774" s="362" t="s">
        <v>80</v>
      </c>
      <c r="D7774" s="560">
        <v>297227100</v>
      </c>
      <c r="E7774" s="560"/>
      <c r="F7774" s="560"/>
      <c r="G7774" s="560">
        <f t="shared" si="161"/>
        <v>297227100</v>
      </c>
      <c r="H7774" s="362"/>
      <c r="I7774" s="362"/>
      <c r="J7774" s="362"/>
    </row>
    <row r="7775" spans="1:10" x14ac:dyDescent="0.25">
      <c r="A7775" s="362"/>
      <c r="B7775" s="609">
        <v>44616</v>
      </c>
      <c r="C7775" s="362" t="s">
        <v>83</v>
      </c>
      <c r="D7775" s="560">
        <v>177847824</v>
      </c>
      <c r="E7775" s="560"/>
      <c r="F7775" s="560"/>
      <c r="G7775" s="560">
        <f t="shared" si="161"/>
        <v>177847824</v>
      </c>
      <c r="H7775" s="362"/>
      <c r="I7775" s="362"/>
      <c r="J7775" s="362"/>
    </row>
    <row r="7776" spans="1:10" x14ac:dyDescent="0.25">
      <c r="A7776" s="362"/>
      <c r="B7776" s="609">
        <v>44616</v>
      </c>
      <c r="C7776" s="362" t="s">
        <v>78</v>
      </c>
      <c r="D7776" s="560">
        <v>129820922</v>
      </c>
      <c r="E7776" s="560"/>
      <c r="F7776" s="560"/>
      <c r="G7776" s="560">
        <f t="shared" si="161"/>
        <v>129820922</v>
      </c>
      <c r="H7776" s="362"/>
      <c r="I7776" s="362"/>
      <c r="J7776" s="362"/>
    </row>
    <row r="7777" spans="1:10" x14ac:dyDescent="0.25">
      <c r="A7777" s="362"/>
      <c r="B7777" s="609">
        <v>44616</v>
      </c>
      <c r="C7777" s="362" t="s">
        <v>141</v>
      </c>
      <c r="D7777" s="560">
        <v>95906173</v>
      </c>
      <c r="E7777" s="560"/>
      <c r="F7777" s="560"/>
      <c r="G7777" s="560">
        <f t="shared" si="161"/>
        <v>95906173</v>
      </c>
      <c r="H7777" s="362"/>
      <c r="I7777" s="362"/>
      <c r="J7777" s="362"/>
    </row>
    <row r="7778" spans="1:10" x14ac:dyDescent="0.25">
      <c r="A7778" s="362"/>
      <c r="B7778" s="609">
        <v>44616</v>
      </c>
      <c r="C7778" s="362" t="s">
        <v>89</v>
      </c>
      <c r="D7778" s="560">
        <v>201036500</v>
      </c>
      <c r="E7778" s="560"/>
      <c r="F7778" s="560"/>
      <c r="G7778" s="560">
        <f t="shared" si="161"/>
        <v>201036500</v>
      </c>
      <c r="H7778" s="362"/>
      <c r="I7778" s="362"/>
      <c r="J7778" s="362"/>
    </row>
    <row r="7779" spans="1:10" x14ac:dyDescent="0.25">
      <c r="A7779" s="362"/>
      <c r="B7779" s="609">
        <v>44616</v>
      </c>
      <c r="C7779" s="362" t="s">
        <v>81</v>
      </c>
      <c r="D7779" s="560">
        <v>102498980</v>
      </c>
      <c r="E7779" s="560"/>
      <c r="F7779" s="560"/>
      <c r="G7779" s="560">
        <f t="shared" si="161"/>
        <v>102498980</v>
      </c>
      <c r="H7779" s="362"/>
      <c r="I7779" s="362"/>
      <c r="J7779" s="362"/>
    </row>
    <row r="7780" spans="1:10" x14ac:dyDescent="0.25">
      <c r="A7780" s="362"/>
      <c r="B7780" s="609">
        <v>44616</v>
      </c>
      <c r="C7780" s="362" t="s">
        <v>84</v>
      </c>
      <c r="D7780" s="560">
        <v>318381985</v>
      </c>
      <c r="E7780" s="560"/>
      <c r="F7780" s="560"/>
      <c r="G7780" s="560">
        <f t="shared" si="161"/>
        <v>318381985</v>
      </c>
      <c r="H7780" s="362"/>
      <c r="I7780" s="362"/>
      <c r="J7780" s="362"/>
    </row>
    <row r="7781" spans="1:10" x14ac:dyDescent="0.25">
      <c r="A7781" s="362"/>
      <c r="B7781" s="609">
        <v>44616</v>
      </c>
      <c r="C7781" s="362" t="s">
        <v>4751</v>
      </c>
      <c r="D7781" s="560">
        <v>283995000</v>
      </c>
      <c r="E7781" s="560"/>
      <c r="F7781" s="560"/>
      <c r="G7781" s="560">
        <f t="shared" si="161"/>
        <v>283995000</v>
      </c>
      <c r="H7781" s="362"/>
      <c r="I7781" s="362"/>
      <c r="J7781" s="362"/>
    </row>
    <row r="7782" spans="1:10" x14ac:dyDescent="0.25">
      <c r="A7782" s="362"/>
      <c r="B7782" s="609">
        <v>44616</v>
      </c>
      <c r="C7782" s="362" t="s">
        <v>166</v>
      </c>
      <c r="D7782" s="560">
        <v>121400443</v>
      </c>
      <c r="E7782" s="560"/>
      <c r="F7782" s="560"/>
      <c r="G7782" s="560">
        <f t="shared" si="161"/>
        <v>121400443</v>
      </c>
      <c r="H7782" s="362"/>
      <c r="I7782" s="362"/>
      <c r="J7782" s="362"/>
    </row>
    <row r="7783" spans="1:10" x14ac:dyDescent="0.25">
      <c r="A7783" s="362"/>
      <c r="B7783" s="609">
        <v>44616</v>
      </c>
      <c r="C7783" s="362" t="s">
        <v>3435</v>
      </c>
      <c r="D7783" s="560">
        <v>47553819</v>
      </c>
      <c r="E7783" s="560"/>
      <c r="F7783" s="560"/>
      <c r="G7783" s="560">
        <f t="shared" si="161"/>
        <v>47553819</v>
      </c>
      <c r="H7783" s="362"/>
      <c r="I7783" s="362"/>
      <c r="J7783" s="362"/>
    </row>
    <row r="7784" spans="1:10" x14ac:dyDescent="0.25">
      <c r="A7784" s="362"/>
      <c r="B7784" s="609">
        <v>44616</v>
      </c>
      <c r="C7784" s="370" t="s">
        <v>85</v>
      </c>
      <c r="D7784" s="560">
        <v>45738200</v>
      </c>
      <c r="E7784" s="560"/>
      <c r="F7784" s="560"/>
      <c r="G7784" s="560">
        <f t="shared" si="161"/>
        <v>45738200</v>
      </c>
      <c r="H7784" s="362"/>
      <c r="I7784" s="362"/>
      <c r="J7784" s="362"/>
    </row>
    <row r="7785" spans="1:10" x14ac:dyDescent="0.25">
      <c r="A7785" s="530"/>
      <c r="B7785" s="530"/>
      <c r="C7785" s="530"/>
      <c r="D7785" s="562">
        <f>SUM(D7770:D7784)</f>
        <v>2818929867</v>
      </c>
      <c r="E7785" s="562">
        <f>SUM(E7770:E7784)</f>
        <v>0</v>
      </c>
      <c r="F7785" s="562">
        <f>SUM(F7770:F7784)</f>
        <v>0</v>
      </c>
      <c r="G7785" s="562">
        <f>SUM(G7770:G7784)</f>
        <v>2818929867</v>
      </c>
      <c r="H7785" s="530"/>
      <c r="I7785" s="530"/>
      <c r="J7785" s="530"/>
    </row>
    <row r="7786" spans="1:10" x14ac:dyDescent="0.25">
      <c r="A7786" s="362"/>
      <c r="B7786" s="609">
        <v>44617</v>
      </c>
      <c r="C7786" s="362" t="s">
        <v>86</v>
      </c>
      <c r="D7786" s="560">
        <v>93581968</v>
      </c>
      <c r="E7786" s="560"/>
      <c r="F7786" s="560"/>
      <c r="G7786" s="560">
        <f t="shared" si="161"/>
        <v>93581968</v>
      </c>
      <c r="H7786" s="362"/>
      <c r="I7786" s="362"/>
      <c r="J7786" s="362"/>
    </row>
    <row r="7787" spans="1:10" x14ac:dyDescent="0.25">
      <c r="A7787" s="362"/>
      <c r="B7787" s="609">
        <v>44617</v>
      </c>
      <c r="C7787" s="362" t="s">
        <v>87</v>
      </c>
      <c r="D7787" s="560">
        <v>251579087</v>
      </c>
      <c r="E7787" s="560"/>
      <c r="F7787" s="560"/>
      <c r="G7787" s="560">
        <f t="shared" si="161"/>
        <v>251579087</v>
      </c>
      <c r="H7787" s="362"/>
      <c r="I7787" s="362"/>
      <c r="J7787" s="362"/>
    </row>
    <row r="7788" spans="1:10" x14ac:dyDescent="0.25">
      <c r="A7788" s="362"/>
      <c r="B7788" s="609">
        <v>44617</v>
      </c>
      <c r="C7788" s="362" t="s">
        <v>88</v>
      </c>
      <c r="D7788" s="560">
        <v>302341855</v>
      </c>
      <c r="E7788" s="560"/>
      <c r="F7788" s="560"/>
      <c r="G7788" s="560">
        <f t="shared" si="161"/>
        <v>302341855</v>
      </c>
      <c r="H7788" s="362"/>
      <c r="I7788" s="362"/>
      <c r="J7788" s="362"/>
    </row>
    <row r="7789" spans="1:10" x14ac:dyDescent="0.25">
      <c r="A7789" s="362"/>
      <c r="B7789" s="609">
        <v>44617</v>
      </c>
      <c r="C7789" s="362" t="s">
        <v>82</v>
      </c>
      <c r="D7789" s="560">
        <v>85991577</v>
      </c>
      <c r="E7789" s="560"/>
      <c r="F7789" s="560"/>
      <c r="G7789" s="560">
        <f t="shared" si="161"/>
        <v>85991577</v>
      </c>
      <c r="H7789" s="362"/>
      <c r="I7789" s="362"/>
      <c r="J7789" s="362"/>
    </row>
    <row r="7790" spans="1:10" x14ac:dyDescent="0.25">
      <c r="A7790" s="362"/>
      <c r="B7790" s="609">
        <v>44617</v>
      </c>
      <c r="C7790" s="362" t="s">
        <v>80</v>
      </c>
      <c r="D7790" s="560">
        <v>303676654</v>
      </c>
      <c r="E7790" s="560"/>
      <c r="F7790" s="560"/>
      <c r="G7790" s="560">
        <f t="shared" si="161"/>
        <v>303676654</v>
      </c>
      <c r="H7790" s="362"/>
      <c r="I7790" s="362"/>
      <c r="J7790" s="362"/>
    </row>
    <row r="7791" spans="1:10" x14ac:dyDescent="0.25">
      <c r="A7791" s="362"/>
      <c r="B7791" s="609">
        <v>44617</v>
      </c>
      <c r="C7791" s="362" t="s">
        <v>83</v>
      </c>
      <c r="D7791" s="560">
        <v>228139795</v>
      </c>
      <c r="E7791" s="560"/>
      <c r="F7791" s="560"/>
      <c r="G7791" s="560">
        <f t="shared" si="161"/>
        <v>228139795</v>
      </c>
      <c r="H7791" s="362"/>
      <c r="I7791" s="362"/>
      <c r="J7791" s="362"/>
    </row>
    <row r="7792" spans="1:10" x14ac:dyDescent="0.25">
      <c r="A7792" s="362"/>
      <c r="B7792" s="609">
        <v>44617</v>
      </c>
      <c r="C7792" s="362" t="s">
        <v>78</v>
      </c>
      <c r="D7792" s="560">
        <v>126897823</v>
      </c>
      <c r="E7792" s="560"/>
      <c r="F7792" s="560"/>
      <c r="G7792" s="560">
        <f t="shared" si="161"/>
        <v>126897823</v>
      </c>
      <c r="H7792" s="362"/>
      <c r="I7792" s="362"/>
      <c r="J7792" s="362"/>
    </row>
    <row r="7793" spans="1:10" x14ac:dyDescent="0.25">
      <c r="A7793" s="362"/>
      <c r="B7793" s="609">
        <v>44617</v>
      </c>
      <c r="C7793" s="362" t="s">
        <v>141</v>
      </c>
      <c r="D7793" s="560">
        <v>67502715</v>
      </c>
      <c r="E7793" s="560"/>
      <c r="F7793" s="560"/>
      <c r="G7793" s="560">
        <f t="shared" si="161"/>
        <v>67502715</v>
      </c>
      <c r="H7793" s="362"/>
      <c r="I7793" s="362"/>
      <c r="J7793" s="362"/>
    </row>
    <row r="7794" spans="1:10" x14ac:dyDescent="0.25">
      <c r="A7794" s="362"/>
      <c r="B7794" s="609">
        <v>44617</v>
      </c>
      <c r="C7794" s="362" t="s">
        <v>89</v>
      </c>
      <c r="D7794" s="560">
        <v>271891400</v>
      </c>
      <c r="E7794" s="560"/>
      <c r="F7794" s="560"/>
      <c r="G7794" s="560">
        <f t="shared" si="161"/>
        <v>271891400</v>
      </c>
      <c r="H7794" s="362"/>
      <c r="I7794" s="362"/>
      <c r="J7794" s="362"/>
    </row>
    <row r="7795" spans="1:10" x14ac:dyDescent="0.25">
      <c r="A7795" s="362"/>
      <c r="B7795" s="609">
        <v>44617</v>
      </c>
      <c r="C7795" s="362" t="s">
        <v>81</v>
      </c>
      <c r="D7795" s="560">
        <v>92023639</v>
      </c>
      <c r="E7795" s="560"/>
      <c r="F7795" s="560"/>
      <c r="G7795" s="560">
        <f t="shared" si="161"/>
        <v>92023639</v>
      </c>
      <c r="H7795" s="362"/>
      <c r="I7795" s="362"/>
      <c r="J7795" s="362"/>
    </row>
    <row r="7796" spans="1:10" x14ac:dyDescent="0.25">
      <c r="A7796" s="362"/>
      <c r="B7796" s="609">
        <v>44617</v>
      </c>
      <c r="C7796" s="362" t="s">
        <v>84</v>
      </c>
      <c r="D7796" s="560">
        <v>325778563</v>
      </c>
      <c r="E7796" s="560"/>
      <c r="F7796" s="560"/>
      <c r="G7796" s="560">
        <f t="shared" si="161"/>
        <v>325778563</v>
      </c>
      <c r="H7796" s="362"/>
      <c r="I7796" s="362"/>
      <c r="J7796" s="362"/>
    </row>
    <row r="7797" spans="1:10" x14ac:dyDescent="0.25">
      <c r="A7797" s="362"/>
      <c r="B7797" s="609">
        <v>44617</v>
      </c>
      <c r="C7797" s="362" t="s">
        <v>4751</v>
      </c>
      <c r="D7797" s="560">
        <v>171984400</v>
      </c>
      <c r="E7797" s="560"/>
      <c r="F7797" s="560"/>
      <c r="G7797" s="560">
        <f t="shared" si="161"/>
        <v>171984400</v>
      </c>
      <c r="H7797" s="362"/>
      <c r="I7797" s="362"/>
      <c r="J7797" s="362"/>
    </row>
    <row r="7798" spans="1:10" x14ac:dyDescent="0.25">
      <c r="A7798" s="362"/>
      <c r="B7798" s="609">
        <v>44617</v>
      </c>
      <c r="C7798" s="362" t="s">
        <v>166</v>
      </c>
      <c r="D7798" s="560">
        <v>46418491</v>
      </c>
      <c r="E7798" s="560"/>
      <c r="F7798" s="560"/>
      <c r="G7798" s="560">
        <f t="shared" si="161"/>
        <v>46418491</v>
      </c>
      <c r="H7798" s="362"/>
      <c r="I7798" s="362"/>
      <c r="J7798" s="362"/>
    </row>
    <row r="7799" spans="1:10" x14ac:dyDescent="0.25">
      <c r="A7799" s="362"/>
      <c r="B7799" s="609">
        <v>44617</v>
      </c>
      <c r="C7799" s="362" t="s">
        <v>3435</v>
      </c>
      <c r="D7799" s="560">
        <v>91347159</v>
      </c>
      <c r="E7799" s="560"/>
      <c r="F7799" s="560"/>
      <c r="G7799" s="560">
        <f t="shared" si="161"/>
        <v>91347159</v>
      </c>
      <c r="H7799" s="362"/>
      <c r="I7799" s="362"/>
      <c r="J7799" s="362"/>
    </row>
    <row r="7800" spans="1:10" x14ac:dyDescent="0.25">
      <c r="A7800" s="362"/>
      <c r="B7800" s="609">
        <v>44617</v>
      </c>
      <c r="C7800" s="370" t="s">
        <v>85</v>
      </c>
      <c r="D7800" s="560">
        <v>33670800</v>
      </c>
      <c r="E7800" s="560"/>
      <c r="F7800" s="560"/>
      <c r="G7800" s="560">
        <f t="shared" si="161"/>
        <v>33670800</v>
      </c>
      <c r="H7800" s="362"/>
      <c r="I7800" s="362"/>
      <c r="J7800" s="362"/>
    </row>
    <row r="7801" spans="1:10" x14ac:dyDescent="0.25">
      <c r="A7801" s="530"/>
      <c r="B7801" s="530"/>
      <c r="C7801" s="530"/>
      <c r="D7801" s="562">
        <f>SUM(D7786:D7800)</f>
        <v>2492825926</v>
      </c>
      <c r="E7801" s="562">
        <f>SUM(E7786:E7800)</f>
        <v>0</v>
      </c>
      <c r="F7801" s="562">
        <f>SUM(F7786:F7800)</f>
        <v>0</v>
      </c>
      <c r="G7801" s="562">
        <f>SUM(G7786:G7800)</f>
        <v>2492825926</v>
      </c>
      <c r="H7801" s="530"/>
      <c r="I7801" s="530"/>
      <c r="J7801" s="530"/>
    </row>
    <row r="7802" spans="1:10" x14ac:dyDescent="0.25">
      <c r="A7802" s="362"/>
      <c r="B7802" s="609">
        <v>44618</v>
      </c>
      <c r="C7802" s="362" t="s">
        <v>86</v>
      </c>
      <c r="D7802" s="560">
        <v>172504796</v>
      </c>
      <c r="E7802" s="560"/>
      <c r="F7802" s="560"/>
      <c r="G7802" s="560">
        <f t="shared" si="161"/>
        <v>172504796</v>
      </c>
      <c r="H7802" s="362"/>
      <c r="I7802" s="362"/>
      <c r="J7802" s="362"/>
    </row>
    <row r="7803" spans="1:10" x14ac:dyDescent="0.25">
      <c r="A7803" s="362"/>
      <c r="B7803" s="609">
        <v>44618</v>
      </c>
      <c r="C7803" s="362" t="s">
        <v>87</v>
      </c>
      <c r="D7803" s="560">
        <v>153267436</v>
      </c>
      <c r="E7803" s="560"/>
      <c r="F7803" s="560"/>
      <c r="G7803" s="560">
        <f t="shared" si="161"/>
        <v>153267436</v>
      </c>
      <c r="H7803" s="362"/>
      <c r="I7803" s="362"/>
      <c r="J7803" s="362"/>
    </row>
    <row r="7804" spans="1:10" x14ac:dyDescent="0.25">
      <c r="A7804" s="362"/>
      <c r="B7804" s="609">
        <v>44618</v>
      </c>
      <c r="C7804" s="362" t="s">
        <v>88</v>
      </c>
      <c r="D7804" s="560">
        <v>106584617</v>
      </c>
      <c r="E7804" s="560"/>
      <c r="F7804" s="560"/>
      <c r="G7804" s="560">
        <f t="shared" si="161"/>
        <v>106584617</v>
      </c>
      <c r="H7804" s="362"/>
      <c r="I7804" s="362"/>
      <c r="J7804" s="362"/>
    </row>
    <row r="7805" spans="1:10" x14ac:dyDescent="0.25">
      <c r="A7805" s="362"/>
      <c r="B7805" s="609">
        <v>44618</v>
      </c>
      <c r="C7805" s="362" t="s">
        <v>82</v>
      </c>
      <c r="D7805" s="560">
        <v>152982771</v>
      </c>
      <c r="E7805" s="560"/>
      <c r="F7805" s="560"/>
      <c r="G7805" s="560">
        <f t="shared" si="161"/>
        <v>152982771</v>
      </c>
      <c r="H7805" s="362"/>
      <c r="I7805" s="362"/>
      <c r="J7805" s="362"/>
    </row>
    <row r="7806" spans="1:10" x14ac:dyDescent="0.25">
      <c r="A7806" s="362"/>
      <c r="B7806" s="609">
        <v>44618</v>
      </c>
      <c r="C7806" s="362" t="s">
        <v>80</v>
      </c>
      <c r="D7806" s="560">
        <v>297239900</v>
      </c>
      <c r="E7806" s="560"/>
      <c r="F7806" s="560"/>
      <c r="G7806" s="560">
        <f t="shared" si="161"/>
        <v>297239900</v>
      </c>
      <c r="H7806" s="362"/>
      <c r="I7806" s="362"/>
      <c r="J7806" s="362"/>
    </row>
    <row r="7807" spans="1:10" x14ac:dyDescent="0.25">
      <c r="A7807" s="362"/>
      <c r="B7807" s="609">
        <v>44618</v>
      </c>
      <c r="C7807" s="362" t="s">
        <v>83</v>
      </c>
      <c r="D7807" s="560">
        <v>169778100</v>
      </c>
      <c r="E7807" s="560"/>
      <c r="F7807" s="560"/>
      <c r="G7807" s="560">
        <f t="shared" si="161"/>
        <v>169778100</v>
      </c>
      <c r="H7807" s="362"/>
      <c r="I7807" s="362"/>
      <c r="J7807" s="362"/>
    </row>
    <row r="7808" spans="1:10" x14ac:dyDescent="0.25">
      <c r="A7808" s="362"/>
      <c r="B7808" s="609">
        <v>44618</v>
      </c>
      <c r="C7808" s="362" t="s">
        <v>78</v>
      </c>
      <c r="D7808" s="560">
        <v>154753870</v>
      </c>
      <c r="E7808" s="560"/>
      <c r="F7808" s="560"/>
      <c r="G7808" s="560">
        <f t="shared" si="161"/>
        <v>154753870</v>
      </c>
      <c r="H7808" s="362"/>
      <c r="I7808" s="362"/>
      <c r="J7808" s="362"/>
    </row>
    <row r="7809" spans="1:10" x14ac:dyDescent="0.25">
      <c r="A7809" s="362"/>
      <c r="B7809" s="609">
        <v>44618</v>
      </c>
      <c r="C7809" s="362" t="s">
        <v>141</v>
      </c>
      <c r="D7809" s="560">
        <v>32405100</v>
      </c>
      <c r="E7809" s="560"/>
      <c r="F7809" s="560"/>
      <c r="G7809" s="560">
        <f t="shared" si="161"/>
        <v>32405100</v>
      </c>
      <c r="H7809" s="362"/>
      <c r="I7809" s="362"/>
      <c r="J7809" s="362"/>
    </row>
    <row r="7810" spans="1:10" x14ac:dyDescent="0.25">
      <c r="A7810" s="362"/>
      <c r="B7810" s="609">
        <v>44618</v>
      </c>
      <c r="C7810" s="362" t="s">
        <v>89</v>
      </c>
      <c r="D7810" s="560">
        <v>173152100</v>
      </c>
      <c r="E7810" s="560"/>
      <c r="F7810" s="560"/>
      <c r="G7810" s="560">
        <f t="shared" si="161"/>
        <v>173152100</v>
      </c>
      <c r="H7810" s="362"/>
      <c r="I7810" s="362"/>
      <c r="J7810" s="362"/>
    </row>
    <row r="7811" spans="1:10" x14ac:dyDescent="0.25">
      <c r="A7811" s="362"/>
      <c r="B7811" s="609">
        <v>44618</v>
      </c>
      <c r="C7811" s="362" t="s">
        <v>81</v>
      </c>
      <c r="D7811" s="560">
        <v>179067831</v>
      </c>
      <c r="E7811" s="560"/>
      <c r="F7811" s="560"/>
      <c r="G7811" s="560">
        <f t="shared" si="161"/>
        <v>179067831</v>
      </c>
      <c r="H7811" s="362"/>
      <c r="I7811" s="362"/>
      <c r="J7811" s="362"/>
    </row>
    <row r="7812" spans="1:10" x14ac:dyDescent="0.25">
      <c r="A7812" s="362"/>
      <c r="B7812" s="609">
        <v>44618</v>
      </c>
      <c r="C7812" s="362" t="s">
        <v>84</v>
      </c>
      <c r="D7812" s="560">
        <v>159607392</v>
      </c>
      <c r="E7812" s="560"/>
      <c r="F7812" s="560"/>
      <c r="G7812" s="560">
        <f t="shared" si="161"/>
        <v>159607392</v>
      </c>
      <c r="H7812" s="362"/>
      <c r="I7812" s="362"/>
      <c r="J7812" s="362"/>
    </row>
    <row r="7813" spans="1:10" x14ac:dyDescent="0.25">
      <c r="A7813" s="362"/>
      <c r="B7813" s="609">
        <v>44618</v>
      </c>
      <c r="C7813" s="362" t="s">
        <v>4751</v>
      </c>
      <c r="D7813" s="560">
        <v>278199000</v>
      </c>
      <c r="E7813" s="560"/>
      <c r="F7813" s="560"/>
      <c r="G7813" s="560">
        <f t="shared" si="161"/>
        <v>278199000</v>
      </c>
      <c r="H7813" s="362"/>
      <c r="I7813" s="362"/>
      <c r="J7813" s="362"/>
    </row>
    <row r="7814" spans="1:10" x14ac:dyDescent="0.25">
      <c r="A7814" s="362"/>
      <c r="B7814" s="609">
        <v>44618</v>
      </c>
      <c r="C7814" s="362" t="s">
        <v>166</v>
      </c>
      <c r="D7814" s="560"/>
      <c r="E7814" s="560"/>
      <c r="F7814" s="560"/>
      <c r="G7814" s="560">
        <f t="shared" si="161"/>
        <v>0</v>
      </c>
      <c r="H7814" s="362"/>
      <c r="I7814" s="362"/>
      <c r="J7814" s="362"/>
    </row>
    <row r="7815" spans="1:10" x14ac:dyDescent="0.25">
      <c r="A7815" s="362"/>
      <c r="B7815" s="609">
        <v>44618</v>
      </c>
      <c r="C7815" s="362" t="s">
        <v>3435</v>
      </c>
      <c r="D7815" s="560"/>
      <c r="E7815" s="560"/>
      <c r="F7815" s="560"/>
      <c r="G7815" s="560">
        <f t="shared" si="161"/>
        <v>0</v>
      </c>
      <c r="H7815" s="362"/>
      <c r="I7815" s="362"/>
      <c r="J7815" s="362"/>
    </row>
    <row r="7816" spans="1:10" x14ac:dyDescent="0.25">
      <c r="A7816" s="362"/>
      <c r="B7816" s="609">
        <v>44618</v>
      </c>
      <c r="C7816" s="370" t="s">
        <v>85</v>
      </c>
      <c r="D7816" s="560">
        <v>22020200</v>
      </c>
      <c r="E7816" s="560"/>
      <c r="F7816" s="560"/>
      <c r="G7816" s="560">
        <f t="shared" si="161"/>
        <v>22020200</v>
      </c>
      <c r="H7816" s="362"/>
      <c r="I7816" s="362"/>
      <c r="J7816" s="362"/>
    </row>
    <row r="7817" spans="1:10" x14ac:dyDescent="0.25">
      <c r="A7817" s="530"/>
      <c r="B7817" s="530"/>
      <c r="C7817" s="530"/>
      <c r="D7817" s="562">
        <f>SUM(D7802:D7816)</f>
        <v>2051563113</v>
      </c>
      <c r="E7817" s="562">
        <f>SUM(E7802:E7816)</f>
        <v>0</v>
      </c>
      <c r="F7817" s="562">
        <f>SUM(F7802:F7816)</f>
        <v>0</v>
      </c>
      <c r="G7817" s="562">
        <f>SUM(G7802:G7816)</f>
        <v>2051563113</v>
      </c>
      <c r="H7817" s="530"/>
      <c r="I7817" s="530"/>
      <c r="J7817" s="530"/>
    </row>
    <row r="7818" spans="1:10" x14ac:dyDescent="0.25">
      <c r="A7818" s="362"/>
      <c r="B7818" s="609">
        <v>44620</v>
      </c>
      <c r="C7818" s="362" t="s">
        <v>86</v>
      </c>
      <c r="D7818" s="560">
        <v>132124285</v>
      </c>
      <c r="E7818" s="560"/>
      <c r="F7818" s="560"/>
      <c r="G7818" s="560">
        <f t="shared" si="161"/>
        <v>132124285</v>
      </c>
      <c r="H7818" s="362"/>
      <c r="I7818" s="362"/>
      <c r="J7818" s="362"/>
    </row>
    <row r="7819" spans="1:10" x14ac:dyDescent="0.25">
      <c r="A7819" s="362"/>
      <c r="B7819" s="609">
        <v>44620</v>
      </c>
      <c r="C7819" s="362" t="s">
        <v>87</v>
      </c>
      <c r="D7819" s="560">
        <v>122048282</v>
      </c>
      <c r="E7819" s="560"/>
      <c r="F7819" s="560"/>
      <c r="G7819" s="560">
        <f t="shared" si="161"/>
        <v>122048282</v>
      </c>
      <c r="H7819" s="362"/>
      <c r="I7819" s="362"/>
      <c r="J7819" s="362"/>
    </row>
    <row r="7820" spans="1:10" x14ac:dyDescent="0.25">
      <c r="A7820" s="362"/>
      <c r="B7820" s="609">
        <v>44620</v>
      </c>
      <c r="C7820" s="362" t="s">
        <v>88</v>
      </c>
      <c r="D7820" s="560">
        <v>211858310</v>
      </c>
      <c r="E7820" s="560"/>
      <c r="F7820" s="560"/>
      <c r="G7820" s="560">
        <f t="shared" ref="G7820:G7864" si="162">D7820+E7820-F7820</f>
        <v>211858310</v>
      </c>
      <c r="H7820" s="362"/>
      <c r="I7820" s="362"/>
      <c r="J7820" s="362"/>
    </row>
    <row r="7821" spans="1:10" x14ac:dyDescent="0.25">
      <c r="A7821" s="362"/>
      <c r="B7821" s="609">
        <v>44620</v>
      </c>
      <c r="C7821" s="362" t="s">
        <v>82</v>
      </c>
      <c r="D7821" s="560">
        <v>81934904</v>
      </c>
      <c r="E7821" s="560"/>
      <c r="F7821" s="560"/>
      <c r="G7821" s="560">
        <f t="shared" si="162"/>
        <v>81934904</v>
      </c>
      <c r="H7821" s="362"/>
      <c r="I7821" s="362"/>
      <c r="J7821" s="362"/>
    </row>
    <row r="7822" spans="1:10" x14ac:dyDescent="0.25">
      <c r="A7822" s="362"/>
      <c r="B7822" s="609">
        <v>44620</v>
      </c>
      <c r="C7822" s="362" t="s">
        <v>80</v>
      </c>
      <c r="D7822" s="560">
        <v>151114586</v>
      </c>
      <c r="E7822" s="560"/>
      <c r="F7822" s="560"/>
      <c r="G7822" s="560">
        <f t="shared" si="162"/>
        <v>151114586</v>
      </c>
      <c r="H7822" s="362"/>
      <c r="I7822" s="362"/>
      <c r="J7822" s="362"/>
    </row>
    <row r="7823" spans="1:10" x14ac:dyDescent="0.25">
      <c r="A7823" s="362"/>
      <c r="B7823" s="609">
        <v>44620</v>
      </c>
      <c r="C7823" s="362" t="s">
        <v>83</v>
      </c>
      <c r="D7823" s="560">
        <v>256280538</v>
      </c>
      <c r="E7823" s="560"/>
      <c r="F7823" s="560"/>
      <c r="G7823" s="560">
        <f t="shared" si="162"/>
        <v>256280538</v>
      </c>
      <c r="H7823" s="362"/>
      <c r="I7823" s="362"/>
      <c r="J7823" s="362"/>
    </row>
    <row r="7824" spans="1:10" x14ac:dyDescent="0.25">
      <c r="A7824" s="362"/>
      <c r="B7824" s="609">
        <v>44620</v>
      </c>
      <c r="C7824" s="362" t="s">
        <v>78</v>
      </c>
      <c r="D7824" s="560">
        <v>138737036</v>
      </c>
      <c r="E7824" s="560"/>
      <c r="F7824" s="560"/>
      <c r="G7824" s="560">
        <f t="shared" si="162"/>
        <v>138737036</v>
      </c>
      <c r="H7824" s="362"/>
      <c r="I7824" s="362"/>
      <c r="J7824" s="362"/>
    </row>
    <row r="7825" spans="1:10" x14ac:dyDescent="0.25">
      <c r="A7825" s="362"/>
      <c r="B7825" s="609">
        <v>44620</v>
      </c>
      <c r="C7825" s="362" t="s">
        <v>141</v>
      </c>
      <c r="D7825" s="560">
        <v>134301121</v>
      </c>
      <c r="E7825" s="560"/>
      <c r="F7825" s="560"/>
      <c r="G7825" s="560">
        <f t="shared" si="162"/>
        <v>134301121</v>
      </c>
      <c r="H7825" s="362"/>
      <c r="I7825" s="362"/>
      <c r="J7825" s="362"/>
    </row>
    <row r="7826" spans="1:10" x14ac:dyDescent="0.25">
      <c r="A7826" s="362"/>
      <c r="B7826" s="609">
        <v>44620</v>
      </c>
      <c r="C7826" s="362" t="s">
        <v>89</v>
      </c>
      <c r="D7826" s="560">
        <v>172830600</v>
      </c>
      <c r="E7826" s="560"/>
      <c r="F7826" s="560"/>
      <c r="G7826" s="560">
        <f t="shared" si="162"/>
        <v>172830600</v>
      </c>
      <c r="H7826" s="362"/>
      <c r="I7826" s="362"/>
      <c r="J7826" s="362"/>
    </row>
    <row r="7827" spans="1:10" x14ac:dyDescent="0.25">
      <c r="A7827" s="362"/>
      <c r="B7827" s="609">
        <v>44620</v>
      </c>
      <c r="C7827" s="362" t="s">
        <v>81</v>
      </c>
      <c r="D7827" s="560">
        <v>76600382</v>
      </c>
      <c r="E7827" s="560"/>
      <c r="F7827" s="560"/>
      <c r="G7827" s="560">
        <f t="shared" si="162"/>
        <v>76600382</v>
      </c>
      <c r="H7827" s="362"/>
      <c r="I7827" s="362"/>
      <c r="J7827" s="362"/>
    </row>
    <row r="7828" spans="1:10" x14ac:dyDescent="0.25">
      <c r="A7828" s="362"/>
      <c r="B7828" s="609">
        <v>44620</v>
      </c>
      <c r="C7828" s="362" t="s">
        <v>84</v>
      </c>
      <c r="D7828" s="560">
        <v>324071280</v>
      </c>
      <c r="E7828" s="560"/>
      <c r="F7828" s="560"/>
      <c r="G7828" s="560">
        <f t="shared" si="162"/>
        <v>324071280</v>
      </c>
      <c r="H7828" s="362"/>
      <c r="I7828" s="362"/>
      <c r="J7828" s="362"/>
    </row>
    <row r="7829" spans="1:10" x14ac:dyDescent="0.25">
      <c r="A7829" s="362"/>
      <c r="B7829" s="609">
        <v>44620</v>
      </c>
      <c r="C7829" s="362" t="s">
        <v>4751</v>
      </c>
      <c r="D7829" s="560">
        <v>209434200</v>
      </c>
      <c r="E7829" s="560"/>
      <c r="F7829" s="560"/>
      <c r="G7829" s="560">
        <f t="shared" si="162"/>
        <v>209434200</v>
      </c>
      <c r="H7829" s="362"/>
      <c r="I7829" s="362"/>
      <c r="J7829" s="362"/>
    </row>
    <row r="7830" spans="1:10" x14ac:dyDescent="0.25">
      <c r="A7830" s="362"/>
      <c r="B7830" s="609">
        <v>44620</v>
      </c>
      <c r="C7830" s="362" t="s">
        <v>166</v>
      </c>
      <c r="D7830" s="560">
        <v>93202378</v>
      </c>
      <c r="E7830" s="560"/>
      <c r="F7830" s="560"/>
      <c r="G7830" s="560">
        <f t="shared" si="162"/>
        <v>93202378</v>
      </c>
      <c r="H7830" s="362"/>
      <c r="I7830" s="362"/>
      <c r="J7830" s="362"/>
    </row>
    <row r="7831" spans="1:10" x14ac:dyDescent="0.25">
      <c r="A7831" s="362"/>
      <c r="B7831" s="609">
        <v>44620</v>
      </c>
      <c r="C7831" s="362" t="s">
        <v>3435</v>
      </c>
      <c r="D7831" s="560">
        <v>21023013</v>
      </c>
      <c r="E7831" s="560"/>
      <c r="F7831" s="560"/>
      <c r="G7831" s="560">
        <f t="shared" si="162"/>
        <v>21023013</v>
      </c>
      <c r="H7831" s="362"/>
      <c r="I7831" s="362"/>
      <c r="J7831" s="362"/>
    </row>
    <row r="7832" spans="1:10" x14ac:dyDescent="0.25">
      <c r="A7832" s="362"/>
      <c r="B7832" s="609">
        <v>44620</v>
      </c>
      <c r="C7832" s="370" t="s">
        <v>85</v>
      </c>
      <c r="D7832" s="560">
        <v>65037800</v>
      </c>
      <c r="E7832" s="560"/>
      <c r="F7832" s="560"/>
      <c r="G7832" s="560">
        <f t="shared" si="162"/>
        <v>65037800</v>
      </c>
      <c r="H7832" s="362"/>
      <c r="I7832" s="362"/>
      <c r="J7832" s="362"/>
    </row>
    <row r="7833" spans="1:10" x14ac:dyDescent="0.25">
      <c r="A7833" s="530"/>
      <c r="B7833" s="530"/>
      <c r="C7833" s="530"/>
      <c r="D7833" s="562">
        <f>SUM(D7818:D7832)</f>
        <v>2190598715</v>
      </c>
      <c r="E7833" s="562">
        <f>SUM(E7818:E7832)</f>
        <v>0</v>
      </c>
      <c r="F7833" s="562">
        <f>SUM(F7818:F7832)</f>
        <v>0</v>
      </c>
      <c r="G7833" s="562">
        <f>SUM(G7818:G7832)</f>
        <v>2190598715</v>
      </c>
      <c r="H7833" s="530"/>
      <c r="I7833" s="530"/>
      <c r="J7833" s="530"/>
    </row>
    <row r="7834" spans="1:10" x14ac:dyDescent="0.25">
      <c r="A7834" s="362"/>
      <c r="B7834" s="609">
        <v>44621</v>
      </c>
      <c r="C7834" s="362" t="s">
        <v>86</v>
      </c>
      <c r="D7834" s="560">
        <v>108285121</v>
      </c>
      <c r="E7834" s="560"/>
      <c r="F7834" s="560"/>
      <c r="G7834" s="560">
        <f t="shared" si="162"/>
        <v>108285121</v>
      </c>
      <c r="H7834" s="362"/>
      <c r="I7834" s="362"/>
      <c r="J7834" s="362"/>
    </row>
    <row r="7835" spans="1:10" x14ac:dyDescent="0.25">
      <c r="A7835" s="362"/>
      <c r="B7835" s="609">
        <v>44621</v>
      </c>
      <c r="C7835" s="362" t="s">
        <v>87</v>
      </c>
      <c r="D7835" s="560">
        <v>154433960</v>
      </c>
      <c r="E7835" s="560"/>
      <c r="F7835" s="560"/>
      <c r="G7835" s="560">
        <f t="shared" si="162"/>
        <v>154433960</v>
      </c>
      <c r="H7835" s="362"/>
      <c r="I7835" s="362"/>
      <c r="J7835" s="362"/>
    </row>
    <row r="7836" spans="1:10" x14ac:dyDescent="0.25">
      <c r="A7836" s="362"/>
      <c r="B7836" s="609">
        <v>44621</v>
      </c>
      <c r="C7836" s="362" t="s">
        <v>88</v>
      </c>
      <c r="D7836" s="560">
        <v>254750827</v>
      </c>
      <c r="E7836" s="560"/>
      <c r="F7836" s="560"/>
      <c r="G7836" s="560">
        <f t="shared" si="162"/>
        <v>254750827</v>
      </c>
      <c r="H7836" s="362"/>
      <c r="I7836" s="362"/>
      <c r="J7836" s="362"/>
    </row>
    <row r="7837" spans="1:10" x14ac:dyDescent="0.25">
      <c r="A7837" s="362"/>
      <c r="B7837" s="609">
        <v>44621</v>
      </c>
      <c r="C7837" s="362" t="s">
        <v>82</v>
      </c>
      <c r="D7837" s="560">
        <v>116898769</v>
      </c>
      <c r="E7837" s="560"/>
      <c r="F7837" s="560"/>
      <c r="G7837" s="560">
        <f t="shared" si="162"/>
        <v>116898769</v>
      </c>
      <c r="H7837" s="362"/>
      <c r="I7837" s="362"/>
      <c r="J7837" s="362"/>
    </row>
    <row r="7838" spans="1:10" x14ac:dyDescent="0.25">
      <c r="A7838" s="362"/>
      <c r="B7838" s="609">
        <v>44621</v>
      </c>
      <c r="C7838" s="362" t="s">
        <v>80</v>
      </c>
      <c r="D7838" s="560">
        <v>462447800</v>
      </c>
      <c r="E7838" s="560"/>
      <c r="F7838" s="560"/>
      <c r="G7838" s="560">
        <f t="shared" si="162"/>
        <v>462447800</v>
      </c>
      <c r="H7838" s="362"/>
      <c r="I7838" s="362"/>
      <c r="J7838" s="362"/>
    </row>
    <row r="7839" spans="1:10" x14ac:dyDescent="0.25">
      <c r="A7839" s="362"/>
      <c r="B7839" s="609">
        <v>44621</v>
      </c>
      <c r="C7839" s="362" t="s">
        <v>83</v>
      </c>
      <c r="D7839" s="560">
        <v>256543645</v>
      </c>
      <c r="E7839" s="560"/>
      <c r="F7839" s="560"/>
      <c r="G7839" s="560">
        <f t="shared" si="162"/>
        <v>256543645</v>
      </c>
      <c r="H7839" s="362"/>
      <c r="I7839" s="362"/>
      <c r="J7839" s="362"/>
    </row>
    <row r="7840" spans="1:10" x14ac:dyDescent="0.25">
      <c r="A7840" s="362"/>
      <c r="B7840" s="609">
        <v>44621</v>
      </c>
      <c r="C7840" s="362" t="s">
        <v>78</v>
      </c>
      <c r="D7840" s="560">
        <v>201910482</v>
      </c>
      <c r="E7840" s="560"/>
      <c r="F7840" s="560"/>
      <c r="G7840" s="560">
        <f t="shared" si="162"/>
        <v>201910482</v>
      </c>
      <c r="H7840" s="362"/>
      <c r="I7840" s="362"/>
      <c r="J7840" s="362"/>
    </row>
    <row r="7841" spans="1:10" x14ac:dyDescent="0.25">
      <c r="A7841" s="362"/>
      <c r="B7841" s="609">
        <v>44621</v>
      </c>
      <c r="C7841" s="362" t="s">
        <v>141</v>
      </c>
      <c r="D7841" s="560">
        <v>85540575</v>
      </c>
      <c r="E7841" s="560"/>
      <c r="F7841" s="560"/>
      <c r="G7841" s="560">
        <f t="shared" si="162"/>
        <v>85540575</v>
      </c>
      <c r="H7841" s="362"/>
      <c r="I7841" s="362"/>
      <c r="J7841" s="362"/>
    </row>
    <row r="7842" spans="1:10" x14ac:dyDescent="0.25">
      <c r="A7842" s="362"/>
      <c r="B7842" s="609">
        <v>44621</v>
      </c>
      <c r="C7842" s="362" t="s">
        <v>89</v>
      </c>
      <c r="D7842" s="560">
        <v>106730200</v>
      </c>
      <c r="E7842" s="560"/>
      <c r="F7842" s="560"/>
      <c r="G7842" s="560">
        <f t="shared" si="162"/>
        <v>106730200</v>
      </c>
      <c r="H7842" s="362"/>
      <c r="I7842" s="362"/>
      <c r="J7842" s="362"/>
    </row>
    <row r="7843" spans="1:10" x14ac:dyDescent="0.25">
      <c r="A7843" s="362"/>
      <c r="B7843" s="609">
        <v>44621</v>
      </c>
      <c r="C7843" s="362" t="s">
        <v>81</v>
      </c>
      <c r="D7843" s="560">
        <v>62975384</v>
      </c>
      <c r="E7843" s="560"/>
      <c r="F7843" s="560"/>
      <c r="G7843" s="560">
        <f t="shared" si="162"/>
        <v>62975384</v>
      </c>
      <c r="H7843" s="362"/>
      <c r="I7843" s="362"/>
      <c r="J7843" s="362"/>
    </row>
    <row r="7844" spans="1:10" x14ac:dyDescent="0.25">
      <c r="A7844" s="362"/>
      <c r="B7844" s="609">
        <v>44621</v>
      </c>
      <c r="C7844" s="362" t="s">
        <v>84</v>
      </c>
      <c r="D7844" s="560">
        <v>355694053</v>
      </c>
      <c r="E7844" s="560"/>
      <c r="F7844" s="560"/>
      <c r="G7844" s="560">
        <f t="shared" si="162"/>
        <v>355694053</v>
      </c>
      <c r="H7844" s="362"/>
      <c r="I7844" s="362"/>
      <c r="J7844" s="362"/>
    </row>
    <row r="7845" spans="1:10" x14ac:dyDescent="0.25">
      <c r="A7845" s="362"/>
      <c r="B7845" s="609">
        <v>44621</v>
      </c>
      <c r="C7845" s="362" t="s">
        <v>4751</v>
      </c>
      <c r="D7845" s="560">
        <v>239496500</v>
      </c>
      <c r="E7845" s="560"/>
      <c r="F7845" s="560"/>
      <c r="G7845" s="560">
        <f t="shared" si="162"/>
        <v>239496500</v>
      </c>
      <c r="H7845" s="362"/>
      <c r="I7845" s="362"/>
      <c r="J7845" s="362"/>
    </row>
    <row r="7846" spans="1:10" x14ac:dyDescent="0.25">
      <c r="A7846" s="362"/>
      <c r="B7846" s="609">
        <v>44621</v>
      </c>
      <c r="C7846" s="362" t="s">
        <v>166</v>
      </c>
      <c r="D7846" s="560">
        <v>153613432</v>
      </c>
      <c r="E7846" s="560"/>
      <c r="F7846" s="560"/>
      <c r="G7846" s="560">
        <f t="shared" si="162"/>
        <v>153613432</v>
      </c>
      <c r="H7846" s="362"/>
      <c r="I7846" s="362"/>
      <c r="J7846" s="362"/>
    </row>
    <row r="7847" spans="1:10" x14ac:dyDescent="0.25">
      <c r="A7847" s="362"/>
      <c r="B7847" s="609">
        <v>44621</v>
      </c>
      <c r="C7847" s="362" t="s">
        <v>3435</v>
      </c>
      <c r="D7847" s="560">
        <v>117404119</v>
      </c>
      <c r="E7847" s="560"/>
      <c r="F7847" s="560"/>
      <c r="G7847" s="560">
        <f t="shared" si="162"/>
        <v>117404119</v>
      </c>
      <c r="H7847" s="362"/>
      <c r="I7847" s="362"/>
      <c r="J7847" s="362"/>
    </row>
    <row r="7848" spans="1:10" x14ac:dyDescent="0.25">
      <c r="A7848" s="362"/>
      <c r="B7848" s="609">
        <v>44621</v>
      </c>
      <c r="C7848" s="370" t="s">
        <v>85</v>
      </c>
      <c r="D7848" s="560">
        <v>33576300</v>
      </c>
      <c r="E7848" s="560"/>
      <c r="F7848" s="560"/>
      <c r="G7848" s="560">
        <f t="shared" si="162"/>
        <v>33576300</v>
      </c>
      <c r="H7848" s="362"/>
      <c r="I7848" s="362"/>
      <c r="J7848" s="362"/>
    </row>
    <row r="7849" spans="1:10" x14ac:dyDescent="0.25">
      <c r="A7849" s="530"/>
      <c r="B7849" s="530"/>
      <c r="C7849" s="530"/>
      <c r="D7849" s="562">
        <f>SUM(D7834:D7848)</f>
        <v>2710301167</v>
      </c>
      <c r="E7849" s="562">
        <f>SUM(E7834:E7848)</f>
        <v>0</v>
      </c>
      <c r="F7849" s="562">
        <f>SUM(F7834:F7848)</f>
        <v>0</v>
      </c>
      <c r="G7849" s="562">
        <f>SUM(G7834:G7848)</f>
        <v>2710301167</v>
      </c>
      <c r="H7849" s="530"/>
      <c r="I7849" s="530"/>
      <c r="J7849" s="530"/>
    </row>
    <row r="7850" spans="1:10" x14ac:dyDescent="0.25">
      <c r="A7850" s="362"/>
      <c r="B7850" s="609">
        <v>44622</v>
      </c>
      <c r="C7850" s="362" t="s">
        <v>86</v>
      </c>
      <c r="D7850" s="560">
        <v>160785809</v>
      </c>
      <c r="E7850" s="560"/>
      <c r="F7850" s="560"/>
      <c r="G7850" s="560">
        <f t="shared" si="162"/>
        <v>160785809</v>
      </c>
      <c r="H7850" s="362"/>
      <c r="I7850" s="362"/>
      <c r="J7850" s="362"/>
    </row>
    <row r="7851" spans="1:10" x14ac:dyDescent="0.25">
      <c r="A7851" s="362"/>
      <c r="B7851" s="609">
        <v>44622</v>
      </c>
      <c r="C7851" s="362" t="s">
        <v>87</v>
      </c>
      <c r="D7851" s="560">
        <v>226455551</v>
      </c>
      <c r="E7851" s="560"/>
      <c r="F7851" s="560"/>
      <c r="G7851" s="560">
        <f t="shared" si="162"/>
        <v>226455551</v>
      </c>
      <c r="H7851" s="362"/>
      <c r="I7851" s="362"/>
      <c r="J7851" s="362"/>
    </row>
    <row r="7852" spans="1:10" x14ac:dyDescent="0.25">
      <c r="A7852" s="362"/>
      <c r="B7852" s="609">
        <v>44622</v>
      </c>
      <c r="C7852" s="362" t="s">
        <v>88</v>
      </c>
      <c r="D7852" s="560">
        <v>352777292</v>
      </c>
      <c r="E7852" s="560"/>
      <c r="F7852" s="560"/>
      <c r="G7852" s="560">
        <f t="shared" si="162"/>
        <v>352777292</v>
      </c>
      <c r="H7852" s="362"/>
      <c r="I7852" s="362"/>
      <c r="J7852" s="362"/>
    </row>
    <row r="7853" spans="1:10" x14ac:dyDescent="0.25">
      <c r="A7853" s="362"/>
      <c r="B7853" s="609">
        <v>44622</v>
      </c>
      <c r="C7853" s="362" t="s">
        <v>82</v>
      </c>
      <c r="D7853" s="560">
        <v>127455355</v>
      </c>
      <c r="E7853" s="560"/>
      <c r="F7853" s="560"/>
      <c r="G7853" s="560">
        <f t="shared" si="162"/>
        <v>127455355</v>
      </c>
      <c r="H7853" s="362"/>
      <c r="I7853" s="362"/>
      <c r="J7853" s="362"/>
    </row>
    <row r="7854" spans="1:10" x14ac:dyDescent="0.25">
      <c r="A7854" s="362"/>
      <c r="B7854" s="609">
        <v>44622</v>
      </c>
      <c r="C7854" s="362" t="s">
        <v>80</v>
      </c>
      <c r="D7854" s="560">
        <v>387112764</v>
      </c>
      <c r="E7854" s="560"/>
      <c r="F7854" s="560"/>
      <c r="G7854" s="560">
        <f t="shared" si="162"/>
        <v>387112764</v>
      </c>
      <c r="H7854" s="362"/>
      <c r="I7854" s="362"/>
      <c r="J7854" s="362"/>
    </row>
    <row r="7855" spans="1:10" x14ac:dyDescent="0.25">
      <c r="A7855" s="362"/>
      <c r="B7855" s="609">
        <v>44622</v>
      </c>
      <c r="C7855" s="362" t="s">
        <v>83</v>
      </c>
      <c r="D7855" s="560">
        <v>174905421</v>
      </c>
      <c r="E7855" s="560"/>
      <c r="F7855" s="560"/>
      <c r="G7855" s="560">
        <f t="shared" si="162"/>
        <v>174905421</v>
      </c>
      <c r="H7855" s="362"/>
      <c r="I7855" s="362"/>
      <c r="J7855" s="362"/>
    </row>
    <row r="7856" spans="1:10" x14ac:dyDescent="0.25">
      <c r="A7856" s="362"/>
      <c r="B7856" s="609">
        <v>44622</v>
      </c>
      <c r="C7856" s="362" t="s">
        <v>78</v>
      </c>
      <c r="D7856" s="560">
        <v>123290279</v>
      </c>
      <c r="E7856" s="560"/>
      <c r="F7856" s="560"/>
      <c r="G7856" s="560">
        <f t="shared" si="162"/>
        <v>123290279</v>
      </c>
      <c r="H7856" s="362"/>
      <c r="I7856" s="362"/>
      <c r="J7856" s="362"/>
    </row>
    <row r="7857" spans="1:10" x14ac:dyDescent="0.25">
      <c r="A7857" s="362"/>
      <c r="B7857" s="609">
        <v>44622</v>
      </c>
      <c r="C7857" s="362" t="s">
        <v>141</v>
      </c>
      <c r="D7857" s="560">
        <v>157930743</v>
      </c>
      <c r="E7857" s="560"/>
      <c r="F7857" s="560"/>
      <c r="G7857" s="560">
        <f t="shared" si="162"/>
        <v>157930743</v>
      </c>
      <c r="H7857" s="362"/>
      <c r="I7857" s="362"/>
      <c r="J7857" s="362"/>
    </row>
    <row r="7858" spans="1:10" x14ac:dyDescent="0.25">
      <c r="A7858" s="362"/>
      <c r="B7858" s="609">
        <v>44622</v>
      </c>
      <c r="C7858" s="362" t="s">
        <v>89</v>
      </c>
      <c r="D7858" s="560">
        <v>265653000</v>
      </c>
      <c r="E7858" s="560"/>
      <c r="F7858" s="560"/>
      <c r="G7858" s="560">
        <f t="shared" si="162"/>
        <v>265653000</v>
      </c>
      <c r="H7858" s="362"/>
      <c r="I7858" s="362"/>
      <c r="J7858" s="362"/>
    </row>
    <row r="7859" spans="1:10" x14ac:dyDescent="0.25">
      <c r="A7859" s="362"/>
      <c r="B7859" s="609">
        <v>44622</v>
      </c>
      <c r="C7859" s="362" t="s">
        <v>81</v>
      </c>
      <c r="D7859" s="560">
        <v>128349069</v>
      </c>
      <c r="E7859" s="560"/>
      <c r="F7859" s="560"/>
      <c r="G7859" s="560">
        <f t="shared" si="162"/>
        <v>128349069</v>
      </c>
      <c r="H7859" s="362"/>
      <c r="I7859" s="362"/>
      <c r="J7859" s="362"/>
    </row>
    <row r="7860" spans="1:10" x14ac:dyDescent="0.25">
      <c r="A7860" s="362"/>
      <c r="B7860" s="609">
        <v>44622</v>
      </c>
      <c r="C7860" s="362" t="s">
        <v>84</v>
      </c>
      <c r="D7860" s="560">
        <v>312357367</v>
      </c>
      <c r="E7860" s="560"/>
      <c r="F7860" s="560"/>
      <c r="G7860" s="560">
        <f t="shared" si="162"/>
        <v>312357367</v>
      </c>
      <c r="H7860" s="362"/>
      <c r="I7860" s="362"/>
      <c r="J7860" s="362"/>
    </row>
    <row r="7861" spans="1:10" x14ac:dyDescent="0.25">
      <c r="A7861" s="362"/>
      <c r="B7861" s="609">
        <v>44622</v>
      </c>
      <c r="C7861" s="362" t="s">
        <v>4751</v>
      </c>
      <c r="D7861" s="560">
        <v>177978100</v>
      </c>
      <c r="E7861" s="560"/>
      <c r="F7861" s="560"/>
      <c r="G7861" s="560">
        <f t="shared" si="162"/>
        <v>177978100</v>
      </c>
      <c r="H7861" s="362"/>
      <c r="I7861" s="362"/>
      <c r="J7861" s="362"/>
    </row>
    <row r="7862" spans="1:10" x14ac:dyDescent="0.25">
      <c r="A7862" s="362"/>
      <c r="B7862" s="609">
        <v>44622</v>
      </c>
      <c r="C7862" s="362" t="s">
        <v>166</v>
      </c>
      <c r="D7862" s="560">
        <v>85780244</v>
      </c>
      <c r="E7862" s="560"/>
      <c r="F7862" s="560"/>
      <c r="G7862" s="560">
        <f t="shared" si="162"/>
        <v>85780244</v>
      </c>
      <c r="H7862" s="362"/>
      <c r="I7862" s="362"/>
      <c r="J7862" s="362"/>
    </row>
    <row r="7863" spans="1:10" x14ac:dyDescent="0.25">
      <c r="A7863" s="362"/>
      <c r="B7863" s="609">
        <v>44622</v>
      </c>
      <c r="C7863" s="362" t="s">
        <v>3435</v>
      </c>
      <c r="D7863" s="560">
        <v>96377410</v>
      </c>
      <c r="E7863" s="560"/>
      <c r="F7863" s="560"/>
      <c r="G7863" s="560">
        <f t="shared" si="162"/>
        <v>96377410</v>
      </c>
      <c r="H7863" s="362"/>
      <c r="I7863" s="362"/>
      <c r="J7863" s="362"/>
    </row>
    <row r="7864" spans="1:10" x14ac:dyDescent="0.25">
      <c r="A7864" s="362"/>
      <c r="B7864" s="609">
        <v>44622</v>
      </c>
      <c r="C7864" s="370" t="s">
        <v>85</v>
      </c>
      <c r="D7864" s="560">
        <v>44944800</v>
      </c>
      <c r="E7864" s="560"/>
      <c r="F7864" s="560"/>
      <c r="G7864" s="560">
        <f t="shared" si="162"/>
        <v>44944800</v>
      </c>
      <c r="H7864" s="362"/>
      <c r="I7864" s="362"/>
      <c r="J7864" s="362"/>
    </row>
    <row r="7865" spans="1:10" x14ac:dyDescent="0.25">
      <c r="A7865" s="530"/>
      <c r="B7865" s="530"/>
      <c r="C7865" s="530"/>
      <c r="D7865" s="562">
        <f>SUM(D7850:D7864)</f>
        <v>2822153204</v>
      </c>
      <c r="E7865" s="562">
        <f>SUM(E7850:E7864)</f>
        <v>0</v>
      </c>
      <c r="F7865" s="562">
        <f>SUM(F7850:F7864)</f>
        <v>0</v>
      </c>
      <c r="G7865" s="562">
        <f>SUM(G7850:G7864)</f>
        <v>2822153204</v>
      </c>
      <c r="H7865" s="530"/>
      <c r="I7865" s="530"/>
      <c r="J7865" s="530"/>
    </row>
    <row r="7866" spans="1:10" x14ac:dyDescent="0.25">
      <c r="A7866" s="362"/>
      <c r="B7866" s="609">
        <v>44623</v>
      </c>
      <c r="C7866" s="362" t="s">
        <v>86</v>
      </c>
      <c r="D7866" s="560"/>
      <c r="E7866" s="560"/>
      <c r="F7866" s="560"/>
      <c r="G7866" s="560"/>
      <c r="H7866" s="362"/>
      <c r="I7866" s="362"/>
      <c r="J7866" s="362"/>
    </row>
    <row r="7867" spans="1:10" x14ac:dyDescent="0.25">
      <c r="A7867" s="362"/>
      <c r="B7867" s="609">
        <v>44623</v>
      </c>
      <c r="C7867" s="362" t="s">
        <v>87</v>
      </c>
      <c r="D7867" s="560"/>
      <c r="E7867" s="560"/>
      <c r="F7867" s="560"/>
      <c r="G7867" s="560"/>
      <c r="H7867" s="362"/>
      <c r="I7867" s="362"/>
      <c r="J7867" s="362"/>
    </row>
    <row r="7868" spans="1:10" x14ac:dyDescent="0.25">
      <c r="A7868" s="362"/>
      <c r="B7868" s="609">
        <v>44623</v>
      </c>
      <c r="C7868" s="362" t="s">
        <v>88</v>
      </c>
      <c r="D7868" s="560"/>
      <c r="E7868" s="560"/>
      <c r="F7868" s="560"/>
      <c r="G7868" s="560"/>
      <c r="H7868" s="362"/>
      <c r="I7868" s="362"/>
      <c r="J7868" s="362"/>
    </row>
    <row r="7869" spans="1:10" x14ac:dyDescent="0.25">
      <c r="A7869" s="362"/>
      <c r="B7869" s="609">
        <v>44623</v>
      </c>
      <c r="C7869" s="362" t="s">
        <v>82</v>
      </c>
      <c r="D7869" s="560"/>
      <c r="E7869" s="560"/>
      <c r="F7869" s="560"/>
      <c r="G7869" s="560"/>
      <c r="H7869" s="362"/>
      <c r="I7869" s="362"/>
      <c r="J7869" s="362"/>
    </row>
    <row r="7870" spans="1:10" x14ac:dyDescent="0.25">
      <c r="A7870" s="362"/>
      <c r="B7870" s="609">
        <v>44623</v>
      </c>
      <c r="C7870" s="362" t="s">
        <v>80</v>
      </c>
      <c r="D7870" s="560"/>
      <c r="E7870" s="560"/>
      <c r="F7870" s="560"/>
      <c r="G7870" s="560"/>
      <c r="H7870" s="362"/>
      <c r="I7870" s="362"/>
      <c r="J7870" s="362"/>
    </row>
    <row r="7871" spans="1:10" x14ac:dyDescent="0.25">
      <c r="A7871" s="362"/>
      <c r="B7871" s="609">
        <v>44623</v>
      </c>
      <c r="C7871" s="362" t="s">
        <v>83</v>
      </c>
      <c r="D7871" s="560"/>
      <c r="E7871" s="560"/>
      <c r="F7871" s="560"/>
      <c r="G7871" s="560"/>
      <c r="H7871" s="362"/>
      <c r="I7871" s="362"/>
      <c r="J7871" s="362"/>
    </row>
    <row r="7872" spans="1:10" x14ac:dyDescent="0.25">
      <c r="A7872" s="362"/>
      <c r="B7872" s="609">
        <v>44623</v>
      </c>
      <c r="C7872" s="362" t="s">
        <v>78</v>
      </c>
      <c r="D7872" s="560"/>
      <c r="E7872" s="560"/>
      <c r="F7872" s="560"/>
      <c r="G7872" s="560"/>
      <c r="H7872" s="362"/>
      <c r="I7872" s="362"/>
      <c r="J7872" s="362"/>
    </row>
    <row r="7873" spans="1:10" x14ac:dyDescent="0.25">
      <c r="A7873" s="362"/>
      <c r="B7873" s="609">
        <v>44623</v>
      </c>
      <c r="C7873" s="362" t="s">
        <v>141</v>
      </c>
      <c r="D7873" s="560"/>
      <c r="E7873" s="560"/>
      <c r="F7873" s="560"/>
      <c r="G7873" s="560"/>
      <c r="H7873" s="362"/>
      <c r="I7873" s="362"/>
      <c r="J7873" s="362"/>
    </row>
    <row r="7874" spans="1:10" x14ac:dyDescent="0.25">
      <c r="A7874" s="362"/>
      <c r="B7874" s="609">
        <v>44623</v>
      </c>
      <c r="C7874" s="362" t="s">
        <v>89</v>
      </c>
      <c r="D7874" s="560"/>
      <c r="E7874" s="560"/>
      <c r="F7874" s="560"/>
      <c r="G7874" s="560"/>
      <c r="H7874" s="362"/>
      <c r="I7874" s="362"/>
      <c r="J7874" s="362"/>
    </row>
    <row r="7875" spans="1:10" x14ac:dyDescent="0.25">
      <c r="A7875" s="362"/>
      <c r="B7875" s="609">
        <v>44623</v>
      </c>
      <c r="C7875" s="362" t="s">
        <v>81</v>
      </c>
      <c r="D7875" s="560"/>
      <c r="E7875" s="560"/>
      <c r="F7875" s="560"/>
      <c r="G7875" s="560"/>
      <c r="H7875" s="362"/>
      <c r="I7875" s="362"/>
      <c r="J7875" s="362"/>
    </row>
    <row r="7876" spans="1:10" x14ac:dyDescent="0.25">
      <c r="A7876" s="362"/>
      <c r="B7876" s="609">
        <v>44623</v>
      </c>
      <c r="C7876" s="362" t="s">
        <v>84</v>
      </c>
      <c r="D7876" s="560"/>
      <c r="E7876" s="560"/>
      <c r="F7876" s="560"/>
      <c r="G7876" s="560"/>
      <c r="H7876" s="362"/>
      <c r="I7876" s="362"/>
      <c r="J7876" s="362"/>
    </row>
    <row r="7877" spans="1:10" x14ac:dyDescent="0.25">
      <c r="A7877" s="362"/>
      <c r="B7877" s="609">
        <v>44623</v>
      </c>
      <c r="C7877" s="362" t="s">
        <v>4751</v>
      </c>
      <c r="D7877" s="560"/>
      <c r="E7877" s="560"/>
      <c r="F7877" s="560"/>
      <c r="G7877" s="560"/>
      <c r="H7877" s="362"/>
      <c r="I7877" s="362"/>
      <c r="J7877" s="362"/>
    </row>
    <row r="7878" spans="1:10" x14ac:dyDescent="0.25">
      <c r="A7878" s="362"/>
      <c r="B7878" s="609">
        <v>44623</v>
      </c>
      <c r="C7878" s="362" t="s">
        <v>166</v>
      </c>
      <c r="D7878" s="560"/>
      <c r="E7878" s="560"/>
      <c r="F7878" s="560"/>
      <c r="G7878" s="560"/>
      <c r="H7878" s="362"/>
      <c r="I7878" s="362"/>
      <c r="J7878" s="362"/>
    </row>
    <row r="7879" spans="1:10" x14ac:dyDescent="0.25">
      <c r="A7879" s="362"/>
      <c r="B7879" s="609">
        <v>44623</v>
      </c>
      <c r="C7879" s="362" t="s">
        <v>3435</v>
      </c>
      <c r="D7879" s="560"/>
      <c r="E7879" s="560"/>
      <c r="F7879" s="560"/>
      <c r="G7879" s="560"/>
      <c r="H7879" s="362"/>
      <c r="I7879" s="362"/>
      <c r="J7879" s="362"/>
    </row>
    <row r="7880" spans="1:10" x14ac:dyDescent="0.25">
      <c r="A7880" s="362"/>
      <c r="B7880" s="609">
        <v>44623</v>
      </c>
      <c r="C7880" s="370" t="s">
        <v>85</v>
      </c>
      <c r="D7880" s="560"/>
      <c r="E7880" s="560"/>
      <c r="F7880" s="560"/>
      <c r="G7880" s="560"/>
      <c r="H7880" s="362"/>
      <c r="I7880" s="362"/>
      <c r="J7880" s="362"/>
    </row>
    <row r="7881" spans="1:10" x14ac:dyDescent="0.25">
      <c r="A7881" s="530"/>
      <c r="B7881" s="530"/>
      <c r="C7881" s="530"/>
      <c r="D7881" s="562"/>
      <c r="E7881" s="562"/>
      <c r="F7881" s="562"/>
      <c r="G7881" s="562"/>
      <c r="H7881" s="530"/>
      <c r="I7881" s="530"/>
      <c r="J7881" s="530"/>
    </row>
    <row r="7882" spans="1:10" x14ac:dyDescent="0.25">
      <c r="A7882" s="362"/>
      <c r="B7882" s="609">
        <v>44624</v>
      </c>
      <c r="C7882" s="362" t="s">
        <v>86</v>
      </c>
      <c r="D7882" s="560">
        <v>106195161</v>
      </c>
      <c r="E7882" s="560"/>
      <c r="F7882" s="560"/>
      <c r="G7882" s="560">
        <f t="shared" ref="G7882:G7947" si="163">D7882+E7882-F7882</f>
        <v>106195161</v>
      </c>
      <c r="H7882" s="362"/>
      <c r="I7882" s="362"/>
      <c r="J7882" s="362"/>
    </row>
    <row r="7883" spans="1:10" x14ac:dyDescent="0.25">
      <c r="A7883" s="362"/>
      <c r="B7883" s="609">
        <v>44624</v>
      </c>
      <c r="C7883" s="362" t="s">
        <v>87</v>
      </c>
      <c r="D7883" s="560">
        <v>390636105</v>
      </c>
      <c r="E7883" s="560"/>
      <c r="F7883" s="560"/>
      <c r="G7883" s="560">
        <f t="shared" si="163"/>
        <v>390636105</v>
      </c>
      <c r="H7883" s="362"/>
      <c r="I7883" s="362"/>
      <c r="J7883" s="362"/>
    </row>
    <row r="7884" spans="1:10" x14ac:dyDescent="0.25">
      <c r="A7884" s="362"/>
      <c r="B7884" s="609">
        <v>44624</v>
      </c>
      <c r="C7884" s="362" t="s">
        <v>88</v>
      </c>
      <c r="D7884" s="560">
        <v>159410495</v>
      </c>
      <c r="E7884" s="560"/>
      <c r="F7884" s="560"/>
      <c r="G7884" s="560">
        <f t="shared" si="163"/>
        <v>159410495</v>
      </c>
      <c r="H7884" s="362"/>
      <c r="I7884" s="362"/>
      <c r="J7884" s="362"/>
    </row>
    <row r="7885" spans="1:10" x14ac:dyDescent="0.25">
      <c r="A7885" s="362"/>
      <c r="B7885" s="609">
        <v>44624</v>
      </c>
      <c r="C7885" s="362" t="s">
        <v>82</v>
      </c>
      <c r="D7885" s="560">
        <v>133171265</v>
      </c>
      <c r="E7885" s="560"/>
      <c r="F7885" s="560"/>
      <c r="G7885" s="560">
        <f t="shared" si="163"/>
        <v>133171265</v>
      </c>
      <c r="H7885" s="362"/>
      <c r="I7885" s="362"/>
      <c r="J7885" s="362"/>
    </row>
    <row r="7886" spans="1:10" x14ac:dyDescent="0.25">
      <c r="A7886" s="362"/>
      <c r="B7886" s="609">
        <v>44624</v>
      </c>
      <c r="C7886" s="362" t="s">
        <v>80</v>
      </c>
      <c r="D7886" s="560">
        <v>425865256</v>
      </c>
      <c r="E7886" s="560"/>
      <c r="F7886" s="560"/>
      <c r="G7886" s="560">
        <f t="shared" si="163"/>
        <v>425865256</v>
      </c>
      <c r="H7886" s="362"/>
      <c r="I7886" s="362"/>
      <c r="J7886" s="362"/>
    </row>
    <row r="7887" spans="1:10" x14ac:dyDescent="0.25">
      <c r="A7887" s="362"/>
      <c r="B7887" s="609">
        <v>44624</v>
      </c>
      <c r="C7887" s="362" t="s">
        <v>83</v>
      </c>
      <c r="D7887" s="560">
        <v>204515564</v>
      </c>
      <c r="E7887" s="560"/>
      <c r="F7887" s="560"/>
      <c r="G7887" s="560">
        <f t="shared" si="163"/>
        <v>204515564</v>
      </c>
      <c r="H7887" s="362"/>
      <c r="I7887" s="362"/>
      <c r="J7887" s="362"/>
    </row>
    <row r="7888" spans="1:10" x14ac:dyDescent="0.25">
      <c r="A7888" s="362"/>
      <c r="B7888" s="609">
        <v>44624</v>
      </c>
      <c r="C7888" s="362" t="s">
        <v>78</v>
      </c>
      <c r="D7888" s="560">
        <v>405305400</v>
      </c>
      <c r="E7888" s="560"/>
      <c r="F7888" s="560"/>
      <c r="G7888" s="560">
        <f t="shared" si="163"/>
        <v>405305400</v>
      </c>
      <c r="H7888" s="362"/>
      <c r="I7888" s="362"/>
      <c r="J7888" s="362"/>
    </row>
    <row r="7889" spans="1:10" x14ac:dyDescent="0.25">
      <c r="A7889" s="362"/>
      <c r="B7889" s="609">
        <v>44624</v>
      </c>
      <c r="C7889" s="362" t="s">
        <v>141</v>
      </c>
      <c r="D7889" s="560">
        <v>102102206</v>
      </c>
      <c r="E7889" s="560"/>
      <c r="F7889" s="560"/>
      <c r="G7889" s="560">
        <f t="shared" si="163"/>
        <v>102102206</v>
      </c>
      <c r="H7889" s="362"/>
      <c r="I7889" s="362"/>
      <c r="J7889" s="362"/>
    </row>
    <row r="7890" spans="1:10" x14ac:dyDescent="0.25">
      <c r="A7890" s="362"/>
      <c r="B7890" s="609">
        <v>44624</v>
      </c>
      <c r="C7890" s="362" t="s">
        <v>89</v>
      </c>
      <c r="D7890" s="560">
        <v>196339600</v>
      </c>
      <c r="E7890" s="560"/>
      <c r="F7890" s="560"/>
      <c r="G7890" s="560">
        <f t="shared" si="163"/>
        <v>196339600</v>
      </c>
      <c r="H7890" s="362"/>
      <c r="I7890" s="362"/>
      <c r="J7890" s="362"/>
    </row>
    <row r="7891" spans="1:10" x14ac:dyDescent="0.25">
      <c r="A7891" s="362"/>
      <c r="B7891" s="609">
        <v>44624</v>
      </c>
      <c r="C7891" s="362" t="s">
        <v>81</v>
      </c>
      <c r="D7891" s="560">
        <v>379036901</v>
      </c>
      <c r="E7891" s="560"/>
      <c r="F7891" s="560"/>
      <c r="G7891" s="560">
        <f t="shared" si="163"/>
        <v>379036901</v>
      </c>
      <c r="H7891" s="362"/>
      <c r="I7891" s="362"/>
      <c r="J7891" s="362"/>
    </row>
    <row r="7892" spans="1:10" x14ac:dyDescent="0.25">
      <c r="A7892" s="362"/>
      <c r="B7892" s="609">
        <v>44624</v>
      </c>
      <c r="C7892" s="362" t="s">
        <v>84</v>
      </c>
      <c r="D7892" s="560">
        <v>339918304</v>
      </c>
      <c r="E7892" s="560"/>
      <c r="F7892" s="560"/>
      <c r="G7892" s="560">
        <f t="shared" si="163"/>
        <v>339918304</v>
      </c>
      <c r="H7892" s="362"/>
      <c r="I7892" s="362"/>
      <c r="J7892" s="362"/>
    </row>
    <row r="7893" spans="1:10" x14ac:dyDescent="0.25">
      <c r="A7893" s="362"/>
      <c r="B7893" s="609">
        <v>44624</v>
      </c>
      <c r="C7893" s="362" t="s">
        <v>4751</v>
      </c>
      <c r="D7893" s="560">
        <v>143963700</v>
      </c>
      <c r="E7893" s="560"/>
      <c r="F7893" s="560"/>
      <c r="G7893" s="560">
        <f t="shared" si="163"/>
        <v>143963700</v>
      </c>
      <c r="H7893" s="362"/>
      <c r="I7893" s="362"/>
      <c r="J7893" s="362"/>
    </row>
    <row r="7894" spans="1:10" x14ac:dyDescent="0.25">
      <c r="A7894" s="362"/>
      <c r="B7894" s="609">
        <v>44624</v>
      </c>
      <c r="C7894" s="362" t="s">
        <v>166</v>
      </c>
      <c r="D7894" s="560"/>
      <c r="E7894" s="560"/>
      <c r="F7894" s="560"/>
      <c r="G7894" s="560">
        <f t="shared" si="163"/>
        <v>0</v>
      </c>
      <c r="H7894" s="362"/>
      <c r="I7894" s="362"/>
      <c r="J7894" s="362"/>
    </row>
    <row r="7895" spans="1:10" x14ac:dyDescent="0.25">
      <c r="A7895" s="362"/>
      <c r="B7895" s="609">
        <v>44624</v>
      </c>
      <c r="C7895" s="362" t="s">
        <v>3435</v>
      </c>
      <c r="D7895" s="560"/>
      <c r="E7895" s="560"/>
      <c r="F7895" s="560"/>
      <c r="G7895" s="560">
        <f t="shared" si="163"/>
        <v>0</v>
      </c>
      <c r="H7895" s="362"/>
      <c r="I7895" s="362"/>
      <c r="J7895" s="362"/>
    </row>
    <row r="7896" spans="1:10" x14ac:dyDescent="0.25">
      <c r="A7896" s="362"/>
      <c r="B7896" s="609">
        <v>44624</v>
      </c>
      <c r="C7896" s="370" t="s">
        <v>85</v>
      </c>
      <c r="D7896" s="560">
        <v>63217300</v>
      </c>
      <c r="E7896" s="560"/>
      <c r="F7896" s="560"/>
      <c r="G7896" s="560">
        <f t="shared" si="163"/>
        <v>63217300</v>
      </c>
      <c r="H7896" s="362"/>
      <c r="I7896" s="362"/>
      <c r="J7896" s="362"/>
    </row>
    <row r="7897" spans="1:10" x14ac:dyDescent="0.25">
      <c r="A7897" s="530"/>
      <c r="B7897" s="530"/>
      <c r="C7897" s="530"/>
      <c r="D7897" s="562">
        <f>SUM(D7882:D7896)</f>
        <v>3049677257</v>
      </c>
      <c r="E7897" s="562">
        <f>SUM(E7882:E7896)</f>
        <v>0</v>
      </c>
      <c r="F7897" s="562">
        <f>SUM(F7882:F7896)</f>
        <v>0</v>
      </c>
      <c r="G7897" s="562">
        <f>SUM(G7882:G7896)</f>
        <v>3049677257</v>
      </c>
      <c r="H7897" s="530"/>
      <c r="I7897" s="530"/>
      <c r="J7897" s="530"/>
    </row>
    <row r="7898" spans="1:10" x14ac:dyDescent="0.25">
      <c r="A7898" s="362"/>
      <c r="B7898" s="609">
        <v>44627</v>
      </c>
      <c r="C7898" s="362" t="s">
        <v>86</v>
      </c>
      <c r="D7898" s="560">
        <v>179154276</v>
      </c>
      <c r="E7898" s="560"/>
      <c r="F7898" s="560">
        <v>179154300</v>
      </c>
      <c r="G7898" s="560">
        <f t="shared" si="163"/>
        <v>-24</v>
      </c>
      <c r="H7898" s="362"/>
      <c r="I7898" s="362"/>
      <c r="J7898" s="362"/>
    </row>
    <row r="7899" spans="1:10" x14ac:dyDescent="0.25">
      <c r="A7899" s="362"/>
      <c r="B7899" s="609">
        <v>44627</v>
      </c>
      <c r="C7899" s="362" t="s">
        <v>87</v>
      </c>
      <c r="D7899" s="560">
        <v>227281574</v>
      </c>
      <c r="E7899" s="560"/>
      <c r="F7899" s="560">
        <v>227281600</v>
      </c>
      <c r="G7899" s="560">
        <f t="shared" si="163"/>
        <v>-26</v>
      </c>
      <c r="H7899" s="362"/>
      <c r="I7899" s="362"/>
      <c r="J7899" s="362"/>
    </row>
    <row r="7900" spans="1:10" x14ac:dyDescent="0.25">
      <c r="A7900" s="362"/>
      <c r="B7900" s="609">
        <v>44627</v>
      </c>
      <c r="C7900" s="362" t="s">
        <v>88</v>
      </c>
      <c r="D7900" s="560">
        <v>425788630</v>
      </c>
      <c r="E7900" s="560"/>
      <c r="F7900" s="560">
        <v>425788700</v>
      </c>
      <c r="G7900" s="560">
        <f t="shared" si="163"/>
        <v>-70</v>
      </c>
      <c r="H7900" s="362"/>
      <c r="I7900" s="362"/>
      <c r="J7900" s="362"/>
    </row>
    <row r="7901" spans="1:10" x14ac:dyDescent="0.25">
      <c r="A7901" s="362"/>
      <c r="B7901" s="609">
        <v>44627</v>
      </c>
      <c r="C7901" s="362" t="s">
        <v>82</v>
      </c>
      <c r="D7901" s="560">
        <v>78386655</v>
      </c>
      <c r="E7901" s="560"/>
      <c r="F7901" s="560">
        <v>78386700</v>
      </c>
      <c r="G7901" s="560">
        <f t="shared" si="163"/>
        <v>-45</v>
      </c>
      <c r="H7901" s="362"/>
      <c r="I7901" s="362"/>
      <c r="J7901" s="362"/>
    </row>
    <row r="7902" spans="1:10" x14ac:dyDescent="0.25">
      <c r="A7902" s="362"/>
      <c r="B7902" s="609">
        <v>44627</v>
      </c>
      <c r="C7902" s="362" t="s">
        <v>80</v>
      </c>
      <c r="D7902" s="560">
        <v>304538521</v>
      </c>
      <c r="E7902" s="560"/>
      <c r="F7902" s="560">
        <v>304537900</v>
      </c>
      <c r="G7902" s="560">
        <f t="shared" si="163"/>
        <v>621</v>
      </c>
      <c r="H7902" s="362"/>
      <c r="I7902" s="362"/>
      <c r="J7902" s="362"/>
    </row>
    <row r="7903" spans="1:10" x14ac:dyDescent="0.25">
      <c r="A7903" s="362"/>
      <c r="B7903" s="609">
        <v>44627</v>
      </c>
      <c r="C7903" s="362" t="s">
        <v>83</v>
      </c>
      <c r="D7903" s="560">
        <v>286621163</v>
      </c>
      <c r="E7903" s="560"/>
      <c r="F7903" s="560">
        <v>286621200</v>
      </c>
      <c r="G7903" s="560">
        <f t="shared" si="163"/>
        <v>-37</v>
      </c>
      <c r="H7903" s="362"/>
      <c r="I7903" s="362"/>
      <c r="J7903" s="362"/>
    </row>
    <row r="7904" spans="1:10" x14ac:dyDescent="0.25">
      <c r="A7904" s="362"/>
      <c r="B7904" s="609">
        <v>44627</v>
      </c>
      <c r="C7904" s="362" t="s">
        <v>78</v>
      </c>
      <c r="D7904" s="560">
        <v>170777300</v>
      </c>
      <c r="E7904" s="560"/>
      <c r="F7904" s="560">
        <v>170777300</v>
      </c>
      <c r="G7904" s="560">
        <f t="shared" si="163"/>
        <v>0</v>
      </c>
      <c r="H7904" s="362"/>
      <c r="I7904" s="362"/>
      <c r="J7904" s="362"/>
    </row>
    <row r="7905" spans="1:10" x14ac:dyDescent="0.25">
      <c r="A7905" s="362"/>
      <c r="B7905" s="609">
        <v>44627</v>
      </c>
      <c r="C7905" s="362" t="s">
        <v>141</v>
      </c>
      <c r="D7905" s="560">
        <v>114148257</v>
      </c>
      <c r="E7905" s="560"/>
      <c r="F7905" s="560">
        <v>114148300</v>
      </c>
      <c r="G7905" s="560">
        <f t="shared" si="163"/>
        <v>-43</v>
      </c>
      <c r="H7905" s="362"/>
      <c r="I7905" s="362"/>
      <c r="J7905" s="362"/>
    </row>
    <row r="7906" spans="1:10" x14ac:dyDescent="0.25">
      <c r="A7906" s="362"/>
      <c r="B7906" s="609">
        <v>44627</v>
      </c>
      <c r="C7906" s="362" t="s">
        <v>89</v>
      </c>
      <c r="D7906" s="560">
        <v>244190600</v>
      </c>
      <c r="E7906" s="560"/>
      <c r="F7906" s="560">
        <v>244190600</v>
      </c>
      <c r="G7906" s="560">
        <f t="shared" si="163"/>
        <v>0</v>
      </c>
      <c r="H7906" s="362"/>
      <c r="I7906" s="362"/>
      <c r="J7906" s="362"/>
    </row>
    <row r="7907" spans="1:10" x14ac:dyDescent="0.25">
      <c r="A7907" s="362"/>
      <c r="B7907" s="609">
        <v>44627</v>
      </c>
      <c r="C7907" s="362" t="s">
        <v>81</v>
      </c>
      <c r="D7907" s="560">
        <v>211868848</v>
      </c>
      <c r="E7907" s="560"/>
      <c r="F7907" s="560">
        <v>211868900</v>
      </c>
      <c r="G7907" s="560">
        <f t="shared" si="163"/>
        <v>-52</v>
      </c>
      <c r="H7907" s="362"/>
      <c r="I7907" s="362"/>
      <c r="J7907" s="362"/>
    </row>
    <row r="7908" spans="1:10" x14ac:dyDescent="0.25">
      <c r="A7908" s="362"/>
      <c r="B7908" s="609">
        <v>44627</v>
      </c>
      <c r="C7908" s="362" t="s">
        <v>84</v>
      </c>
      <c r="D7908" s="560">
        <v>493077095</v>
      </c>
      <c r="E7908" s="560"/>
      <c r="F7908" s="560">
        <v>493077000</v>
      </c>
      <c r="G7908" s="560">
        <f t="shared" si="163"/>
        <v>95</v>
      </c>
      <c r="H7908" s="362"/>
      <c r="I7908" s="362"/>
      <c r="J7908" s="362"/>
    </row>
    <row r="7909" spans="1:10" x14ac:dyDescent="0.25">
      <c r="A7909" s="362"/>
      <c r="B7909" s="609">
        <v>44627</v>
      </c>
      <c r="C7909" s="362" t="s">
        <v>4751</v>
      </c>
      <c r="D7909" s="560">
        <v>430004200</v>
      </c>
      <c r="E7909" s="560"/>
      <c r="F7909" s="560">
        <v>430004300</v>
      </c>
      <c r="G7909" s="560">
        <f t="shared" si="163"/>
        <v>-100</v>
      </c>
      <c r="H7909" s="362"/>
      <c r="I7909" s="362"/>
      <c r="J7909" s="362"/>
    </row>
    <row r="7910" spans="1:10" x14ac:dyDescent="0.25">
      <c r="A7910" s="362"/>
      <c r="B7910" s="609">
        <v>44627</v>
      </c>
      <c r="C7910" s="362" t="s">
        <v>166</v>
      </c>
      <c r="D7910" s="560">
        <v>65731102</v>
      </c>
      <c r="E7910" s="560"/>
      <c r="F7910" s="560">
        <v>65731200</v>
      </c>
      <c r="G7910" s="560">
        <f t="shared" si="163"/>
        <v>-98</v>
      </c>
      <c r="H7910" s="362"/>
      <c r="I7910" s="362"/>
      <c r="J7910" s="362"/>
    </row>
    <row r="7911" spans="1:10" x14ac:dyDescent="0.25">
      <c r="A7911" s="362"/>
      <c r="B7911" s="609">
        <v>44627</v>
      </c>
      <c r="C7911" s="362" t="s">
        <v>3435</v>
      </c>
      <c r="D7911" s="560">
        <v>55785614</v>
      </c>
      <c r="E7911" s="560"/>
      <c r="F7911" s="560">
        <v>55785700</v>
      </c>
      <c r="G7911" s="560">
        <f t="shared" si="163"/>
        <v>-86</v>
      </c>
      <c r="H7911" s="362"/>
      <c r="I7911" s="362"/>
      <c r="J7911" s="362"/>
    </row>
    <row r="7912" spans="1:10" x14ac:dyDescent="0.25">
      <c r="A7912" s="362"/>
      <c r="B7912" s="609">
        <v>44627</v>
      </c>
      <c r="C7912" s="370" t="s">
        <v>85</v>
      </c>
      <c r="D7912" s="560">
        <v>58336700</v>
      </c>
      <c r="E7912" s="560"/>
      <c r="F7912" s="560">
        <v>58336700</v>
      </c>
      <c r="G7912" s="560">
        <f t="shared" si="163"/>
        <v>0</v>
      </c>
      <c r="H7912" s="362"/>
      <c r="I7912" s="362"/>
      <c r="J7912" s="362"/>
    </row>
    <row r="7913" spans="1:10" x14ac:dyDescent="0.25">
      <c r="A7913" s="530"/>
      <c r="B7913" s="530"/>
      <c r="C7913" s="530"/>
      <c r="D7913" s="562">
        <f>SUM(D7898:D7912)</f>
        <v>3345690535</v>
      </c>
      <c r="E7913" s="562">
        <f>SUM(E7898:E7912)</f>
        <v>0</v>
      </c>
      <c r="F7913" s="562">
        <f>SUM(F7898:F7912)</f>
        <v>3345690400</v>
      </c>
      <c r="G7913" s="562">
        <f>SUM(G7898:G7912)</f>
        <v>135</v>
      </c>
      <c r="H7913" s="530"/>
      <c r="I7913" s="530"/>
      <c r="J7913" s="530"/>
    </row>
    <row r="7914" spans="1:10" x14ac:dyDescent="0.25">
      <c r="A7914" s="362"/>
      <c r="B7914" s="609">
        <v>44628</v>
      </c>
      <c r="C7914" s="362" t="s">
        <v>86</v>
      </c>
      <c r="D7914" s="560">
        <v>111586158</v>
      </c>
      <c r="E7914" s="560"/>
      <c r="F7914" s="560"/>
      <c r="G7914" s="560">
        <f t="shared" si="163"/>
        <v>111586158</v>
      </c>
      <c r="H7914" s="362"/>
      <c r="I7914" s="362"/>
      <c r="J7914" s="362"/>
    </row>
    <row r="7915" spans="1:10" x14ac:dyDescent="0.25">
      <c r="A7915" s="362"/>
      <c r="B7915" s="609">
        <v>44628</v>
      </c>
      <c r="C7915" s="362" t="s">
        <v>87</v>
      </c>
      <c r="D7915" s="560">
        <v>126983248</v>
      </c>
      <c r="E7915" s="560"/>
      <c r="F7915" s="560"/>
      <c r="G7915" s="560">
        <f t="shared" si="163"/>
        <v>126983248</v>
      </c>
      <c r="H7915" s="362"/>
      <c r="I7915" s="362"/>
      <c r="J7915" s="362"/>
    </row>
    <row r="7916" spans="1:10" x14ac:dyDescent="0.25">
      <c r="A7916" s="362"/>
      <c r="B7916" s="609">
        <v>44628</v>
      </c>
      <c r="C7916" s="362" t="s">
        <v>88</v>
      </c>
      <c r="D7916" s="560">
        <v>173311445</v>
      </c>
      <c r="E7916" s="560"/>
      <c r="F7916" s="560"/>
      <c r="G7916" s="560">
        <f t="shared" si="163"/>
        <v>173311445</v>
      </c>
      <c r="H7916" s="362"/>
      <c r="I7916" s="362"/>
      <c r="J7916" s="362"/>
    </row>
    <row r="7917" spans="1:10" x14ac:dyDescent="0.25">
      <c r="A7917" s="362"/>
      <c r="B7917" s="609">
        <v>44628</v>
      </c>
      <c r="C7917" s="362" t="s">
        <v>82</v>
      </c>
      <c r="D7917" s="560">
        <v>90853541</v>
      </c>
      <c r="E7917" s="560"/>
      <c r="F7917" s="560"/>
      <c r="G7917" s="560">
        <f t="shared" si="163"/>
        <v>90853541</v>
      </c>
      <c r="H7917" s="362"/>
      <c r="I7917" s="362"/>
      <c r="J7917" s="362"/>
    </row>
    <row r="7918" spans="1:10" x14ac:dyDescent="0.25">
      <c r="A7918" s="362"/>
      <c r="B7918" s="609">
        <v>44628</v>
      </c>
      <c r="C7918" s="362" t="s">
        <v>80</v>
      </c>
      <c r="D7918" s="560">
        <v>420344334</v>
      </c>
      <c r="E7918" s="560"/>
      <c r="F7918" s="560"/>
      <c r="G7918" s="560">
        <f t="shared" si="163"/>
        <v>420344334</v>
      </c>
      <c r="H7918" s="362"/>
      <c r="I7918" s="362"/>
      <c r="J7918" s="362"/>
    </row>
    <row r="7919" spans="1:10" x14ac:dyDescent="0.25">
      <c r="A7919" s="362"/>
      <c r="B7919" s="609">
        <v>44628</v>
      </c>
      <c r="C7919" s="362" t="s">
        <v>83</v>
      </c>
      <c r="D7919" s="560">
        <v>302385560</v>
      </c>
      <c r="E7919" s="560"/>
      <c r="F7919" s="560"/>
      <c r="G7919" s="560">
        <f t="shared" si="163"/>
        <v>302385560</v>
      </c>
      <c r="H7919" s="362"/>
      <c r="I7919" s="362"/>
      <c r="J7919" s="362"/>
    </row>
    <row r="7920" spans="1:10" x14ac:dyDescent="0.25">
      <c r="A7920" s="362"/>
      <c r="B7920" s="609">
        <v>44628</v>
      </c>
      <c r="C7920" s="362" t="s">
        <v>78</v>
      </c>
      <c r="D7920" s="560">
        <v>188084495</v>
      </c>
      <c r="E7920" s="560"/>
      <c r="F7920" s="560"/>
      <c r="G7920" s="560">
        <f t="shared" si="163"/>
        <v>188084495</v>
      </c>
      <c r="H7920" s="362"/>
      <c r="I7920" s="362"/>
      <c r="J7920" s="362"/>
    </row>
    <row r="7921" spans="1:10" x14ac:dyDescent="0.25">
      <c r="A7921" s="362"/>
      <c r="B7921" s="609">
        <v>44628</v>
      </c>
      <c r="C7921" s="362" t="s">
        <v>141</v>
      </c>
      <c r="D7921" s="560">
        <v>94377005</v>
      </c>
      <c r="E7921" s="560"/>
      <c r="F7921" s="560"/>
      <c r="G7921" s="560">
        <f t="shared" si="163"/>
        <v>94377005</v>
      </c>
      <c r="H7921" s="362"/>
      <c r="I7921" s="362"/>
      <c r="J7921" s="362"/>
    </row>
    <row r="7922" spans="1:10" x14ac:dyDescent="0.25">
      <c r="A7922" s="362"/>
      <c r="B7922" s="609">
        <v>44628</v>
      </c>
      <c r="C7922" s="362" t="s">
        <v>89</v>
      </c>
      <c r="D7922" s="560">
        <v>156012600</v>
      </c>
      <c r="E7922" s="560"/>
      <c r="F7922" s="560"/>
      <c r="G7922" s="560">
        <f t="shared" si="163"/>
        <v>156012600</v>
      </c>
      <c r="H7922" s="362"/>
      <c r="I7922" s="362"/>
      <c r="J7922" s="362"/>
    </row>
    <row r="7923" spans="1:10" x14ac:dyDescent="0.25">
      <c r="A7923" s="362"/>
      <c r="B7923" s="609">
        <v>44628</v>
      </c>
      <c r="C7923" s="362" t="s">
        <v>81</v>
      </c>
      <c r="D7923" s="560">
        <v>141691242</v>
      </c>
      <c r="E7923" s="560"/>
      <c r="F7923" s="560"/>
      <c r="G7923" s="560">
        <f t="shared" si="163"/>
        <v>141691242</v>
      </c>
      <c r="H7923" s="362"/>
      <c r="I7923" s="362"/>
      <c r="J7923" s="362"/>
    </row>
    <row r="7924" spans="1:10" x14ac:dyDescent="0.25">
      <c r="A7924" s="362"/>
      <c r="B7924" s="609">
        <v>44628</v>
      </c>
      <c r="C7924" s="362" t="s">
        <v>84</v>
      </c>
      <c r="D7924" s="560">
        <v>302178091</v>
      </c>
      <c r="E7924" s="560"/>
      <c r="F7924" s="560"/>
      <c r="G7924" s="560">
        <f t="shared" si="163"/>
        <v>302178091</v>
      </c>
      <c r="H7924" s="362"/>
      <c r="I7924" s="362"/>
      <c r="J7924" s="362"/>
    </row>
    <row r="7925" spans="1:10" x14ac:dyDescent="0.25">
      <c r="A7925" s="362"/>
      <c r="B7925" s="609">
        <v>44628</v>
      </c>
      <c r="C7925" s="362" t="s">
        <v>4751</v>
      </c>
      <c r="D7925" s="560">
        <v>267152100</v>
      </c>
      <c r="E7925" s="560"/>
      <c r="F7925" s="560"/>
      <c r="G7925" s="560">
        <f t="shared" si="163"/>
        <v>267152100</v>
      </c>
      <c r="H7925" s="362"/>
      <c r="I7925" s="362"/>
      <c r="J7925" s="362"/>
    </row>
    <row r="7926" spans="1:10" x14ac:dyDescent="0.25">
      <c r="A7926" s="362"/>
      <c r="B7926" s="609">
        <v>44628</v>
      </c>
      <c r="C7926" s="362" t="s">
        <v>166</v>
      </c>
      <c r="D7926" s="560">
        <v>108436570</v>
      </c>
      <c r="E7926" s="560"/>
      <c r="F7926" s="560"/>
      <c r="G7926" s="560">
        <f t="shared" si="163"/>
        <v>108436570</v>
      </c>
      <c r="H7926" s="362"/>
      <c r="I7926" s="362"/>
      <c r="J7926" s="362"/>
    </row>
    <row r="7927" spans="1:10" x14ac:dyDescent="0.25">
      <c r="A7927" s="362"/>
      <c r="B7927" s="609">
        <v>44628</v>
      </c>
      <c r="C7927" s="362" t="s">
        <v>3435</v>
      </c>
      <c r="D7927" s="560">
        <v>88849982</v>
      </c>
      <c r="E7927" s="560"/>
      <c r="F7927" s="560"/>
      <c r="G7927" s="560">
        <f t="shared" si="163"/>
        <v>88849982</v>
      </c>
      <c r="H7927" s="362"/>
      <c r="I7927" s="362"/>
      <c r="J7927" s="362"/>
    </row>
    <row r="7928" spans="1:10" x14ac:dyDescent="0.25">
      <c r="A7928" s="362"/>
      <c r="B7928" s="609">
        <v>44628</v>
      </c>
      <c r="C7928" s="370" t="s">
        <v>85</v>
      </c>
      <c r="D7928" s="560">
        <v>37804200</v>
      </c>
      <c r="E7928" s="560"/>
      <c r="F7928" s="560"/>
      <c r="G7928" s="560">
        <f t="shared" si="163"/>
        <v>37804200</v>
      </c>
      <c r="H7928" s="362"/>
      <c r="I7928" s="362"/>
      <c r="J7928" s="362"/>
    </row>
    <row r="7929" spans="1:10" x14ac:dyDescent="0.25">
      <c r="A7929" s="530"/>
      <c r="B7929" s="530"/>
      <c r="C7929" s="530"/>
      <c r="D7929" s="562">
        <f>SUM(D7914:D7928)</f>
        <v>2610050571</v>
      </c>
      <c r="E7929" s="562">
        <f>SUM(E7914:E7928)</f>
        <v>0</v>
      </c>
      <c r="F7929" s="562">
        <f>SUM(F7914:F7928)</f>
        <v>0</v>
      </c>
      <c r="G7929" s="562">
        <f>SUM(G7914:G7928)</f>
        <v>2610050571</v>
      </c>
      <c r="H7929" s="530"/>
      <c r="I7929" s="530"/>
      <c r="J7929" s="530"/>
    </row>
    <row r="7930" spans="1:10" x14ac:dyDescent="0.25">
      <c r="A7930" s="362"/>
      <c r="B7930" s="609">
        <v>44629</v>
      </c>
      <c r="C7930" s="362" t="s">
        <v>86</v>
      </c>
      <c r="D7930" s="560">
        <v>244437900</v>
      </c>
      <c r="E7930" s="560"/>
      <c r="F7930" s="560"/>
      <c r="G7930" s="560">
        <f t="shared" si="163"/>
        <v>244437900</v>
      </c>
      <c r="H7930" s="362"/>
      <c r="I7930" s="362"/>
      <c r="J7930" s="362"/>
    </row>
    <row r="7931" spans="1:10" x14ac:dyDescent="0.25">
      <c r="A7931" s="362"/>
      <c r="B7931" s="609">
        <v>44629</v>
      </c>
      <c r="C7931" s="362" t="s">
        <v>87</v>
      </c>
      <c r="D7931" s="560">
        <v>226863024</v>
      </c>
      <c r="E7931" s="560"/>
      <c r="F7931" s="560"/>
      <c r="G7931" s="560">
        <f t="shared" si="163"/>
        <v>226863024</v>
      </c>
      <c r="H7931" s="362"/>
      <c r="I7931" s="362"/>
      <c r="J7931" s="362"/>
    </row>
    <row r="7932" spans="1:10" x14ac:dyDescent="0.25">
      <c r="A7932" s="362"/>
      <c r="B7932" s="609">
        <v>44629</v>
      </c>
      <c r="C7932" s="362" t="s">
        <v>88</v>
      </c>
      <c r="D7932" s="560">
        <v>118396088</v>
      </c>
      <c r="E7932" s="560"/>
      <c r="F7932" s="560"/>
      <c r="G7932" s="560">
        <f t="shared" si="163"/>
        <v>118396088</v>
      </c>
      <c r="H7932" s="362"/>
      <c r="I7932" s="362"/>
      <c r="J7932" s="362"/>
    </row>
    <row r="7933" spans="1:10" x14ac:dyDescent="0.25">
      <c r="A7933" s="362"/>
      <c r="B7933" s="609">
        <v>44629</v>
      </c>
      <c r="C7933" s="362" t="s">
        <v>82</v>
      </c>
      <c r="D7933" s="560">
        <v>156918675</v>
      </c>
      <c r="E7933" s="560"/>
      <c r="F7933" s="560"/>
      <c r="G7933" s="560">
        <f t="shared" si="163"/>
        <v>156918675</v>
      </c>
      <c r="H7933" s="362"/>
      <c r="I7933" s="362"/>
      <c r="J7933" s="362"/>
    </row>
    <row r="7934" spans="1:10" x14ac:dyDescent="0.25">
      <c r="A7934" s="362"/>
      <c r="B7934" s="609">
        <v>44629</v>
      </c>
      <c r="C7934" s="362" t="s">
        <v>80</v>
      </c>
      <c r="D7934" s="560">
        <v>331665189</v>
      </c>
      <c r="E7934" s="560"/>
      <c r="F7934" s="560"/>
      <c r="G7934" s="560">
        <f t="shared" si="163"/>
        <v>331665189</v>
      </c>
      <c r="H7934" s="362"/>
      <c r="I7934" s="362"/>
      <c r="J7934" s="362"/>
    </row>
    <row r="7935" spans="1:10" x14ac:dyDescent="0.25">
      <c r="A7935" s="362"/>
      <c r="B7935" s="609">
        <v>44629</v>
      </c>
      <c r="C7935" s="362" t="s">
        <v>83</v>
      </c>
      <c r="D7935" s="560">
        <v>254270300</v>
      </c>
      <c r="E7935" s="560"/>
      <c r="F7935" s="560"/>
      <c r="G7935" s="560">
        <f t="shared" si="163"/>
        <v>254270300</v>
      </c>
      <c r="H7935" s="362"/>
      <c r="I7935" s="362"/>
      <c r="J7935" s="362"/>
    </row>
    <row r="7936" spans="1:10" x14ac:dyDescent="0.25">
      <c r="A7936" s="362"/>
      <c r="B7936" s="609">
        <v>44629</v>
      </c>
      <c r="C7936" s="362" t="s">
        <v>78</v>
      </c>
      <c r="D7936" s="560">
        <v>134796816</v>
      </c>
      <c r="E7936" s="560"/>
      <c r="F7936" s="560"/>
      <c r="G7936" s="560">
        <f t="shared" si="163"/>
        <v>134796816</v>
      </c>
      <c r="H7936" s="362"/>
      <c r="I7936" s="362"/>
      <c r="J7936" s="362"/>
    </row>
    <row r="7937" spans="1:10" x14ac:dyDescent="0.25">
      <c r="A7937" s="362"/>
      <c r="B7937" s="609">
        <v>44629</v>
      </c>
      <c r="C7937" s="362" t="s">
        <v>141</v>
      </c>
      <c r="D7937" s="560">
        <v>169763796</v>
      </c>
      <c r="E7937" s="560"/>
      <c r="F7937" s="560"/>
      <c r="G7937" s="560">
        <f t="shared" si="163"/>
        <v>169763796</v>
      </c>
      <c r="H7937" s="362"/>
      <c r="I7937" s="362"/>
      <c r="J7937" s="362"/>
    </row>
    <row r="7938" spans="1:10" x14ac:dyDescent="0.25">
      <c r="A7938" s="362"/>
      <c r="B7938" s="609">
        <v>44629</v>
      </c>
      <c r="C7938" s="362" t="s">
        <v>89</v>
      </c>
      <c r="D7938" s="560">
        <v>170935400</v>
      </c>
      <c r="E7938" s="560"/>
      <c r="F7938" s="560"/>
      <c r="G7938" s="560">
        <f t="shared" si="163"/>
        <v>170935400</v>
      </c>
      <c r="H7938" s="362"/>
      <c r="I7938" s="362"/>
      <c r="J7938" s="362"/>
    </row>
    <row r="7939" spans="1:10" x14ac:dyDescent="0.25">
      <c r="A7939" s="362"/>
      <c r="B7939" s="609">
        <v>44629</v>
      </c>
      <c r="C7939" s="362" t="s">
        <v>81</v>
      </c>
      <c r="D7939" s="560">
        <v>167976417</v>
      </c>
      <c r="E7939" s="560"/>
      <c r="F7939" s="560"/>
      <c r="G7939" s="560">
        <f t="shared" si="163"/>
        <v>167976417</v>
      </c>
      <c r="H7939" s="362"/>
      <c r="I7939" s="362"/>
      <c r="J7939" s="362"/>
    </row>
    <row r="7940" spans="1:10" x14ac:dyDescent="0.25">
      <c r="A7940" s="362"/>
      <c r="B7940" s="609">
        <v>44629</v>
      </c>
      <c r="C7940" s="362" t="s">
        <v>84</v>
      </c>
      <c r="D7940" s="560">
        <v>396984888</v>
      </c>
      <c r="E7940" s="560"/>
      <c r="F7940" s="560"/>
      <c r="G7940" s="560">
        <f t="shared" si="163"/>
        <v>396984888</v>
      </c>
      <c r="H7940" s="362"/>
      <c r="I7940" s="362"/>
      <c r="J7940" s="362"/>
    </row>
    <row r="7941" spans="1:10" x14ac:dyDescent="0.25">
      <c r="A7941" s="362"/>
      <c r="B7941" s="609">
        <v>44629</v>
      </c>
      <c r="C7941" s="362" t="s">
        <v>4751</v>
      </c>
      <c r="D7941" s="560">
        <v>208744500</v>
      </c>
      <c r="E7941" s="560"/>
      <c r="F7941" s="560"/>
      <c r="G7941" s="560">
        <f t="shared" si="163"/>
        <v>208744500</v>
      </c>
      <c r="H7941" s="362"/>
      <c r="I7941" s="362"/>
      <c r="J7941" s="362"/>
    </row>
    <row r="7942" spans="1:10" x14ac:dyDescent="0.25">
      <c r="A7942" s="362"/>
      <c r="B7942" s="609">
        <v>44629</v>
      </c>
      <c r="C7942" s="362" t="s">
        <v>166</v>
      </c>
      <c r="D7942" s="560">
        <v>53750052</v>
      </c>
      <c r="E7942" s="560"/>
      <c r="F7942" s="560"/>
      <c r="G7942" s="560">
        <f t="shared" si="163"/>
        <v>53750052</v>
      </c>
      <c r="H7942" s="362"/>
      <c r="I7942" s="362"/>
      <c r="J7942" s="362"/>
    </row>
    <row r="7943" spans="1:10" x14ac:dyDescent="0.25">
      <c r="A7943" s="362"/>
      <c r="B7943" s="609">
        <v>44629</v>
      </c>
      <c r="C7943" s="362" t="s">
        <v>3435</v>
      </c>
      <c r="D7943" s="560">
        <v>44214991</v>
      </c>
      <c r="E7943" s="560"/>
      <c r="F7943" s="560"/>
      <c r="G7943" s="560">
        <f t="shared" si="163"/>
        <v>44214991</v>
      </c>
      <c r="H7943" s="362"/>
      <c r="I7943" s="362"/>
      <c r="J7943" s="362"/>
    </row>
    <row r="7944" spans="1:10" x14ac:dyDescent="0.25">
      <c r="A7944" s="362"/>
      <c r="B7944" s="609">
        <v>44629</v>
      </c>
      <c r="C7944" s="370" t="s">
        <v>85</v>
      </c>
      <c r="D7944" s="560">
        <v>90742700</v>
      </c>
      <c r="E7944" s="560"/>
      <c r="F7944" s="560"/>
      <c r="G7944" s="560">
        <f t="shared" si="163"/>
        <v>90742700</v>
      </c>
      <c r="H7944" s="362"/>
      <c r="I7944" s="362"/>
      <c r="J7944" s="362"/>
    </row>
    <row r="7945" spans="1:10" x14ac:dyDescent="0.25">
      <c r="A7945" s="530"/>
      <c r="B7945" s="530"/>
      <c r="C7945" s="530"/>
      <c r="D7945" s="562">
        <f>SUM(D7930:D7944)</f>
        <v>2770460736</v>
      </c>
      <c r="E7945" s="562">
        <f>SUM(E7930:E7944)</f>
        <v>0</v>
      </c>
      <c r="F7945" s="562">
        <f>SUM(F7930:F7944)</f>
        <v>0</v>
      </c>
      <c r="G7945" s="562">
        <f>SUM(G7930:G7944)</f>
        <v>2770460736</v>
      </c>
      <c r="H7945" s="530"/>
      <c r="I7945" s="530"/>
      <c r="J7945" s="530"/>
    </row>
    <row r="7946" spans="1:10" x14ac:dyDescent="0.25">
      <c r="A7946" s="362"/>
      <c r="B7946" s="609">
        <v>44630</v>
      </c>
      <c r="C7946" s="362" t="s">
        <v>86</v>
      </c>
      <c r="D7946" s="560"/>
      <c r="E7946" s="560"/>
      <c r="F7946" s="560"/>
      <c r="G7946" s="560">
        <f t="shared" si="163"/>
        <v>0</v>
      </c>
      <c r="H7946" s="362"/>
      <c r="I7946" s="362"/>
      <c r="J7946" s="362"/>
    </row>
    <row r="7947" spans="1:10" x14ac:dyDescent="0.25">
      <c r="A7947" s="362"/>
      <c r="B7947" s="609">
        <v>44630</v>
      </c>
      <c r="C7947" s="362" t="s">
        <v>87</v>
      </c>
      <c r="D7947" s="560">
        <v>288072601</v>
      </c>
      <c r="E7947" s="560"/>
      <c r="F7947" s="560"/>
      <c r="G7947" s="560">
        <f t="shared" si="163"/>
        <v>288072601</v>
      </c>
      <c r="H7947" s="362"/>
      <c r="I7947" s="362"/>
      <c r="J7947" s="362"/>
    </row>
    <row r="7948" spans="1:10" x14ac:dyDescent="0.25">
      <c r="A7948" s="362"/>
      <c r="B7948" s="609">
        <v>44630</v>
      </c>
      <c r="C7948" s="362" t="s">
        <v>88</v>
      </c>
      <c r="D7948" s="560"/>
      <c r="E7948" s="560"/>
      <c r="F7948" s="560"/>
      <c r="G7948" s="560">
        <f t="shared" ref="G7948:G8027" si="164">D7948+E7948-F7948</f>
        <v>0</v>
      </c>
      <c r="H7948" s="362"/>
      <c r="I7948" s="362"/>
      <c r="J7948" s="362"/>
    </row>
    <row r="7949" spans="1:10" x14ac:dyDescent="0.25">
      <c r="A7949" s="362"/>
      <c r="B7949" s="609">
        <v>44630</v>
      </c>
      <c r="C7949" s="362" t="s">
        <v>82</v>
      </c>
      <c r="D7949" s="560"/>
      <c r="E7949" s="560"/>
      <c r="F7949" s="560"/>
      <c r="G7949" s="560">
        <f t="shared" si="164"/>
        <v>0</v>
      </c>
      <c r="H7949" s="362"/>
      <c r="I7949" s="362"/>
      <c r="J7949" s="362"/>
    </row>
    <row r="7950" spans="1:10" x14ac:dyDescent="0.25">
      <c r="A7950" s="362"/>
      <c r="B7950" s="609">
        <v>44630</v>
      </c>
      <c r="C7950" s="362" t="s">
        <v>80</v>
      </c>
      <c r="D7950" s="560"/>
      <c r="E7950" s="560"/>
      <c r="F7950" s="560"/>
      <c r="G7950" s="560">
        <f t="shared" si="164"/>
        <v>0</v>
      </c>
      <c r="H7950" s="362"/>
      <c r="I7950" s="362"/>
      <c r="J7950" s="362"/>
    </row>
    <row r="7951" spans="1:10" x14ac:dyDescent="0.25">
      <c r="A7951" s="362"/>
      <c r="B7951" s="609">
        <v>44630</v>
      </c>
      <c r="C7951" s="362" t="s">
        <v>83</v>
      </c>
      <c r="D7951" s="560">
        <v>115665839</v>
      </c>
      <c r="E7951" s="560"/>
      <c r="F7951" s="560"/>
      <c r="G7951" s="560">
        <f t="shared" si="164"/>
        <v>115665839</v>
      </c>
      <c r="H7951" s="362"/>
      <c r="I7951" s="362"/>
      <c r="J7951" s="362"/>
    </row>
    <row r="7952" spans="1:10" x14ac:dyDescent="0.25">
      <c r="A7952" s="362"/>
      <c r="B7952" s="609">
        <v>44630</v>
      </c>
      <c r="C7952" s="362" t="s">
        <v>78</v>
      </c>
      <c r="D7952" s="560"/>
      <c r="E7952" s="560"/>
      <c r="F7952" s="560"/>
      <c r="G7952" s="560">
        <f t="shared" si="164"/>
        <v>0</v>
      </c>
      <c r="H7952" s="362"/>
      <c r="I7952" s="362"/>
      <c r="J7952" s="362"/>
    </row>
    <row r="7953" spans="1:10" x14ac:dyDescent="0.25">
      <c r="A7953" s="362"/>
      <c r="B7953" s="609">
        <v>44630</v>
      </c>
      <c r="C7953" s="362" t="s">
        <v>141</v>
      </c>
      <c r="D7953" s="560"/>
      <c r="E7953" s="560"/>
      <c r="F7953" s="560"/>
      <c r="G7953" s="560">
        <f t="shared" si="164"/>
        <v>0</v>
      </c>
      <c r="H7953" s="362"/>
      <c r="I7953" s="362"/>
      <c r="J7953" s="362"/>
    </row>
    <row r="7954" spans="1:10" x14ac:dyDescent="0.25">
      <c r="A7954" s="362"/>
      <c r="B7954" s="609">
        <v>44630</v>
      </c>
      <c r="C7954" s="362" t="s">
        <v>89</v>
      </c>
      <c r="D7954" s="560">
        <v>241523200</v>
      </c>
      <c r="E7954" s="560"/>
      <c r="F7954" s="560"/>
      <c r="G7954" s="560">
        <f t="shared" si="164"/>
        <v>241523200</v>
      </c>
      <c r="H7954" s="362"/>
      <c r="I7954" s="362"/>
      <c r="J7954" s="362"/>
    </row>
    <row r="7955" spans="1:10" x14ac:dyDescent="0.25">
      <c r="A7955" s="362"/>
      <c r="B7955" s="609">
        <v>44630</v>
      </c>
      <c r="C7955" s="362" t="s">
        <v>81</v>
      </c>
      <c r="D7955" s="560">
        <v>170945167</v>
      </c>
      <c r="E7955" s="560"/>
      <c r="F7955" s="560"/>
      <c r="G7955" s="560">
        <f t="shared" si="164"/>
        <v>170945167</v>
      </c>
      <c r="H7955" s="362"/>
      <c r="I7955" s="362"/>
      <c r="J7955" s="362"/>
    </row>
    <row r="7956" spans="1:10" x14ac:dyDescent="0.25">
      <c r="A7956" s="362"/>
      <c r="B7956" s="609">
        <v>44630</v>
      </c>
      <c r="C7956" s="362" t="s">
        <v>84</v>
      </c>
      <c r="D7956" s="560">
        <v>369135117</v>
      </c>
      <c r="E7956" s="560"/>
      <c r="F7956" s="560"/>
      <c r="G7956" s="560">
        <f t="shared" si="164"/>
        <v>369135117</v>
      </c>
      <c r="H7956" s="362"/>
      <c r="I7956" s="362"/>
      <c r="J7956" s="362"/>
    </row>
    <row r="7957" spans="1:10" x14ac:dyDescent="0.25">
      <c r="A7957" s="362"/>
      <c r="B7957" s="609">
        <v>44630</v>
      </c>
      <c r="C7957" s="362" t="s">
        <v>4751</v>
      </c>
      <c r="D7957" s="560">
        <v>235427800</v>
      </c>
      <c r="E7957" s="560"/>
      <c r="F7957" s="560"/>
      <c r="G7957" s="560">
        <f t="shared" si="164"/>
        <v>235427800</v>
      </c>
      <c r="H7957" s="362"/>
      <c r="I7957" s="362"/>
      <c r="J7957" s="362"/>
    </row>
    <row r="7958" spans="1:10" x14ac:dyDescent="0.25">
      <c r="A7958" s="362"/>
      <c r="B7958" s="609">
        <v>44630</v>
      </c>
      <c r="C7958" s="362" t="s">
        <v>166</v>
      </c>
      <c r="D7958" s="560"/>
      <c r="E7958" s="560"/>
      <c r="F7958" s="560"/>
      <c r="G7958" s="560">
        <f t="shared" si="164"/>
        <v>0</v>
      </c>
      <c r="H7958" s="362"/>
      <c r="I7958" s="362"/>
      <c r="J7958" s="362"/>
    </row>
    <row r="7959" spans="1:10" x14ac:dyDescent="0.25">
      <c r="A7959" s="362"/>
      <c r="B7959" s="609">
        <v>44630</v>
      </c>
      <c r="C7959" s="362" t="s">
        <v>3435</v>
      </c>
      <c r="D7959" s="560"/>
      <c r="E7959" s="560"/>
      <c r="F7959" s="560"/>
      <c r="G7959" s="560">
        <f t="shared" si="164"/>
        <v>0</v>
      </c>
      <c r="H7959" s="362"/>
      <c r="I7959" s="362"/>
      <c r="J7959" s="362"/>
    </row>
    <row r="7960" spans="1:10" x14ac:dyDescent="0.25">
      <c r="A7960" s="362"/>
      <c r="B7960" s="609">
        <v>44630</v>
      </c>
      <c r="C7960" s="370" t="s">
        <v>85</v>
      </c>
      <c r="D7960" s="560">
        <v>34490600</v>
      </c>
      <c r="E7960" s="560"/>
      <c r="F7960" s="560"/>
      <c r="G7960" s="560">
        <f t="shared" si="164"/>
        <v>34490600</v>
      </c>
      <c r="H7960" s="362"/>
      <c r="I7960" s="362"/>
      <c r="J7960" s="362"/>
    </row>
    <row r="7961" spans="1:10" x14ac:dyDescent="0.25">
      <c r="A7961" s="530"/>
      <c r="B7961" s="530"/>
      <c r="C7961" s="530"/>
      <c r="D7961" s="562">
        <f>SUM(D7946:D7960)</f>
        <v>1455260324</v>
      </c>
      <c r="E7961" s="562">
        <f>SUM(E7946:E7960)</f>
        <v>0</v>
      </c>
      <c r="F7961" s="562">
        <f>SUM(F7946:F7960)</f>
        <v>0</v>
      </c>
      <c r="G7961" s="562">
        <f>SUM(G7946:G7960)</f>
        <v>1455260324</v>
      </c>
      <c r="H7961" s="530"/>
      <c r="I7961" s="530"/>
      <c r="J7961" s="530"/>
    </row>
    <row r="7962" spans="1:10" s="565" customFormat="1" x14ac:dyDescent="0.25">
      <c r="A7962" s="370"/>
      <c r="B7962" s="850">
        <v>44631</v>
      </c>
      <c r="C7962" s="362" t="s">
        <v>86</v>
      </c>
      <c r="D7962" s="563">
        <v>124364911</v>
      </c>
      <c r="E7962" s="563"/>
      <c r="F7962" s="563"/>
      <c r="G7962" s="560">
        <f t="shared" si="164"/>
        <v>124364911</v>
      </c>
      <c r="H7962" s="370"/>
      <c r="I7962" s="370"/>
      <c r="J7962" s="370"/>
    </row>
    <row r="7963" spans="1:10" s="565" customFormat="1" x14ac:dyDescent="0.25">
      <c r="A7963" s="370"/>
      <c r="B7963" s="850">
        <v>44631</v>
      </c>
      <c r="C7963" s="362" t="s">
        <v>87</v>
      </c>
      <c r="D7963" s="563">
        <v>363917345</v>
      </c>
      <c r="E7963" s="563"/>
      <c r="F7963" s="563"/>
      <c r="G7963" s="560">
        <f t="shared" si="164"/>
        <v>363917345</v>
      </c>
      <c r="H7963" s="370"/>
      <c r="I7963" s="370"/>
      <c r="J7963" s="370"/>
    </row>
    <row r="7964" spans="1:10" s="565" customFormat="1" x14ac:dyDescent="0.25">
      <c r="A7964" s="370"/>
      <c r="B7964" s="850">
        <v>44631</v>
      </c>
      <c r="C7964" s="362" t="s">
        <v>88</v>
      </c>
      <c r="D7964" s="563">
        <v>266281140</v>
      </c>
      <c r="E7964" s="563"/>
      <c r="F7964" s="563"/>
      <c r="G7964" s="560">
        <f t="shared" si="164"/>
        <v>266281140</v>
      </c>
      <c r="H7964" s="370"/>
      <c r="I7964" s="370"/>
      <c r="J7964" s="370"/>
    </row>
    <row r="7965" spans="1:10" s="565" customFormat="1" x14ac:dyDescent="0.25">
      <c r="A7965" s="370"/>
      <c r="B7965" s="850">
        <v>44631</v>
      </c>
      <c r="C7965" s="362" t="s">
        <v>82</v>
      </c>
      <c r="D7965" s="563">
        <v>171072501</v>
      </c>
      <c r="E7965" s="563"/>
      <c r="F7965" s="563"/>
      <c r="G7965" s="560">
        <f t="shared" si="164"/>
        <v>171072501</v>
      </c>
      <c r="H7965" s="370"/>
      <c r="I7965" s="370"/>
      <c r="J7965" s="370"/>
    </row>
    <row r="7966" spans="1:10" s="565" customFormat="1" x14ac:dyDescent="0.25">
      <c r="A7966" s="370"/>
      <c r="B7966" s="850">
        <v>44631</v>
      </c>
      <c r="C7966" s="362" t="s">
        <v>80</v>
      </c>
      <c r="D7966" s="563">
        <v>262495000</v>
      </c>
      <c r="E7966" s="563"/>
      <c r="F7966" s="563"/>
      <c r="G7966" s="560">
        <f t="shared" si="164"/>
        <v>262495000</v>
      </c>
      <c r="H7966" s="370"/>
      <c r="I7966" s="370"/>
      <c r="J7966" s="370"/>
    </row>
    <row r="7967" spans="1:10" s="565" customFormat="1" x14ac:dyDescent="0.25">
      <c r="A7967" s="370"/>
      <c r="B7967" s="850">
        <v>44631</v>
      </c>
      <c r="C7967" s="362" t="s">
        <v>83</v>
      </c>
      <c r="D7967" s="563">
        <v>376738300</v>
      </c>
      <c r="E7967" s="563"/>
      <c r="F7967" s="563"/>
      <c r="G7967" s="560">
        <f t="shared" si="164"/>
        <v>376738300</v>
      </c>
      <c r="H7967" s="370"/>
      <c r="I7967" s="370"/>
      <c r="J7967" s="370"/>
    </row>
    <row r="7968" spans="1:10" s="565" customFormat="1" x14ac:dyDescent="0.25">
      <c r="A7968" s="370"/>
      <c r="B7968" s="850">
        <v>44631</v>
      </c>
      <c r="C7968" s="362" t="s">
        <v>78</v>
      </c>
      <c r="D7968" s="563">
        <v>253540026</v>
      </c>
      <c r="E7968" s="563"/>
      <c r="F7968" s="563"/>
      <c r="G7968" s="560">
        <f t="shared" si="164"/>
        <v>253540026</v>
      </c>
      <c r="H7968" s="370"/>
      <c r="I7968" s="370"/>
      <c r="J7968" s="370"/>
    </row>
    <row r="7969" spans="1:10" s="565" customFormat="1" x14ac:dyDescent="0.25">
      <c r="A7969" s="370"/>
      <c r="B7969" s="850">
        <v>44631</v>
      </c>
      <c r="C7969" s="362" t="s">
        <v>141</v>
      </c>
      <c r="D7969" s="563">
        <v>86478823</v>
      </c>
      <c r="E7969" s="563"/>
      <c r="F7969" s="563"/>
      <c r="G7969" s="560">
        <f t="shared" si="164"/>
        <v>86478823</v>
      </c>
      <c r="H7969" s="370"/>
      <c r="I7969" s="370"/>
      <c r="J7969" s="370"/>
    </row>
    <row r="7970" spans="1:10" s="565" customFormat="1" x14ac:dyDescent="0.25">
      <c r="A7970" s="370"/>
      <c r="B7970" s="850">
        <v>44631</v>
      </c>
      <c r="C7970" s="362" t="s">
        <v>89</v>
      </c>
      <c r="D7970" s="563">
        <v>168183900</v>
      </c>
      <c r="E7970" s="563"/>
      <c r="F7970" s="563"/>
      <c r="G7970" s="560">
        <f t="shared" si="164"/>
        <v>168183900</v>
      </c>
      <c r="H7970" s="370"/>
      <c r="I7970" s="370"/>
      <c r="J7970" s="370"/>
    </row>
    <row r="7971" spans="1:10" s="565" customFormat="1" x14ac:dyDescent="0.25">
      <c r="A7971" s="370"/>
      <c r="B7971" s="850">
        <v>44631</v>
      </c>
      <c r="C7971" s="362" t="s">
        <v>81</v>
      </c>
      <c r="D7971" s="563">
        <v>155558971</v>
      </c>
      <c r="E7971" s="563"/>
      <c r="F7971" s="563"/>
      <c r="G7971" s="560">
        <f t="shared" si="164"/>
        <v>155558971</v>
      </c>
      <c r="H7971" s="370"/>
      <c r="I7971" s="370"/>
      <c r="J7971" s="370"/>
    </row>
    <row r="7972" spans="1:10" s="565" customFormat="1" x14ac:dyDescent="0.25">
      <c r="A7972" s="370"/>
      <c r="B7972" s="850">
        <v>44631</v>
      </c>
      <c r="C7972" s="362" t="s">
        <v>84</v>
      </c>
      <c r="D7972" s="563">
        <v>332751127</v>
      </c>
      <c r="E7972" s="563"/>
      <c r="F7972" s="563"/>
      <c r="G7972" s="560">
        <f t="shared" si="164"/>
        <v>332751127</v>
      </c>
      <c r="H7972" s="370"/>
      <c r="I7972" s="370"/>
      <c r="J7972" s="370"/>
    </row>
    <row r="7973" spans="1:10" s="565" customFormat="1" x14ac:dyDescent="0.25">
      <c r="A7973" s="370"/>
      <c r="B7973" s="850">
        <v>44631</v>
      </c>
      <c r="C7973" s="362" t="s">
        <v>4751</v>
      </c>
      <c r="D7973" s="563">
        <v>158604900</v>
      </c>
      <c r="E7973" s="563"/>
      <c r="F7973" s="563"/>
      <c r="G7973" s="560">
        <f t="shared" si="164"/>
        <v>158604900</v>
      </c>
      <c r="H7973" s="370"/>
      <c r="I7973" s="370"/>
      <c r="J7973" s="370"/>
    </row>
    <row r="7974" spans="1:10" s="565" customFormat="1" x14ac:dyDescent="0.25">
      <c r="A7974" s="370"/>
      <c r="B7974" s="850">
        <v>44631</v>
      </c>
      <c r="C7974" s="362" t="s">
        <v>166</v>
      </c>
      <c r="D7974" s="563">
        <v>96042031</v>
      </c>
      <c r="E7974" s="563"/>
      <c r="F7974" s="563"/>
      <c r="G7974" s="560">
        <f t="shared" si="164"/>
        <v>96042031</v>
      </c>
      <c r="H7974" s="370"/>
      <c r="I7974" s="370"/>
      <c r="J7974" s="370"/>
    </row>
    <row r="7975" spans="1:10" s="565" customFormat="1" x14ac:dyDescent="0.25">
      <c r="A7975" s="370"/>
      <c r="B7975" s="850">
        <v>44631</v>
      </c>
      <c r="C7975" s="362" t="s">
        <v>3435</v>
      </c>
      <c r="D7975" s="563">
        <v>31312718</v>
      </c>
      <c r="E7975" s="563"/>
      <c r="F7975" s="563"/>
      <c r="G7975" s="560">
        <f t="shared" si="164"/>
        <v>31312718</v>
      </c>
      <c r="H7975" s="370"/>
      <c r="I7975" s="370"/>
      <c r="J7975" s="370"/>
    </row>
    <row r="7976" spans="1:10" s="565" customFormat="1" x14ac:dyDescent="0.25">
      <c r="A7976" s="370"/>
      <c r="B7976" s="850">
        <v>44631</v>
      </c>
      <c r="C7976" s="370" t="s">
        <v>85</v>
      </c>
      <c r="D7976" s="563">
        <v>36852100</v>
      </c>
      <c r="E7976" s="563"/>
      <c r="F7976" s="563"/>
      <c r="G7976" s="560">
        <f t="shared" si="164"/>
        <v>36852100</v>
      </c>
      <c r="H7976" s="370"/>
      <c r="I7976" s="370"/>
      <c r="J7976" s="370"/>
    </row>
    <row r="7977" spans="1:10" s="565" customFormat="1" x14ac:dyDescent="0.25">
      <c r="A7977" s="530"/>
      <c r="B7977" s="530"/>
      <c r="C7977" s="530"/>
      <c r="D7977" s="562">
        <f>SUM(D7962:D7976)</f>
        <v>2884193793</v>
      </c>
      <c r="E7977" s="562">
        <f>SUM(E7962:E7976)</f>
        <v>0</v>
      </c>
      <c r="F7977" s="562">
        <f>SUM(F7962:F7976)</f>
        <v>0</v>
      </c>
      <c r="G7977" s="562">
        <f>SUM(G7962:G7976)</f>
        <v>2884193793</v>
      </c>
      <c r="H7977" s="530"/>
      <c r="I7977" s="530"/>
      <c r="J7977" s="530"/>
    </row>
    <row r="7978" spans="1:10" s="565" customFormat="1" x14ac:dyDescent="0.25">
      <c r="A7978" s="370"/>
      <c r="B7978" s="850">
        <v>44632</v>
      </c>
      <c r="C7978" s="362" t="s">
        <v>86</v>
      </c>
      <c r="D7978" s="563">
        <v>131358522</v>
      </c>
      <c r="E7978" s="563"/>
      <c r="F7978" s="563"/>
      <c r="G7978" s="560">
        <f t="shared" si="164"/>
        <v>131358522</v>
      </c>
      <c r="H7978" s="370"/>
      <c r="I7978" s="370"/>
      <c r="J7978" s="370"/>
    </row>
    <row r="7979" spans="1:10" s="565" customFormat="1" x14ac:dyDescent="0.25">
      <c r="A7979" s="370"/>
      <c r="B7979" s="850">
        <v>44632</v>
      </c>
      <c r="C7979" s="362" t="s">
        <v>87</v>
      </c>
      <c r="D7979" s="563">
        <v>160119875</v>
      </c>
      <c r="E7979" s="563"/>
      <c r="F7979" s="563"/>
      <c r="G7979" s="560">
        <f t="shared" si="164"/>
        <v>160119875</v>
      </c>
      <c r="H7979" s="370"/>
      <c r="I7979" s="370"/>
      <c r="J7979" s="370"/>
    </row>
    <row r="7980" spans="1:10" s="565" customFormat="1" x14ac:dyDescent="0.25">
      <c r="A7980" s="370"/>
      <c r="B7980" s="850">
        <v>44632</v>
      </c>
      <c r="C7980" s="362" t="s">
        <v>88</v>
      </c>
      <c r="D7980" s="563">
        <v>101954408</v>
      </c>
      <c r="E7980" s="563"/>
      <c r="F7980" s="563"/>
      <c r="G7980" s="560">
        <f t="shared" si="164"/>
        <v>101954408</v>
      </c>
      <c r="H7980" s="370"/>
      <c r="I7980" s="370"/>
      <c r="J7980" s="370"/>
    </row>
    <row r="7981" spans="1:10" s="565" customFormat="1" x14ac:dyDescent="0.25">
      <c r="A7981" s="370"/>
      <c r="B7981" s="850">
        <v>44632</v>
      </c>
      <c r="C7981" s="362" t="s">
        <v>82</v>
      </c>
      <c r="D7981" s="563">
        <v>71361386</v>
      </c>
      <c r="E7981" s="563"/>
      <c r="F7981" s="563"/>
      <c r="G7981" s="560">
        <f t="shared" si="164"/>
        <v>71361386</v>
      </c>
      <c r="H7981" s="370"/>
      <c r="I7981" s="370"/>
      <c r="J7981" s="370"/>
    </row>
    <row r="7982" spans="1:10" s="565" customFormat="1" x14ac:dyDescent="0.25">
      <c r="A7982" s="370"/>
      <c r="B7982" s="850">
        <v>44632</v>
      </c>
      <c r="C7982" s="362" t="s">
        <v>80</v>
      </c>
      <c r="D7982" s="563">
        <v>233969000</v>
      </c>
      <c r="E7982" s="563"/>
      <c r="F7982" s="563"/>
      <c r="G7982" s="560">
        <f t="shared" si="164"/>
        <v>233969000</v>
      </c>
      <c r="H7982" s="370"/>
      <c r="I7982" s="370"/>
      <c r="J7982" s="370"/>
    </row>
    <row r="7983" spans="1:10" s="565" customFormat="1" x14ac:dyDescent="0.25">
      <c r="A7983" s="370"/>
      <c r="B7983" s="850">
        <v>44632</v>
      </c>
      <c r="C7983" s="362" t="s">
        <v>83</v>
      </c>
      <c r="D7983" s="563">
        <v>261964600</v>
      </c>
      <c r="E7983" s="563"/>
      <c r="F7983" s="563"/>
      <c r="G7983" s="560">
        <f t="shared" si="164"/>
        <v>261964600</v>
      </c>
      <c r="H7983" s="370"/>
      <c r="I7983" s="370"/>
      <c r="J7983" s="370"/>
    </row>
    <row r="7984" spans="1:10" s="565" customFormat="1" x14ac:dyDescent="0.25">
      <c r="A7984" s="370"/>
      <c r="B7984" s="850">
        <v>44632</v>
      </c>
      <c r="C7984" s="362" t="s">
        <v>78</v>
      </c>
      <c r="D7984" s="563">
        <v>131865574</v>
      </c>
      <c r="E7984" s="563"/>
      <c r="F7984" s="563"/>
      <c r="G7984" s="560">
        <f t="shared" si="164"/>
        <v>131865574</v>
      </c>
      <c r="H7984" s="370"/>
      <c r="I7984" s="370"/>
      <c r="J7984" s="370"/>
    </row>
    <row r="7985" spans="1:10" s="565" customFormat="1" x14ac:dyDescent="0.25">
      <c r="A7985" s="370"/>
      <c r="B7985" s="850">
        <v>44632</v>
      </c>
      <c r="C7985" s="362" t="s">
        <v>141</v>
      </c>
      <c r="D7985" s="563">
        <v>73401410</v>
      </c>
      <c r="E7985" s="563"/>
      <c r="F7985" s="563"/>
      <c r="G7985" s="560">
        <f t="shared" si="164"/>
        <v>73401410</v>
      </c>
      <c r="H7985" s="370"/>
      <c r="I7985" s="370"/>
      <c r="J7985" s="370"/>
    </row>
    <row r="7986" spans="1:10" s="565" customFormat="1" x14ac:dyDescent="0.25">
      <c r="A7986" s="370"/>
      <c r="B7986" s="850">
        <v>44632</v>
      </c>
      <c r="C7986" s="362" t="s">
        <v>89</v>
      </c>
      <c r="D7986" s="563">
        <v>268307900</v>
      </c>
      <c r="E7986" s="563"/>
      <c r="F7986" s="563"/>
      <c r="G7986" s="560">
        <f t="shared" si="164"/>
        <v>268307900</v>
      </c>
      <c r="H7986" s="370"/>
      <c r="I7986" s="370"/>
      <c r="J7986" s="370"/>
    </row>
    <row r="7987" spans="1:10" s="565" customFormat="1" x14ac:dyDescent="0.25">
      <c r="A7987" s="370"/>
      <c r="B7987" s="850">
        <v>44632</v>
      </c>
      <c r="C7987" s="362" t="s">
        <v>81</v>
      </c>
      <c r="D7987" s="563">
        <v>197708925</v>
      </c>
      <c r="E7987" s="563"/>
      <c r="F7987" s="563"/>
      <c r="G7987" s="560">
        <f t="shared" si="164"/>
        <v>197708925</v>
      </c>
      <c r="H7987" s="370"/>
      <c r="I7987" s="370"/>
      <c r="J7987" s="370"/>
    </row>
    <row r="7988" spans="1:10" s="565" customFormat="1" x14ac:dyDescent="0.25">
      <c r="A7988" s="370"/>
      <c r="B7988" s="850">
        <v>44632</v>
      </c>
      <c r="C7988" s="362" t="s">
        <v>84</v>
      </c>
      <c r="D7988" s="563">
        <v>283308439</v>
      </c>
      <c r="E7988" s="563"/>
      <c r="F7988" s="563"/>
      <c r="G7988" s="560">
        <f t="shared" si="164"/>
        <v>283308439</v>
      </c>
      <c r="H7988" s="370"/>
      <c r="I7988" s="370"/>
      <c r="J7988" s="370"/>
    </row>
    <row r="7989" spans="1:10" s="565" customFormat="1" x14ac:dyDescent="0.25">
      <c r="A7989" s="370"/>
      <c r="B7989" s="850">
        <v>44632</v>
      </c>
      <c r="C7989" s="362" t="s">
        <v>4751</v>
      </c>
      <c r="D7989" s="563">
        <v>270669500</v>
      </c>
      <c r="E7989" s="563"/>
      <c r="F7989" s="563"/>
      <c r="G7989" s="560">
        <f t="shared" si="164"/>
        <v>270669500</v>
      </c>
      <c r="H7989" s="370"/>
      <c r="I7989" s="370"/>
      <c r="J7989" s="370"/>
    </row>
    <row r="7990" spans="1:10" s="565" customFormat="1" x14ac:dyDescent="0.25">
      <c r="A7990" s="370"/>
      <c r="B7990" s="850">
        <v>44632</v>
      </c>
      <c r="C7990" s="362" t="s">
        <v>166</v>
      </c>
      <c r="D7990" s="563"/>
      <c r="E7990" s="563"/>
      <c r="F7990" s="563"/>
      <c r="G7990" s="560">
        <f t="shared" si="164"/>
        <v>0</v>
      </c>
      <c r="H7990" s="370"/>
      <c r="I7990" s="370"/>
      <c r="J7990" s="370"/>
    </row>
    <row r="7991" spans="1:10" s="565" customFormat="1" x14ac:dyDescent="0.25">
      <c r="A7991" s="370"/>
      <c r="B7991" s="850">
        <v>44632</v>
      </c>
      <c r="C7991" s="362" t="s">
        <v>3435</v>
      </c>
      <c r="D7991" s="563"/>
      <c r="E7991" s="563"/>
      <c r="F7991" s="563"/>
      <c r="G7991" s="560">
        <f t="shared" si="164"/>
        <v>0</v>
      </c>
      <c r="H7991" s="370"/>
      <c r="I7991" s="370"/>
      <c r="J7991" s="370"/>
    </row>
    <row r="7992" spans="1:10" s="565" customFormat="1" x14ac:dyDescent="0.25">
      <c r="A7992" s="370"/>
      <c r="B7992" s="850">
        <v>44632</v>
      </c>
      <c r="C7992" s="370" t="s">
        <v>85</v>
      </c>
      <c r="D7992" s="563">
        <v>23526100</v>
      </c>
      <c r="E7992" s="563"/>
      <c r="F7992" s="563"/>
      <c r="G7992" s="560">
        <f t="shared" si="164"/>
        <v>23526100</v>
      </c>
      <c r="H7992" s="370"/>
      <c r="I7992" s="370"/>
      <c r="J7992" s="370"/>
    </row>
    <row r="7993" spans="1:10" s="565" customFormat="1" x14ac:dyDescent="0.25">
      <c r="A7993" s="530"/>
      <c r="B7993" s="530"/>
      <c r="C7993" s="530"/>
      <c r="D7993" s="562">
        <f>SUM(D7978:D7992)</f>
        <v>2209515639</v>
      </c>
      <c r="E7993" s="562">
        <f>SUM(E7978:E7992)</f>
        <v>0</v>
      </c>
      <c r="F7993" s="562">
        <f>SUM(F7978:F7992)</f>
        <v>0</v>
      </c>
      <c r="G7993" s="562">
        <f>SUM(G7978:G7992)</f>
        <v>2209515639</v>
      </c>
      <c r="H7993" s="530"/>
      <c r="I7993" s="530"/>
      <c r="J7993" s="530"/>
    </row>
    <row r="7994" spans="1:10" x14ac:dyDescent="0.25">
      <c r="A7994" s="362"/>
      <c r="B7994" s="609">
        <v>44634</v>
      </c>
      <c r="C7994" s="362" t="s">
        <v>86</v>
      </c>
      <c r="D7994" s="560">
        <v>208977346</v>
      </c>
      <c r="E7994" s="560"/>
      <c r="F7994" s="560"/>
      <c r="G7994" s="560">
        <f t="shared" si="164"/>
        <v>208977346</v>
      </c>
      <c r="H7994" s="362"/>
      <c r="I7994" s="362"/>
      <c r="J7994" s="362"/>
    </row>
    <row r="7995" spans="1:10" x14ac:dyDescent="0.25">
      <c r="A7995" s="362"/>
      <c r="B7995" s="609">
        <v>44634</v>
      </c>
      <c r="C7995" s="362" t="s">
        <v>87</v>
      </c>
      <c r="D7995" s="560">
        <v>157259743</v>
      </c>
      <c r="E7995" s="560"/>
      <c r="F7995" s="560"/>
      <c r="G7995" s="560">
        <f t="shared" si="164"/>
        <v>157259743</v>
      </c>
      <c r="H7995" s="362"/>
      <c r="I7995" s="362"/>
      <c r="J7995" s="362"/>
    </row>
    <row r="7996" spans="1:10" x14ac:dyDescent="0.25">
      <c r="A7996" s="362"/>
      <c r="B7996" s="609">
        <v>44634</v>
      </c>
      <c r="C7996" s="362" t="s">
        <v>88</v>
      </c>
      <c r="D7996" s="560">
        <v>168081745</v>
      </c>
      <c r="E7996" s="560"/>
      <c r="F7996" s="560"/>
      <c r="G7996" s="560">
        <f t="shared" si="164"/>
        <v>168081745</v>
      </c>
      <c r="H7996" s="362"/>
      <c r="I7996" s="362"/>
      <c r="J7996" s="362"/>
    </row>
    <row r="7997" spans="1:10" x14ac:dyDescent="0.25">
      <c r="A7997" s="362"/>
      <c r="B7997" s="609">
        <v>44634</v>
      </c>
      <c r="C7997" s="362" t="s">
        <v>82</v>
      </c>
      <c r="D7997" s="560">
        <v>67193995</v>
      </c>
      <c r="E7997" s="560"/>
      <c r="F7997" s="560"/>
      <c r="G7997" s="560">
        <f t="shared" si="164"/>
        <v>67193995</v>
      </c>
      <c r="H7997" s="362"/>
      <c r="I7997" s="362"/>
      <c r="J7997" s="362"/>
    </row>
    <row r="7998" spans="1:10" x14ac:dyDescent="0.25">
      <c r="A7998" s="362"/>
      <c r="B7998" s="609">
        <v>44634</v>
      </c>
      <c r="C7998" s="362" t="s">
        <v>80</v>
      </c>
      <c r="D7998" s="560">
        <v>506959064</v>
      </c>
      <c r="E7998" s="560"/>
      <c r="F7998" s="560"/>
      <c r="G7998" s="560">
        <f t="shared" si="164"/>
        <v>506959064</v>
      </c>
      <c r="H7998" s="362"/>
      <c r="I7998" s="362"/>
      <c r="J7998" s="362"/>
    </row>
    <row r="7999" spans="1:10" x14ac:dyDescent="0.25">
      <c r="A7999" s="362"/>
      <c r="B7999" s="609">
        <v>44634</v>
      </c>
      <c r="C7999" s="362" t="s">
        <v>83</v>
      </c>
      <c r="D7999" s="560">
        <v>236379984</v>
      </c>
      <c r="E7999" s="560"/>
      <c r="F7999" s="560"/>
      <c r="G7999" s="560">
        <f t="shared" si="164"/>
        <v>236379984</v>
      </c>
      <c r="H7999" s="362"/>
      <c r="I7999" s="362"/>
      <c r="J7999" s="362"/>
    </row>
    <row r="8000" spans="1:10" x14ac:dyDescent="0.25">
      <c r="A8000" s="362"/>
      <c r="B8000" s="609">
        <v>44634</v>
      </c>
      <c r="C8000" s="362" t="s">
        <v>78</v>
      </c>
      <c r="D8000" s="560">
        <v>163974291</v>
      </c>
      <c r="E8000" s="560"/>
      <c r="F8000" s="560"/>
      <c r="G8000" s="560">
        <f t="shared" si="164"/>
        <v>163974291</v>
      </c>
      <c r="H8000" s="362"/>
      <c r="I8000" s="362"/>
      <c r="J8000" s="362"/>
    </row>
    <row r="8001" spans="1:10" x14ac:dyDescent="0.25">
      <c r="A8001" s="362"/>
      <c r="B8001" s="609">
        <v>44634</v>
      </c>
      <c r="C8001" s="362" t="s">
        <v>141</v>
      </c>
      <c r="D8001" s="560">
        <v>146208834</v>
      </c>
      <c r="E8001" s="560"/>
      <c r="F8001" s="560"/>
      <c r="G8001" s="560">
        <f t="shared" si="164"/>
        <v>146208834</v>
      </c>
      <c r="H8001" s="362"/>
      <c r="I8001" s="362"/>
      <c r="J8001" s="362"/>
    </row>
    <row r="8002" spans="1:10" x14ac:dyDescent="0.25">
      <c r="A8002" s="362"/>
      <c r="B8002" s="609">
        <v>44634</v>
      </c>
      <c r="C8002" s="362" t="s">
        <v>89</v>
      </c>
      <c r="D8002" s="560">
        <v>105663000</v>
      </c>
      <c r="E8002" s="560"/>
      <c r="F8002" s="560"/>
      <c r="G8002" s="560">
        <f t="shared" si="164"/>
        <v>105663000</v>
      </c>
      <c r="H8002" s="362"/>
      <c r="I8002" s="362"/>
      <c r="J8002" s="362"/>
    </row>
    <row r="8003" spans="1:10" x14ac:dyDescent="0.25">
      <c r="A8003" s="362"/>
      <c r="B8003" s="609">
        <v>44634</v>
      </c>
      <c r="C8003" s="362" t="s">
        <v>81</v>
      </c>
      <c r="D8003" s="560">
        <v>120537670</v>
      </c>
      <c r="E8003" s="560"/>
      <c r="F8003" s="560"/>
      <c r="G8003" s="560">
        <f t="shared" si="164"/>
        <v>120537670</v>
      </c>
      <c r="H8003" s="362"/>
      <c r="I8003" s="362"/>
      <c r="J8003" s="362"/>
    </row>
    <row r="8004" spans="1:10" x14ac:dyDescent="0.25">
      <c r="A8004" s="362"/>
      <c r="B8004" s="609">
        <v>44634</v>
      </c>
      <c r="C8004" s="362" t="s">
        <v>84</v>
      </c>
      <c r="D8004" s="560">
        <v>346909387</v>
      </c>
      <c r="E8004" s="560"/>
      <c r="F8004" s="560"/>
      <c r="G8004" s="560">
        <f t="shared" si="164"/>
        <v>346909387</v>
      </c>
      <c r="H8004" s="362"/>
      <c r="I8004" s="362"/>
      <c r="J8004" s="362"/>
    </row>
    <row r="8005" spans="1:10" x14ac:dyDescent="0.25">
      <c r="A8005" s="362"/>
      <c r="B8005" s="609">
        <v>44634</v>
      </c>
      <c r="C8005" s="362" t="s">
        <v>4751</v>
      </c>
      <c r="D8005" s="560">
        <v>159953200</v>
      </c>
      <c r="E8005" s="560"/>
      <c r="F8005" s="560"/>
      <c r="G8005" s="560">
        <f t="shared" si="164"/>
        <v>159953200</v>
      </c>
      <c r="H8005" s="362"/>
      <c r="I8005" s="362"/>
      <c r="J8005" s="362"/>
    </row>
    <row r="8006" spans="1:10" x14ac:dyDescent="0.25">
      <c r="A8006" s="362"/>
      <c r="B8006" s="609">
        <v>44634</v>
      </c>
      <c r="C8006" s="362" t="s">
        <v>166</v>
      </c>
      <c r="D8006" s="560">
        <v>84015767</v>
      </c>
      <c r="E8006" s="560"/>
      <c r="F8006" s="560"/>
      <c r="G8006" s="560">
        <f t="shared" si="164"/>
        <v>84015767</v>
      </c>
      <c r="H8006" s="362"/>
      <c r="I8006" s="362"/>
      <c r="J8006" s="362"/>
    </row>
    <row r="8007" spans="1:10" x14ac:dyDescent="0.25">
      <c r="A8007" s="362"/>
      <c r="B8007" s="609">
        <v>44634</v>
      </c>
      <c r="C8007" s="362" t="s">
        <v>3435</v>
      </c>
      <c r="D8007" s="560">
        <v>18115346</v>
      </c>
      <c r="E8007" s="560"/>
      <c r="F8007" s="560"/>
      <c r="G8007" s="560">
        <f t="shared" si="164"/>
        <v>18115346</v>
      </c>
      <c r="H8007" s="362"/>
      <c r="I8007" s="362"/>
      <c r="J8007" s="362"/>
    </row>
    <row r="8008" spans="1:10" x14ac:dyDescent="0.25">
      <c r="A8008" s="362"/>
      <c r="B8008" s="609">
        <v>44634</v>
      </c>
      <c r="C8008" s="370" t="s">
        <v>85</v>
      </c>
      <c r="D8008" s="560">
        <v>51940400</v>
      </c>
      <c r="E8008" s="560"/>
      <c r="F8008" s="560"/>
      <c r="G8008" s="560">
        <f t="shared" si="164"/>
        <v>51940400</v>
      </c>
      <c r="H8008" s="362"/>
      <c r="I8008" s="362"/>
      <c r="J8008" s="362"/>
    </row>
    <row r="8009" spans="1:10" x14ac:dyDescent="0.25">
      <c r="A8009" s="530"/>
      <c r="B8009" s="530"/>
      <c r="C8009" s="530"/>
      <c r="D8009" s="562">
        <f>SUM(D7994:D8008)</f>
        <v>2542169772</v>
      </c>
      <c r="E8009" s="562">
        <f>SUM(E7994:E8008)</f>
        <v>0</v>
      </c>
      <c r="F8009" s="562">
        <f>SUM(F7994:F8008)</f>
        <v>0</v>
      </c>
      <c r="G8009" s="562">
        <f>SUM(G7994:G8008)</f>
        <v>2542169772</v>
      </c>
      <c r="H8009" s="530"/>
      <c r="I8009" s="530"/>
      <c r="J8009" s="530"/>
    </row>
    <row r="8010" spans="1:10" x14ac:dyDescent="0.25">
      <c r="A8010" s="362"/>
      <c r="B8010" s="609">
        <v>44635</v>
      </c>
      <c r="C8010" s="362" t="s">
        <v>86</v>
      </c>
      <c r="D8010" s="560">
        <v>115209348</v>
      </c>
      <c r="E8010" s="560"/>
      <c r="F8010" s="560">
        <v>115209200</v>
      </c>
      <c r="G8010" s="560">
        <f t="shared" si="164"/>
        <v>148</v>
      </c>
      <c r="H8010" s="362"/>
      <c r="I8010" s="362"/>
      <c r="J8010" s="362"/>
    </row>
    <row r="8011" spans="1:10" x14ac:dyDescent="0.25">
      <c r="A8011" s="362"/>
      <c r="B8011" s="609">
        <v>44635</v>
      </c>
      <c r="C8011" s="362" t="s">
        <v>87</v>
      </c>
      <c r="D8011" s="560">
        <v>121847245</v>
      </c>
      <c r="E8011" s="560"/>
      <c r="F8011" s="560">
        <v>121847300</v>
      </c>
      <c r="G8011" s="560">
        <f t="shared" si="164"/>
        <v>-55</v>
      </c>
      <c r="H8011" s="362"/>
      <c r="I8011" s="362"/>
      <c r="J8011" s="362"/>
    </row>
    <row r="8012" spans="1:10" x14ac:dyDescent="0.25">
      <c r="A8012" s="362"/>
      <c r="B8012" s="609">
        <v>44635</v>
      </c>
      <c r="C8012" s="362" t="s">
        <v>88</v>
      </c>
      <c r="D8012" s="560">
        <v>213606739</v>
      </c>
      <c r="E8012" s="560"/>
      <c r="F8012" s="560">
        <v>213606800</v>
      </c>
      <c r="G8012" s="560">
        <f t="shared" si="164"/>
        <v>-61</v>
      </c>
      <c r="H8012" s="362"/>
      <c r="I8012" s="362"/>
      <c r="J8012" s="362"/>
    </row>
    <row r="8013" spans="1:10" x14ac:dyDescent="0.25">
      <c r="A8013" s="362"/>
      <c r="B8013" s="609">
        <v>44635</v>
      </c>
      <c r="C8013" s="362" t="s">
        <v>82</v>
      </c>
      <c r="D8013" s="560">
        <v>96567530</v>
      </c>
      <c r="E8013" s="560"/>
      <c r="F8013" s="560">
        <v>96567600</v>
      </c>
      <c r="G8013" s="560">
        <f t="shared" si="164"/>
        <v>-70</v>
      </c>
      <c r="H8013" s="362"/>
      <c r="I8013" s="362"/>
      <c r="J8013" s="362"/>
    </row>
    <row r="8014" spans="1:10" x14ac:dyDescent="0.25">
      <c r="A8014" s="362"/>
      <c r="B8014" s="609">
        <v>44635</v>
      </c>
      <c r="C8014" s="362" t="s">
        <v>80</v>
      </c>
      <c r="D8014" s="560">
        <v>306073590</v>
      </c>
      <c r="E8014" s="560"/>
      <c r="F8014" s="560">
        <v>306073600</v>
      </c>
      <c r="G8014" s="560">
        <f t="shared" si="164"/>
        <v>-10</v>
      </c>
      <c r="H8014" s="362"/>
      <c r="I8014" s="362"/>
      <c r="J8014" s="362"/>
    </row>
    <row r="8015" spans="1:10" x14ac:dyDescent="0.25">
      <c r="A8015" s="362"/>
      <c r="B8015" s="609">
        <v>44635</v>
      </c>
      <c r="C8015" s="362" t="s">
        <v>83</v>
      </c>
      <c r="D8015" s="560">
        <v>253959430</v>
      </c>
      <c r="E8015" s="560"/>
      <c r="F8015" s="560">
        <v>253959500</v>
      </c>
      <c r="G8015" s="560">
        <f t="shared" si="164"/>
        <v>-70</v>
      </c>
      <c r="H8015" s="362"/>
      <c r="I8015" s="362"/>
      <c r="J8015" s="362"/>
    </row>
    <row r="8016" spans="1:10" x14ac:dyDescent="0.25">
      <c r="A8016" s="362"/>
      <c r="B8016" s="609">
        <v>44635</v>
      </c>
      <c r="C8016" s="362" t="s">
        <v>78</v>
      </c>
      <c r="D8016" s="560">
        <v>171103074</v>
      </c>
      <c r="E8016" s="560"/>
      <c r="F8016" s="560">
        <v>171103200</v>
      </c>
      <c r="G8016" s="560">
        <f t="shared" si="164"/>
        <v>-126</v>
      </c>
      <c r="H8016" s="362"/>
      <c r="I8016" s="362"/>
      <c r="J8016" s="362"/>
    </row>
    <row r="8017" spans="1:10" x14ac:dyDescent="0.25">
      <c r="A8017" s="362"/>
      <c r="B8017" s="609">
        <v>44635</v>
      </c>
      <c r="C8017" s="362" t="s">
        <v>141</v>
      </c>
      <c r="D8017" s="560">
        <v>66706195</v>
      </c>
      <c r="E8017" s="560"/>
      <c r="F8017" s="560">
        <v>66706200</v>
      </c>
      <c r="G8017" s="560">
        <f t="shared" si="164"/>
        <v>-5</v>
      </c>
      <c r="H8017" s="362"/>
      <c r="I8017" s="362"/>
      <c r="J8017" s="362"/>
    </row>
    <row r="8018" spans="1:10" x14ac:dyDescent="0.25">
      <c r="A8018" s="362"/>
      <c r="B8018" s="609">
        <v>44635</v>
      </c>
      <c r="C8018" s="362" t="s">
        <v>89</v>
      </c>
      <c r="D8018" s="560">
        <v>116667200</v>
      </c>
      <c r="E8018" s="560"/>
      <c r="F8018" s="560">
        <v>116667100</v>
      </c>
      <c r="G8018" s="560">
        <f t="shared" si="164"/>
        <v>100</v>
      </c>
      <c r="H8018" s="362"/>
      <c r="I8018" s="362"/>
      <c r="J8018" s="362"/>
    </row>
    <row r="8019" spans="1:10" x14ac:dyDescent="0.25">
      <c r="A8019" s="362"/>
      <c r="B8019" s="609">
        <v>44635</v>
      </c>
      <c r="C8019" s="362" t="s">
        <v>81</v>
      </c>
      <c r="D8019" s="560">
        <v>94843060</v>
      </c>
      <c r="E8019" s="560"/>
      <c r="F8019" s="560">
        <v>94843000</v>
      </c>
      <c r="G8019" s="560">
        <f t="shared" si="164"/>
        <v>60</v>
      </c>
      <c r="H8019" s="362"/>
      <c r="I8019" s="362"/>
      <c r="J8019" s="362"/>
    </row>
    <row r="8020" spans="1:10" x14ac:dyDescent="0.25">
      <c r="A8020" s="362"/>
      <c r="B8020" s="609">
        <v>44635</v>
      </c>
      <c r="C8020" s="362" t="s">
        <v>84</v>
      </c>
      <c r="D8020" s="560">
        <v>353628557</v>
      </c>
      <c r="E8020" s="560"/>
      <c r="F8020" s="560">
        <v>353628600</v>
      </c>
      <c r="G8020" s="560">
        <f t="shared" si="164"/>
        <v>-43</v>
      </c>
      <c r="H8020" s="362"/>
      <c r="I8020" s="362"/>
      <c r="J8020" s="362"/>
    </row>
    <row r="8021" spans="1:10" x14ac:dyDescent="0.25">
      <c r="A8021" s="362"/>
      <c r="B8021" s="609">
        <v>44635</v>
      </c>
      <c r="C8021" s="362" t="s">
        <v>4751</v>
      </c>
      <c r="D8021" s="560">
        <v>259264500</v>
      </c>
      <c r="E8021" s="560"/>
      <c r="F8021" s="560">
        <v>259264500</v>
      </c>
      <c r="G8021" s="560">
        <f t="shared" si="164"/>
        <v>0</v>
      </c>
      <c r="H8021" s="362"/>
      <c r="I8021" s="362"/>
      <c r="J8021" s="362"/>
    </row>
    <row r="8022" spans="1:10" x14ac:dyDescent="0.25">
      <c r="A8022" s="362"/>
      <c r="B8022" s="609">
        <v>44635</v>
      </c>
      <c r="C8022" s="362" t="s">
        <v>166</v>
      </c>
      <c r="D8022" s="560">
        <v>124693980</v>
      </c>
      <c r="E8022" s="560"/>
      <c r="F8022" s="560">
        <v>124694000</v>
      </c>
      <c r="G8022" s="560">
        <f t="shared" si="164"/>
        <v>-20</v>
      </c>
      <c r="H8022" s="362"/>
      <c r="I8022" s="362"/>
      <c r="J8022" s="362"/>
    </row>
    <row r="8023" spans="1:10" x14ac:dyDescent="0.25">
      <c r="A8023" s="362"/>
      <c r="B8023" s="609">
        <v>44635</v>
      </c>
      <c r="C8023" s="362" t="s">
        <v>3435</v>
      </c>
      <c r="D8023" s="560">
        <v>61266967</v>
      </c>
      <c r="E8023" s="560"/>
      <c r="F8023" s="560">
        <v>61267000</v>
      </c>
      <c r="G8023" s="560">
        <f t="shared" si="164"/>
        <v>-33</v>
      </c>
      <c r="H8023" s="362"/>
      <c r="I8023" s="362"/>
      <c r="J8023" s="362"/>
    </row>
    <row r="8024" spans="1:10" x14ac:dyDescent="0.25">
      <c r="A8024" s="362"/>
      <c r="B8024" s="609">
        <v>44635</v>
      </c>
      <c r="C8024" s="370" t="s">
        <v>85</v>
      </c>
      <c r="D8024" s="560">
        <v>37353900</v>
      </c>
      <c r="E8024" s="560"/>
      <c r="F8024" s="560">
        <v>37353900</v>
      </c>
      <c r="G8024" s="560">
        <f t="shared" si="164"/>
        <v>0</v>
      </c>
      <c r="H8024" s="362"/>
      <c r="I8024" s="362"/>
      <c r="J8024" s="362"/>
    </row>
    <row r="8025" spans="1:10" x14ac:dyDescent="0.25">
      <c r="A8025" s="530"/>
      <c r="B8025" s="530"/>
      <c r="C8025" s="530"/>
      <c r="D8025" s="562">
        <f>SUM(D8010:D8024)</f>
        <v>2392791315</v>
      </c>
      <c r="E8025" s="562">
        <f>SUM(E8010:E8024)</f>
        <v>0</v>
      </c>
      <c r="F8025" s="562">
        <f>SUM(F8010:F8024)</f>
        <v>2392791500</v>
      </c>
      <c r="G8025" s="562">
        <f>SUM(G8010:G8024)</f>
        <v>-185</v>
      </c>
      <c r="H8025" s="530"/>
      <c r="I8025" s="530"/>
      <c r="J8025" s="530"/>
    </row>
    <row r="8026" spans="1:10" x14ac:dyDescent="0.25">
      <c r="A8026" s="362"/>
      <c r="B8026" s="609">
        <v>44636</v>
      </c>
      <c r="C8026" s="362" t="s">
        <v>86</v>
      </c>
      <c r="D8026" s="560">
        <v>172029910</v>
      </c>
      <c r="E8026" s="560"/>
      <c r="F8026" s="560"/>
      <c r="G8026" s="560">
        <f t="shared" si="164"/>
        <v>172029910</v>
      </c>
      <c r="H8026" s="362"/>
      <c r="I8026" s="362"/>
      <c r="J8026" s="362"/>
    </row>
    <row r="8027" spans="1:10" x14ac:dyDescent="0.25">
      <c r="A8027" s="362"/>
      <c r="B8027" s="609">
        <v>44636</v>
      </c>
      <c r="C8027" s="362" t="s">
        <v>87</v>
      </c>
      <c r="D8027" s="560">
        <v>283451947</v>
      </c>
      <c r="E8027" s="560"/>
      <c r="F8027" s="560"/>
      <c r="G8027" s="560">
        <f t="shared" si="164"/>
        <v>283451947</v>
      </c>
      <c r="H8027" s="362"/>
      <c r="I8027" s="362"/>
      <c r="J8027" s="362"/>
    </row>
    <row r="8028" spans="1:10" x14ac:dyDescent="0.25">
      <c r="A8028" s="362"/>
      <c r="B8028" s="609">
        <v>44636</v>
      </c>
      <c r="C8028" s="362" t="s">
        <v>88</v>
      </c>
      <c r="D8028" s="560">
        <v>160345335</v>
      </c>
      <c r="E8028" s="560"/>
      <c r="F8028" s="560"/>
      <c r="G8028" s="560">
        <f t="shared" ref="G8028:G8091" si="165">D8028+E8028-F8028</f>
        <v>160345335</v>
      </c>
      <c r="H8028" s="362"/>
      <c r="I8028" s="362"/>
      <c r="J8028" s="362"/>
    </row>
    <row r="8029" spans="1:10" x14ac:dyDescent="0.25">
      <c r="A8029" s="362"/>
      <c r="B8029" s="609">
        <v>44636</v>
      </c>
      <c r="C8029" s="362" t="s">
        <v>82</v>
      </c>
      <c r="D8029" s="560">
        <v>101356501</v>
      </c>
      <c r="E8029" s="560"/>
      <c r="F8029" s="560"/>
      <c r="G8029" s="560">
        <f t="shared" si="165"/>
        <v>101356501</v>
      </c>
      <c r="H8029" s="362"/>
      <c r="I8029" s="362"/>
      <c r="J8029" s="362"/>
    </row>
    <row r="8030" spans="1:10" x14ac:dyDescent="0.25">
      <c r="A8030" s="362"/>
      <c r="B8030" s="609">
        <v>44636</v>
      </c>
      <c r="C8030" s="362" t="s">
        <v>80</v>
      </c>
      <c r="D8030" s="560">
        <v>353322926</v>
      </c>
      <c r="E8030" s="560"/>
      <c r="F8030" s="560"/>
      <c r="G8030" s="560">
        <f t="shared" si="165"/>
        <v>353322926</v>
      </c>
      <c r="H8030" s="362"/>
      <c r="I8030" s="362"/>
      <c r="J8030" s="362"/>
    </row>
    <row r="8031" spans="1:10" x14ac:dyDescent="0.25">
      <c r="A8031" s="362"/>
      <c r="B8031" s="609">
        <v>44636</v>
      </c>
      <c r="C8031" s="362" t="s">
        <v>83</v>
      </c>
      <c r="D8031" s="560">
        <v>223741760</v>
      </c>
      <c r="E8031" s="560"/>
      <c r="F8031" s="560"/>
      <c r="G8031" s="560">
        <f t="shared" si="165"/>
        <v>223741760</v>
      </c>
      <c r="H8031" s="362"/>
      <c r="I8031" s="362"/>
      <c r="J8031" s="362"/>
    </row>
    <row r="8032" spans="1:10" x14ac:dyDescent="0.25">
      <c r="A8032" s="362"/>
      <c r="B8032" s="609">
        <v>44636</v>
      </c>
      <c r="C8032" s="362" t="s">
        <v>78</v>
      </c>
      <c r="D8032" s="560">
        <v>158141953</v>
      </c>
      <c r="E8032" s="560"/>
      <c r="F8032" s="560"/>
      <c r="G8032" s="560">
        <f t="shared" si="165"/>
        <v>158141953</v>
      </c>
      <c r="H8032" s="362"/>
      <c r="I8032" s="362"/>
      <c r="J8032" s="362"/>
    </row>
    <row r="8033" spans="1:10" x14ac:dyDescent="0.25">
      <c r="A8033" s="362"/>
      <c r="B8033" s="609">
        <v>44636</v>
      </c>
      <c r="C8033" s="362" t="s">
        <v>141</v>
      </c>
      <c r="D8033" s="560">
        <v>149554984</v>
      </c>
      <c r="E8033" s="560"/>
      <c r="F8033" s="560"/>
      <c r="G8033" s="560">
        <f t="shared" si="165"/>
        <v>149554984</v>
      </c>
      <c r="H8033" s="362"/>
      <c r="I8033" s="362"/>
      <c r="J8033" s="362"/>
    </row>
    <row r="8034" spans="1:10" x14ac:dyDescent="0.25">
      <c r="A8034" s="362"/>
      <c r="B8034" s="609">
        <v>44636</v>
      </c>
      <c r="C8034" s="362" t="s">
        <v>89</v>
      </c>
      <c r="D8034" s="560">
        <v>198711700</v>
      </c>
      <c r="E8034" s="560"/>
      <c r="F8034" s="560"/>
      <c r="G8034" s="560">
        <f t="shared" si="165"/>
        <v>198711700</v>
      </c>
      <c r="H8034" s="362"/>
      <c r="I8034" s="362"/>
      <c r="J8034" s="362"/>
    </row>
    <row r="8035" spans="1:10" x14ac:dyDescent="0.25">
      <c r="A8035" s="362"/>
      <c r="B8035" s="609">
        <v>44636</v>
      </c>
      <c r="C8035" s="362" t="s">
        <v>81</v>
      </c>
      <c r="D8035" s="560">
        <v>117179192</v>
      </c>
      <c r="E8035" s="560"/>
      <c r="F8035" s="560"/>
      <c r="G8035" s="560">
        <f t="shared" si="165"/>
        <v>117179192</v>
      </c>
      <c r="H8035" s="362"/>
      <c r="I8035" s="362"/>
      <c r="J8035" s="362"/>
    </row>
    <row r="8036" spans="1:10" x14ac:dyDescent="0.25">
      <c r="A8036" s="362"/>
      <c r="B8036" s="609">
        <v>44636</v>
      </c>
      <c r="C8036" s="362" t="s">
        <v>84</v>
      </c>
      <c r="D8036" s="560">
        <v>283611717</v>
      </c>
      <c r="E8036" s="560"/>
      <c r="F8036" s="560"/>
      <c r="G8036" s="560">
        <f t="shared" si="165"/>
        <v>283611717</v>
      </c>
      <c r="H8036" s="362"/>
      <c r="I8036" s="362"/>
      <c r="J8036" s="362"/>
    </row>
    <row r="8037" spans="1:10" x14ac:dyDescent="0.25">
      <c r="A8037" s="362"/>
      <c r="B8037" s="609">
        <v>44636</v>
      </c>
      <c r="C8037" s="362" t="s">
        <v>4751</v>
      </c>
      <c r="D8037" s="560">
        <v>274611100</v>
      </c>
      <c r="E8037" s="560"/>
      <c r="F8037" s="560"/>
      <c r="G8037" s="560">
        <f t="shared" si="165"/>
        <v>274611100</v>
      </c>
      <c r="H8037" s="362"/>
      <c r="I8037" s="362"/>
      <c r="J8037" s="362"/>
    </row>
    <row r="8038" spans="1:10" x14ac:dyDescent="0.25">
      <c r="A8038" s="362"/>
      <c r="B8038" s="609">
        <v>44636</v>
      </c>
      <c r="C8038" s="362" t="s">
        <v>166</v>
      </c>
      <c r="D8038" s="560"/>
      <c r="E8038" s="560"/>
      <c r="F8038" s="560"/>
      <c r="G8038" s="560">
        <f t="shared" si="165"/>
        <v>0</v>
      </c>
      <c r="H8038" s="362"/>
      <c r="I8038" s="362"/>
      <c r="J8038" s="362"/>
    </row>
    <row r="8039" spans="1:10" x14ac:dyDescent="0.25">
      <c r="A8039" s="362"/>
      <c r="B8039" s="609">
        <v>44636</v>
      </c>
      <c r="C8039" s="362" t="s">
        <v>3435</v>
      </c>
      <c r="D8039" s="560">
        <v>31584457</v>
      </c>
      <c r="E8039" s="560"/>
      <c r="F8039" s="560"/>
      <c r="G8039" s="560">
        <f t="shared" si="165"/>
        <v>31584457</v>
      </c>
      <c r="H8039" s="362"/>
      <c r="I8039" s="362"/>
      <c r="J8039" s="362"/>
    </row>
    <row r="8040" spans="1:10" x14ac:dyDescent="0.25">
      <c r="A8040" s="362"/>
      <c r="B8040" s="609">
        <v>44636</v>
      </c>
      <c r="C8040" s="370" t="s">
        <v>85</v>
      </c>
      <c r="D8040" s="560">
        <v>49068100</v>
      </c>
      <c r="E8040" s="560"/>
      <c r="F8040" s="560"/>
      <c r="G8040" s="560">
        <f t="shared" si="165"/>
        <v>49068100</v>
      </c>
      <c r="H8040" s="362"/>
      <c r="I8040" s="362"/>
      <c r="J8040" s="362"/>
    </row>
    <row r="8041" spans="1:10" x14ac:dyDescent="0.25">
      <c r="A8041" s="530"/>
      <c r="B8041" s="530"/>
      <c r="C8041" s="530"/>
      <c r="D8041" s="562">
        <f>SUM(D8026:D8040)</f>
        <v>2556711582</v>
      </c>
      <c r="E8041" s="562">
        <f>SUM(E8026:E8040)</f>
        <v>0</v>
      </c>
      <c r="F8041" s="562">
        <f>SUM(F8026:F8040)</f>
        <v>0</v>
      </c>
      <c r="G8041" s="562">
        <f>SUM(G8026:G8040)</f>
        <v>2556711582</v>
      </c>
      <c r="H8041" s="530"/>
      <c r="I8041" s="530"/>
      <c r="J8041" s="530"/>
    </row>
    <row r="8042" spans="1:10" x14ac:dyDescent="0.25">
      <c r="A8042" s="362"/>
      <c r="B8042" s="609">
        <v>44637</v>
      </c>
      <c r="C8042" s="362" t="s">
        <v>86</v>
      </c>
      <c r="D8042" s="560">
        <v>319868703</v>
      </c>
      <c r="E8042" s="560"/>
      <c r="F8042" s="560"/>
      <c r="G8042" s="560">
        <f t="shared" si="165"/>
        <v>319868703</v>
      </c>
      <c r="H8042" s="362"/>
      <c r="I8042" s="362"/>
      <c r="J8042" s="362"/>
    </row>
    <row r="8043" spans="1:10" x14ac:dyDescent="0.25">
      <c r="A8043" s="362"/>
      <c r="B8043" s="609">
        <v>44637</v>
      </c>
      <c r="C8043" s="362" t="s">
        <v>87</v>
      </c>
      <c r="D8043" s="560">
        <v>171753636</v>
      </c>
      <c r="E8043" s="560"/>
      <c r="F8043" s="560"/>
      <c r="G8043" s="560">
        <f t="shared" si="165"/>
        <v>171753636</v>
      </c>
      <c r="H8043" s="362"/>
      <c r="I8043" s="362"/>
      <c r="J8043" s="362"/>
    </row>
    <row r="8044" spans="1:10" x14ac:dyDescent="0.25">
      <c r="A8044" s="362"/>
      <c r="B8044" s="609">
        <v>44637</v>
      </c>
      <c r="C8044" s="362" t="s">
        <v>88</v>
      </c>
      <c r="D8044" s="560">
        <v>182783329</v>
      </c>
      <c r="E8044" s="560"/>
      <c r="F8044" s="560"/>
      <c r="G8044" s="560">
        <f t="shared" si="165"/>
        <v>182783329</v>
      </c>
      <c r="H8044" s="362"/>
      <c r="I8044" s="362"/>
      <c r="J8044" s="362"/>
    </row>
    <row r="8045" spans="1:10" x14ac:dyDescent="0.25">
      <c r="A8045" s="362"/>
      <c r="B8045" s="609">
        <v>44637</v>
      </c>
      <c r="C8045" s="362" t="s">
        <v>82</v>
      </c>
      <c r="D8045" s="560">
        <v>252684482</v>
      </c>
      <c r="E8045" s="560"/>
      <c r="F8045" s="560"/>
      <c r="G8045" s="560">
        <f t="shared" si="165"/>
        <v>252684482</v>
      </c>
      <c r="H8045" s="362"/>
      <c r="I8045" s="362"/>
      <c r="J8045" s="362"/>
    </row>
    <row r="8046" spans="1:10" x14ac:dyDescent="0.25">
      <c r="A8046" s="362"/>
      <c r="B8046" s="609">
        <v>44637</v>
      </c>
      <c r="C8046" s="362" t="s">
        <v>80</v>
      </c>
      <c r="D8046" s="560">
        <v>975086209</v>
      </c>
      <c r="E8046" s="560"/>
      <c r="F8046" s="560"/>
      <c r="G8046" s="560">
        <f t="shared" si="165"/>
        <v>975086209</v>
      </c>
      <c r="H8046" s="362"/>
      <c r="I8046" s="362"/>
      <c r="J8046" s="362"/>
    </row>
    <row r="8047" spans="1:10" x14ac:dyDescent="0.25">
      <c r="A8047" s="362"/>
      <c r="B8047" s="609">
        <v>44637</v>
      </c>
      <c r="C8047" s="362" t="s">
        <v>83</v>
      </c>
      <c r="D8047" s="560">
        <v>197899600</v>
      </c>
      <c r="E8047" s="560"/>
      <c r="F8047" s="560"/>
      <c r="G8047" s="560">
        <f t="shared" si="165"/>
        <v>197899600</v>
      </c>
      <c r="H8047" s="362"/>
      <c r="I8047" s="362"/>
      <c r="J8047" s="362"/>
    </row>
    <row r="8048" spans="1:10" x14ac:dyDescent="0.25">
      <c r="A8048" s="362"/>
      <c r="B8048" s="609">
        <v>44637</v>
      </c>
      <c r="C8048" s="362" t="s">
        <v>78</v>
      </c>
      <c r="D8048" s="560">
        <v>145162550</v>
      </c>
      <c r="E8048" s="560"/>
      <c r="F8048" s="560"/>
      <c r="G8048" s="560">
        <f t="shared" si="165"/>
        <v>145162550</v>
      </c>
      <c r="H8048" s="362"/>
      <c r="I8048" s="362"/>
      <c r="J8048" s="362"/>
    </row>
    <row r="8049" spans="1:10" x14ac:dyDescent="0.25">
      <c r="A8049" s="362"/>
      <c r="B8049" s="609">
        <v>44637</v>
      </c>
      <c r="C8049" s="362" t="s">
        <v>141</v>
      </c>
      <c r="D8049" s="560">
        <v>151212524</v>
      </c>
      <c r="E8049" s="560"/>
      <c r="F8049" s="560"/>
      <c r="G8049" s="560">
        <f t="shared" si="165"/>
        <v>151212524</v>
      </c>
      <c r="H8049" s="362"/>
      <c r="I8049" s="362"/>
      <c r="J8049" s="362"/>
    </row>
    <row r="8050" spans="1:10" x14ac:dyDescent="0.25">
      <c r="A8050" s="362"/>
      <c r="B8050" s="609">
        <v>44637</v>
      </c>
      <c r="C8050" s="362" t="s">
        <v>89</v>
      </c>
      <c r="D8050" s="560">
        <v>191381700</v>
      </c>
      <c r="E8050" s="560"/>
      <c r="F8050" s="560"/>
      <c r="G8050" s="560">
        <f t="shared" si="165"/>
        <v>191381700</v>
      </c>
      <c r="H8050" s="362"/>
      <c r="I8050" s="362"/>
      <c r="J8050" s="362"/>
    </row>
    <row r="8051" spans="1:10" x14ac:dyDescent="0.25">
      <c r="A8051" s="362"/>
      <c r="B8051" s="609">
        <v>44637</v>
      </c>
      <c r="C8051" s="362" t="s">
        <v>81</v>
      </c>
      <c r="D8051" s="560">
        <v>113724305</v>
      </c>
      <c r="E8051" s="560"/>
      <c r="F8051" s="560"/>
      <c r="G8051" s="560">
        <f t="shared" si="165"/>
        <v>113724305</v>
      </c>
      <c r="H8051" s="362"/>
      <c r="I8051" s="362"/>
      <c r="J8051" s="362"/>
    </row>
    <row r="8052" spans="1:10" x14ac:dyDescent="0.25">
      <c r="A8052" s="362"/>
      <c r="B8052" s="609">
        <v>44637</v>
      </c>
      <c r="C8052" s="362" t="s">
        <v>84</v>
      </c>
      <c r="D8052" s="560">
        <v>199141364</v>
      </c>
      <c r="E8052" s="560"/>
      <c r="F8052" s="560"/>
      <c r="G8052" s="560">
        <f t="shared" si="165"/>
        <v>199141364</v>
      </c>
      <c r="H8052" s="362"/>
      <c r="I8052" s="362"/>
      <c r="J8052" s="362"/>
    </row>
    <row r="8053" spans="1:10" x14ac:dyDescent="0.25">
      <c r="A8053" s="362"/>
      <c r="B8053" s="609">
        <v>44637</v>
      </c>
      <c r="C8053" s="362" t="s">
        <v>4751</v>
      </c>
      <c r="D8053" s="560">
        <v>260127500</v>
      </c>
      <c r="E8053" s="560"/>
      <c r="F8053" s="560"/>
      <c r="G8053" s="560">
        <f t="shared" si="165"/>
        <v>260127500</v>
      </c>
      <c r="H8053" s="362"/>
      <c r="I8053" s="362"/>
      <c r="J8053" s="362"/>
    </row>
    <row r="8054" spans="1:10" x14ac:dyDescent="0.25">
      <c r="A8054" s="362"/>
      <c r="B8054" s="609">
        <v>44637</v>
      </c>
      <c r="C8054" s="362" t="s">
        <v>166</v>
      </c>
      <c r="D8054" s="560"/>
      <c r="E8054" s="560"/>
      <c r="F8054" s="560"/>
      <c r="G8054" s="560">
        <f t="shared" si="165"/>
        <v>0</v>
      </c>
      <c r="H8054" s="362"/>
      <c r="I8054" s="362"/>
      <c r="J8054" s="362"/>
    </row>
    <row r="8055" spans="1:10" x14ac:dyDescent="0.25">
      <c r="A8055" s="362"/>
      <c r="B8055" s="609">
        <v>44637</v>
      </c>
      <c r="C8055" s="362" t="s">
        <v>3435</v>
      </c>
      <c r="D8055" s="560">
        <v>65904867</v>
      </c>
      <c r="E8055" s="560"/>
      <c r="F8055" s="560"/>
      <c r="G8055" s="560">
        <f t="shared" si="165"/>
        <v>65904867</v>
      </c>
      <c r="H8055" s="362"/>
      <c r="I8055" s="362"/>
      <c r="J8055" s="362"/>
    </row>
    <row r="8056" spans="1:10" x14ac:dyDescent="0.25">
      <c r="A8056" s="362"/>
      <c r="B8056" s="609">
        <v>44637</v>
      </c>
      <c r="C8056" s="370" t="s">
        <v>85</v>
      </c>
      <c r="D8056" s="560">
        <v>28883100</v>
      </c>
      <c r="E8056" s="560"/>
      <c r="F8056" s="560"/>
      <c r="G8056" s="560">
        <f t="shared" si="165"/>
        <v>28883100</v>
      </c>
      <c r="H8056" s="362"/>
      <c r="I8056" s="362"/>
      <c r="J8056" s="362"/>
    </row>
    <row r="8057" spans="1:10" x14ac:dyDescent="0.25">
      <c r="A8057" s="530"/>
      <c r="B8057" s="530"/>
      <c r="C8057" s="530"/>
      <c r="D8057" s="562">
        <f>SUM(D8042:D8056)</f>
        <v>3255613869</v>
      </c>
      <c r="E8057" s="562">
        <f>SUM(E8042:E8056)</f>
        <v>0</v>
      </c>
      <c r="F8057" s="562">
        <f>SUM(F8042:F8056)</f>
        <v>0</v>
      </c>
      <c r="G8057" s="562">
        <f>SUM(G8042:G8056)</f>
        <v>3255613869</v>
      </c>
      <c r="H8057" s="530"/>
      <c r="I8057" s="530"/>
      <c r="J8057" s="530"/>
    </row>
    <row r="8058" spans="1:10" x14ac:dyDescent="0.25">
      <c r="A8058" s="362"/>
      <c r="B8058" s="609">
        <v>44638</v>
      </c>
      <c r="C8058" s="362" t="s">
        <v>86</v>
      </c>
      <c r="D8058" s="560">
        <v>104649850</v>
      </c>
      <c r="E8058" s="560"/>
      <c r="F8058" s="560"/>
      <c r="G8058" s="560">
        <f t="shared" si="165"/>
        <v>104649850</v>
      </c>
      <c r="H8058" s="362"/>
      <c r="I8058" s="362"/>
      <c r="J8058" s="362"/>
    </row>
    <row r="8059" spans="1:10" x14ac:dyDescent="0.25">
      <c r="A8059" s="362"/>
      <c r="B8059" s="609">
        <v>44638</v>
      </c>
      <c r="C8059" s="362" t="s">
        <v>87</v>
      </c>
      <c r="D8059" s="560">
        <v>194155170</v>
      </c>
      <c r="E8059" s="560"/>
      <c r="F8059" s="560"/>
      <c r="G8059" s="560">
        <f t="shared" si="165"/>
        <v>194155170</v>
      </c>
      <c r="H8059" s="362"/>
      <c r="I8059" s="362"/>
      <c r="J8059" s="362"/>
    </row>
    <row r="8060" spans="1:10" x14ac:dyDescent="0.25">
      <c r="A8060" s="362"/>
      <c r="B8060" s="609">
        <v>44638</v>
      </c>
      <c r="C8060" s="362" t="s">
        <v>88</v>
      </c>
      <c r="D8060" s="560">
        <v>99140635</v>
      </c>
      <c r="E8060" s="560"/>
      <c r="F8060" s="560"/>
      <c r="G8060" s="560">
        <f t="shared" si="165"/>
        <v>99140635</v>
      </c>
      <c r="H8060" s="362"/>
      <c r="I8060" s="362"/>
      <c r="J8060" s="362"/>
    </row>
    <row r="8061" spans="1:10" x14ac:dyDescent="0.25">
      <c r="A8061" s="362"/>
      <c r="B8061" s="609">
        <v>44638</v>
      </c>
      <c r="C8061" s="362" t="s">
        <v>82</v>
      </c>
      <c r="D8061" s="560">
        <v>86050176</v>
      </c>
      <c r="E8061" s="560"/>
      <c r="F8061" s="560"/>
      <c r="G8061" s="560">
        <f t="shared" si="165"/>
        <v>86050176</v>
      </c>
      <c r="H8061" s="362"/>
      <c r="I8061" s="362"/>
      <c r="J8061" s="362"/>
    </row>
    <row r="8062" spans="1:10" x14ac:dyDescent="0.25">
      <c r="A8062" s="362"/>
      <c r="B8062" s="609">
        <v>44638</v>
      </c>
      <c r="C8062" s="362" t="s">
        <v>80</v>
      </c>
      <c r="D8062" s="560">
        <v>297820199</v>
      </c>
      <c r="E8062" s="560"/>
      <c r="F8062" s="560"/>
      <c r="G8062" s="560">
        <f t="shared" si="165"/>
        <v>297820199</v>
      </c>
      <c r="H8062" s="362"/>
      <c r="I8062" s="362"/>
      <c r="J8062" s="362"/>
    </row>
    <row r="8063" spans="1:10" x14ac:dyDescent="0.25">
      <c r="A8063" s="362"/>
      <c r="B8063" s="609">
        <v>44638</v>
      </c>
      <c r="C8063" s="362" t="s">
        <v>83</v>
      </c>
      <c r="D8063" s="560">
        <v>126710500</v>
      </c>
      <c r="E8063" s="560"/>
      <c r="F8063" s="560"/>
      <c r="G8063" s="560">
        <f t="shared" si="165"/>
        <v>126710500</v>
      </c>
      <c r="H8063" s="362"/>
      <c r="I8063" s="362"/>
      <c r="J8063" s="362"/>
    </row>
    <row r="8064" spans="1:10" x14ac:dyDescent="0.25">
      <c r="A8064" s="362"/>
      <c r="B8064" s="609">
        <v>44638</v>
      </c>
      <c r="C8064" s="362" t="s">
        <v>78</v>
      </c>
      <c r="D8064" s="560">
        <v>194116014</v>
      </c>
      <c r="E8064" s="560"/>
      <c r="F8064" s="560"/>
      <c r="G8064" s="560">
        <f t="shared" si="165"/>
        <v>194116014</v>
      </c>
      <c r="H8064" s="362"/>
      <c r="I8064" s="362"/>
      <c r="J8064" s="362"/>
    </row>
    <row r="8065" spans="1:10" x14ac:dyDescent="0.25">
      <c r="A8065" s="362"/>
      <c r="B8065" s="609">
        <v>44638</v>
      </c>
      <c r="C8065" s="362" t="s">
        <v>141</v>
      </c>
      <c r="D8065" s="560">
        <v>102876859</v>
      </c>
      <c r="E8065" s="560"/>
      <c r="F8065" s="560"/>
      <c r="G8065" s="560">
        <f t="shared" si="165"/>
        <v>102876859</v>
      </c>
      <c r="H8065" s="362"/>
      <c r="I8065" s="362"/>
      <c r="J8065" s="362"/>
    </row>
    <row r="8066" spans="1:10" x14ac:dyDescent="0.25">
      <c r="A8066" s="362"/>
      <c r="B8066" s="609">
        <v>44638</v>
      </c>
      <c r="C8066" s="362" t="s">
        <v>89</v>
      </c>
      <c r="D8066" s="560">
        <v>230097600</v>
      </c>
      <c r="E8066" s="560"/>
      <c r="F8066" s="560"/>
      <c r="G8066" s="560">
        <f t="shared" si="165"/>
        <v>230097600</v>
      </c>
      <c r="H8066" s="362"/>
      <c r="I8066" s="362"/>
      <c r="J8066" s="362"/>
    </row>
    <row r="8067" spans="1:10" x14ac:dyDescent="0.25">
      <c r="A8067" s="362"/>
      <c r="B8067" s="609">
        <v>44638</v>
      </c>
      <c r="C8067" s="362" t="s">
        <v>81</v>
      </c>
      <c r="D8067" s="560">
        <v>197360056</v>
      </c>
      <c r="E8067" s="560"/>
      <c r="F8067" s="560"/>
      <c r="G8067" s="560">
        <f t="shared" si="165"/>
        <v>197360056</v>
      </c>
      <c r="H8067" s="362"/>
      <c r="I8067" s="362"/>
      <c r="J8067" s="362"/>
    </row>
    <row r="8068" spans="1:10" x14ac:dyDescent="0.25">
      <c r="A8068" s="362"/>
      <c r="B8068" s="609">
        <v>44638</v>
      </c>
      <c r="C8068" s="362" t="s">
        <v>84</v>
      </c>
      <c r="D8068" s="560">
        <v>220676089</v>
      </c>
      <c r="E8068" s="560"/>
      <c r="F8068" s="560"/>
      <c r="G8068" s="560">
        <f t="shared" si="165"/>
        <v>220676089</v>
      </c>
      <c r="H8068" s="362"/>
      <c r="I8068" s="362"/>
      <c r="J8068" s="362"/>
    </row>
    <row r="8069" spans="1:10" x14ac:dyDescent="0.25">
      <c r="A8069" s="362"/>
      <c r="B8069" s="609">
        <v>44638</v>
      </c>
      <c r="C8069" s="362" t="s">
        <v>4751</v>
      </c>
      <c r="D8069" s="560">
        <v>213864000</v>
      </c>
      <c r="E8069" s="560"/>
      <c r="F8069" s="560"/>
      <c r="G8069" s="560">
        <f t="shared" si="165"/>
        <v>213864000</v>
      </c>
      <c r="H8069" s="362"/>
      <c r="I8069" s="362"/>
      <c r="J8069" s="362"/>
    </row>
    <row r="8070" spans="1:10" x14ac:dyDescent="0.25">
      <c r="A8070" s="362"/>
      <c r="B8070" s="609">
        <v>44638</v>
      </c>
      <c r="C8070" s="362" t="s">
        <v>166</v>
      </c>
      <c r="D8070" s="560">
        <v>46567215</v>
      </c>
      <c r="E8070" s="560"/>
      <c r="F8070" s="560"/>
      <c r="G8070" s="560">
        <f t="shared" si="165"/>
        <v>46567215</v>
      </c>
      <c r="H8070" s="362"/>
      <c r="I8070" s="362"/>
      <c r="J8070" s="362"/>
    </row>
    <row r="8071" spans="1:10" x14ac:dyDescent="0.25">
      <c r="A8071" s="362"/>
      <c r="B8071" s="609">
        <v>44638</v>
      </c>
      <c r="C8071" s="362" t="s">
        <v>3435</v>
      </c>
      <c r="D8071" s="560">
        <v>105758347</v>
      </c>
      <c r="E8071" s="560"/>
      <c r="F8071" s="560"/>
      <c r="G8071" s="560">
        <f t="shared" si="165"/>
        <v>105758347</v>
      </c>
      <c r="H8071" s="362"/>
      <c r="I8071" s="362"/>
      <c r="J8071" s="362"/>
    </row>
    <row r="8072" spans="1:10" x14ac:dyDescent="0.25">
      <c r="A8072" s="362"/>
      <c r="B8072" s="609">
        <v>44638</v>
      </c>
      <c r="C8072" s="370" t="s">
        <v>85</v>
      </c>
      <c r="D8072" s="560">
        <v>27157200</v>
      </c>
      <c r="E8072" s="560"/>
      <c r="F8072" s="560"/>
      <c r="G8072" s="560">
        <f t="shared" si="165"/>
        <v>27157200</v>
      </c>
      <c r="H8072" s="362"/>
      <c r="I8072" s="362"/>
      <c r="J8072" s="362"/>
    </row>
    <row r="8073" spans="1:10" x14ac:dyDescent="0.25">
      <c r="A8073" s="530"/>
      <c r="B8073" s="530"/>
      <c r="C8073" s="530"/>
      <c r="D8073" s="562">
        <f>SUM(D8058:D8072)</f>
        <v>2246999910</v>
      </c>
      <c r="E8073" s="562">
        <f>SUM(E8058:E8072)</f>
        <v>0</v>
      </c>
      <c r="F8073" s="562">
        <f>SUM(F8058:F8072)</f>
        <v>0</v>
      </c>
      <c r="G8073" s="562">
        <f>SUM(G8058:G8072)</f>
        <v>2246999910</v>
      </c>
      <c r="H8073" s="530"/>
      <c r="I8073" s="530"/>
      <c r="J8073" s="530"/>
    </row>
    <row r="8074" spans="1:10" x14ac:dyDescent="0.25">
      <c r="A8074" s="362"/>
      <c r="B8074" s="609">
        <v>44639</v>
      </c>
      <c r="C8074" s="362" t="s">
        <v>86</v>
      </c>
      <c r="D8074" s="560">
        <v>137016607</v>
      </c>
      <c r="E8074" s="560"/>
      <c r="F8074" s="560"/>
      <c r="G8074" s="560">
        <f t="shared" si="165"/>
        <v>137016607</v>
      </c>
      <c r="H8074" s="362"/>
      <c r="I8074" s="362"/>
      <c r="J8074" s="362"/>
    </row>
    <row r="8075" spans="1:10" x14ac:dyDescent="0.25">
      <c r="A8075" s="362"/>
      <c r="B8075" s="609">
        <v>44639</v>
      </c>
      <c r="C8075" s="362" t="s">
        <v>87</v>
      </c>
      <c r="D8075" s="560">
        <v>258543691</v>
      </c>
      <c r="E8075" s="560"/>
      <c r="F8075" s="560"/>
      <c r="G8075" s="560">
        <f t="shared" si="165"/>
        <v>258543691</v>
      </c>
      <c r="H8075" s="362"/>
      <c r="I8075" s="362"/>
      <c r="J8075" s="362"/>
    </row>
    <row r="8076" spans="1:10" x14ac:dyDescent="0.25">
      <c r="A8076" s="362"/>
      <c r="B8076" s="609">
        <v>44639</v>
      </c>
      <c r="C8076" s="362" t="s">
        <v>88</v>
      </c>
      <c r="D8076" s="560">
        <v>141561433</v>
      </c>
      <c r="E8076" s="560"/>
      <c r="F8076" s="560"/>
      <c r="G8076" s="560">
        <f t="shared" si="165"/>
        <v>141561433</v>
      </c>
      <c r="H8076" s="362"/>
      <c r="I8076" s="362"/>
      <c r="J8076" s="362"/>
    </row>
    <row r="8077" spans="1:10" x14ac:dyDescent="0.25">
      <c r="A8077" s="362"/>
      <c r="B8077" s="609">
        <v>44639</v>
      </c>
      <c r="C8077" s="362" t="s">
        <v>82</v>
      </c>
      <c r="D8077" s="560">
        <v>64763512</v>
      </c>
      <c r="E8077" s="560"/>
      <c r="F8077" s="560"/>
      <c r="G8077" s="560">
        <f t="shared" si="165"/>
        <v>64763512</v>
      </c>
      <c r="H8077" s="362"/>
      <c r="I8077" s="362"/>
      <c r="J8077" s="362"/>
    </row>
    <row r="8078" spans="1:10" x14ac:dyDescent="0.25">
      <c r="A8078" s="362"/>
      <c r="B8078" s="609">
        <v>44639</v>
      </c>
      <c r="C8078" s="362" t="s">
        <v>80</v>
      </c>
      <c r="D8078" s="560">
        <v>316777447</v>
      </c>
      <c r="E8078" s="560"/>
      <c r="F8078" s="560"/>
      <c r="G8078" s="560">
        <f t="shared" si="165"/>
        <v>316777447</v>
      </c>
      <c r="H8078" s="362"/>
      <c r="I8078" s="362"/>
      <c r="J8078" s="362"/>
    </row>
    <row r="8079" spans="1:10" x14ac:dyDescent="0.25">
      <c r="A8079" s="362"/>
      <c r="B8079" s="609">
        <v>44639</v>
      </c>
      <c r="C8079" s="362" t="s">
        <v>83</v>
      </c>
      <c r="D8079" s="560">
        <v>296620546</v>
      </c>
      <c r="E8079" s="560"/>
      <c r="F8079" s="560"/>
      <c r="G8079" s="560">
        <f t="shared" si="165"/>
        <v>296620546</v>
      </c>
      <c r="H8079" s="362"/>
      <c r="I8079" s="362"/>
      <c r="J8079" s="362"/>
    </row>
    <row r="8080" spans="1:10" x14ac:dyDescent="0.25">
      <c r="A8080" s="362"/>
      <c r="B8080" s="609">
        <v>44639</v>
      </c>
      <c r="C8080" s="362" t="s">
        <v>78</v>
      </c>
      <c r="D8080" s="560">
        <v>120030363</v>
      </c>
      <c r="E8080" s="560"/>
      <c r="F8080" s="560"/>
      <c r="G8080" s="560">
        <f t="shared" si="165"/>
        <v>120030363</v>
      </c>
      <c r="H8080" s="362"/>
      <c r="I8080" s="362"/>
      <c r="J8080" s="362"/>
    </row>
    <row r="8081" spans="1:10" x14ac:dyDescent="0.25">
      <c r="A8081" s="362"/>
      <c r="B8081" s="609">
        <v>44639</v>
      </c>
      <c r="C8081" s="362" t="s">
        <v>141</v>
      </c>
      <c r="D8081" s="560">
        <v>57178530</v>
      </c>
      <c r="E8081" s="560"/>
      <c r="F8081" s="560"/>
      <c r="G8081" s="560">
        <f t="shared" si="165"/>
        <v>57178530</v>
      </c>
      <c r="H8081" s="362"/>
      <c r="I8081" s="362"/>
      <c r="J8081" s="362"/>
    </row>
    <row r="8082" spans="1:10" x14ac:dyDescent="0.25">
      <c r="A8082" s="362"/>
      <c r="B8082" s="609">
        <v>44639</v>
      </c>
      <c r="C8082" s="362" t="s">
        <v>89</v>
      </c>
      <c r="D8082" s="560">
        <v>92431500</v>
      </c>
      <c r="E8082" s="560"/>
      <c r="F8082" s="560"/>
      <c r="G8082" s="560">
        <f t="shared" si="165"/>
        <v>92431500</v>
      </c>
      <c r="H8082" s="362"/>
      <c r="I8082" s="362"/>
      <c r="J8082" s="362"/>
    </row>
    <row r="8083" spans="1:10" x14ac:dyDescent="0.25">
      <c r="A8083" s="362"/>
      <c r="B8083" s="609">
        <v>44639</v>
      </c>
      <c r="C8083" s="362" t="s">
        <v>81</v>
      </c>
      <c r="D8083" s="560">
        <v>126238684</v>
      </c>
      <c r="E8083" s="560"/>
      <c r="F8083" s="560"/>
      <c r="G8083" s="560">
        <f t="shared" si="165"/>
        <v>126238684</v>
      </c>
      <c r="H8083" s="362"/>
      <c r="I8083" s="362"/>
      <c r="J8083" s="362"/>
    </row>
    <row r="8084" spans="1:10" x14ac:dyDescent="0.25">
      <c r="A8084" s="362"/>
      <c r="B8084" s="609">
        <v>44639</v>
      </c>
      <c r="C8084" s="362" t="s">
        <v>84</v>
      </c>
      <c r="D8084" s="560">
        <v>82956201</v>
      </c>
      <c r="E8084" s="560"/>
      <c r="F8084" s="560"/>
      <c r="G8084" s="560">
        <f t="shared" si="165"/>
        <v>82956201</v>
      </c>
      <c r="H8084" s="362"/>
      <c r="I8084" s="362"/>
      <c r="J8084" s="362"/>
    </row>
    <row r="8085" spans="1:10" x14ac:dyDescent="0.25">
      <c r="A8085" s="362"/>
      <c r="B8085" s="609">
        <v>44639</v>
      </c>
      <c r="C8085" s="362" t="s">
        <v>4751</v>
      </c>
      <c r="D8085" s="560">
        <v>105354100</v>
      </c>
      <c r="E8085" s="560"/>
      <c r="F8085" s="560"/>
      <c r="G8085" s="560">
        <f t="shared" si="165"/>
        <v>105354100</v>
      </c>
      <c r="H8085" s="362"/>
      <c r="I8085" s="362"/>
      <c r="J8085" s="362"/>
    </row>
    <row r="8086" spans="1:10" x14ac:dyDescent="0.25">
      <c r="A8086" s="362"/>
      <c r="B8086" s="609">
        <v>44639</v>
      </c>
      <c r="C8086" s="362" t="s">
        <v>166</v>
      </c>
      <c r="D8086" s="560"/>
      <c r="E8086" s="560"/>
      <c r="F8086" s="560"/>
      <c r="G8086" s="560">
        <f t="shared" si="165"/>
        <v>0</v>
      </c>
      <c r="H8086" s="362"/>
      <c r="I8086" s="362"/>
      <c r="J8086" s="362"/>
    </row>
    <row r="8087" spans="1:10" x14ac:dyDescent="0.25">
      <c r="A8087" s="362"/>
      <c r="B8087" s="609">
        <v>44639</v>
      </c>
      <c r="C8087" s="362" t="s">
        <v>3435</v>
      </c>
      <c r="D8087" s="560"/>
      <c r="E8087" s="560"/>
      <c r="F8087" s="560"/>
      <c r="G8087" s="560">
        <f t="shared" si="165"/>
        <v>0</v>
      </c>
      <c r="H8087" s="362"/>
      <c r="I8087" s="362"/>
      <c r="J8087" s="362"/>
    </row>
    <row r="8088" spans="1:10" x14ac:dyDescent="0.25">
      <c r="A8088" s="362"/>
      <c r="B8088" s="609">
        <v>44639</v>
      </c>
      <c r="C8088" s="370" t="s">
        <v>85</v>
      </c>
      <c r="D8088" s="560">
        <v>3173400</v>
      </c>
      <c r="E8088" s="560"/>
      <c r="F8088" s="560"/>
      <c r="G8088" s="560">
        <f t="shared" si="165"/>
        <v>3173400</v>
      </c>
      <c r="H8088" s="362"/>
      <c r="I8088" s="362"/>
      <c r="J8088" s="362"/>
    </row>
    <row r="8089" spans="1:10" x14ac:dyDescent="0.25">
      <c r="A8089" s="530"/>
      <c r="B8089" s="530"/>
      <c r="C8089" s="530"/>
      <c r="D8089" s="562">
        <f>SUM(D8074:D8088)</f>
        <v>1802646014</v>
      </c>
      <c r="E8089" s="562">
        <f>SUM(E8074:E8088)</f>
        <v>0</v>
      </c>
      <c r="F8089" s="562">
        <f>SUM(F8074:F8088)</f>
        <v>0</v>
      </c>
      <c r="G8089" s="562">
        <f>SUM(G8074:G8088)</f>
        <v>1802646014</v>
      </c>
      <c r="H8089" s="530"/>
      <c r="I8089" s="530"/>
      <c r="J8089" s="530"/>
    </row>
    <row r="8090" spans="1:10" x14ac:dyDescent="0.25">
      <c r="A8090" s="362"/>
      <c r="B8090" s="609">
        <v>44641</v>
      </c>
      <c r="C8090" s="362" t="s">
        <v>86</v>
      </c>
      <c r="D8090" s="560">
        <v>66951203</v>
      </c>
      <c r="E8090" s="560"/>
      <c r="F8090" s="560"/>
      <c r="G8090" s="560">
        <f t="shared" si="165"/>
        <v>66951203</v>
      </c>
      <c r="H8090" s="362"/>
      <c r="I8090" s="362"/>
      <c r="J8090" s="362"/>
    </row>
    <row r="8091" spans="1:10" x14ac:dyDescent="0.25">
      <c r="A8091" s="362"/>
      <c r="B8091" s="609">
        <v>44641</v>
      </c>
      <c r="C8091" s="362" t="s">
        <v>87</v>
      </c>
      <c r="D8091" s="560">
        <v>253813471</v>
      </c>
      <c r="E8091" s="560"/>
      <c r="F8091" s="560"/>
      <c r="G8091" s="560">
        <f t="shared" si="165"/>
        <v>253813471</v>
      </c>
      <c r="H8091" s="362"/>
      <c r="I8091" s="362"/>
      <c r="J8091" s="362"/>
    </row>
    <row r="8092" spans="1:10" x14ac:dyDescent="0.25">
      <c r="A8092" s="362"/>
      <c r="B8092" s="609">
        <v>44641</v>
      </c>
      <c r="C8092" s="362" t="s">
        <v>88</v>
      </c>
      <c r="D8092" s="560">
        <v>189055109</v>
      </c>
      <c r="E8092" s="560"/>
      <c r="F8092" s="560"/>
      <c r="G8092" s="560">
        <f t="shared" ref="G8092:G8155" si="166">D8092+E8092-F8092</f>
        <v>189055109</v>
      </c>
      <c r="H8092" s="362"/>
      <c r="I8092" s="362"/>
      <c r="J8092" s="362"/>
    </row>
    <row r="8093" spans="1:10" x14ac:dyDescent="0.25">
      <c r="A8093" s="362"/>
      <c r="B8093" s="609">
        <v>44641</v>
      </c>
      <c r="C8093" s="362" t="s">
        <v>82</v>
      </c>
      <c r="D8093" s="560">
        <v>61593541</v>
      </c>
      <c r="E8093" s="560"/>
      <c r="F8093" s="560"/>
      <c r="G8093" s="560">
        <f t="shared" si="166"/>
        <v>61593541</v>
      </c>
      <c r="H8093" s="362"/>
      <c r="I8093" s="362"/>
      <c r="J8093" s="362"/>
    </row>
    <row r="8094" spans="1:10" x14ac:dyDescent="0.25">
      <c r="A8094" s="362"/>
      <c r="B8094" s="609">
        <v>44641</v>
      </c>
      <c r="C8094" s="362" t="s">
        <v>80</v>
      </c>
      <c r="D8094" s="560">
        <v>1100988973</v>
      </c>
      <c r="E8094" s="560"/>
      <c r="F8094" s="560"/>
      <c r="G8094" s="560">
        <f t="shared" si="166"/>
        <v>1100988973</v>
      </c>
      <c r="H8094" s="362"/>
      <c r="I8094" s="362"/>
      <c r="J8094" s="362"/>
    </row>
    <row r="8095" spans="1:10" x14ac:dyDescent="0.25">
      <c r="A8095" s="362"/>
      <c r="B8095" s="609">
        <v>44641</v>
      </c>
      <c r="C8095" s="362" t="s">
        <v>83</v>
      </c>
      <c r="D8095" s="560">
        <v>410171260</v>
      </c>
      <c r="E8095" s="560"/>
      <c r="F8095" s="560"/>
      <c r="G8095" s="560">
        <f t="shared" si="166"/>
        <v>410171260</v>
      </c>
      <c r="H8095" s="362"/>
      <c r="I8095" s="362"/>
      <c r="J8095" s="362"/>
    </row>
    <row r="8096" spans="1:10" x14ac:dyDescent="0.25">
      <c r="A8096" s="362"/>
      <c r="B8096" s="609">
        <v>44641</v>
      </c>
      <c r="C8096" s="362" t="s">
        <v>78</v>
      </c>
      <c r="D8096" s="560">
        <v>95402840</v>
      </c>
      <c r="E8096" s="560"/>
      <c r="F8096" s="560"/>
      <c r="G8096" s="560">
        <f t="shared" si="166"/>
        <v>95402840</v>
      </c>
      <c r="H8096" s="362"/>
      <c r="I8096" s="362"/>
      <c r="J8096" s="362"/>
    </row>
    <row r="8097" spans="1:10" x14ac:dyDescent="0.25">
      <c r="A8097" s="362"/>
      <c r="B8097" s="609">
        <v>44641</v>
      </c>
      <c r="C8097" s="362" t="s">
        <v>141</v>
      </c>
      <c r="D8097" s="560">
        <v>61418809</v>
      </c>
      <c r="E8097" s="560"/>
      <c r="F8097" s="560"/>
      <c r="G8097" s="560">
        <f t="shared" si="166"/>
        <v>61418809</v>
      </c>
      <c r="H8097" s="362"/>
      <c r="I8097" s="362"/>
      <c r="J8097" s="362"/>
    </row>
    <row r="8098" spans="1:10" x14ac:dyDescent="0.25">
      <c r="A8098" s="362"/>
      <c r="B8098" s="609">
        <v>44641</v>
      </c>
      <c r="C8098" s="362" t="s">
        <v>89</v>
      </c>
      <c r="D8098" s="560">
        <v>140220800</v>
      </c>
      <c r="E8098" s="560"/>
      <c r="F8098" s="560"/>
      <c r="G8098" s="560">
        <f t="shared" si="166"/>
        <v>140220800</v>
      </c>
      <c r="H8098" s="362"/>
      <c r="I8098" s="362"/>
      <c r="J8098" s="362"/>
    </row>
    <row r="8099" spans="1:10" x14ac:dyDescent="0.25">
      <c r="A8099" s="362"/>
      <c r="B8099" s="609">
        <v>44641</v>
      </c>
      <c r="C8099" s="362" t="s">
        <v>81</v>
      </c>
      <c r="D8099" s="560">
        <v>166417558</v>
      </c>
      <c r="E8099" s="560"/>
      <c r="F8099" s="560"/>
      <c r="G8099" s="560">
        <f t="shared" si="166"/>
        <v>166417558</v>
      </c>
      <c r="H8099" s="362"/>
      <c r="I8099" s="362"/>
      <c r="J8099" s="362"/>
    </row>
    <row r="8100" spans="1:10" x14ac:dyDescent="0.25">
      <c r="A8100" s="362"/>
      <c r="B8100" s="609">
        <v>44641</v>
      </c>
      <c r="C8100" s="362" t="s">
        <v>84</v>
      </c>
      <c r="D8100" s="560">
        <v>385476888</v>
      </c>
      <c r="E8100" s="560"/>
      <c r="F8100" s="560"/>
      <c r="G8100" s="560">
        <f t="shared" si="166"/>
        <v>385476888</v>
      </c>
      <c r="H8100" s="362"/>
      <c r="I8100" s="362"/>
      <c r="J8100" s="362"/>
    </row>
    <row r="8101" spans="1:10" x14ac:dyDescent="0.25">
      <c r="A8101" s="362"/>
      <c r="B8101" s="609">
        <v>44641</v>
      </c>
      <c r="C8101" s="362" t="s">
        <v>4751</v>
      </c>
      <c r="D8101" s="560">
        <v>204254000</v>
      </c>
      <c r="E8101" s="560"/>
      <c r="F8101" s="560"/>
      <c r="G8101" s="560">
        <f t="shared" si="166"/>
        <v>204254000</v>
      </c>
      <c r="H8101" s="362"/>
      <c r="I8101" s="362"/>
      <c r="J8101" s="362"/>
    </row>
    <row r="8102" spans="1:10" x14ac:dyDescent="0.25">
      <c r="A8102" s="362"/>
      <c r="B8102" s="609">
        <v>44641</v>
      </c>
      <c r="C8102" s="362" t="s">
        <v>166</v>
      </c>
      <c r="D8102" s="560">
        <v>68561148</v>
      </c>
      <c r="E8102" s="560"/>
      <c r="F8102" s="560"/>
      <c r="G8102" s="560">
        <f t="shared" si="166"/>
        <v>68561148</v>
      </c>
      <c r="H8102" s="362"/>
      <c r="I8102" s="362"/>
      <c r="J8102" s="362"/>
    </row>
    <row r="8103" spans="1:10" x14ac:dyDescent="0.25">
      <c r="A8103" s="362"/>
      <c r="B8103" s="609">
        <v>44641</v>
      </c>
      <c r="C8103" s="362" t="s">
        <v>3435</v>
      </c>
      <c r="D8103" s="560">
        <v>28211429</v>
      </c>
      <c r="E8103" s="560"/>
      <c r="F8103" s="560"/>
      <c r="G8103" s="560">
        <f t="shared" si="166"/>
        <v>28211429</v>
      </c>
      <c r="H8103" s="362"/>
      <c r="I8103" s="362"/>
      <c r="J8103" s="362"/>
    </row>
    <row r="8104" spans="1:10" x14ac:dyDescent="0.25">
      <c r="A8104" s="362"/>
      <c r="B8104" s="609">
        <v>44641</v>
      </c>
      <c r="C8104" s="370" t="s">
        <v>85</v>
      </c>
      <c r="D8104" s="560">
        <v>56019600</v>
      </c>
      <c r="E8104" s="560"/>
      <c r="F8104" s="560"/>
      <c r="G8104" s="560">
        <f t="shared" si="166"/>
        <v>56019600</v>
      </c>
      <c r="H8104" s="362"/>
      <c r="I8104" s="362"/>
      <c r="J8104" s="362"/>
    </row>
    <row r="8105" spans="1:10" x14ac:dyDescent="0.25">
      <c r="A8105" s="530"/>
      <c r="B8105" s="530"/>
      <c r="C8105" s="530"/>
      <c r="D8105" s="562">
        <f>SUM(D8090:D8104)</f>
        <v>3288556629</v>
      </c>
      <c r="E8105" s="562">
        <f>SUM(E8090:E8104)</f>
        <v>0</v>
      </c>
      <c r="F8105" s="562">
        <f>SUM(F8090:F8104)</f>
        <v>0</v>
      </c>
      <c r="G8105" s="562">
        <f>SUM(G8090:G8104)</f>
        <v>3288556629</v>
      </c>
      <c r="H8105" s="530"/>
      <c r="I8105" s="530"/>
      <c r="J8105" s="530"/>
    </row>
    <row r="8106" spans="1:10" x14ac:dyDescent="0.25">
      <c r="A8106" s="362"/>
      <c r="B8106" s="609">
        <v>44642</v>
      </c>
      <c r="C8106" s="362" t="s">
        <v>86</v>
      </c>
      <c r="D8106" s="560">
        <v>256876544</v>
      </c>
      <c r="E8106" s="560"/>
      <c r="F8106" s="560">
        <v>256876500</v>
      </c>
      <c r="G8106" s="560">
        <f t="shared" si="166"/>
        <v>44</v>
      </c>
      <c r="H8106" s="362"/>
      <c r="I8106" s="362"/>
      <c r="J8106" s="362"/>
    </row>
    <row r="8107" spans="1:10" x14ac:dyDescent="0.25">
      <c r="A8107" s="362"/>
      <c r="B8107" s="609">
        <v>44642</v>
      </c>
      <c r="C8107" s="362" t="s">
        <v>87</v>
      </c>
      <c r="D8107" s="560">
        <v>174766933</v>
      </c>
      <c r="E8107" s="560"/>
      <c r="F8107" s="560">
        <v>174767000</v>
      </c>
      <c r="G8107" s="560">
        <f t="shared" si="166"/>
        <v>-67</v>
      </c>
      <c r="H8107" s="362"/>
      <c r="I8107" s="362"/>
      <c r="J8107" s="362"/>
    </row>
    <row r="8108" spans="1:10" x14ac:dyDescent="0.25">
      <c r="A8108" s="362"/>
      <c r="B8108" s="609">
        <v>44642</v>
      </c>
      <c r="C8108" s="362" t="s">
        <v>88</v>
      </c>
      <c r="D8108" s="560">
        <v>225535225</v>
      </c>
      <c r="E8108" s="560"/>
      <c r="F8108" s="560">
        <v>225535300</v>
      </c>
      <c r="G8108" s="560">
        <f t="shared" si="166"/>
        <v>-75</v>
      </c>
      <c r="H8108" s="362"/>
      <c r="I8108" s="362"/>
      <c r="J8108" s="362"/>
    </row>
    <row r="8109" spans="1:10" x14ac:dyDescent="0.25">
      <c r="A8109" s="362"/>
      <c r="B8109" s="609">
        <v>44642</v>
      </c>
      <c r="C8109" s="362" t="s">
        <v>82</v>
      </c>
      <c r="D8109" s="560">
        <v>75874773</v>
      </c>
      <c r="E8109" s="560"/>
      <c r="F8109" s="560">
        <v>75874800</v>
      </c>
      <c r="G8109" s="560">
        <f t="shared" si="166"/>
        <v>-27</v>
      </c>
      <c r="H8109" s="362"/>
      <c r="I8109" s="362"/>
      <c r="J8109" s="362"/>
    </row>
    <row r="8110" spans="1:10" x14ac:dyDescent="0.25">
      <c r="A8110" s="362"/>
      <c r="B8110" s="609">
        <v>44642</v>
      </c>
      <c r="C8110" s="362" t="s">
        <v>80</v>
      </c>
      <c r="D8110" s="560">
        <v>477413500</v>
      </c>
      <c r="E8110" s="560"/>
      <c r="F8110" s="560">
        <v>477413500</v>
      </c>
      <c r="G8110" s="560">
        <f t="shared" si="166"/>
        <v>0</v>
      </c>
      <c r="H8110" s="362"/>
      <c r="I8110" s="362"/>
      <c r="J8110" s="362"/>
    </row>
    <row r="8111" spans="1:10" x14ac:dyDescent="0.25">
      <c r="A8111" s="362"/>
      <c r="B8111" s="609">
        <v>44642</v>
      </c>
      <c r="C8111" s="362" t="s">
        <v>83</v>
      </c>
      <c r="D8111" s="560">
        <v>224265500</v>
      </c>
      <c r="E8111" s="560"/>
      <c r="F8111" s="560">
        <v>224265500</v>
      </c>
      <c r="G8111" s="560">
        <f t="shared" si="166"/>
        <v>0</v>
      </c>
      <c r="H8111" s="362"/>
      <c r="I8111" s="362"/>
      <c r="J8111" s="362"/>
    </row>
    <row r="8112" spans="1:10" x14ac:dyDescent="0.25">
      <c r="A8112" s="362"/>
      <c r="B8112" s="609">
        <v>44642</v>
      </c>
      <c r="C8112" s="362" t="s">
        <v>78</v>
      </c>
      <c r="D8112" s="560">
        <v>194446500</v>
      </c>
      <c r="E8112" s="560"/>
      <c r="F8112" s="560">
        <v>194446500</v>
      </c>
      <c r="G8112" s="560">
        <f t="shared" si="166"/>
        <v>0</v>
      </c>
      <c r="H8112" s="362"/>
      <c r="I8112" s="362"/>
      <c r="J8112" s="362"/>
    </row>
    <row r="8113" spans="1:10" x14ac:dyDescent="0.25">
      <c r="A8113" s="362"/>
      <c r="B8113" s="609">
        <v>44642</v>
      </c>
      <c r="C8113" s="362" t="s">
        <v>141</v>
      </c>
      <c r="D8113" s="560">
        <v>126038190</v>
      </c>
      <c r="E8113" s="560"/>
      <c r="F8113" s="560">
        <v>126038200</v>
      </c>
      <c r="G8113" s="560">
        <f t="shared" si="166"/>
        <v>-10</v>
      </c>
      <c r="H8113" s="362"/>
      <c r="I8113" s="362"/>
      <c r="J8113" s="362"/>
    </row>
    <row r="8114" spans="1:10" x14ac:dyDescent="0.25">
      <c r="A8114" s="362"/>
      <c r="B8114" s="609">
        <v>44642</v>
      </c>
      <c r="C8114" s="362" t="s">
        <v>89</v>
      </c>
      <c r="D8114" s="560">
        <v>199435300</v>
      </c>
      <c r="E8114" s="560"/>
      <c r="F8114" s="560">
        <v>199435200</v>
      </c>
      <c r="G8114" s="560">
        <f t="shared" si="166"/>
        <v>100</v>
      </c>
      <c r="H8114" s="362"/>
      <c r="I8114" s="362"/>
      <c r="J8114" s="362"/>
    </row>
    <row r="8115" spans="1:10" x14ac:dyDescent="0.25">
      <c r="A8115" s="362"/>
      <c r="B8115" s="609">
        <v>44642</v>
      </c>
      <c r="C8115" s="362" t="s">
        <v>81</v>
      </c>
      <c r="D8115" s="560">
        <v>232503800</v>
      </c>
      <c r="E8115" s="560"/>
      <c r="F8115" s="560">
        <v>232503800</v>
      </c>
      <c r="G8115" s="560">
        <f t="shared" si="166"/>
        <v>0</v>
      </c>
      <c r="H8115" s="362"/>
      <c r="I8115" s="362"/>
      <c r="J8115" s="362"/>
    </row>
    <row r="8116" spans="1:10" x14ac:dyDescent="0.25">
      <c r="A8116" s="362"/>
      <c r="B8116" s="609">
        <v>44642</v>
      </c>
      <c r="C8116" s="362" t="s">
        <v>84</v>
      </c>
      <c r="D8116" s="560">
        <v>354689767</v>
      </c>
      <c r="E8116" s="560"/>
      <c r="F8116" s="560">
        <v>354688900</v>
      </c>
      <c r="G8116" s="560">
        <f t="shared" si="166"/>
        <v>867</v>
      </c>
      <c r="H8116" s="362"/>
      <c r="I8116" s="362"/>
      <c r="J8116" s="362"/>
    </row>
    <row r="8117" spans="1:10" x14ac:dyDescent="0.25">
      <c r="A8117" s="362"/>
      <c r="B8117" s="609">
        <v>44642</v>
      </c>
      <c r="C8117" s="362" t="s">
        <v>4751</v>
      </c>
      <c r="D8117" s="560">
        <v>255431400</v>
      </c>
      <c r="E8117" s="560"/>
      <c r="F8117" s="560">
        <v>255431400</v>
      </c>
      <c r="G8117" s="560">
        <f t="shared" si="166"/>
        <v>0</v>
      </c>
      <c r="H8117" s="362"/>
      <c r="I8117" s="362"/>
      <c r="J8117" s="362"/>
    </row>
    <row r="8118" spans="1:10" x14ac:dyDescent="0.25">
      <c r="A8118" s="362"/>
      <c r="B8118" s="609">
        <v>44642</v>
      </c>
      <c r="C8118" s="362" t="s">
        <v>166</v>
      </c>
      <c r="D8118" s="560">
        <v>81873016</v>
      </c>
      <c r="E8118" s="560"/>
      <c r="F8118" s="560">
        <v>81873000</v>
      </c>
      <c r="G8118" s="560">
        <f t="shared" si="166"/>
        <v>16</v>
      </c>
      <c r="H8118" s="362"/>
      <c r="I8118" s="362"/>
      <c r="J8118" s="362"/>
    </row>
    <row r="8119" spans="1:10" x14ac:dyDescent="0.25">
      <c r="A8119" s="362"/>
      <c r="B8119" s="609">
        <v>44642</v>
      </c>
      <c r="C8119" s="362" t="s">
        <v>3435</v>
      </c>
      <c r="D8119" s="560">
        <v>17159250</v>
      </c>
      <c r="E8119" s="560"/>
      <c r="F8119" s="560">
        <v>17159300</v>
      </c>
      <c r="G8119" s="560">
        <f t="shared" si="166"/>
        <v>-50</v>
      </c>
      <c r="H8119" s="362"/>
      <c r="I8119" s="362"/>
      <c r="J8119" s="362"/>
    </row>
    <row r="8120" spans="1:10" x14ac:dyDescent="0.25">
      <c r="A8120" s="362"/>
      <c r="B8120" s="609">
        <v>44642</v>
      </c>
      <c r="C8120" s="370" t="s">
        <v>85</v>
      </c>
      <c r="D8120" s="560">
        <v>44879300</v>
      </c>
      <c r="E8120" s="560"/>
      <c r="F8120" s="560">
        <v>44879300</v>
      </c>
      <c r="G8120" s="560">
        <f t="shared" si="166"/>
        <v>0</v>
      </c>
      <c r="H8120" s="362"/>
      <c r="I8120" s="362"/>
      <c r="J8120" s="362"/>
    </row>
    <row r="8121" spans="1:10" x14ac:dyDescent="0.25">
      <c r="A8121" s="530"/>
      <c r="B8121" s="530"/>
      <c r="C8121" s="530"/>
      <c r="D8121" s="562">
        <f>SUM(D8106:D8120)</f>
        <v>2941188998</v>
      </c>
      <c r="E8121" s="562">
        <f>SUM(E8106:E8120)</f>
        <v>0</v>
      </c>
      <c r="F8121" s="562">
        <f>SUM(F8106:F8120)</f>
        <v>2941188200</v>
      </c>
      <c r="G8121" s="562">
        <f>SUM(G8106:G8120)</f>
        <v>798</v>
      </c>
      <c r="H8121" s="530"/>
      <c r="I8121" s="530"/>
      <c r="J8121" s="530"/>
    </row>
    <row r="8122" spans="1:10" x14ac:dyDescent="0.25">
      <c r="A8122" s="362"/>
      <c r="B8122" s="609">
        <v>44643</v>
      </c>
      <c r="C8122" s="362" t="s">
        <v>86</v>
      </c>
      <c r="D8122" s="560">
        <v>147549564</v>
      </c>
      <c r="E8122" s="560"/>
      <c r="F8122" s="560"/>
      <c r="G8122" s="560">
        <f t="shared" si="166"/>
        <v>147549564</v>
      </c>
      <c r="H8122" s="362"/>
      <c r="I8122" s="362"/>
      <c r="J8122" s="362"/>
    </row>
    <row r="8123" spans="1:10" x14ac:dyDescent="0.25">
      <c r="A8123" s="362"/>
      <c r="B8123" s="609">
        <v>44643</v>
      </c>
      <c r="C8123" s="362" t="s">
        <v>87</v>
      </c>
      <c r="D8123" s="560">
        <v>142639897</v>
      </c>
      <c r="E8123" s="560"/>
      <c r="F8123" s="560"/>
      <c r="G8123" s="560">
        <f t="shared" si="166"/>
        <v>142639897</v>
      </c>
      <c r="H8123" s="362"/>
      <c r="I8123" s="362"/>
      <c r="J8123" s="362"/>
    </row>
    <row r="8124" spans="1:10" x14ac:dyDescent="0.25">
      <c r="A8124" s="362"/>
      <c r="B8124" s="609">
        <v>44643</v>
      </c>
      <c r="C8124" s="362" t="s">
        <v>88</v>
      </c>
      <c r="D8124" s="560">
        <v>240190190</v>
      </c>
      <c r="E8124" s="560"/>
      <c r="F8124" s="560"/>
      <c r="G8124" s="560">
        <f t="shared" si="166"/>
        <v>240190190</v>
      </c>
      <c r="H8124" s="362"/>
      <c r="I8124" s="362"/>
      <c r="J8124" s="362"/>
    </row>
    <row r="8125" spans="1:10" x14ac:dyDescent="0.25">
      <c r="A8125" s="362"/>
      <c r="B8125" s="609">
        <v>44643</v>
      </c>
      <c r="C8125" s="362" t="s">
        <v>82</v>
      </c>
      <c r="D8125" s="560">
        <v>137760881</v>
      </c>
      <c r="E8125" s="560"/>
      <c r="F8125" s="560"/>
      <c r="G8125" s="560">
        <f t="shared" si="166"/>
        <v>137760881</v>
      </c>
      <c r="H8125" s="362"/>
      <c r="I8125" s="362"/>
      <c r="J8125" s="362"/>
    </row>
    <row r="8126" spans="1:10" x14ac:dyDescent="0.25">
      <c r="A8126" s="362"/>
      <c r="B8126" s="609">
        <v>44643</v>
      </c>
      <c r="C8126" s="362" t="s">
        <v>80</v>
      </c>
      <c r="D8126" s="560">
        <v>334433879</v>
      </c>
      <c r="E8126" s="560"/>
      <c r="F8126" s="560"/>
      <c r="G8126" s="560">
        <f t="shared" si="166"/>
        <v>334433879</v>
      </c>
      <c r="H8126" s="362"/>
      <c r="I8126" s="362"/>
      <c r="J8126" s="362"/>
    </row>
    <row r="8127" spans="1:10" x14ac:dyDescent="0.25">
      <c r="A8127" s="362"/>
      <c r="B8127" s="609">
        <v>44643</v>
      </c>
      <c r="C8127" s="362" t="s">
        <v>83</v>
      </c>
      <c r="D8127" s="560">
        <v>213355093</v>
      </c>
      <c r="E8127" s="560"/>
      <c r="F8127" s="560"/>
      <c r="G8127" s="560">
        <f t="shared" si="166"/>
        <v>213355093</v>
      </c>
      <c r="H8127" s="362"/>
      <c r="I8127" s="362"/>
      <c r="J8127" s="362"/>
    </row>
    <row r="8128" spans="1:10" x14ac:dyDescent="0.25">
      <c r="A8128" s="362"/>
      <c r="B8128" s="609">
        <v>44643</v>
      </c>
      <c r="C8128" s="362" t="s">
        <v>78</v>
      </c>
      <c r="D8128" s="560">
        <v>219760721</v>
      </c>
      <c r="E8128" s="560"/>
      <c r="F8128" s="560"/>
      <c r="G8128" s="560">
        <f t="shared" si="166"/>
        <v>219760721</v>
      </c>
      <c r="H8128" s="362"/>
      <c r="I8128" s="362"/>
      <c r="J8128" s="362"/>
    </row>
    <row r="8129" spans="1:10" x14ac:dyDescent="0.25">
      <c r="A8129" s="362"/>
      <c r="B8129" s="609">
        <v>44643</v>
      </c>
      <c r="C8129" s="362" t="s">
        <v>141</v>
      </c>
      <c r="D8129" s="560">
        <v>92221810</v>
      </c>
      <c r="E8129" s="560"/>
      <c r="F8129" s="560"/>
      <c r="G8129" s="560">
        <f t="shared" si="166"/>
        <v>92221810</v>
      </c>
      <c r="H8129" s="362"/>
      <c r="I8129" s="362"/>
      <c r="J8129" s="362"/>
    </row>
    <row r="8130" spans="1:10" x14ac:dyDescent="0.25">
      <c r="A8130" s="362"/>
      <c r="B8130" s="609">
        <v>44643</v>
      </c>
      <c r="C8130" s="362" t="s">
        <v>89</v>
      </c>
      <c r="D8130" s="560">
        <v>217855800</v>
      </c>
      <c r="E8130" s="560"/>
      <c r="F8130" s="560"/>
      <c r="G8130" s="560">
        <f t="shared" si="166"/>
        <v>217855800</v>
      </c>
      <c r="H8130" s="362"/>
      <c r="I8130" s="362"/>
      <c r="J8130" s="362"/>
    </row>
    <row r="8131" spans="1:10" x14ac:dyDescent="0.25">
      <c r="A8131" s="362"/>
      <c r="B8131" s="609">
        <v>44643</v>
      </c>
      <c r="C8131" s="362" t="s">
        <v>81</v>
      </c>
      <c r="D8131" s="560">
        <v>277498146</v>
      </c>
      <c r="E8131" s="560"/>
      <c r="F8131" s="560"/>
      <c r="G8131" s="560">
        <f t="shared" si="166"/>
        <v>277498146</v>
      </c>
      <c r="H8131" s="362"/>
      <c r="I8131" s="362"/>
      <c r="J8131" s="362"/>
    </row>
    <row r="8132" spans="1:10" x14ac:dyDescent="0.25">
      <c r="A8132" s="362"/>
      <c r="B8132" s="609">
        <v>44643</v>
      </c>
      <c r="C8132" s="362" t="s">
        <v>84</v>
      </c>
      <c r="D8132" s="560">
        <v>521025143</v>
      </c>
      <c r="E8132" s="560"/>
      <c r="F8132" s="560"/>
      <c r="G8132" s="560">
        <f t="shared" si="166"/>
        <v>521025143</v>
      </c>
      <c r="H8132" s="362"/>
      <c r="I8132" s="362"/>
      <c r="J8132" s="362"/>
    </row>
    <row r="8133" spans="1:10" x14ac:dyDescent="0.25">
      <c r="A8133" s="362"/>
      <c r="B8133" s="609">
        <v>44643</v>
      </c>
      <c r="C8133" s="362" t="s">
        <v>4751</v>
      </c>
      <c r="D8133" s="560">
        <v>289700200</v>
      </c>
      <c r="E8133" s="560"/>
      <c r="F8133" s="560"/>
      <c r="G8133" s="560">
        <f t="shared" si="166"/>
        <v>289700200</v>
      </c>
      <c r="H8133" s="362"/>
      <c r="I8133" s="362"/>
      <c r="J8133" s="362"/>
    </row>
    <row r="8134" spans="1:10" x14ac:dyDescent="0.25">
      <c r="A8134" s="362"/>
      <c r="B8134" s="609">
        <v>44643</v>
      </c>
      <c r="C8134" s="362" t="s">
        <v>166</v>
      </c>
      <c r="D8134" s="560">
        <v>31047551</v>
      </c>
      <c r="E8134" s="560"/>
      <c r="F8134" s="560"/>
      <c r="G8134" s="560">
        <f t="shared" si="166"/>
        <v>31047551</v>
      </c>
      <c r="H8134" s="362"/>
      <c r="I8134" s="362"/>
      <c r="J8134" s="362"/>
    </row>
    <row r="8135" spans="1:10" x14ac:dyDescent="0.25">
      <c r="A8135" s="362"/>
      <c r="B8135" s="609">
        <v>44643</v>
      </c>
      <c r="C8135" s="362" t="s">
        <v>3435</v>
      </c>
      <c r="D8135" s="560">
        <v>52253571</v>
      </c>
      <c r="E8135" s="560"/>
      <c r="F8135" s="560"/>
      <c r="G8135" s="560">
        <f t="shared" si="166"/>
        <v>52253571</v>
      </c>
      <c r="H8135" s="362"/>
      <c r="I8135" s="362"/>
      <c r="J8135" s="362"/>
    </row>
    <row r="8136" spans="1:10" x14ac:dyDescent="0.25">
      <c r="A8136" s="362"/>
      <c r="B8136" s="609">
        <v>44643</v>
      </c>
      <c r="C8136" s="370" t="s">
        <v>85</v>
      </c>
      <c r="D8136" s="560">
        <v>52470800</v>
      </c>
      <c r="E8136" s="560"/>
      <c r="F8136" s="560"/>
      <c r="G8136" s="560">
        <f t="shared" si="166"/>
        <v>52470800</v>
      </c>
      <c r="H8136" s="362"/>
      <c r="I8136" s="362"/>
      <c r="J8136" s="362"/>
    </row>
    <row r="8137" spans="1:10" x14ac:dyDescent="0.25">
      <c r="A8137" s="530"/>
      <c r="B8137" s="530"/>
      <c r="C8137" s="530"/>
      <c r="D8137" s="562">
        <f>SUM(D8122:D8136)</f>
        <v>2969763246</v>
      </c>
      <c r="E8137" s="562">
        <f>SUM(E8122:E8136)</f>
        <v>0</v>
      </c>
      <c r="F8137" s="562">
        <f>SUM(F8122:F8136)</f>
        <v>0</v>
      </c>
      <c r="G8137" s="562">
        <f>SUM(G8122:G8136)</f>
        <v>2969763246</v>
      </c>
      <c r="H8137" s="530"/>
      <c r="I8137" s="530"/>
      <c r="J8137" s="530"/>
    </row>
    <row r="8138" spans="1:10" x14ac:dyDescent="0.25">
      <c r="A8138" s="362"/>
      <c r="B8138" s="609">
        <v>44644</v>
      </c>
      <c r="C8138" s="362" t="s">
        <v>86</v>
      </c>
      <c r="D8138" s="560">
        <v>147431266</v>
      </c>
      <c r="E8138" s="560"/>
      <c r="F8138" s="560">
        <v>147431500</v>
      </c>
      <c r="G8138" s="560">
        <f t="shared" si="166"/>
        <v>-234</v>
      </c>
      <c r="H8138" s="362"/>
      <c r="I8138" s="362"/>
      <c r="J8138" s="362"/>
    </row>
    <row r="8139" spans="1:10" x14ac:dyDescent="0.25">
      <c r="A8139" s="362"/>
      <c r="B8139" s="609">
        <v>44644</v>
      </c>
      <c r="C8139" s="362" t="s">
        <v>87</v>
      </c>
      <c r="D8139" s="560">
        <v>246395992</v>
      </c>
      <c r="E8139" s="560"/>
      <c r="F8139" s="560">
        <v>246395500</v>
      </c>
      <c r="G8139" s="560">
        <f t="shared" si="166"/>
        <v>492</v>
      </c>
      <c r="H8139" s="362"/>
      <c r="I8139" s="362"/>
      <c r="J8139" s="362"/>
    </row>
    <row r="8140" spans="1:10" x14ac:dyDescent="0.25">
      <c r="A8140" s="362"/>
      <c r="B8140" s="609">
        <v>44644</v>
      </c>
      <c r="C8140" s="362" t="s">
        <v>88</v>
      </c>
      <c r="D8140" s="560">
        <v>181901837</v>
      </c>
      <c r="E8140" s="560"/>
      <c r="F8140" s="560">
        <v>181901900</v>
      </c>
      <c r="G8140" s="560">
        <f t="shared" si="166"/>
        <v>-63</v>
      </c>
      <c r="H8140" s="362"/>
      <c r="I8140" s="362"/>
      <c r="J8140" s="362"/>
    </row>
    <row r="8141" spans="1:10" x14ac:dyDescent="0.25">
      <c r="A8141" s="362"/>
      <c r="B8141" s="609">
        <v>44644</v>
      </c>
      <c r="C8141" s="362" t="s">
        <v>82</v>
      </c>
      <c r="D8141" s="560">
        <v>107313947</v>
      </c>
      <c r="E8141" s="560"/>
      <c r="F8141" s="560">
        <v>107314100</v>
      </c>
      <c r="G8141" s="560">
        <f t="shared" si="166"/>
        <v>-153</v>
      </c>
      <c r="H8141" s="362"/>
      <c r="I8141" s="362"/>
      <c r="J8141" s="362"/>
    </row>
    <row r="8142" spans="1:10" x14ac:dyDescent="0.25">
      <c r="A8142" s="362"/>
      <c r="B8142" s="609">
        <v>44644</v>
      </c>
      <c r="C8142" s="362" t="s">
        <v>80</v>
      </c>
      <c r="D8142" s="560">
        <v>281265400</v>
      </c>
      <c r="E8142" s="560"/>
      <c r="F8142" s="560">
        <v>281265400</v>
      </c>
      <c r="G8142" s="560">
        <f t="shared" si="166"/>
        <v>0</v>
      </c>
      <c r="H8142" s="362"/>
      <c r="I8142" s="362"/>
      <c r="J8142" s="362"/>
    </row>
    <row r="8143" spans="1:10" x14ac:dyDescent="0.25">
      <c r="A8143" s="362"/>
      <c r="B8143" s="609">
        <v>44644</v>
      </c>
      <c r="C8143" s="362" t="s">
        <v>83</v>
      </c>
      <c r="D8143" s="560">
        <v>193315700</v>
      </c>
      <c r="E8143" s="560"/>
      <c r="F8143" s="560">
        <v>193315700</v>
      </c>
      <c r="G8143" s="560">
        <f t="shared" si="166"/>
        <v>0</v>
      </c>
      <c r="H8143" s="362"/>
      <c r="I8143" s="362"/>
      <c r="J8143" s="362"/>
    </row>
    <row r="8144" spans="1:10" x14ac:dyDescent="0.25">
      <c r="A8144" s="362"/>
      <c r="B8144" s="609">
        <v>44644</v>
      </c>
      <c r="C8144" s="362" t="s">
        <v>78</v>
      </c>
      <c r="D8144" s="560">
        <v>203356356</v>
      </c>
      <c r="E8144" s="560"/>
      <c r="F8144" s="560">
        <v>203356400</v>
      </c>
      <c r="G8144" s="560">
        <f t="shared" si="166"/>
        <v>-44</v>
      </c>
      <c r="H8144" s="362"/>
      <c r="I8144" s="362"/>
      <c r="J8144" s="362"/>
    </row>
    <row r="8145" spans="1:10" x14ac:dyDescent="0.25">
      <c r="A8145" s="362"/>
      <c r="B8145" s="609">
        <v>44644</v>
      </c>
      <c r="C8145" s="362" t="s">
        <v>141</v>
      </c>
      <c r="D8145" s="560">
        <v>143670504</v>
      </c>
      <c r="E8145" s="560"/>
      <c r="F8145" s="560">
        <v>143670600</v>
      </c>
      <c r="G8145" s="560">
        <f t="shared" si="166"/>
        <v>-96</v>
      </c>
      <c r="H8145" s="362"/>
      <c r="I8145" s="362"/>
      <c r="J8145" s="362"/>
    </row>
    <row r="8146" spans="1:10" x14ac:dyDescent="0.25">
      <c r="A8146" s="362"/>
      <c r="B8146" s="609">
        <v>44644</v>
      </c>
      <c r="C8146" s="362" t="s">
        <v>89</v>
      </c>
      <c r="D8146" s="560">
        <v>182849600</v>
      </c>
      <c r="E8146" s="560"/>
      <c r="F8146" s="560">
        <v>182849700</v>
      </c>
      <c r="G8146" s="560">
        <f t="shared" si="166"/>
        <v>-100</v>
      </c>
      <c r="H8146" s="362"/>
      <c r="I8146" s="362"/>
      <c r="J8146" s="362"/>
    </row>
    <row r="8147" spans="1:10" x14ac:dyDescent="0.25">
      <c r="A8147" s="362"/>
      <c r="B8147" s="609">
        <v>44644</v>
      </c>
      <c r="C8147" s="362" t="s">
        <v>81</v>
      </c>
      <c r="D8147" s="560">
        <v>183188704</v>
      </c>
      <c r="E8147" s="560"/>
      <c r="F8147" s="560">
        <v>183188700</v>
      </c>
      <c r="G8147" s="560">
        <f t="shared" si="166"/>
        <v>4</v>
      </c>
      <c r="H8147" s="362"/>
      <c r="I8147" s="362"/>
      <c r="J8147" s="362"/>
    </row>
    <row r="8148" spans="1:10" x14ac:dyDescent="0.25">
      <c r="A8148" s="362"/>
      <c r="B8148" s="609">
        <v>44644</v>
      </c>
      <c r="C8148" s="362" t="s">
        <v>84</v>
      </c>
      <c r="D8148" s="560">
        <v>387979043</v>
      </c>
      <c r="E8148" s="560"/>
      <c r="F8148" s="560">
        <v>387978600</v>
      </c>
      <c r="G8148" s="560">
        <f t="shared" si="166"/>
        <v>443</v>
      </c>
      <c r="H8148" s="362"/>
      <c r="I8148" s="362"/>
      <c r="J8148" s="362"/>
    </row>
    <row r="8149" spans="1:10" x14ac:dyDescent="0.25">
      <c r="A8149" s="362"/>
      <c r="B8149" s="609">
        <v>44644</v>
      </c>
      <c r="C8149" s="362" t="s">
        <v>4751</v>
      </c>
      <c r="D8149" s="560">
        <v>381849600</v>
      </c>
      <c r="E8149" s="560"/>
      <c r="F8149" s="560">
        <v>381849600</v>
      </c>
      <c r="G8149" s="560">
        <f t="shared" si="166"/>
        <v>0</v>
      </c>
      <c r="H8149" s="362"/>
      <c r="I8149" s="362"/>
      <c r="J8149" s="362"/>
    </row>
    <row r="8150" spans="1:10" x14ac:dyDescent="0.25">
      <c r="A8150" s="362"/>
      <c r="B8150" s="609">
        <v>44644</v>
      </c>
      <c r="C8150" s="362" t="s">
        <v>166</v>
      </c>
      <c r="D8150" s="560">
        <v>141485823</v>
      </c>
      <c r="E8150" s="560"/>
      <c r="F8150" s="560">
        <v>141485900</v>
      </c>
      <c r="G8150" s="560">
        <f t="shared" si="166"/>
        <v>-77</v>
      </c>
      <c r="H8150" s="362"/>
      <c r="I8150" s="362"/>
      <c r="J8150" s="362"/>
    </row>
    <row r="8151" spans="1:10" x14ac:dyDescent="0.25">
      <c r="A8151" s="362"/>
      <c r="B8151" s="609">
        <v>44644</v>
      </c>
      <c r="C8151" s="362" t="s">
        <v>3435</v>
      </c>
      <c r="D8151" s="560">
        <v>62107613</v>
      </c>
      <c r="E8151" s="560"/>
      <c r="F8151" s="560">
        <v>62107700</v>
      </c>
      <c r="G8151" s="560">
        <f t="shared" si="166"/>
        <v>-87</v>
      </c>
      <c r="H8151" s="362"/>
      <c r="I8151" s="362"/>
      <c r="J8151" s="362"/>
    </row>
    <row r="8152" spans="1:10" x14ac:dyDescent="0.25">
      <c r="A8152" s="362"/>
      <c r="B8152" s="609">
        <v>44644</v>
      </c>
      <c r="C8152" s="370" t="s">
        <v>85</v>
      </c>
      <c r="D8152" s="560">
        <v>35327200</v>
      </c>
      <c r="E8152" s="560"/>
      <c r="F8152" s="560">
        <v>35327200</v>
      </c>
      <c r="G8152" s="560">
        <f t="shared" si="166"/>
        <v>0</v>
      </c>
      <c r="H8152" s="362"/>
      <c r="I8152" s="362"/>
      <c r="J8152" s="362"/>
    </row>
    <row r="8153" spans="1:10" x14ac:dyDescent="0.25">
      <c r="A8153" s="530"/>
      <c r="B8153" s="530"/>
      <c r="C8153" s="530"/>
      <c r="D8153" s="562">
        <f>SUM(D8138:D8152)</f>
        <v>2879438585</v>
      </c>
      <c r="E8153" s="562">
        <f>SUM(E8138:E8152)</f>
        <v>0</v>
      </c>
      <c r="F8153" s="562">
        <f>SUM(F8138:F8152)</f>
        <v>2879438500</v>
      </c>
      <c r="G8153" s="562">
        <f>SUM(G8138:G8152)</f>
        <v>85</v>
      </c>
      <c r="H8153" s="530"/>
      <c r="I8153" s="530"/>
      <c r="J8153" s="530"/>
    </row>
    <row r="8154" spans="1:10" x14ac:dyDescent="0.25">
      <c r="A8154" s="362"/>
      <c r="B8154" s="609">
        <v>44645</v>
      </c>
      <c r="C8154" s="362" t="s">
        <v>86</v>
      </c>
      <c r="D8154" s="560">
        <v>160725860</v>
      </c>
      <c r="E8154" s="560"/>
      <c r="F8154" s="560">
        <v>160725700</v>
      </c>
      <c r="G8154" s="560">
        <f t="shared" si="166"/>
        <v>160</v>
      </c>
      <c r="H8154" s="362"/>
      <c r="I8154" s="362"/>
      <c r="J8154" s="362"/>
    </row>
    <row r="8155" spans="1:10" x14ac:dyDescent="0.25">
      <c r="A8155" s="362"/>
      <c r="B8155" s="609">
        <v>44645</v>
      </c>
      <c r="C8155" s="362" t="s">
        <v>87</v>
      </c>
      <c r="D8155" s="560">
        <v>219253854</v>
      </c>
      <c r="E8155" s="560"/>
      <c r="F8155" s="560">
        <v>219253800</v>
      </c>
      <c r="G8155" s="560">
        <f t="shared" si="166"/>
        <v>54</v>
      </c>
      <c r="H8155" s="362"/>
      <c r="I8155" s="362"/>
      <c r="J8155" s="362"/>
    </row>
    <row r="8156" spans="1:10" x14ac:dyDescent="0.25">
      <c r="A8156" s="362"/>
      <c r="B8156" s="609">
        <v>44645</v>
      </c>
      <c r="C8156" s="362" t="s">
        <v>88</v>
      </c>
      <c r="D8156" s="560">
        <v>149466167</v>
      </c>
      <c r="E8156" s="560"/>
      <c r="F8156" s="560">
        <v>149466200</v>
      </c>
      <c r="G8156" s="560">
        <f t="shared" ref="G8156:G8219" si="167">D8156+E8156-F8156</f>
        <v>-33</v>
      </c>
      <c r="H8156" s="362"/>
      <c r="I8156" s="362"/>
      <c r="J8156" s="362"/>
    </row>
    <row r="8157" spans="1:10" x14ac:dyDescent="0.25">
      <c r="A8157" s="362"/>
      <c r="B8157" s="609">
        <v>44645</v>
      </c>
      <c r="C8157" s="362" t="s">
        <v>82</v>
      </c>
      <c r="D8157" s="560">
        <v>139078573</v>
      </c>
      <c r="E8157" s="560"/>
      <c r="F8157" s="560">
        <v>139078600</v>
      </c>
      <c r="G8157" s="560">
        <f t="shared" si="167"/>
        <v>-27</v>
      </c>
      <c r="H8157" s="362"/>
      <c r="I8157" s="362"/>
      <c r="J8157" s="362"/>
    </row>
    <row r="8158" spans="1:10" x14ac:dyDescent="0.25">
      <c r="A8158" s="362"/>
      <c r="B8158" s="609">
        <v>44645</v>
      </c>
      <c r="C8158" s="362" t="s">
        <v>80</v>
      </c>
      <c r="D8158" s="560">
        <v>449915100</v>
      </c>
      <c r="E8158" s="560"/>
      <c r="F8158" s="560">
        <v>449915100</v>
      </c>
      <c r="G8158" s="560">
        <f t="shared" si="167"/>
        <v>0</v>
      </c>
      <c r="H8158" s="362"/>
      <c r="I8158" s="362"/>
      <c r="J8158" s="362"/>
    </row>
    <row r="8159" spans="1:10" x14ac:dyDescent="0.25">
      <c r="A8159" s="362"/>
      <c r="B8159" s="609">
        <v>44645</v>
      </c>
      <c r="C8159" s="362" t="s">
        <v>83</v>
      </c>
      <c r="D8159" s="560">
        <v>224110800</v>
      </c>
      <c r="E8159" s="560"/>
      <c r="F8159" s="560">
        <v>224110800</v>
      </c>
      <c r="G8159" s="560">
        <f t="shared" si="167"/>
        <v>0</v>
      </c>
      <c r="H8159" s="362"/>
      <c r="I8159" s="362"/>
      <c r="J8159" s="362"/>
    </row>
    <row r="8160" spans="1:10" x14ac:dyDescent="0.25">
      <c r="A8160" s="362"/>
      <c r="B8160" s="609">
        <v>44645</v>
      </c>
      <c r="C8160" s="362" t="s">
        <v>78</v>
      </c>
      <c r="D8160" s="560">
        <v>164600867</v>
      </c>
      <c r="E8160" s="560"/>
      <c r="F8160" s="560">
        <v>164600900</v>
      </c>
      <c r="G8160" s="560">
        <f t="shared" si="167"/>
        <v>-33</v>
      </c>
      <c r="H8160" s="362"/>
      <c r="I8160" s="362"/>
      <c r="J8160" s="362"/>
    </row>
    <row r="8161" spans="1:10" x14ac:dyDescent="0.25">
      <c r="A8161" s="362"/>
      <c r="B8161" s="609">
        <v>44645</v>
      </c>
      <c r="C8161" s="362" t="s">
        <v>141</v>
      </c>
      <c r="D8161" s="560">
        <v>78878166</v>
      </c>
      <c r="E8161" s="560"/>
      <c r="F8161" s="560">
        <v>78778200</v>
      </c>
      <c r="G8161" s="560">
        <f t="shared" si="167"/>
        <v>99966</v>
      </c>
      <c r="H8161" s="362"/>
      <c r="I8161" s="362"/>
      <c r="J8161" s="362"/>
    </row>
    <row r="8162" spans="1:10" x14ac:dyDescent="0.25">
      <c r="A8162" s="362"/>
      <c r="B8162" s="609">
        <v>44645</v>
      </c>
      <c r="C8162" s="362" t="s">
        <v>89</v>
      </c>
      <c r="D8162" s="560">
        <v>210544500</v>
      </c>
      <c r="E8162" s="560"/>
      <c r="F8162" s="560">
        <v>210544100</v>
      </c>
      <c r="G8162" s="560">
        <f t="shared" si="167"/>
        <v>400</v>
      </c>
      <c r="H8162" s="362"/>
      <c r="I8162" s="362"/>
      <c r="J8162" s="362"/>
    </row>
    <row r="8163" spans="1:10" x14ac:dyDescent="0.25">
      <c r="A8163" s="362"/>
      <c r="B8163" s="609">
        <v>44645</v>
      </c>
      <c r="C8163" s="362" t="s">
        <v>81</v>
      </c>
      <c r="D8163" s="560">
        <v>102149202</v>
      </c>
      <c r="E8163" s="560"/>
      <c r="F8163" s="560">
        <v>102149200</v>
      </c>
      <c r="G8163" s="560">
        <f t="shared" si="167"/>
        <v>2</v>
      </c>
      <c r="H8163" s="362"/>
      <c r="I8163" s="362"/>
      <c r="J8163" s="362"/>
    </row>
    <row r="8164" spans="1:10" x14ac:dyDescent="0.25">
      <c r="A8164" s="362"/>
      <c r="B8164" s="609">
        <v>44645</v>
      </c>
      <c r="C8164" s="362" t="s">
        <v>84</v>
      </c>
      <c r="D8164" s="560">
        <v>415231276</v>
      </c>
      <c r="E8164" s="560"/>
      <c r="F8164" s="560">
        <v>415231300</v>
      </c>
      <c r="G8164" s="560">
        <f t="shared" si="167"/>
        <v>-24</v>
      </c>
      <c r="H8164" s="362"/>
      <c r="I8164" s="362"/>
      <c r="J8164" s="362"/>
    </row>
    <row r="8165" spans="1:10" x14ac:dyDescent="0.25">
      <c r="A8165" s="362"/>
      <c r="B8165" s="609">
        <v>44645</v>
      </c>
      <c r="C8165" s="362" t="s">
        <v>4751</v>
      </c>
      <c r="D8165" s="560">
        <v>310311300</v>
      </c>
      <c r="E8165" s="560"/>
      <c r="F8165" s="560">
        <v>310311300</v>
      </c>
      <c r="G8165" s="560">
        <f t="shared" si="167"/>
        <v>0</v>
      </c>
      <c r="H8165" s="362"/>
      <c r="I8165" s="362"/>
      <c r="J8165" s="362"/>
    </row>
    <row r="8166" spans="1:10" x14ac:dyDescent="0.25">
      <c r="A8166" s="362"/>
      <c r="B8166" s="609">
        <v>44645</v>
      </c>
      <c r="C8166" s="362" t="s">
        <v>166</v>
      </c>
      <c r="D8166" s="560">
        <v>85422642</v>
      </c>
      <c r="E8166" s="560"/>
      <c r="F8166" s="560">
        <v>85422700</v>
      </c>
      <c r="G8166" s="560">
        <f t="shared" si="167"/>
        <v>-58</v>
      </c>
      <c r="H8166" s="362"/>
      <c r="I8166" s="362"/>
      <c r="J8166" s="362"/>
    </row>
    <row r="8167" spans="1:10" x14ac:dyDescent="0.25">
      <c r="A8167" s="362"/>
      <c r="B8167" s="609">
        <v>44645</v>
      </c>
      <c r="C8167" s="362" t="s">
        <v>3435</v>
      </c>
      <c r="D8167" s="560">
        <v>35291239</v>
      </c>
      <c r="E8167" s="560"/>
      <c r="F8167" s="560">
        <v>35291300</v>
      </c>
      <c r="G8167" s="560">
        <f t="shared" si="167"/>
        <v>-61</v>
      </c>
      <c r="H8167" s="362"/>
      <c r="I8167" s="362"/>
      <c r="J8167" s="362"/>
    </row>
    <row r="8168" spans="1:10" x14ac:dyDescent="0.25">
      <c r="A8168" s="362"/>
      <c r="B8168" s="609">
        <v>44645</v>
      </c>
      <c r="C8168" s="370" t="s">
        <v>85</v>
      </c>
      <c r="D8168" s="560">
        <v>38495200</v>
      </c>
      <c r="E8168" s="560"/>
      <c r="F8168" s="560">
        <v>38495200</v>
      </c>
      <c r="G8168" s="560">
        <f t="shared" si="167"/>
        <v>0</v>
      </c>
      <c r="H8168" s="362"/>
      <c r="I8168" s="362"/>
      <c r="J8168" s="362"/>
    </row>
    <row r="8169" spans="1:10" x14ac:dyDescent="0.25">
      <c r="A8169" s="530"/>
      <c r="B8169" s="530"/>
      <c r="C8169" s="530"/>
      <c r="D8169" s="562">
        <f>SUM(D8154:D8168)</f>
        <v>2783474746</v>
      </c>
      <c r="E8169" s="562">
        <f>SUM(E8154:E8168)</f>
        <v>0</v>
      </c>
      <c r="F8169" s="562">
        <f>SUM(F8154:F8168)</f>
        <v>2783374400</v>
      </c>
      <c r="G8169" s="562">
        <f>SUM(G8154:G8168)</f>
        <v>100346</v>
      </c>
      <c r="H8169" s="530"/>
      <c r="I8169" s="530"/>
      <c r="J8169" s="530"/>
    </row>
    <row r="8170" spans="1:10" x14ac:dyDescent="0.25">
      <c r="A8170" s="362"/>
      <c r="B8170" s="609">
        <v>44646</v>
      </c>
      <c r="C8170" s="362" t="s">
        <v>86</v>
      </c>
      <c r="D8170" s="560">
        <v>277209084</v>
      </c>
      <c r="E8170" s="560"/>
      <c r="F8170" s="560"/>
      <c r="G8170" s="560">
        <f t="shared" si="167"/>
        <v>277209084</v>
      </c>
      <c r="H8170" s="362"/>
      <c r="I8170" s="362"/>
      <c r="J8170" s="362"/>
    </row>
    <row r="8171" spans="1:10" x14ac:dyDescent="0.25">
      <c r="A8171" s="362"/>
      <c r="B8171" s="609">
        <v>44646</v>
      </c>
      <c r="C8171" s="362" t="s">
        <v>87</v>
      </c>
      <c r="D8171" s="560">
        <v>143148314</v>
      </c>
      <c r="E8171" s="560"/>
      <c r="F8171" s="560"/>
      <c r="G8171" s="560">
        <f t="shared" si="167"/>
        <v>143148314</v>
      </c>
      <c r="H8171" s="362"/>
      <c r="I8171" s="362"/>
      <c r="J8171" s="362"/>
    </row>
    <row r="8172" spans="1:10" x14ac:dyDescent="0.25">
      <c r="A8172" s="362"/>
      <c r="B8172" s="609">
        <v>44646</v>
      </c>
      <c r="C8172" s="362" t="s">
        <v>88</v>
      </c>
      <c r="D8172" s="560">
        <v>118892855</v>
      </c>
      <c r="E8172" s="560"/>
      <c r="F8172" s="560"/>
      <c r="G8172" s="560">
        <f t="shared" si="167"/>
        <v>118892855</v>
      </c>
      <c r="H8172" s="362"/>
      <c r="I8172" s="362"/>
      <c r="J8172" s="362"/>
    </row>
    <row r="8173" spans="1:10" x14ac:dyDescent="0.25">
      <c r="A8173" s="362"/>
      <c r="B8173" s="609">
        <v>44646</v>
      </c>
      <c r="C8173" s="362" t="s">
        <v>82</v>
      </c>
      <c r="D8173" s="560">
        <v>100512035</v>
      </c>
      <c r="E8173" s="560"/>
      <c r="F8173" s="560"/>
      <c r="G8173" s="560">
        <f t="shared" si="167"/>
        <v>100512035</v>
      </c>
      <c r="H8173" s="362"/>
      <c r="I8173" s="362"/>
      <c r="J8173" s="362"/>
    </row>
    <row r="8174" spans="1:10" x14ac:dyDescent="0.25">
      <c r="A8174" s="362"/>
      <c r="B8174" s="609">
        <v>44646</v>
      </c>
      <c r="C8174" s="362" t="s">
        <v>80</v>
      </c>
      <c r="D8174" s="560">
        <v>487515000</v>
      </c>
      <c r="E8174" s="560"/>
      <c r="F8174" s="560"/>
      <c r="G8174" s="560">
        <f t="shared" si="167"/>
        <v>487515000</v>
      </c>
      <c r="H8174" s="362"/>
      <c r="I8174" s="362"/>
      <c r="J8174" s="362"/>
    </row>
    <row r="8175" spans="1:10" x14ac:dyDescent="0.25">
      <c r="A8175" s="362"/>
      <c r="B8175" s="609">
        <v>44646</v>
      </c>
      <c r="C8175" s="362" t="s">
        <v>83</v>
      </c>
      <c r="D8175" s="560">
        <v>165540600</v>
      </c>
      <c r="E8175" s="560"/>
      <c r="F8175" s="560"/>
      <c r="G8175" s="560">
        <f t="shared" si="167"/>
        <v>165540600</v>
      </c>
      <c r="H8175" s="362"/>
      <c r="I8175" s="362"/>
      <c r="J8175" s="362"/>
    </row>
    <row r="8176" spans="1:10" x14ac:dyDescent="0.25">
      <c r="A8176" s="362"/>
      <c r="B8176" s="609">
        <v>44646</v>
      </c>
      <c r="C8176" s="362" t="s">
        <v>78</v>
      </c>
      <c r="D8176" s="560">
        <v>147101615</v>
      </c>
      <c r="E8176" s="560"/>
      <c r="F8176" s="560"/>
      <c r="G8176" s="560">
        <f t="shared" si="167"/>
        <v>147101615</v>
      </c>
      <c r="H8176" s="362"/>
      <c r="I8176" s="362"/>
      <c r="J8176" s="362"/>
    </row>
    <row r="8177" spans="1:10" x14ac:dyDescent="0.25">
      <c r="A8177" s="362"/>
      <c r="B8177" s="609">
        <v>44646</v>
      </c>
      <c r="C8177" s="362" t="s">
        <v>141</v>
      </c>
      <c r="D8177" s="560">
        <v>42702346</v>
      </c>
      <c r="E8177" s="560"/>
      <c r="F8177" s="560"/>
      <c r="G8177" s="560">
        <f t="shared" si="167"/>
        <v>42702346</v>
      </c>
      <c r="H8177" s="362"/>
      <c r="I8177" s="362"/>
      <c r="J8177" s="362"/>
    </row>
    <row r="8178" spans="1:10" x14ac:dyDescent="0.25">
      <c r="A8178" s="362"/>
      <c r="B8178" s="609">
        <v>44646</v>
      </c>
      <c r="C8178" s="362" t="s">
        <v>89</v>
      </c>
      <c r="D8178" s="560">
        <v>208045100</v>
      </c>
      <c r="E8178" s="560"/>
      <c r="F8178" s="560"/>
      <c r="G8178" s="560">
        <f t="shared" si="167"/>
        <v>208045100</v>
      </c>
      <c r="H8178" s="362"/>
      <c r="I8178" s="362"/>
      <c r="J8178" s="362"/>
    </row>
    <row r="8179" spans="1:10" x14ac:dyDescent="0.25">
      <c r="A8179" s="362"/>
      <c r="B8179" s="609">
        <v>44646</v>
      </c>
      <c r="C8179" s="362" t="s">
        <v>81</v>
      </c>
      <c r="D8179" s="560">
        <v>157283768</v>
      </c>
      <c r="E8179" s="560"/>
      <c r="F8179" s="560"/>
      <c r="G8179" s="560">
        <f t="shared" si="167"/>
        <v>157283768</v>
      </c>
      <c r="H8179" s="362"/>
      <c r="I8179" s="362"/>
      <c r="J8179" s="362"/>
    </row>
    <row r="8180" spans="1:10" x14ac:dyDescent="0.25">
      <c r="A8180" s="362"/>
      <c r="B8180" s="609">
        <v>44646</v>
      </c>
      <c r="C8180" s="362" t="s">
        <v>84</v>
      </c>
      <c r="D8180" s="560">
        <v>243275527</v>
      </c>
      <c r="E8180" s="560"/>
      <c r="F8180" s="560"/>
      <c r="G8180" s="560">
        <f t="shared" si="167"/>
        <v>243275527</v>
      </c>
      <c r="H8180" s="362"/>
      <c r="I8180" s="362"/>
      <c r="J8180" s="362"/>
    </row>
    <row r="8181" spans="1:10" x14ac:dyDescent="0.25">
      <c r="A8181" s="362"/>
      <c r="B8181" s="609">
        <v>44646</v>
      </c>
      <c r="C8181" s="362" t="s">
        <v>4751</v>
      </c>
      <c r="D8181" s="560">
        <v>313587500</v>
      </c>
      <c r="E8181" s="560"/>
      <c r="F8181" s="560"/>
      <c r="G8181" s="560">
        <f t="shared" si="167"/>
        <v>313587500</v>
      </c>
      <c r="H8181" s="362"/>
      <c r="I8181" s="362"/>
      <c r="J8181" s="362"/>
    </row>
    <row r="8182" spans="1:10" x14ac:dyDescent="0.25">
      <c r="A8182" s="362"/>
      <c r="B8182" s="609">
        <v>44646</v>
      </c>
      <c r="C8182" s="362" t="s">
        <v>166</v>
      </c>
      <c r="D8182" s="560"/>
      <c r="E8182" s="560"/>
      <c r="F8182" s="560"/>
      <c r="G8182" s="560">
        <f t="shared" si="167"/>
        <v>0</v>
      </c>
      <c r="H8182" s="362"/>
      <c r="I8182" s="362"/>
      <c r="J8182" s="362"/>
    </row>
    <row r="8183" spans="1:10" x14ac:dyDescent="0.25">
      <c r="A8183" s="362"/>
      <c r="B8183" s="609">
        <v>44646</v>
      </c>
      <c r="C8183" s="362" t="s">
        <v>3435</v>
      </c>
      <c r="D8183" s="560"/>
      <c r="E8183" s="560"/>
      <c r="F8183" s="560"/>
      <c r="G8183" s="560">
        <f t="shared" si="167"/>
        <v>0</v>
      </c>
      <c r="H8183" s="362"/>
      <c r="I8183" s="362"/>
      <c r="J8183" s="362"/>
    </row>
    <row r="8184" spans="1:10" x14ac:dyDescent="0.25">
      <c r="A8184" s="362"/>
      <c r="B8184" s="609">
        <v>44646</v>
      </c>
      <c r="C8184" s="370" t="s">
        <v>85</v>
      </c>
      <c r="D8184" s="560">
        <v>27778500</v>
      </c>
      <c r="E8184" s="560"/>
      <c r="F8184" s="560"/>
      <c r="G8184" s="560">
        <f t="shared" si="167"/>
        <v>27778500</v>
      </c>
      <c r="H8184" s="362"/>
      <c r="I8184" s="362"/>
      <c r="J8184" s="362"/>
    </row>
    <row r="8185" spans="1:10" x14ac:dyDescent="0.25">
      <c r="A8185" s="530"/>
      <c r="B8185" s="530"/>
      <c r="C8185" s="530"/>
      <c r="D8185" s="562">
        <f>SUM(D8170:D8184)</f>
        <v>2432592244</v>
      </c>
      <c r="E8185" s="562">
        <f>SUM(E8170:E8184)</f>
        <v>0</v>
      </c>
      <c r="F8185" s="562">
        <f>SUM(F8170:F8184)</f>
        <v>0</v>
      </c>
      <c r="G8185" s="562">
        <f>SUM(G8170:G8184)</f>
        <v>2432592244</v>
      </c>
      <c r="H8185" s="530"/>
      <c r="I8185" s="530"/>
      <c r="J8185" s="530"/>
    </row>
    <row r="8186" spans="1:10" x14ac:dyDescent="0.25">
      <c r="A8186" s="362"/>
      <c r="B8186" s="609">
        <v>44648</v>
      </c>
      <c r="C8186" s="362" t="s">
        <v>86</v>
      </c>
      <c r="D8186" s="560">
        <v>178811352</v>
      </c>
      <c r="E8186" s="560"/>
      <c r="F8186" s="560"/>
      <c r="G8186" s="560">
        <f t="shared" si="167"/>
        <v>178811352</v>
      </c>
      <c r="H8186" s="362"/>
      <c r="I8186" s="362"/>
      <c r="J8186" s="362"/>
    </row>
    <row r="8187" spans="1:10" x14ac:dyDescent="0.25">
      <c r="A8187" s="362"/>
      <c r="B8187" s="609">
        <v>44648</v>
      </c>
      <c r="C8187" s="362" t="s">
        <v>87</v>
      </c>
      <c r="D8187" s="560">
        <v>225664726</v>
      </c>
      <c r="E8187" s="560"/>
      <c r="F8187" s="560"/>
      <c r="G8187" s="560">
        <f t="shared" si="167"/>
        <v>225664726</v>
      </c>
      <c r="H8187" s="362"/>
      <c r="I8187" s="362"/>
      <c r="J8187" s="362"/>
    </row>
    <row r="8188" spans="1:10" x14ac:dyDescent="0.25">
      <c r="A8188" s="362"/>
      <c r="B8188" s="609">
        <v>44648</v>
      </c>
      <c r="C8188" s="362" t="s">
        <v>88</v>
      </c>
      <c r="D8188" s="560">
        <v>321440678</v>
      </c>
      <c r="E8188" s="560"/>
      <c r="F8188" s="560"/>
      <c r="G8188" s="560">
        <f t="shared" si="167"/>
        <v>321440678</v>
      </c>
      <c r="H8188" s="362"/>
      <c r="I8188" s="362"/>
      <c r="J8188" s="362"/>
    </row>
    <row r="8189" spans="1:10" x14ac:dyDescent="0.25">
      <c r="A8189" s="362"/>
      <c r="B8189" s="609">
        <v>44648</v>
      </c>
      <c r="C8189" s="362" t="s">
        <v>82</v>
      </c>
      <c r="D8189" s="560">
        <v>71372274</v>
      </c>
      <c r="E8189" s="560"/>
      <c r="F8189" s="560"/>
      <c r="G8189" s="560">
        <f t="shared" si="167"/>
        <v>71372274</v>
      </c>
      <c r="H8189" s="362"/>
      <c r="I8189" s="362"/>
      <c r="J8189" s="362"/>
    </row>
    <row r="8190" spans="1:10" x14ac:dyDescent="0.25">
      <c r="A8190" s="362"/>
      <c r="B8190" s="609">
        <v>44648</v>
      </c>
      <c r="C8190" s="362" t="s">
        <v>80</v>
      </c>
      <c r="D8190" s="560">
        <v>355669378</v>
      </c>
      <c r="E8190" s="560"/>
      <c r="F8190" s="560"/>
      <c r="G8190" s="560">
        <f t="shared" si="167"/>
        <v>355669378</v>
      </c>
      <c r="H8190" s="362"/>
      <c r="I8190" s="362"/>
      <c r="J8190" s="362"/>
    </row>
    <row r="8191" spans="1:10" x14ac:dyDescent="0.25">
      <c r="A8191" s="362"/>
      <c r="B8191" s="609">
        <v>44648</v>
      </c>
      <c r="C8191" s="362" t="s">
        <v>83</v>
      </c>
      <c r="D8191" s="560">
        <v>454613800</v>
      </c>
      <c r="E8191" s="560"/>
      <c r="F8191" s="560"/>
      <c r="G8191" s="560">
        <f t="shared" si="167"/>
        <v>454613800</v>
      </c>
      <c r="H8191" s="362"/>
      <c r="I8191" s="362"/>
      <c r="J8191" s="362"/>
    </row>
    <row r="8192" spans="1:10" x14ac:dyDescent="0.25">
      <c r="A8192" s="362"/>
      <c r="B8192" s="609">
        <v>44648</v>
      </c>
      <c r="C8192" s="362" t="s">
        <v>78</v>
      </c>
      <c r="D8192" s="560">
        <v>189624515</v>
      </c>
      <c r="E8192" s="560"/>
      <c r="F8192" s="560"/>
      <c r="G8192" s="560">
        <f t="shared" si="167"/>
        <v>189624515</v>
      </c>
      <c r="H8192" s="362"/>
      <c r="I8192" s="362"/>
      <c r="J8192" s="362"/>
    </row>
    <row r="8193" spans="1:10" x14ac:dyDescent="0.25">
      <c r="A8193" s="362"/>
      <c r="B8193" s="609">
        <v>44648</v>
      </c>
      <c r="C8193" s="362" t="s">
        <v>141</v>
      </c>
      <c r="D8193" s="560">
        <v>139572814</v>
      </c>
      <c r="E8193" s="560"/>
      <c r="F8193" s="560"/>
      <c r="G8193" s="560">
        <f t="shared" si="167"/>
        <v>139572814</v>
      </c>
      <c r="H8193" s="362"/>
      <c r="I8193" s="362"/>
      <c r="J8193" s="362"/>
    </row>
    <row r="8194" spans="1:10" x14ac:dyDescent="0.25">
      <c r="A8194" s="362"/>
      <c r="B8194" s="609">
        <v>44648</v>
      </c>
      <c r="C8194" s="362" t="s">
        <v>89</v>
      </c>
      <c r="D8194" s="560">
        <v>216534600</v>
      </c>
      <c r="E8194" s="560"/>
      <c r="F8194" s="560"/>
      <c r="G8194" s="560">
        <f t="shared" si="167"/>
        <v>216534600</v>
      </c>
      <c r="H8194" s="362"/>
      <c r="I8194" s="362"/>
      <c r="J8194" s="362"/>
    </row>
    <row r="8195" spans="1:10" x14ac:dyDescent="0.25">
      <c r="A8195" s="362"/>
      <c r="B8195" s="609">
        <v>44648</v>
      </c>
      <c r="C8195" s="362" t="s">
        <v>81</v>
      </c>
      <c r="D8195" s="560">
        <v>131644326</v>
      </c>
      <c r="E8195" s="560"/>
      <c r="F8195" s="560"/>
      <c r="G8195" s="560">
        <f t="shared" si="167"/>
        <v>131644326</v>
      </c>
      <c r="H8195" s="362"/>
      <c r="I8195" s="362"/>
      <c r="J8195" s="362"/>
    </row>
    <row r="8196" spans="1:10" x14ac:dyDescent="0.25">
      <c r="A8196" s="362"/>
      <c r="B8196" s="609">
        <v>44648</v>
      </c>
      <c r="C8196" s="362" t="s">
        <v>84</v>
      </c>
      <c r="D8196" s="560">
        <v>425427798</v>
      </c>
      <c r="E8196" s="560"/>
      <c r="F8196" s="560"/>
      <c r="G8196" s="560">
        <f t="shared" si="167"/>
        <v>425427798</v>
      </c>
      <c r="H8196" s="362"/>
      <c r="I8196" s="362"/>
      <c r="J8196" s="362"/>
    </row>
    <row r="8197" spans="1:10" x14ac:dyDescent="0.25">
      <c r="A8197" s="362"/>
      <c r="B8197" s="609">
        <v>44648</v>
      </c>
      <c r="C8197" s="362" t="s">
        <v>4751</v>
      </c>
      <c r="D8197" s="560">
        <v>265301600</v>
      </c>
      <c r="E8197" s="560"/>
      <c r="F8197" s="560"/>
      <c r="G8197" s="560">
        <f t="shared" si="167"/>
        <v>265301600</v>
      </c>
      <c r="H8197" s="362"/>
      <c r="I8197" s="362"/>
      <c r="J8197" s="362"/>
    </row>
    <row r="8198" spans="1:10" x14ac:dyDescent="0.25">
      <c r="A8198" s="362"/>
      <c r="B8198" s="609">
        <v>44648</v>
      </c>
      <c r="C8198" s="362" t="s">
        <v>166</v>
      </c>
      <c r="D8198" s="560">
        <v>71565360</v>
      </c>
      <c r="E8198" s="560"/>
      <c r="F8198" s="560"/>
      <c r="G8198" s="560">
        <f t="shared" si="167"/>
        <v>71565360</v>
      </c>
      <c r="H8198" s="362"/>
      <c r="I8198" s="362"/>
      <c r="J8198" s="362"/>
    </row>
    <row r="8199" spans="1:10" x14ac:dyDescent="0.25">
      <c r="A8199" s="362"/>
      <c r="B8199" s="609">
        <v>44648</v>
      </c>
      <c r="C8199" s="362" t="s">
        <v>3435</v>
      </c>
      <c r="D8199" s="560">
        <v>13068673</v>
      </c>
      <c r="E8199" s="560"/>
      <c r="F8199" s="560"/>
      <c r="G8199" s="560">
        <f t="shared" si="167"/>
        <v>13068673</v>
      </c>
      <c r="H8199" s="362"/>
      <c r="I8199" s="362"/>
      <c r="J8199" s="362"/>
    </row>
    <row r="8200" spans="1:10" x14ac:dyDescent="0.25">
      <c r="A8200" s="362"/>
      <c r="B8200" s="609">
        <v>44648</v>
      </c>
      <c r="C8200" s="370" t="s">
        <v>85</v>
      </c>
      <c r="D8200" s="560">
        <v>63708700</v>
      </c>
      <c r="E8200" s="560"/>
      <c r="F8200" s="560"/>
      <c r="G8200" s="560">
        <f t="shared" si="167"/>
        <v>63708700</v>
      </c>
      <c r="H8200" s="362"/>
      <c r="I8200" s="362"/>
      <c r="J8200" s="362"/>
    </row>
    <row r="8201" spans="1:10" x14ac:dyDescent="0.25">
      <c r="A8201" s="530"/>
      <c r="B8201" s="530"/>
      <c r="C8201" s="530"/>
      <c r="D8201" s="562">
        <f>SUM(D8186:D8200)</f>
        <v>3124020594</v>
      </c>
      <c r="E8201" s="562">
        <f>SUM(E8186:E8200)</f>
        <v>0</v>
      </c>
      <c r="F8201" s="562">
        <f>SUM(F8186:F8200)</f>
        <v>0</v>
      </c>
      <c r="G8201" s="562">
        <f>SUM(G8186:G8200)</f>
        <v>3124020594</v>
      </c>
      <c r="H8201" s="530"/>
      <c r="I8201" s="530"/>
      <c r="J8201" s="530"/>
    </row>
    <row r="8202" spans="1:10" x14ac:dyDescent="0.25">
      <c r="A8202" s="362"/>
      <c r="B8202" s="609">
        <v>44649</v>
      </c>
      <c r="C8202" s="362" t="s">
        <v>86</v>
      </c>
      <c r="D8202" s="560">
        <v>159497247</v>
      </c>
      <c r="E8202" s="560"/>
      <c r="F8202" s="560"/>
      <c r="G8202" s="560">
        <f t="shared" si="167"/>
        <v>159497247</v>
      </c>
      <c r="H8202" s="362"/>
      <c r="I8202" s="362"/>
      <c r="J8202" s="362"/>
    </row>
    <row r="8203" spans="1:10" x14ac:dyDescent="0.25">
      <c r="A8203" s="362"/>
      <c r="B8203" s="609">
        <v>44649</v>
      </c>
      <c r="C8203" s="362" t="s">
        <v>87</v>
      </c>
      <c r="D8203" s="560">
        <v>333374749</v>
      </c>
      <c r="E8203" s="560"/>
      <c r="F8203" s="560"/>
      <c r="G8203" s="560">
        <f t="shared" si="167"/>
        <v>333374749</v>
      </c>
      <c r="H8203" s="362"/>
      <c r="I8203" s="362"/>
      <c r="J8203" s="362"/>
    </row>
    <row r="8204" spans="1:10" x14ac:dyDescent="0.25">
      <c r="A8204" s="362"/>
      <c r="B8204" s="609">
        <v>44649</v>
      </c>
      <c r="C8204" s="362" t="s">
        <v>88</v>
      </c>
      <c r="D8204" s="560">
        <v>384949493</v>
      </c>
      <c r="E8204" s="560"/>
      <c r="F8204" s="560"/>
      <c r="G8204" s="560">
        <f t="shared" si="167"/>
        <v>384949493</v>
      </c>
      <c r="H8204" s="362"/>
      <c r="I8204" s="362"/>
      <c r="J8204" s="362"/>
    </row>
    <row r="8205" spans="1:10" x14ac:dyDescent="0.25">
      <c r="A8205" s="362"/>
      <c r="B8205" s="609">
        <v>44649</v>
      </c>
      <c r="C8205" s="362" t="s">
        <v>82</v>
      </c>
      <c r="D8205" s="560">
        <v>80953700</v>
      </c>
      <c r="E8205" s="560"/>
      <c r="F8205" s="560"/>
      <c r="G8205" s="560">
        <f t="shared" si="167"/>
        <v>80953700</v>
      </c>
      <c r="H8205" s="362"/>
      <c r="I8205" s="362"/>
      <c r="J8205" s="362"/>
    </row>
    <row r="8206" spans="1:10" x14ac:dyDescent="0.25">
      <c r="A8206" s="362"/>
      <c r="B8206" s="609">
        <v>44649</v>
      </c>
      <c r="C8206" s="362" t="s">
        <v>80</v>
      </c>
      <c r="D8206" s="560">
        <v>508005492</v>
      </c>
      <c r="E8206" s="560"/>
      <c r="F8206" s="560"/>
      <c r="G8206" s="560">
        <f t="shared" si="167"/>
        <v>508005492</v>
      </c>
      <c r="H8206" s="362"/>
      <c r="I8206" s="362"/>
      <c r="J8206" s="362"/>
    </row>
    <row r="8207" spans="1:10" x14ac:dyDescent="0.25">
      <c r="A8207" s="362"/>
      <c r="B8207" s="609">
        <v>44649</v>
      </c>
      <c r="C8207" s="362" t="s">
        <v>83</v>
      </c>
      <c r="D8207" s="560">
        <v>327740600</v>
      </c>
      <c r="E8207" s="560"/>
      <c r="F8207" s="560"/>
      <c r="G8207" s="560">
        <f t="shared" si="167"/>
        <v>327740600</v>
      </c>
      <c r="H8207" s="362"/>
      <c r="I8207" s="362"/>
      <c r="J8207" s="362"/>
    </row>
    <row r="8208" spans="1:10" x14ac:dyDescent="0.25">
      <c r="A8208" s="362"/>
      <c r="B8208" s="609">
        <v>44649</v>
      </c>
      <c r="C8208" s="362" t="s">
        <v>78</v>
      </c>
      <c r="D8208" s="560">
        <v>197735908</v>
      </c>
      <c r="E8208" s="560"/>
      <c r="F8208" s="560"/>
      <c r="G8208" s="560">
        <f t="shared" si="167"/>
        <v>197735908</v>
      </c>
      <c r="H8208" s="362"/>
      <c r="I8208" s="362"/>
      <c r="J8208" s="362"/>
    </row>
    <row r="8209" spans="1:10" x14ac:dyDescent="0.25">
      <c r="A8209" s="362"/>
      <c r="B8209" s="609">
        <v>44649</v>
      </c>
      <c r="C8209" s="362" t="s">
        <v>141</v>
      </c>
      <c r="D8209" s="560">
        <v>89439153</v>
      </c>
      <c r="E8209" s="560"/>
      <c r="F8209" s="560"/>
      <c r="G8209" s="560">
        <f t="shared" si="167"/>
        <v>89439153</v>
      </c>
      <c r="H8209" s="362"/>
      <c r="I8209" s="362"/>
      <c r="J8209" s="362"/>
    </row>
    <row r="8210" spans="1:10" x14ac:dyDescent="0.25">
      <c r="A8210" s="362"/>
      <c r="B8210" s="609">
        <v>44649</v>
      </c>
      <c r="C8210" s="362" t="s">
        <v>89</v>
      </c>
      <c r="D8210" s="560">
        <v>161756600</v>
      </c>
      <c r="E8210" s="560"/>
      <c r="F8210" s="560"/>
      <c r="G8210" s="560">
        <f t="shared" si="167"/>
        <v>161756600</v>
      </c>
      <c r="H8210" s="362"/>
      <c r="I8210" s="362"/>
      <c r="J8210" s="362"/>
    </row>
    <row r="8211" spans="1:10" x14ac:dyDescent="0.25">
      <c r="A8211" s="362"/>
      <c r="B8211" s="609">
        <v>44649</v>
      </c>
      <c r="C8211" s="362" t="s">
        <v>81</v>
      </c>
      <c r="D8211" s="560">
        <v>110476529</v>
      </c>
      <c r="E8211" s="560"/>
      <c r="F8211" s="560"/>
      <c r="G8211" s="560">
        <f t="shared" si="167"/>
        <v>110476529</v>
      </c>
      <c r="H8211" s="362"/>
      <c r="I8211" s="362"/>
      <c r="J8211" s="362"/>
    </row>
    <row r="8212" spans="1:10" x14ac:dyDescent="0.25">
      <c r="A8212" s="362"/>
      <c r="B8212" s="609">
        <v>44649</v>
      </c>
      <c r="C8212" s="362" t="s">
        <v>84</v>
      </c>
      <c r="D8212" s="560">
        <v>403685052</v>
      </c>
      <c r="E8212" s="560"/>
      <c r="F8212" s="560"/>
      <c r="G8212" s="560">
        <f t="shared" si="167"/>
        <v>403685052</v>
      </c>
      <c r="H8212" s="362"/>
      <c r="I8212" s="362"/>
      <c r="J8212" s="362"/>
    </row>
    <row r="8213" spans="1:10" x14ac:dyDescent="0.25">
      <c r="A8213" s="362"/>
      <c r="B8213" s="609">
        <v>44649</v>
      </c>
      <c r="C8213" s="362" t="s">
        <v>4751</v>
      </c>
      <c r="D8213" s="560">
        <v>364917800</v>
      </c>
      <c r="E8213" s="560"/>
      <c r="F8213" s="560"/>
      <c r="G8213" s="560">
        <f t="shared" si="167"/>
        <v>364917800</v>
      </c>
      <c r="H8213" s="362"/>
      <c r="I8213" s="362"/>
      <c r="J8213" s="362"/>
    </row>
    <row r="8214" spans="1:10" x14ac:dyDescent="0.25">
      <c r="A8214" s="362"/>
      <c r="B8214" s="609">
        <v>44649</v>
      </c>
      <c r="C8214" s="362" t="s">
        <v>166</v>
      </c>
      <c r="D8214" s="560">
        <v>128381085</v>
      </c>
      <c r="E8214" s="560"/>
      <c r="F8214" s="560"/>
      <c r="G8214" s="560">
        <f t="shared" si="167"/>
        <v>128381085</v>
      </c>
      <c r="H8214" s="362"/>
      <c r="I8214" s="362"/>
      <c r="J8214" s="362"/>
    </row>
    <row r="8215" spans="1:10" x14ac:dyDescent="0.25">
      <c r="A8215" s="362"/>
      <c r="B8215" s="609">
        <v>44649</v>
      </c>
      <c r="C8215" s="362" t="s">
        <v>3435</v>
      </c>
      <c r="D8215" s="560">
        <v>86163373</v>
      </c>
      <c r="E8215" s="560"/>
      <c r="F8215" s="560"/>
      <c r="G8215" s="560">
        <f t="shared" si="167"/>
        <v>86163373</v>
      </c>
      <c r="H8215" s="362"/>
      <c r="I8215" s="362"/>
      <c r="J8215" s="362"/>
    </row>
    <row r="8216" spans="1:10" x14ac:dyDescent="0.25">
      <c r="A8216" s="362"/>
      <c r="B8216" s="609">
        <v>44649</v>
      </c>
      <c r="C8216" s="370" t="s">
        <v>85</v>
      </c>
      <c r="D8216" s="560">
        <v>47736200</v>
      </c>
      <c r="E8216" s="560"/>
      <c r="F8216" s="560"/>
      <c r="G8216" s="560">
        <f t="shared" si="167"/>
        <v>47736200</v>
      </c>
      <c r="H8216" s="362"/>
      <c r="I8216" s="362"/>
      <c r="J8216" s="362"/>
    </row>
    <row r="8217" spans="1:10" x14ac:dyDescent="0.25">
      <c r="A8217" s="530"/>
      <c r="B8217" s="530"/>
      <c r="C8217" s="530"/>
      <c r="D8217" s="562">
        <f>SUM(D8202:D8216)</f>
        <v>3384812981</v>
      </c>
      <c r="E8217" s="562">
        <f>SUM(E8202:E8216)</f>
        <v>0</v>
      </c>
      <c r="F8217" s="562">
        <f>SUM(F8202:F8216)</f>
        <v>0</v>
      </c>
      <c r="G8217" s="562">
        <f>SUM(G8202:G8216)</f>
        <v>3384812981</v>
      </c>
      <c r="H8217" s="530"/>
      <c r="I8217" s="530"/>
      <c r="J8217" s="530"/>
    </row>
    <row r="8218" spans="1:10" x14ac:dyDescent="0.25">
      <c r="A8218" s="362"/>
      <c r="B8218" s="609">
        <v>44650</v>
      </c>
      <c r="C8218" s="362" t="s">
        <v>86</v>
      </c>
      <c r="D8218" s="560">
        <v>268568509</v>
      </c>
      <c r="E8218" s="560"/>
      <c r="F8218" s="560"/>
      <c r="G8218" s="560">
        <f t="shared" si="167"/>
        <v>268568509</v>
      </c>
      <c r="H8218" s="362"/>
      <c r="I8218" s="362"/>
      <c r="J8218" s="362"/>
    </row>
    <row r="8219" spans="1:10" x14ac:dyDescent="0.25">
      <c r="A8219" s="362"/>
      <c r="B8219" s="609">
        <v>44650</v>
      </c>
      <c r="C8219" s="362" t="s">
        <v>87</v>
      </c>
      <c r="D8219" s="560">
        <v>190298547</v>
      </c>
      <c r="E8219" s="560"/>
      <c r="F8219" s="560"/>
      <c r="G8219" s="560">
        <f t="shared" si="167"/>
        <v>190298547</v>
      </c>
      <c r="H8219" s="362"/>
      <c r="I8219" s="362"/>
      <c r="J8219" s="362"/>
    </row>
    <row r="8220" spans="1:10" x14ac:dyDescent="0.25">
      <c r="A8220" s="362"/>
      <c r="B8220" s="609">
        <v>44650</v>
      </c>
      <c r="C8220" s="362" t="s">
        <v>88</v>
      </c>
      <c r="D8220" s="560">
        <v>136860072</v>
      </c>
      <c r="E8220" s="560"/>
      <c r="F8220" s="560"/>
      <c r="G8220" s="560">
        <f t="shared" ref="G8220:G8283" si="168">D8220+E8220-F8220</f>
        <v>136860072</v>
      </c>
      <c r="H8220" s="362"/>
      <c r="I8220" s="362"/>
      <c r="J8220" s="362"/>
    </row>
    <row r="8221" spans="1:10" x14ac:dyDescent="0.25">
      <c r="A8221" s="362"/>
      <c r="B8221" s="609">
        <v>44650</v>
      </c>
      <c r="C8221" s="362" t="s">
        <v>82</v>
      </c>
      <c r="D8221" s="560">
        <v>126718296</v>
      </c>
      <c r="E8221" s="560"/>
      <c r="F8221" s="560"/>
      <c r="G8221" s="560">
        <f t="shared" si="168"/>
        <v>126718296</v>
      </c>
      <c r="H8221" s="362"/>
      <c r="I8221" s="362"/>
      <c r="J8221" s="362"/>
    </row>
    <row r="8222" spans="1:10" x14ac:dyDescent="0.25">
      <c r="A8222" s="362"/>
      <c r="B8222" s="609">
        <v>44650</v>
      </c>
      <c r="C8222" s="362" t="s">
        <v>80</v>
      </c>
      <c r="D8222" s="560">
        <v>335900754</v>
      </c>
      <c r="E8222" s="560"/>
      <c r="F8222" s="560"/>
      <c r="G8222" s="560">
        <f t="shared" si="168"/>
        <v>335900754</v>
      </c>
      <c r="H8222" s="362"/>
      <c r="I8222" s="362"/>
      <c r="J8222" s="362"/>
    </row>
    <row r="8223" spans="1:10" x14ac:dyDescent="0.25">
      <c r="A8223" s="362"/>
      <c r="B8223" s="609">
        <v>44650</v>
      </c>
      <c r="C8223" s="362" t="s">
        <v>83</v>
      </c>
      <c r="D8223" s="560">
        <v>373057200</v>
      </c>
      <c r="E8223" s="560"/>
      <c r="F8223" s="560"/>
      <c r="G8223" s="560">
        <f t="shared" si="168"/>
        <v>373057200</v>
      </c>
      <c r="H8223" s="362"/>
      <c r="I8223" s="362"/>
      <c r="J8223" s="362"/>
    </row>
    <row r="8224" spans="1:10" x14ac:dyDescent="0.25">
      <c r="A8224" s="362"/>
      <c r="B8224" s="609">
        <v>44650</v>
      </c>
      <c r="C8224" s="362" t="s">
        <v>78</v>
      </c>
      <c r="D8224" s="560">
        <v>122849021</v>
      </c>
      <c r="E8224" s="560"/>
      <c r="F8224" s="560"/>
      <c r="G8224" s="560">
        <f t="shared" si="168"/>
        <v>122849021</v>
      </c>
      <c r="H8224" s="362"/>
      <c r="I8224" s="362"/>
      <c r="J8224" s="362"/>
    </row>
    <row r="8225" spans="1:12" x14ac:dyDescent="0.25">
      <c r="A8225" s="362"/>
      <c r="B8225" s="609">
        <v>44650</v>
      </c>
      <c r="C8225" s="362" t="s">
        <v>141</v>
      </c>
      <c r="D8225" s="560">
        <v>220063264</v>
      </c>
      <c r="E8225" s="560"/>
      <c r="F8225" s="560"/>
      <c r="G8225" s="560">
        <f t="shared" si="168"/>
        <v>220063264</v>
      </c>
      <c r="H8225" s="362"/>
      <c r="I8225" s="362"/>
      <c r="J8225" s="362"/>
    </row>
    <row r="8226" spans="1:12" x14ac:dyDescent="0.25">
      <c r="A8226" s="362"/>
      <c r="B8226" s="609">
        <v>44650</v>
      </c>
      <c r="C8226" s="362" t="s">
        <v>89</v>
      </c>
      <c r="D8226" s="560">
        <v>265163200</v>
      </c>
      <c r="E8226" s="560"/>
      <c r="F8226" s="560"/>
      <c r="G8226" s="560">
        <f t="shared" si="168"/>
        <v>265163200</v>
      </c>
      <c r="H8226" s="362"/>
      <c r="I8226" s="362"/>
      <c r="J8226" s="362"/>
    </row>
    <row r="8227" spans="1:12" x14ac:dyDescent="0.25">
      <c r="A8227" s="362"/>
      <c r="B8227" s="609">
        <v>44650</v>
      </c>
      <c r="C8227" s="362" t="s">
        <v>81</v>
      </c>
      <c r="D8227" s="560">
        <v>177474248</v>
      </c>
      <c r="E8227" s="560"/>
      <c r="F8227" s="560"/>
      <c r="G8227" s="560">
        <f t="shared" si="168"/>
        <v>177474248</v>
      </c>
      <c r="H8227" s="362"/>
      <c r="I8227" s="362"/>
      <c r="J8227" s="362"/>
    </row>
    <row r="8228" spans="1:12" x14ac:dyDescent="0.25">
      <c r="A8228" s="362"/>
      <c r="B8228" s="609">
        <v>44650</v>
      </c>
      <c r="C8228" s="362" t="s">
        <v>84</v>
      </c>
      <c r="D8228" s="560">
        <v>305136100</v>
      </c>
      <c r="E8228" s="560"/>
      <c r="F8228" s="560"/>
      <c r="G8228" s="560">
        <f t="shared" si="168"/>
        <v>305136100</v>
      </c>
      <c r="H8228" s="362"/>
      <c r="I8228" s="362"/>
      <c r="J8228" s="362"/>
    </row>
    <row r="8229" spans="1:12" x14ac:dyDescent="0.25">
      <c r="A8229" s="362"/>
      <c r="B8229" s="609">
        <v>44650</v>
      </c>
      <c r="C8229" s="362" t="s">
        <v>4751</v>
      </c>
      <c r="D8229" s="560">
        <v>285932300</v>
      </c>
      <c r="E8229" s="560"/>
      <c r="F8229" s="560"/>
      <c r="G8229" s="560">
        <f t="shared" si="168"/>
        <v>285932300</v>
      </c>
      <c r="H8229" s="362"/>
      <c r="I8229" s="362"/>
      <c r="J8229" s="362"/>
    </row>
    <row r="8230" spans="1:12" x14ac:dyDescent="0.25">
      <c r="A8230" s="362"/>
      <c r="B8230" s="609">
        <v>44650</v>
      </c>
      <c r="C8230" s="362" t="s">
        <v>166</v>
      </c>
      <c r="D8230" s="560">
        <v>93909071</v>
      </c>
      <c r="E8230" s="560"/>
      <c r="F8230" s="560"/>
      <c r="G8230" s="560">
        <f t="shared" si="168"/>
        <v>93909071</v>
      </c>
      <c r="H8230" s="362"/>
      <c r="I8230" s="362"/>
      <c r="J8230" s="362"/>
    </row>
    <row r="8231" spans="1:12" x14ac:dyDescent="0.25">
      <c r="A8231" s="362"/>
      <c r="B8231" s="609">
        <v>44650</v>
      </c>
      <c r="C8231" s="362" t="s">
        <v>3435</v>
      </c>
      <c r="D8231" s="560">
        <v>128063014</v>
      </c>
      <c r="E8231" s="560"/>
      <c r="F8231" s="560"/>
      <c r="G8231" s="560">
        <f t="shared" si="168"/>
        <v>128063014</v>
      </c>
      <c r="H8231" s="362"/>
      <c r="I8231" s="362"/>
      <c r="J8231" s="362"/>
    </row>
    <row r="8232" spans="1:12" x14ac:dyDescent="0.25">
      <c r="A8232" s="362"/>
      <c r="B8232" s="609">
        <v>44650</v>
      </c>
      <c r="C8232" s="370" t="s">
        <v>85</v>
      </c>
      <c r="D8232" s="560">
        <v>55559700</v>
      </c>
      <c r="E8232" s="560"/>
      <c r="F8232" s="560"/>
      <c r="G8232" s="560">
        <f t="shared" si="168"/>
        <v>55559700</v>
      </c>
      <c r="H8232" s="362"/>
      <c r="I8232" s="362"/>
      <c r="J8232" s="362"/>
    </row>
    <row r="8233" spans="1:12" x14ac:dyDescent="0.25">
      <c r="A8233" s="530"/>
      <c r="B8233" s="530"/>
      <c r="C8233" s="530"/>
      <c r="D8233" s="562">
        <f>SUM(D8218:D8232)</f>
        <v>3085553296</v>
      </c>
      <c r="E8233" s="562">
        <f>SUM(E8218:E8232)</f>
        <v>0</v>
      </c>
      <c r="F8233" s="562">
        <f>SUM(F8218:F8232)</f>
        <v>0</v>
      </c>
      <c r="G8233" s="562">
        <f>SUM(G8218:G8232)</f>
        <v>3085553296</v>
      </c>
      <c r="H8233" s="530"/>
      <c r="I8233" s="530"/>
      <c r="J8233" s="530"/>
    </row>
    <row r="8234" spans="1:12" x14ac:dyDescent="0.25">
      <c r="A8234" s="362"/>
      <c r="B8234" s="609">
        <v>44652</v>
      </c>
      <c r="C8234" s="362" t="s">
        <v>86</v>
      </c>
      <c r="D8234" s="560">
        <v>144718691</v>
      </c>
      <c r="E8234" s="560"/>
      <c r="F8234" s="560">
        <v>144718700</v>
      </c>
      <c r="G8234" s="560">
        <f t="shared" si="168"/>
        <v>-9</v>
      </c>
      <c r="H8234" s="362"/>
      <c r="I8234" s="362"/>
      <c r="J8234" s="362"/>
    </row>
    <row r="8235" spans="1:12" x14ac:dyDescent="0.25">
      <c r="A8235" s="362"/>
      <c r="B8235" s="609">
        <v>44652</v>
      </c>
      <c r="C8235" s="362" t="s">
        <v>87</v>
      </c>
      <c r="D8235" s="560">
        <v>256673119</v>
      </c>
      <c r="E8235" s="560"/>
      <c r="F8235" s="560">
        <v>256673200</v>
      </c>
      <c r="G8235" s="560">
        <f t="shared" si="168"/>
        <v>-81</v>
      </c>
      <c r="H8235" s="362"/>
      <c r="I8235" s="362"/>
      <c r="J8235" s="362"/>
    </row>
    <row r="8236" spans="1:12" x14ac:dyDescent="0.25">
      <c r="A8236" s="362"/>
      <c r="B8236" s="609">
        <v>44652</v>
      </c>
      <c r="C8236" s="362" t="s">
        <v>88</v>
      </c>
      <c r="D8236" s="560">
        <v>304498659</v>
      </c>
      <c r="E8236" s="560"/>
      <c r="F8236" s="560">
        <v>304498600</v>
      </c>
      <c r="G8236" s="560">
        <f t="shared" si="168"/>
        <v>59</v>
      </c>
      <c r="H8236" s="362"/>
      <c r="I8236" s="362"/>
      <c r="J8236" s="362"/>
    </row>
    <row r="8237" spans="1:12" x14ac:dyDescent="0.25">
      <c r="A8237" s="362"/>
      <c r="B8237" s="609">
        <v>44652</v>
      </c>
      <c r="C8237" s="362" t="s">
        <v>82</v>
      </c>
      <c r="D8237" s="560">
        <v>91620403</v>
      </c>
      <c r="E8237" s="560"/>
      <c r="F8237" s="560">
        <v>91620500</v>
      </c>
      <c r="G8237" s="560">
        <f t="shared" si="168"/>
        <v>-97</v>
      </c>
      <c r="H8237" s="362"/>
      <c r="I8237" s="362"/>
      <c r="J8237" s="362"/>
    </row>
    <row r="8238" spans="1:12" x14ac:dyDescent="0.25">
      <c r="A8238" s="362"/>
      <c r="B8238" s="609">
        <v>44652</v>
      </c>
      <c r="C8238" s="362" t="s">
        <v>80</v>
      </c>
      <c r="D8238" s="560">
        <v>395759900</v>
      </c>
      <c r="E8238" s="560"/>
      <c r="F8238" s="560">
        <v>395759900</v>
      </c>
      <c r="G8238" s="560">
        <f t="shared" si="168"/>
        <v>0</v>
      </c>
      <c r="H8238" s="362"/>
      <c r="I8238" s="362"/>
      <c r="J8238" s="362"/>
    </row>
    <row r="8239" spans="1:12" x14ac:dyDescent="0.25">
      <c r="A8239" s="362"/>
      <c r="B8239" s="609">
        <v>44652</v>
      </c>
      <c r="C8239" s="362" t="s">
        <v>83</v>
      </c>
      <c r="D8239" s="560">
        <v>233197700</v>
      </c>
      <c r="E8239" s="560"/>
      <c r="F8239" s="560">
        <v>233197700</v>
      </c>
      <c r="G8239" s="560">
        <f t="shared" si="168"/>
        <v>0</v>
      </c>
      <c r="H8239" s="362"/>
      <c r="I8239" s="362"/>
      <c r="J8239" s="362"/>
    </row>
    <row r="8240" spans="1:12" x14ac:dyDescent="0.25">
      <c r="A8240" s="362"/>
      <c r="B8240" s="609">
        <v>44652</v>
      </c>
      <c r="C8240" s="362" t="s">
        <v>78</v>
      </c>
      <c r="D8240" s="560">
        <v>229808662</v>
      </c>
      <c r="E8240" s="560"/>
      <c r="F8240" s="560">
        <v>229808700</v>
      </c>
      <c r="G8240" s="560">
        <f t="shared" si="168"/>
        <v>-38</v>
      </c>
      <c r="H8240" s="362"/>
      <c r="I8240" s="362"/>
      <c r="J8240" s="362"/>
      <c r="K8240" s="254" t="s">
        <v>6203</v>
      </c>
      <c r="L8240" s="254" t="s">
        <v>6204</v>
      </c>
    </row>
    <row r="8241" spans="1:10" x14ac:dyDescent="0.25">
      <c r="A8241" s="362"/>
      <c r="B8241" s="609">
        <v>44652</v>
      </c>
      <c r="C8241" s="362" t="s">
        <v>141</v>
      </c>
      <c r="D8241" s="560">
        <v>101099935</v>
      </c>
      <c r="E8241" s="560"/>
      <c r="F8241" s="560">
        <v>101100000</v>
      </c>
      <c r="G8241" s="560">
        <f t="shared" si="168"/>
        <v>-65</v>
      </c>
      <c r="H8241" s="362"/>
      <c r="I8241" s="362"/>
      <c r="J8241" s="362"/>
    </row>
    <row r="8242" spans="1:10" x14ac:dyDescent="0.25">
      <c r="A8242" s="362"/>
      <c r="B8242" s="609">
        <v>44652</v>
      </c>
      <c r="C8242" s="362" t="s">
        <v>89</v>
      </c>
      <c r="D8242" s="560">
        <v>253214800</v>
      </c>
      <c r="E8242" s="560"/>
      <c r="F8242" s="560">
        <v>253214800</v>
      </c>
      <c r="G8242" s="560">
        <f t="shared" si="168"/>
        <v>0</v>
      </c>
      <c r="H8242" s="362"/>
      <c r="I8242" s="362"/>
      <c r="J8242" s="362"/>
    </row>
    <row r="8243" spans="1:10" x14ac:dyDescent="0.25">
      <c r="A8243" s="362"/>
      <c r="B8243" s="609">
        <v>44652</v>
      </c>
      <c r="C8243" s="362" t="s">
        <v>81</v>
      </c>
      <c r="D8243" s="560">
        <v>178515731</v>
      </c>
      <c r="E8243" s="560"/>
      <c r="F8243" s="560">
        <v>178515800</v>
      </c>
      <c r="G8243" s="560">
        <f t="shared" si="168"/>
        <v>-69</v>
      </c>
      <c r="H8243" s="362"/>
      <c r="I8243" s="362"/>
      <c r="J8243" s="362"/>
    </row>
    <row r="8244" spans="1:10" x14ac:dyDescent="0.25">
      <c r="A8244" s="362"/>
      <c r="B8244" s="609">
        <v>44652</v>
      </c>
      <c r="C8244" s="362" t="s">
        <v>84</v>
      </c>
      <c r="D8244" s="560">
        <v>239557626</v>
      </c>
      <c r="E8244" s="560"/>
      <c r="F8244" s="560">
        <v>239557600</v>
      </c>
      <c r="G8244" s="560">
        <f t="shared" si="168"/>
        <v>26</v>
      </c>
      <c r="H8244" s="362"/>
      <c r="I8244" s="362"/>
      <c r="J8244" s="362"/>
    </row>
    <row r="8245" spans="1:10" x14ac:dyDescent="0.25">
      <c r="A8245" s="362"/>
      <c r="B8245" s="609">
        <v>44652</v>
      </c>
      <c r="C8245" s="362" t="s">
        <v>4751</v>
      </c>
      <c r="D8245" s="560">
        <v>148301900</v>
      </c>
      <c r="E8245" s="560"/>
      <c r="F8245" s="560">
        <v>148302000</v>
      </c>
      <c r="G8245" s="560">
        <f t="shared" si="168"/>
        <v>-100</v>
      </c>
      <c r="H8245" s="362"/>
      <c r="I8245" s="362"/>
      <c r="J8245" s="362"/>
    </row>
    <row r="8246" spans="1:10" x14ac:dyDescent="0.25">
      <c r="A8246" s="362"/>
      <c r="B8246" s="609">
        <v>44652</v>
      </c>
      <c r="C8246" s="362" t="s">
        <v>166</v>
      </c>
      <c r="D8246" s="560">
        <v>48608372</v>
      </c>
      <c r="E8246" s="560"/>
      <c r="F8246" s="560">
        <v>48608500</v>
      </c>
      <c r="G8246" s="560">
        <f t="shared" si="168"/>
        <v>-128</v>
      </c>
      <c r="H8246" s="362"/>
      <c r="I8246" s="362"/>
      <c r="J8246" s="362"/>
    </row>
    <row r="8247" spans="1:10" x14ac:dyDescent="0.25">
      <c r="A8247" s="362"/>
      <c r="B8247" s="609">
        <v>44652</v>
      </c>
      <c r="C8247" s="362" t="s">
        <v>3435</v>
      </c>
      <c r="D8247" s="560">
        <v>42598308</v>
      </c>
      <c r="E8247" s="560"/>
      <c r="F8247" s="560">
        <v>42598500</v>
      </c>
      <c r="G8247" s="560">
        <f t="shared" si="168"/>
        <v>-192</v>
      </c>
      <c r="H8247" s="362"/>
      <c r="I8247" s="362"/>
      <c r="J8247" s="362"/>
    </row>
    <row r="8248" spans="1:10" x14ac:dyDescent="0.25">
      <c r="A8248" s="362"/>
      <c r="B8248" s="609">
        <v>44652</v>
      </c>
      <c r="C8248" s="370" t="s">
        <v>85</v>
      </c>
      <c r="D8248" s="560">
        <v>32657600</v>
      </c>
      <c r="E8248" s="560"/>
      <c r="F8248" s="560">
        <v>32657600</v>
      </c>
      <c r="G8248" s="560">
        <f t="shared" si="168"/>
        <v>0</v>
      </c>
      <c r="H8248" s="362"/>
      <c r="I8248" s="362"/>
      <c r="J8248" s="362"/>
    </row>
    <row r="8249" spans="1:10" x14ac:dyDescent="0.25">
      <c r="A8249" s="530"/>
      <c r="B8249" s="530"/>
      <c r="C8249" s="530"/>
      <c r="D8249" s="562">
        <f>SUM(D8234:D8248)</f>
        <v>2700831406</v>
      </c>
      <c r="E8249" s="562">
        <f>SUM(E8234:E8248)</f>
        <v>0</v>
      </c>
      <c r="F8249" s="562">
        <f>SUM(F8234:F8248)</f>
        <v>2700832100</v>
      </c>
      <c r="G8249" s="562">
        <f>SUM(G8234:G8248)</f>
        <v>-694</v>
      </c>
      <c r="H8249" s="530"/>
      <c r="I8249" s="530"/>
      <c r="J8249" s="530"/>
    </row>
    <row r="8250" spans="1:10" x14ac:dyDescent="0.25">
      <c r="A8250" s="362"/>
      <c r="B8250" s="609">
        <v>44653</v>
      </c>
      <c r="C8250" s="362" t="s">
        <v>86</v>
      </c>
      <c r="D8250" s="560">
        <v>215933824</v>
      </c>
      <c r="E8250" s="560"/>
      <c r="F8250" s="560"/>
      <c r="G8250" s="560">
        <f t="shared" si="168"/>
        <v>215933824</v>
      </c>
      <c r="H8250" s="362"/>
      <c r="I8250" s="362"/>
      <c r="J8250" s="362"/>
    </row>
    <row r="8251" spans="1:10" x14ac:dyDescent="0.25">
      <c r="A8251" s="362"/>
      <c r="B8251" s="609">
        <v>44653</v>
      </c>
      <c r="C8251" s="362" t="s">
        <v>87</v>
      </c>
      <c r="D8251" s="560">
        <v>205560680</v>
      </c>
      <c r="E8251" s="560"/>
      <c r="F8251" s="560"/>
      <c r="G8251" s="560">
        <f t="shared" si="168"/>
        <v>205560680</v>
      </c>
      <c r="H8251" s="362"/>
      <c r="I8251" s="362"/>
      <c r="J8251" s="362"/>
    </row>
    <row r="8252" spans="1:10" x14ac:dyDescent="0.25">
      <c r="A8252" s="362"/>
      <c r="B8252" s="609">
        <v>44653</v>
      </c>
      <c r="C8252" s="362" t="s">
        <v>88</v>
      </c>
      <c r="D8252" s="560">
        <v>171492526</v>
      </c>
      <c r="E8252" s="560"/>
      <c r="F8252" s="560"/>
      <c r="G8252" s="560">
        <f t="shared" si="168"/>
        <v>171492526</v>
      </c>
      <c r="H8252" s="362"/>
      <c r="I8252" s="362"/>
      <c r="J8252" s="362"/>
    </row>
    <row r="8253" spans="1:10" x14ac:dyDescent="0.25">
      <c r="A8253" s="362"/>
      <c r="B8253" s="609">
        <v>44653</v>
      </c>
      <c r="C8253" s="362" t="s">
        <v>82</v>
      </c>
      <c r="D8253" s="560">
        <v>84815825</v>
      </c>
      <c r="E8253" s="560"/>
      <c r="F8253" s="560"/>
      <c r="G8253" s="560">
        <f t="shared" si="168"/>
        <v>84815825</v>
      </c>
      <c r="H8253" s="362"/>
      <c r="I8253" s="362"/>
      <c r="J8253" s="362"/>
    </row>
    <row r="8254" spans="1:10" x14ac:dyDescent="0.25">
      <c r="A8254" s="362"/>
      <c r="B8254" s="609">
        <v>44653</v>
      </c>
      <c r="C8254" s="362" t="s">
        <v>80</v>
      </c>
      <c r="D8254" s="560">
        <v>251266852</v>
      </c>
      <c r="E8254" s="560"/>
      <c r="F8254" s="560"/>
      <c r="G8254" s="560">
        <f t="shared" si="168"/>
        <v>251266852</v>
      </c>
      <c r="H8254" s="362"/>
      <c r="I8254" s="362"/>
      <c r="J8254" s="362"/>
    </row>
    <row r="8255" spans="1:10" x14ac:dyDescent="0.25">
      <c r="A8255" s="362"/>
      <c r="B8255" s="609">
        <v>44653</v>
      </c>
      <c r="C8255" s="362" t="s">
        <v>83</v>
      </c>
      <c r="D8255" s="560">
        <v>146544800</v>
      </c>
      <c r="E8255" s="560"/>
      <c r="F8255" s="560"/>
      <c r="G8255" s="560">
        <f t="shared" si="168"/>
        <v>146544800</v>
      </c>
      <c r="H8255" s="362"/>
      <c r="I8255" s="362"/>
      <c r="J8255" s="362"/>
    </row>
    <row r="8256" spans="1:10" x14ac:dyDescent="0.25">
      <c r="A8256" s="362"/>
      <c r="B8256" s="609">
        <v>44653</v>
      </c>
      <c r="C8256" s="362" t="s">
        <v>78</v>
      </c>
      <c r="D8256" s="560">
        <v>277809257</v>
      </c>
      <c r="E8256" s="560"/>
      <c r="F8256" s="560"/>
      <c r="G8256" s="560">
        <f t="shared" si="168"/>
        <v>277809257</v>
      </c>
      <c r="H8256" s="362"/>
      <c r="I8256" s="362"/>
      <c r="J8256" s="362"/>
    </row>
    <row r="8257" spans="1:10" x14ac:dyDescent="0.25">
      <c r="A8257" s="362"/>
      <c r="B8257" s="609">
        <v>44653</v>
      </c>
      <c r="C8257" s="362" t="s">
        <v>141</v>
      </c>
      <c r="D8257" s="560">
        <v>72923300</v>
      </c>
      <c r="E8257" s="560"/>
      <c r="F8257" s="560"/>
      <c r="G8257" s="560">
        <f t="shared" si="168"/>
        <v>72923300</v>
      </c>
      <c r="H8257" s="362"/>
      <c r="I8257" s="362"/>
      <c r="J8257" s="362"/>
    </row>
    <row r="8258" spans="1:10" x14ac:dyDescent="0.25">
      <c r="A8258" s="362"/>
      <c r="B8258" s="609">
        <v>44653</v>
      </c>
      <c r="C8258" s="362" t="s">
        <v>89</v>
      </c>
      <c r="D8258" s="560">
        <v>189868600</v>
      </c>
      <c r="E8258" s="560"/>
      <c r="F8258" s="560"/>
      <c r="G8258" s="560">
        <f t="shared" si="168"/>
        <v>189868600</v>
      </c>
      <c r="H8258" s="362"/>
      <c r="I8258" s="362"/>
      <c r="J8258" s="362"/>
    </row>
    <row r="8259" spans="1:10" x14ac:dyDescent="0.25">
      <c r="A8259" s="362"/>
      <c r="B8259" s="609">
        <v>44653</v>
      </c>
      <c r="C8259" s="362" t="s">
        <v>81</v>
      </c>
      <c r="D8259" s="560">
        <v>148982984</v>
      </c>
      <c r="E8259" s="560"/>
      <c r="F8259" s="560"/>
      <c r="G8259" s="560">
        <f t="shared" si="168"/>
        <v>148982984</v>
      </c>
      <c r="H8259" s="362"/>
      <c r="I8259" s="362"/>
      <c r="J8259" s="362"/>
    </row>
    <row r="8260" spans="1:10" x14ac:dyDescent="0.25">
      <c r="A8260" s="362"/>
      <c r="B8260" s="609">
        <v>44653</v>
      </c>
      <c r="C8260" s="362" t="s">
        <v>84</v>
      </c>
      <c r="D8260" s="560">
        <v>158649574</v>
      </c>
      <c r="E8260" s="560"/>
      <c r="F8260" s="560"/>
      <c r="G8260" s="560">
        <f t="shared" si="168"/>
        <v>158649574</v>
      </c>
      <c r="H8260" s="362"/>
      <c r="I8260" s="362"/>
      <c r="J8260" s="362"/>
    </row>
    <row r="8261" spans="1:10" x14ac:dyDescent="0.25">
      <c r="A8261" s="362"/>
      <c r="B8261" s="609">
        <v>44653</v>
      </c>
      <c r="C8261" s="362" t="s">
        <v>4751</v>
      </c>
      <c r="D8261" s="560">
        <v>268424200</v>
      </c>
      <c r="E8261" s="560"/>
      <c r="F8261" s="560"/>
      <c r="G8261" s="560">
        <f t="shared" si="168"/>
        <v>268424200</v>
      </c>
      <c r="H8261" s="362"/>
      <c r="I8261" s="362"/>
      <c r="J8261" s="362"/>
    </row>
    <row r="8262" spans="1:10" x14ac:dyDescent="0.25">
      <c r="A8262" s="362"/>
      <c r="B8262" s="609">
        <v>44653</v>
      </c>
      <c r="C8262" s="362" t="s">
        <v>166</v>
      </c>
      <c r="D8262" s="560"/>
      <c r="E8262" s="560"/>
      <c r="F8262" s="560"/>
      <c r="G8262" s="560">
        <f t="shared" si="168"/>
        <v>0</v>
      </c>
      <c r="H8262" s="362"/>
      <c r="I8262" s="362"/>
      <c r="J8262" s="362"/>
    </row>
    <row r="8263" spans="1:10" x14ac:dyDescent="0.25">
      <c r="A8263" s="362"/>
      <c r="B8263" s="609">
        <v>44653</v>
      </c>
      <c r="C8263" s="362" t="s">
        <v>3435</v>
      </c>
      <c r="D8263" s="560"/>
      <c r="E8263" s="560"/>
      <c r="F8263" s="560"/>
      <c r="G8263" s="560">
        <f t="shared" si="168"/>
        <v>0</v>
      </c>
      <c r="H8263" s="362"/>
      <c r="I8263" s="362"/>
      <c r="J8263" s="362"/>
    </row>
    <row r="8264" spans="1:10" x14ac:dyDescent="0.25">
      <c r="A8264" s="362"/>
      <c r="B8264" s="609">
        <v>44653</v>
      </c>
      <c r="C8264" s="370" t="s">
        <v>85</v>
      </c>
      <c r="D8264" s="560">
        <v>47555600</v>
      </c>
      <c r="E8264" s="560"/>
      <c r="F8264" s="560"/>
      <c r="G8264" s="560">
        <f t="shared" si="168"/>
        <v>47555600</v>
      </c>
      <c r="H8264" s="362"/>
      <c r="I8264" s="362"/>
      <c r="J8264" s="362"/>
    </row>
    <row r="8265" spans="1:10" x14ac:dyDescent="0.25">
      <c r="A8265" s="530"/>
      <c r="B8265" s="530"/>
      <c r="C8265" s="530"/>
      <c r="D8265" s="562">
        <f>SUM(D8250:D8264)</f>
        <v>2239828022</v>
      </c>
      <c r="E8265" s="562">
        <f>SUM(E8250:E8264)</f>
        <v>0</v>
      </c>
      <c r="F8265" s="562">
        <f>SUM(F8250:F8264)</f>
        <v>0</v>
      </c>
      <c r="G8265" s="562">
        <f>SUM(G8250:G8264)</f>
        <v>2239828022</v>
      </c>
      <c r="H8265" s="530"/>
      <c r="I8265" s="530"/>
      <c r="J8265" s="530"/>
    </row>
    <row r="8266" spans="1:10" x14ac:dyDescent="0.25">
      <c r="A8266" s="362"/>
      <c r="B8266" s="609">
        <v>44655</v>
      </c>
      <c r="C8266" s="362" t="s">
        <v>86</v>
      </c>
      <c r="D8266" s="560">
        <v>67488234</v>
      </c>
      <c r="E8266" s="560"/>
      <c r="F8266" s="560">
        <v>67488300</v>
      </c>
      <c r="G8266" s="560">
        <f t="shared" si="168"/>
        <v>-66</v>
      </c>
      <c r="H8266" s="362"/>
      <c r="I8266" s="362"/>
      <c r="J8266" s="362"/>
    </row>
    <row r="8267" spans="1:10" x14ac:dyDescent="0.25">
      <c r="A8267" s="362"/>
      <c r="B8267" s="609">
        <v>44655</v>
      </c>
      <c r="C8267" s="362" t="s">
        <v>87</v>
      </c>
      <c r="D8267" s="560">
        <v>215113097</v>
      </c>
      <c r="E8267" s="560"/>
      <c r="F8267" s="560">
        <v>215113100</v>
      </c>
      <c r="G8267" s="560">
        <f t="shared" si="168"/>
        <v>-3</v>
      </c>
      <c r="H8267" s="362"/>
      <c r="I8267" s="362"/>
      <c r="J8267" s="362"/>
    </row>
    <row r="8268" spans="1:10" x14ac:dyDescent="0.25">
      <c r="A8268" s="362"/>
      <c r="B8268" s="609">
        <v>44655</v>
      </c>
      <c r="C8268" s="362" t="s">
        <v>88</v>
      </c>
      <c r="D8268" s="560">
        <v>188329209</v>
      </c>
      <c r="E8268" s="560"/>
      <c r="F8268" s="560">
        <v>188329300</v>
      </c>
      <c r="G8268" s="560">
        <f t="shared" si="168"/>
        <v>-91</v>
      </c>
      <c r="H8268" s="362"/>
      <c r="I8268" s="362"/>
      <c r="J8268" s="362"/>
    </row>
    <row r="8269" spans="1:10" x14ac:dyDescent="0.25">
      <c r="A8269" s="362"/>
      <c r="B8269" s="609">
        <v>44655</v>
      </c>
      <c r="C8269" s="362" t="s">
        <v>82</v>
      </c>
      <c r="D8269" s="560">
        <v>67306246</v>
      </c>
      <c r="E8269" s="560"/>
      <c r="F8269" s="560">
        <v>67306300</v>
      </c>
      <c r="G8269" s="560">
        <f t="shared" si="168"/>
        <v>-54</v>
      </c>
      <c r="H8269" s="362"/>
      <c r="I8269" s="362"/>
      <c r="J8269" s="362"/>
    </row>
    <row r="8270" spans="1:10" x14ac:dyDescent="0.25">
      <c r="A8270" s="362"/>
      <c r="B8270" s="609">
        <v>44655</v>
      </c>
      <c r="C8270" s="362" t="s">
        <v>80</v>
      </c>
      <c r="D8270" s="560">
        <v>265435000</v>
      </c>
      <c r="E8270" s="560"/>
      <c r="F8270" s="560">
        <v>265435000</v>
      </c>
      <c r="G8270" s="560">
        <f t="shared" si="168"/>
        <v>0</v>
      </c>
      <c r="H8270" s="362"/>
      <c r="I8270" s="362"/>
      <c r="J8270" s="362"/>
    </row>
    <row r="8271" spans="1:10" x14ac:dyDescent="0.25">
      <c r="A8271" s="362"/>
      <c r="B8271" s="609">
        <v>44655</v>
      </c>
      <c r="C8271" s="362" t="s">
        <v>83</v>
      </c>
      <c r="D8271" s="560">
        <v>200035700</v>
      </c>
      <c r="E8271" s="560"/>
      <c r="F8271" s="560">
        <v>200035700</v>
      </c>
      <c r="G8271" s="560">
        <f t="shared" si="168"/>
        <v>0</v>
      </c>
      <c r="H8271" s="362"/>
      <c r="I8271" s="362"/>
      <c r="J8271" s="362"/>
    </row>
    <row r="8272" spans="1:10" x14ac:dyDescent="0.25">
      <c r="A8272" s="362"/>
      <c r="B8272" s="609">
        <v>44655</v>
      </c>
      <c r="C8272" s="362" t="s">
        <v>78</v>
      </c>
      <c r="D8272" s="560">
        <v>108817900</v>
      </c>
      <c r="E8272" s="560"/>
      <c r="F8272" s="560">
        <v>108817900</v>
      </c>
      <c r="G8272" s="560">
        <f t="shared" si="168"/>
        <v>0</v>
      </c>
      <c r="H8272" s="362"/>
      <c r="I8272" s="362"/>
      <c r="J8272" s="362"/>
    </row>
    <row r="8273" spans="1:10" x14ac:dyDescent="0.25">
      <c r="A8273" s="362"/>
      <c r="B8273" s="609">
        <v>44655</v>
      </c>
      <c r="C8273" s="362" t="s">
        <v>141</v>
      </c>
      <c r="D8273" s="560">
        <v>57496788</v>
      </c>
      <c r="E8273" s="560"/>
      <c r="F8273" s="560">
        <v>57496800</v>
      </c>
      <c r="G8273" s="560">
        <f t="shared" si="168"/>
        <v>-12</v>
      </c>
      <c r="H8273" s="362"/>
      <c r="I8273" s="362"/>
      <c r="J8273" s="362"/>
    </row>
    <row r="8274" spans="1:10" x14ac:dyDescent="0.25">
      <c r="A8274" s="362"/>
      <c r="B8274" s="609">
        <v>44655</v>
      </c>
      <c r="C8274" s="362" t="s">
        <v>89</v>
      </c>
      <c r="D8274" s="560">
        <v>140128700</v>
      </c>
      <c r="E8274" s="560"/>
      <c r="F8274" s="560">
        <v>140128800</v>
      </c>
      <c r="G8274" s="560">
        <f t="shared" si="168"/>
        <v>-100</v>
      </c>
      <c r="H8274" s="362"/>
      <c r="I8274" s="362"/>
      <c r="J8274" s="362"/>
    </row>
    <row r="8275" spans="1:10" x14ac:dyDescent="0.25">
      <c r="A8275" s="362"/>
      <c r="B8275" s="609">
        <v>44655</v>
      </c>
      <c r="C8275" s="362" t="s">
        <v>81</v>
      </c>
      <c r="D8275" s="560">
        <v>164099449</v>
      </c>
      <c r="E8275" s="560"/>
      <c r="F8275" s="560">
        <v>164099500</v>
      </c>
      <c r="G8275" s="560">
        <f t="shared" si="168"/>
        <v>-51</v>
      </c>
      <c r="H8275" s="362"/>
      <c r="I8275" s="362"/>
      <c r="J8275" s="362"/>
    </row>
    <row r="8276" spans="1:10" x14ac:dyDescent="0.25">
      <c r="A8276" s="362"/>
      <c r="B8276" s="609">
        <v>44655</v>
      </c>
      <c r="C8276" s="362" t="s">
        <v>84</v>
      </c>
      <c r="D8276" s="560">
        <v>358850379</v>
      </c>
      <c r="E8276" s="560"/>
      <c r="F8276" s="560">
        <v>358850400</v>
      </c>
      <c r="G8276" s="560">
        <f t="shared" si="168"/>
        <v>-21</v>
      </c>
      <c r="H8276" s="362"/>
      <c r="I8276" s="362"/>
      <c r="J8276" s="362"/>
    </row>
    <row r="8277" spans="1:10" x14ac:dyDescent="0.25">
      <c r="A8277" s="362"/>
      <c r="B8277" s="609">
        <v>44655</v>
      </c>
      <c r="C8277" s="362" t="s">
        <v>4751</v>
      </c>
      <c r="D8277" s="560">
        <v>249084900</v>
      </c>
      <c r="E8277" s="560"/>
      <c r="F8277" s="560">
        <v>249084900</v>
      </c>
      <c r="G8277" s="560">
        <f t="shared" si="168"/>
        <v>0</v>
      </c>
      <c r="H8277" s="362"/>
      <c r="I8277" s="362"/>
      <c r="J8277" s="362"/>
    </row>
    <row r="8278" spans="1:10" x14ac:dyDescent="0.25">
      <c r="A8278" s="362"/>
      <c r="B8278" s="609">
        <v>44655</v>
      </c>
      <c r="C8278" s="362" t="s">
        <v>166</v>
      </c>
      <c r="D8278" s="560">
        <v>106451853</v>
      </c>
      <c r="E8278" s="560"/>
      <c r="F8278" s="560">
        <v>106452000</v>
      </c>
      <c r="G8278" s="560">
        <f t="shared" si="168"/>
        <v>-147</v>
      </c>
      <c r="H8278" s="362"/>
      <c r="I8278" s="362"/>
      <c r="J8278" s="362"/>
    </row>
    <row r="8279" spans="1:10" x14ac:dyDescent="0.25">
      <c r="A8279" s="362"/>
      <c r="B8279" s="609">
        <v>44655</v>
      </c>
      <c r="C8279" s="362" t="s">
        <v>3435</v>
      </c>
      <c r="D8279" s="560">
        <v>29735666</v>
      </c>
      <c r="E8279" s="560"/>
      <c r="F8279" s="560">
        <v>29735700</v>
      </c>
      <c r="G8279" s="560">
        <f t="shared" si="168"/>
        <v>-34</v>
      </c>
      <c r="H8279" s="362"/>
      <c r="I8279" s="362"/>
      <c r="J8279" s="362"/>
    </row>
    <row r="8280" spans="1:10" x14ac:dyDescent="0.25">
      <c r="A8280" s="362"/>
      <c r="B8280" s="609">
        <v>44655</v>
      </c>
      <c r="C8280" s="370" t="s">
        <v>85</v>
      </c>
      <c r="D8280" s="560">
        <v>66961300</v>
      </c>
      <c r="E8280" s="560"/>
      <c r="F8280" s="560">
        <v>66961300</v>
      </c>
      <c r="G8280" s="560">
        <f t="shared" si="168"/>
        <v>0</v>
      </c>
      <c r="H8280" s="362"/>
      <c r="I8280" s="362"/>
      <c r="J8280" s="362"/>
    </row>
    <row r="8281" spans="1:10" x14ac:dyDescent="0.25">
      <c r="A8281" s="530"/>
      <c r="B8281" s="530"/>
      <c r="C8281" s="530"/>
      <c r="D8281" s="630">
        <f>SUM(D8266:D8280)</f>
        <v>2285334421</v>
      </c>
      <c r="E8281" s="630">
        <f>SUM(E8266:E8280)</f>
        <v>0</v>
      </c>
      <c r="F8281" s="630">
        <f>SUM(F8266:F8280)</f>
        <v>2285335000</v>
      </c>
      <c r="G8281" s="630">
        <f>SUM(G8266:G8280)</f>
        <v>-579</v>
      </c>
      <c r="H8281" s="530"/>
      <c r="I8281" s="530"/>
      <c r="J8281" s="530"/>
    </row>
    <row r="8282" spans="1:10" x14ac:dyDescent="0.25">
      <c r="A8282" s="362"/>
      <c r="B8282" s="609">
        <v>44656</v>
      </c>
      <c r="C8282" s="362" t="s">
        <v>86</v>
      </c>
      <c r="D8282" s="560">
        <v>141376333</v>
      </c>
      <c r="E8282" s="560"/>
      <c r="F8282" s="560"/>
      <c r="G8282" s="560">
        <f t="shared" si="168"/>
        <v>141376333</v>
      </c>
      <c r="H8282" s="362"/>
      <c r="I8282" s="362"/>
      <c r="J8282" s="362"/>
    </row>
    <row r="8283" spans="1:10" x14ac:dyDescent="0.25">
      <c r="A8283" s="362"/>
      <c r="B8283" s="609">
        <v>44656</v>
      </c>
      <c r="C8283" s="362" t="s">
        <v>87</v>
      </c>
      <c r="D8283" s="560">
        <v>153369200</v>
      </c>
      <c r="E8283" s="560"/>
      <c r="F8283" s="560"/>
      <c r="G8283" s="560">
        <f t="shared" si="168"/>
        <v>153369200</v>
      </c>
      <c r="H8283" s="362"/>
      <c r="I8283" s="362"/>
      <c r="J8283" s="362"/>
    </row>
    <row r="8284" spans="1:10" x14ac:dyDescent="0.25">
      <c r="A8284" s="362"/>
      <c r="B8284" s="609">
        <v>44656</v>
      </c>
      <c r="C8284" s="362" t="s">
        <v>88</v>
      </c>
      <c r="D8284" s="560">
        <v>233318380</v>
      </c>
      <c r="E8284" s="560"/>
      <c r="F8284" s="560"/>
      <c r="G8284" s="560">
        <f t="shared" ref="G8284:G8347" si="169">D8284+E8284-F8284</f>
        <v>233318380</v>
      </c>
      <c r="H8284" s="362"/>
      <c r="I8284" s="362"/>
      <c r="J8284" s="362"/>
    </row>
    <row r="8285" spans="1:10" x14ac:dyDescent="0.25">
      <c r="A8285" s="362"/>
      <c r="B8285" s="609">
        <v>44656</v>
      </c>
      <c r="C8285" s="362" t="s">
        <v>82</v>
      </c>
      <c r="D8285" s="560">
        <v>79955111</v>
      </c>
      <c r="E8285" s="560"/>
      <c r="F8285" s="560"/>
      <c r="G8285" s="560">
        <f t="shared" si="169"/>
        <v>79955111</v>
      </c>
      <c r="H8285" s="362"/>
      <c r="I8285" s="362"/>
      <c r="J8285" s="362"/>
    </row>
    <row r="8286" spans="1:10" x14ac:dyDescent="0.25">
      <c r="A8286" s="362"/>
      <c r="B8286" s="609">
        <v>44656</v>
      </c>
      <c r="C8286" s="362" t="s">
        <v>80</v>
      </c>
      <c r="D8286" s="560">
        <v>399041300</v>
      </c>
      <c r="E8286" s="560"/>
      <c r="F8286" s="560"/>
      <c r="G8286" s="560">
        <f t="shared" si="169"/>
        <v>399041300</v>
      </c>
      <c r="H8286" s="362"/>
      <c r="I8286" s="362"/>
      <c r="J8286" s="362"/>
    </row>
    <row r="8287" spans="1:10" x14ac:dyDescent="0.25">
      <c r="A8287" s="362"/>
      <c r="B8287" s="609">
        <v>44656</v>
      </c>
      <c r="C8287" s="362" t="s">
        <v>83</v>
      </c>
      <c r="D8287" s="560">
        <v>295794236</v>
      </c>
      <c r="E8287" s="560"/>
      <c r="F8287" s="560"/>
      <c r="G8287" s="560">
        <f t="shared" si="169"/>
        <v>295794236</v>
      </c>
      <c r="H8287" s="362"/>
      <c r="I8287" s="362"/>
      <c r="J8287" s="362"/>
    </row>
    <row r="8288" spans="1:10" x14ac:dyDescent="0.25">
      <c r="A8288" s="362"/>
      <c r="B8288" s="609">
        <v>44656</v>
      </c>
      <c r="C8288" s="362" t="s">
        <v>78</v>
      </c>
      <c r="D8288" s="560">
        <v>159672785</v>
      </c>
      <c r="E8288" s="560"/>
      <c r="F8288" s="560"/>
      <c r="G8288" s="560">
        <f t="shared" si="169"/>
        <v>159672785</v>
      </c>
      <c r="H8288" s="362"/>
      <c r="I8288" s="362"/>
      <c r="J8288" s="362"/>
    </row>
    <row r="8289" spans="1:10" x14ac:dyDescent="0.25">
      <c r="A8289" s="362"/>
      <c r="B8289" s="609">
        <v>44656</v>
      </c>
      <c r="C8289" s="362" t="s">
        <v>141</v>
      </c>
      <c r="D8289" s="560">
        <v>124822862</v>
      </c>
      <c r="E8289" s="560"/>
      <c r="F8289" s="560"/>
      <c r="G8289" s="560">
        <f t="shared" si="169"/>
        <v>124822862</v>
      </c>
      <c r="H8289" s="362"/>
      <c r="I8289" s="362"/>
      <c r="J8289" s="362"/>
    </row>
    <row r="8290" spans="1:10" x14ac:dyDescent="0.25">
      <c r="A8290" s="362"/>
      <c r="B8290" s="609">
        <v>44656</v>
      </c>
      <c r="C8290" s="362" t="s">
        <v>89</v>
      </c>
      <c r="D8290" s="560">
        <v>267389300</v>
      </c>
      <c r="E8290" s="560"/>
      <c r="F8290" s="560"/>
      <c r="G8290" s="560">
        <f t="shared" si="169"/>
        <v>267389300</v>
      </c>
      <c r="H8290" s="362"/>
      <c r="I8290" s="362"/>
      <c r="J8290" s="362"/>
    </row>
    <row r="8291" spans="1:10" x14ac:dyDescent="0.25">
      <c r="A8291" s="362"/>
      <c r="B8291" s="609">
        <v>44656</v>
      </c>
      <c r="C8291" s="362" t="s">
        <v>81</v>
      </c>
      <c r="D8291" s="560">
        <v>131416798</v>
      </c>
      <c r="E8291" s="560"/>
      <c r="F8291" s="560"/>
      <c r="G8291" s="560">
        <f t="shared" si="169"/>
        <v>131416798</v>
      </c>
      <c r="H8291" s="362"/>
      <c r="I8291" s="362"/>
      <c r="J8291" s="362"/>
    </row>
    <row r="8292" spans="1:10" x14ac:dyDescent="0.25">
      <c r="A8292" s="362"/>
      <c r="B8292" s="609">
        <v>44656</v>
      </c>
      <c r="C8292" s="362" t="s">
        <v>84</v>
      </c>
      <c r="D8292" s="560">
        <v>425535468</v>
      </c>
      <c r="E8292" s="560"/>
      <c r="F8292" s="560"/>
      <c r="G8292" s="560">
        <f t="shared" si="169"/>
        <v>425535468</v>
      </c>
      <c r="H8292" s="362"/>
      <c r="I8292" s="362"/>
      <c r="J8292" s="362"/>
    </row>
    <row r="8293" spans="1:10" x14ac:dyDescent="0.25">
      <c r="A8293" s="362"/>
      <c r="B8293" s="609">
        <v>44656</v>
      </c>
      <c r="C8293" s="362" t="s">
        <v>4751</v>
      </c>
      <c r="D8293" s="560">
        <v>335043200</v>
      </c>
      <c r="E8293" s="560"/>
      <c r="F8293" s="560"/>
      <c r="G8293" s="560">
        <f t="shared" si="169"/>
        <v>335043200</v>
      </c>
      <c r="H8293" s="362"/>
      <c r="I8293" s="362"/>
      <c r="J8293" s="362"/>
    </row>
    <row r="8294" spans="1:10" x14ac:dyDescent="0.25">
      <c r="A8294" s="362"/>
      <c r="B8294" s="609">
        <v>44656</v>
      </c>
      <c r="C8294" s="362" t="s">
        <v>166</v>
      </c>
      <c r="D8294" s="560">
        <v>90032149</v>
      </c>
      <c r="E8294" s="560"/>
      <c r="F8294" s="560"/>
      <c r="G8294" s="560">
        <f t="shared" si="169"/>
        <v>90032149</v>
      </c>
      <c r="H8294" s="362"/>
      <c r="I8294" s="362"/>
      <c r="J8294" s="362"/>
    </row>
    <row r="8295" spans="1:10" x14ac:dyDescent="0.25">
      <c r="A8295" s="362"/>
      <c r="B8295" s="609">
        <v>44656</v>
      </c>
      <c r="C8295" s="362" t="s">
        <v>3435</v>
      </c>
      <c r="D8295" s="560">
        <v>121424775</v>
      </c>
      <c r="E8295" s="560"/>
      <c r="F8295" s="560"/>
      <c r="G8295" s="560">
        <f t="shared" si="169"/>
        <v>121424775</v>
      </c>
      <c r="H8295" s="362"/>
      <c r="I8295" s="362"/>
      <c r="J8295" s="362"/>
    </row>
    <row r="8296" spans="1:10" x14ac:dyDescent="0.25">
      <c r="A8296" s="362"/>
      <c r="B8296" s="609">
        <v>44656</v>
      </c>
      <c r="C8296" s="370" t="s">
        <v>85</v>
      </c>
      <c r="D8296" s="560">
        <v>38661800</v>
      </c>
      <c r="E8296" s="560"/>
      <c r="F8296" s="560"/>
      <c r="G8296" s="560">
        <f t="shared" si="169"/>
        <v>38661800</v>
      </c>
      <c r="H8296" s="362"/>
      <c r="I8296" s="362"/>
      <c r="J8296" s="362"/>
    </row>
    <row r="8297" spans="1:10" x14ac:dyDescent="0.25">
      <c r="A8297" s="530"/>
      <c r="B8297" s="530"/>
      <c r="C8297" s="530"/>
      <c r="D8297" s="562">
        <f>SUM(D8282:D8296)</f>
        <v>2996853697</v>
      </c>
      <c r="E8297" s="562">
        <f>SUM(E8282:E8296)</f>
        <v>0</v>
      </c>
      <c r="F8297" s="562">
        <f>SUM(F8282:F8296)</f>
        <v>0</v>
      </c>
      <c r="G8297" s="562">
        <f>SUM(G8282:G8296)</f>
        <v>2996853697</v>
      </c>
      <c r="H8297" s="530"/>
      <c r="I8297" s="530"/>
      <c r="J8297" s="530"/>
    </row>
    <row r="8298" spans="1:10" x14ac:dyDescent="0.25">
      <c r="A8298" s="362"/>
      <c r="B8298" s="609">
        <v>44657</v>
      </c>
      <c r="C8298" s="362" t="s">
        <v>86</v>
      </c>
      <c r="D8298" s="560">
        <v>205579809</v>
      </c>
      <c r="E8298" s="560"/>
      <c r="F8298" s="560">
        <v>205580000</v>
      </c>
      <c r="G8298" s="560">
        <f t="shared" si="169"/>
        <v>-191</v>
      </c>
      <c r="H8298" s="362"/>
      <c r="I8298" s="362"/>
      <c r="J8298" s="362"/>
    </row>
    <row r="8299" spans="1:10" x14ac:dyDescent="0.25">
      <c r="A8299" s="362"/>
      <c r="B8299" s="609">
        <v>44657</v>
      </c>
      <c r="C8299" s="362" t="s">
        <v>87</v>
      </c>
      <c r="D8299" s="560">
        <v>181236304</v>
      </c>
      <c r="E8299" s="560"/>
      <c r="F8299" s="560">
        <v>181236400</v>
      </c>
      <c r="G8299" s="560">
        <f t="shared" si="169"/>
        <v>-96</v>
      </c>
      <c r="H8299" s="362"/>
      <c r="I8299" s="362"/>
      <c r="J8299" s="362"/>
    </row>
    <row r="8300" spans="1:10" x14ac:dyDescent="0.25">
      <c r="A8300" s="362"/>
      <c r="B8300" s="609">
        <v>44657</v>
      </c>
      <c r="C8300" s="362" t="s">
        <v>88</v>
      </c>
      <c r="D8300" s="560">
        <v>154709163</v>
      </c>
      <c r="E8300" s="560"/>
      <c r="F8300" s="560">
        <v>154709200</v>
      </c>
      <c r="G8300" s="560">
        <f t="shared" si="169"/>
        <v>-37</v>
      </c>
      <c r="H8300" s="362"/>
      <c r="I8300" s="362"/>
      <c r="J8300" s="362"/>
    </row>
    <row r="8301" spans="1:10" x14ac:dyDescent="0.25">
      <c r="A8301" s="362"/>
      <c r="B8301" s="609">
        <v>44657</v>
      </c>
      <c r="C8301" s="362" t="s">
        <v>82</v>
      </c>
      <c r="D8301" s="560">
        <v>104727860</v>
      </c>
      <c r="E8301" s="560"/>
      <c r="F8301" s="560">
        <v>104727900</v>
      </c>
      <c r="G8301" s="560">
        <f t="shared" si="169"/>
        <v>-40</v>
      </c>
      <c r="H8301" s="362"/>
      <c r="I8301" s="362"/>
      <c r="J8301" s="362"/>
    </row>
    <row r="8302" spans="1:10" x14ac:dyDescent="0.25">
      <c r="A8302" s="362"/>
      <c r="B8302" s="609">
        <v>44657</v>
      </c>
      <c r="C8302" s="362" t="s">
        <v>80</v>
      </c>
      <c r="D8302" s="560">
        <v>353847700</v>
      </c>
      <c r="E8302" s="560"/>
      <c r="F8302" s="560">
        <v>353858400</v>
      </c>
      <c r="G8302" s="560">
        <f t="shared" si="169"/>
        <v>-10700</v>
      </c>
      <c r="H8302" s="362"/>
      <c r="I8302" s="362"/>
      <c r="J8302" s="362"/>
    </row>
    <row r="8303" spans="1:10" x14ac:dyDescent="0.25">
      <c r="A8303" s="362"/>
      <c r="B8303" s="609">
        <v>44657</v>
      </c>
      <c r="C8303" s="362" t="s">
        <v>83</v>
      </c>
      <c r="D8303" s="560">
        <v>254726368</v>
      </c>
      <c r="E8303" s="560"/>
      <c r="F8303" s="560">
        <v>254726400</v>
      </c>
      <c r="G8303" s="560">
        <f t="shared" si="169"/>
        <v>-32</v>
      </c>
      <c r="H8303" s="362"/>
      <c r="I8303" s="362"/>
      <c r="J8303" s="362"/>
    </row>
    <row r="8304" spans="1:10" x14ac:dyDescent="0.25">
      <c r="A8304" s="362"/>
      <c r="B8304" s="609">
        <v>44657</v>
      </c>
      <c r="C8304" s="362" t="s">
        <v>78</v>
      </c>
      <c r="D8304" s="560">
        <v>195055202</v>
      </c>
      <c r="E8304" s="560"/>
      <c r="F8304" s="560">
        <v>194955300</v>
      </c>
      <c r="G8304" s="560">
        <f t="shared" si="169"/>
        <v>99902</v>
      </c>
      <c r="H8304" s="362"/>
      <c r="I8304" s="362"/>
      <c r="J8304" s="362"/>
    </row>
    <row r="8305" spans="1:10" x14ac:dyDescent="0.25">
      <c r="A8305" s="362"/>
      <c r="B8305" s="609">
        <v>44657</v>
      </c>
      <c r="C8305" s="362" t="s">
        <v>141</v>
      </c>
      <c r="D8305" s="560">
        <v>141514319</v>
      </c>
      <c r="E8305" s="560"/>
      <c r="F8305" s="560">
        <v>141514400</v>
      </c>
      <c r="G8305" s="560">
        <f t="shared" si="169"/>
        <v>-81</v>
      </c>
      <c r="H8305" s="362"/>
      <c r="I8305" s="362"/>
      <c r="J8305" s="362"/>
    </row>
    <row r="8306" spans="1:10" x14ac:dyDescent="0.25">
      <c r="A8306" s="362"/>
      <c r="B8306" s="609">
        <v>44657</v>
      </c>
      <c r="C8306" s="362" t="s">
        <v>89</v>
      </c>
      <c r="D8306" s="560">
        <v>225246600</v>
      </c>
      <c r="E8306" s="560"/>
      <c r="F8306" s="560">
        <v>225246500</v>
      </c>
      <c r="G8306" s="560">
        <f t="shared" si="169"/>
        <v>100</v>
      </c>
      <c r="H8306" s="362"/>
      <c r="I8306" s="362"/>
      <c r="J8306" s="362"/>
    </row>
    <row r="8307" spans="1:10" x14ac:dyDescent="0.25">
      <c r="A8307" s="362"/>
      <c r="B8307" s="609">
        <v>44657</v>
      </c>
      <c r="C8307" s="362" t="s">
        <v>81</v>
      </c>
      <c r="D8307" s="560">
        <v>150355995</v>
      </c>
      <c r="E8307" s="560"/>
      <c r="F8307" s="560">
        <v>150356000</v>
      </c>
      <c r="G8307" s="560">
        <f t="shared" si="169"/>
        <v>-5</v>
      </c>
      <c r="H8307" s="362"/>
      <c r="I8307" s="362"/>
      <c r="J8307" s="362"/>
    </row>
    <row r="8308" spans="1:10" x14ac:dyDescent="0.25">
      <c r="A8308" s="362"/>
      <c r="B8308" s="609">
        <v>44657</v>
      </c>
      <c r="C8308" s="362" t="s">
        <v>84</v>
      </c>
      <c r="D8308" s="560">
        <v>309331388</v>
      </c>
      <c r="E8308" s="560"/>
      <c r="F8308" s="560">
        <v>309331400</v>
      </c>
      <c r="G8308" s="560">
        <f t="shared" si="169"/>
        <v>-12</v>
      </c>
      <c r="H8308" s="362"/>
      <c r="I8308" s="362"/>
      <c r="J8308" s="362"/>
    </row>
    <row r="8309" spans="1:10" x14ac:dyDescent="0.25">
      <c r="A8309" s="362"/>
      <c r="B8309" s="609">
        <v>44657</v>
      </c>
      <c r="C8309" s="362" t="s">
        <v>4751</v>
      </c>
      <c r="D8309" s="560">
        <v>223538400</v>
      </c>
      <c r="E8309" s="560"/>
      <c r="F8309" s="560">
        <v>223538400</v>
      </c>
      <c r="G8309" s="560">
        <f t="shared" si="169"/>
        <v>0</v>
      </c>
      <c r="H8309" s="362"/>
      <c r="I8309" s="362"/>
      <c r="J8309" s="362"/>
    </row>
    <row r="8310" spans="1:10" x14ac:dyDescent="0.25">
      <c r="A8310" s="362"/>
      <c r="B8310" s="609">
        <v>44657</v>
      </c>
      <c r="C8310" s="362" t="s">
        <v>166</v>
      </c>
      <c r="D8310" s="560">
        <v>76746066</v>
      </c>
      <c r="E8310" s="560"/>
      <c r="F8310" s="560">
        <v>76746000</v>
      </c>
      <c r="G8310" s="560">
        <f t="shared" si="169"/>
        <v>66</v>
      </c>
      <c r="H8310" s="362"/>
      <c r="I8310" s="362"/>
      <c r="J8310" s="362"/>
    </row>
    <row r="8311" spans="1:10" x14ac:dyDescent="0.25">
      <c r="A8311" s="362"/>
      <c r="B8311" s="609">
        <v>44657</v>
      </c>
      <c r="C8311" s="362" t="s">
        <v>3435</v>
      </c>
      <c r="D8311" s="560">
        <v>63724074</v>
      </c>
      <c r="E8311" s="560"/>
      <c r="F8311" s="560">
        <v>63724100</v>
      </c>
      <c r="G8311" s="560">
        <f t="shared" si="169"/>
        <v>-26</v>
      </c>
      <c r="H8311" s="362"/>
      <c r="I8311" s="362"/>
      <c r="J8311" s="362"/>
    </row>
    <row r="8312" spans="1:10" x14ac:dyDescent="0.25">
      <c r="A8312" s="362"/>
      <c r="B8312" s="609">
        <v>44657</v>
      </c>
      <c r="C8312" s="370" t="s">
        <v>85</v>
      </c>
      <c r="D8312" s="560">
        <v>62477900</v>
      </c>
      <c r="E8312" s="560"/>
      <c r="F8312" s="560">
        <v>62477900</v>
      </c>
      <c r="G8312" s="560">
        <f t="shared" si="169"/>
        <v>0</v>
      </c>
      <c r="H8312" s="362"/>
      <c r="I8312" s="362"/>
      <c r="J8312" s="362"/>
    </row>
    <row r="8313" spans="1:10" x14ac:dyDescent="0.25">
      <c r="A8313" s="530"/>
      <c r="B8313" s="530"/>
      <c r="C8313" s="530"/>
      <c r="D8313" s="562">
        <f>SUM(D8298:D8312)</f>
        <v>2702817148</v>
      </c>
      <c r="E8313" s="562">
        <f>SUM(E8298:E8312)</f>
        <v>0</v>
      </c>
      <c r="F8313" s="562">
        <f>SUM(F8298:F8312)</f>
        <v>2702728300</v>
      </c>
      <c r="G8313" s="562">
        <f>SUM(G8298:G8312)</f>
        <v>88848</v>
      </c>
      <c r="H8313" s="530"/>
      <c r="I8313" s="530"/>
      <c r="J8313" s="530"/>
    </row>
    <row r="8314" spans="1:10" x14ac:dyDescent="0.25">
      <c r="A8314" s="362"/>
      <c r="B8314" s="609">
        <v>44658</v>
      </c>
      <c r="C8314" s="362" t="s">
        <v>86</v>
      </c>
      <c r="D8314" s="560">
        <v>251640972</v>
      </c>
      <c r="E8314" s="560"/>
      <c r="F8314" s="560">
        <v>251641000</v>
      </c>
      <c r="G8314" s="560">
        <f t="shared" si="169"/>
        <v>-28</v>
      </c>
      <c r="H8314" s="362"/>
      <c r="I8314" s="362"/>
      <c r="J8314" s="362"/>
    </row>
    <row r="8315" spans="1:10" x14ac:dyDescent="0.25">
      <c r="A8315" s="362"/>
      <c r="B8315" s="609">
        <v>44658</v>
      </c>
      <c r="C8315" s="362" t="s">
        <v>87</v>
      </c>
      <c r="D8315" s="560">
        <v>282390522</v>
      </c>
      <c r="E8315" s="560"/>
      <c r="F8315" s="560">
        <v>282390400</v>
      </c>
      <c r="G8315" s="560">
        <f t="shared" si="169"/>
        <v>122</v>
      </c>
      <c r="H8315" s="362"/>
      <c r="I8315" s="362"/>
      <c r="J8315" s="362"/>
    </row>
    <row r="8316" spans="1:10" x14ac:dyDescent="0.25">
      <c r="A8316" s="362"/>
      <c r="B8316" s="609">
        <v>44658</v>
      </c>
      <c r="C8316" s="362" t="s">
        <v>88</v>
      </c>
      <c r="D8316" s="560">
        <v>250786532</v>
      </c>
      <c r="E8316" s="560"/>
      <c r="F8316" s="560">
        <v>250786600</v>
      </c>
      <c r="G8316" s="560">
        <f t="shared" si="169"/>
        <v>-68</v>
      </c>
      <c r="H8316" s="362"/>
      <c r="I8316" s="362"/>
      <c r="J8316" s="362"/>
    </row>
    <row r="8317" spans="1:10" x14ac:dyDescent="0.25">
      <c r="A8317" s="362"/>
      <c r="B8317" s="609">
        <v>44658</v>
      </c>
      <c r="C8317" s="362" t="s">
        <v>82</v>
      </c>
      <c r="D8317" s="560">
        <v>205426563</v>
      </c>
      <c r="E8317" s="560"/>
      <c r="F8317" s="560">
        <v>205426700</v>
      </c>
      <c r="G8317" s="560">
        <f t="shared" si="169"/>
        <v>-137</v>
      </c>
      <c r="H8317" s="362"/>
      <c r="I8317" s="362"/>
      <c r="J8317" s="362"/>
    </row>
    <row r="8318" spans="1:10" x14ac:dyDescent="0.25">
      <c r="A8318" s="362"/>
      <c r="B8318" s="609">
        <v>44658</v>
      </c>
      <c r="C8318" s="362" t="s">
        <v>80</v>
      </c>
      <c r="D8318" s="560">
        <v>402479622</v>
      </c>
      <c r="E8318" s="560"/>
      <c r="F8318" s="560">
        <v>402471700</v>
      </c>
      <c r="G8318" s="560">
        <f t="shared" si="169"/>
        <v>7922</v>
      </c>
      <c r="H8318" s="362"/>
      <c r="I8318" s="362"/>
      <c r="J8318" s="362"/>
    </row>
    <row r="8319" spans="1:10" x14ac:dyDescent="0.25">
      <c r="A8319" s="362"/>
      <c r="B8319" s="609">
        <v>44658</v>
      </c>
      <c r="C8319" s="362" t="s">
        <v>83</v>
      </c>
      <c r="D8319" s="560">
        <v>175770198</v>
      </c>
      <c r="E8319" s="560"/>
      <c r="F8319" s="560">
        <v>175770200</v>
      </c>
      <c r="G8319" s="560">
        <f t="shared" si="169"/>
        <v>-2</v>
      </c>
      <c r="H8319" s="362"/>
      <c r="I8319" s="362"/>
      <c r="J8319" s="362"/>
    </row>
    <row r="8320" spans="1:10" x14ac:dyDescent="0.25">
      <c r="A8320" s="362"/>
      <c r="B8320" s="609">
        <v>44658</v>
      </c>
      <c r="C8320" s="362" t="s">
        <v>78</v>
      </c>
      <c r="D8320" s="560">
        <v>158661053</v>
      </c>
      <c r="E8320" s="560"/>
      <c r="F8320" s="560">
        <v>158661100</v>
      </c>
      <c r="G8320" s="560">
        <f t="shared" si="169"/>
        <v>-47</v>
      </c>
      <c r="H8320" s="362"/>
      <c r="I8320" s="362"/>
      <c r="J8320" s="362"/>
    </row>
    <row r="8321" spans="1:10" x14ac:dyDescent="0.25">
      <c r="A8321" s="362"/>
      <c r="B8321" s="609">
        <v>44658</v>
      </c>
      <c r="C8321" s="362" t="s">
        <v>141</v>
      </c>
      <c r="D8321" s="560">
        <v>89994452</v>
      </c>
      <c r="E8321" s="560"/>
      <c r="F8321" s="560">
        <v>89994500</v>
      </c>
      <c r="G8321" s="560">
        <f t="shared" si="169"/>
        <v>-48</v>
      </c>
      <c r="H8321" s="362"/>
      <c r="I8321" s="362"/>
      <c r="J8321" s="362"/>
    </row>
    <row r="8322" spans="1:10" x14ac:dyDescent="0.25">
      <c r="A8322" s="362"/>
      <c r="B8322" s="609">
        <v>44658</v>
      </c>
      <c r="C8322" s="362" t="s">
        <v>89</v>
      </c>
      <c r="D8322" s="560">
        <v>232046100</v>
      </c>
      <c r="E8322" s="560"/>
      <c r="F8322" s="560">
        <v>232046100</v>
      </c>
      <c r="G8322" s="560">
        <f t="shared" si="169"/>
        <v>0</v>
      </c>
      <c r="H8322" s="362"/>
      <c r="I8322" s="362"/>
      <c r="J8322" s="362"/>
    </row>
    <row r="8323" spans="1:10" x14ac:dyDescent="0.25">
      <c r="A8323" s="362"/>
      <c r="B8323" s="609">
        <v>44658</v>
      </c>
      <c r="C8323" s="362" t="s">
        <v>81</v>
      </c>
      <c r="D8323" s="560">
        <v>176689431</v>
      </c>
      <c r="E8323" s="560"/>
      <c r="F8323" s="560">
        <v>176689500</v>
      </c>
      <c r="G8323" s="560">
        <f t="shared" si="169"/>
        <v>-69</v>
      </c>
      <c r="H8323" s="362"/>
      <c r="I8323" s="362"/>
      <c r="J8323" s="362"/>
    </row>
    <row r="8324" spans="1:10" x14ac:dyDescent="0.25">
      <c r="A8324" s="362"/>
      <c r="B8324" s="609">
        <v>44658</v>
      </c>
      <c r="C8324" s="362" t="s">
        <v>84</v>
      </c>
      <c r="D8324" s="560">
        <v>442683266</v>
      </c>
      <c r="E8324" s="560"/>
      <c r="F8324" s="560">
        <v>442683700</v>
      </c>
      <c r="G8324" s="560">
        <f t="shared" si="169"/>
        <v>-434</v>
      </c>
      <c r="H8324" s="362"/>
      <c r="I8324" s="362"/>
      <c r="J8324" s="362"/>
    </row>
    <row r="8325" spans="1:10" x14ac:dyDescent="0.25">
      <c r="A8325" s="362"/>
      <c r="B8325" s="609">
        <v>44658</v>
      </c>
      <c r="C8325" s="362" t="s">
        <v>4751</v>
      </c>
      <c r="D8325" s="560">
        <v>342503400</v>
      </c>
      <c r="E8325" s="560"/>
      <c r="F8325" s="560">
        <v>342503400</v>
      </c>
      <c r="G8325" s="560">
        <f t="shared" si="169"/>
        <v>0</v>
      </c>
      <c r="H8325" s="362"/>
      <c r="I8325" s="362"/>
      <c r="J8325" s="362"/>
    </row>
    <row r="8326" spans="1:10" x14ac:dyDescent="0.25">
      <c r="A8326" s="362"/>
      <c r="B8326" s="609">
        <v>44658</v>
      </c>
      <c r="C8326" s="362" t="s">
        <v>166</v>
      </c>
      <c r="D8326" s="560">
        <v>86212599</v>
      </c>
      <c r="E8326" s="560"/>
      <c r="F8326" s="560">
        <v>86212600</v>
      </c>
      <c r="G8326" s="560">
        <f t="shared" si="169"/>
        <v>-1</v>
      </c>
      <c r="H8326" s="362"/>
      <c r="I8326" s="362"/>
      <c r="J8326" s="362"/>
    </row>
    <row r="8327" spans="1:10" x14ac:dyDescent="0.25">
      <c r="A8327" s="362"/>
      <c r="B8327" s="609">
        <v>44658</v>
      </c>
      <c r="C8327" s="362" t="s">
        <v>3435</v>
      </c>
      <c r="D8327" s="560">
        <v>77852957</v>
      </c>
      <c r="E8327" s="560"/>
      <c r="F8327" s="560">
        <v>77853000</v>
      </c>
      <c r="G8327" s="560">
        <f t="shared" si="169"/>
        <v>-43</v>
      </c>
      <c r="H8327" s="362"/>
      <c r="I8327" s="362"/>
      <c r="J8327" s="362"/>
    </row>
    <row r="8328" spans="1:10" x14ac:dyDescent="0.25">
      <c r="A8328" s="362"/>
      <c r="B8328" s="609">
        <v>44658</v>
      </c>
      <c r="C8328" s="370" t="s">
        <v>85</v>
      </c>
      <c r="D8328" s="560">
        <v>46206100</v>
      </c>
      <c r="E8328" s="560"/>
      <c r="F8328" s="560">
        <v>46206100</v>
      </c>
      <c r="G8328" s="560">
        <f t="shared" si="169"/>
        <v>0</v>
      </c>
      <c r="H8328" s="362"/>
      <c r="I8328" s="362"/>
      <c r="J8328" s="362"/>
    </row>
    <row r="8329" spans="1:10" x14ac:dyDescent="0.25">
      <c r="A8329" s="530"/>
      <c r="B8329" s="530"/>
      <c r="C8329" s="530"/>
      <c r="D8329" s="562">
        <f>SUM(D8314:D8328)</f>
        <v>3221343767</v>
      </c>
      <c r="E8329" s="562">
        <f>SUM(E8314:E8328)</f>
        <v>0</v>
      </c>
      <c r="F8329" s="562">
        <f>SUM(F8314:F8328)</f>
        <v>3221336600</v>
      </c>
      <c r="G8329" s="562">
        <f>SUM(G8314:G8328)</f>
        <v>7167</v>
      </c>
      <c r="H8329" s="530"/>
      <c r="I8329" s="530"/>
      <c r="J8329" s="530"/>
    </row>
    <row r="8330" spans="1:10" x14ac:dyDescent="0.25">
      <c r="A8330" s="362"/>
      <c r="B8330" s="609">
        <v>44659</v>
      </c>
      <c r="C8330" s="362" t="s">
        <v>86</v>
      </c>
      <c r="D8330" s="560">
        <v>140178220</v>
      </c>
      <c r="E8330" s="560"/>
      <c r="F8330" s="560">
        <v>140178300</v>
      </c>
      <c r="G8330" s="560">
        <f t="shared" si="169"/>
        <v>-80</v>
      </c>
      <c r="H8330" s="362"/>
      <c r="I8330" s="362"/>
      <c r="J8330" s="362"/>
    </row>
    <row r="8331" spans="1:10" x14ac:dyDescent="0.25">
      <c r="A8331" s="362"/>
      <c r="B8331" s="609">
        <v>44659</v>
      </c>
      <c r="C8331" s="362" t="s">
        <v>87</v>
      </c>
      <c r="D8331" s="560">
        <v>348856705</v>
      </c>
      <c r="E8331" s="560"/>
      <c r="F8331" s="560">
        <v>348856800</v>
      </c>
      <c r="G8331" s="560">
        <f t="shared" si="169"/>
        <v>-95</v>
      </c>
      <c r="H8331" s="362"/>
      <c r="I8331" s="362"/>
      <c r="J8331" s="362"/>
    </row>
    <row r="8332" spans="1:10" x14ac:dyDescent="0.25">
      <c r="A8332" s="362"/>
      <c r="B8332" s="609">
        <v>44659</v>
      </c>
      <c r="C8332" s="362" t="s">
        <v>88</v>
      </c>
      <c r="D8332" s="560">
        <v>228162507</v>
      </c>
      <c r="E8332" s="560"/>
      <c r="F8332" s="560">
        <v>228162600</v>
      </c>
      <c r="G8332" s="560">
        <f t="shared" si="169"/>
        <v>-93</v>
      </c>
      <c r="H8332" s="362"/>
      <c r="I8332" s="362"/>
      <c r="J8332" s="362"/>
    </row>
    <row r="8333" spans="1:10" x14ac:dyDescent="0.25">
      <c r="A8333" s="362"/>
      <c r="B8333" s="609">
        <v>44659</v>
      </c>
      <c r="C8333" s="362" t="s">
        <v>82</v>
      </c>
      <c r="D8333" s="560">
        <v>111342276</v>
      </c>
      <c r="E8333" s="560"/>
      <c r="F8333" s="560">
        <v>111339300</v>
      </c>
      <c r="G8333" s="560">
        <f t="shared" si="169"/>
        <v>2976</v>
      </c>
      <c r="H8333" s="362"/>
      <c r="I8333" s="362"/>
      <c r="J8333" s="362"/>
    </row>
    <row r="8334" spans="1:10" x14ac:dyDescent="0.25">
      <c r="A8334" s="362"/>
      <c r="B8334" s="609">
        <v>44659</v>
      </c>
      <c r="C8334" s="362" t="s">
        <v>80</v>
      </c>
      <c r="D8334" s="560">
        <v>216756667</v>
      </c>
      <c r="E8334" s="560"/>
      <c r="F8334" s="560">
        <v>216756700</v>
      </c>
      <c r="G8334" s="560">
        <f t="shared" si="169"/>
        <v>-33</v>
      </c>
      <c r="H8334" s="362"/>
      <c r="I8334" s="362"/>
      <c r="J8334" s="362"/>
    </row>
    <row r="8335" spans="1:10" x14ac:dyDescent="0.25">
      <c r="A8335" s="362"/>
      <c r="B8335" s="609">
        <v>44659</v>
      </c>
      <c r="C8335" s="362" t="s">
        <v>83</v>
      </c>
      <c r="D8335" s="560">
        <v>428423000</v>
      </c>
      <c r="E8335" s="560"/>
      <c r="F8335" s="560">
        <v>428423000</v>
      </c>
      <c r="G8335" s="560">
        <f t="shared" si="169"/>
        <v>0</v>
      </c>
      <c r="H8335" s="362"/>
      <c r="I8335" s="362"/>
      <c r="J8335" s="362"/>
    </row>
    <row r="8336" spans="1:10" x14ac:dyDescent="0.25">
      <c r="A8336" s="362"/>
      <c r="B8336" s="609">
        <v>44659</v>
      </c>
      <c r="C8336" s="362" t="s">
        <v>78</v>
      </c>
      <c r="D8336" s="560">
        <v>154111644</v>
      </c>
      <c r="E8336" s="560"/>
      <c r="F8336" s="560">
        <v>154111700</v>
      </c>
      <c r="G8336" s="560">
        <f t="shared" si="169"/>
        <v>-56</v>
      </c>
      <c r="H8336" s="362"/>
      <c r="I8336" s="362"/>
      <c r="J8336" s="362"/>
    </row>
    <row r="8337" spans="1:10" x14ac:dyDescent="0.25">
      <c r="A8337" s="362"/>
      <c r="B8337" s="609">
        <v>44659</v>
      </c>
      <c r="C8337" s="362" t="s">
        <v>141</v>
      </c>
      <c r="D8337" s="560">
        <v>79627562</v>
      </c>
      <c r="E8337" s="560"/>
      <c r="F8337" s="560">
        <v>79627600</v>
      </c>
      <c r="G8337" s="560">
        <f t="shared" si="169"/>
        <v>-38</v>
      </c>
      <c r="H8337" s="362"/>
      <c r="I8337" s="362"/>
      <c r="J8337" s="362"/>
    </row>
    <row r="8338" spans="1:10" x14ac:dyDescent="0.25">
      <c r="A8338" s="362"/>
      <c r="B8338" s="609">
        <v>44659</v>
      </c>
      <c r="C8338" s="362" t="s">
        <v>89</v>
      </c>
      <c r="D8338" s="560">
        <v>239283200</v>
      </c>
      <c r="E8338" s="560"/>
      <c r="F8338" s="560">
        <v>239283200</v>
      </c>
      <c r="G8338" s="560">
        <f t="shared" si="169"/>
        <v>0</v>
      </c>
      <c r="H8338" s="362"/>
      <c r="I8338" s="362"/>
      <c r="J8338" s="362"/>
    </row>
    <row r="8339" spans="1:10" x14ac:dyDescent="0.25">
      <c r="A8339" s="362"/>
      <c r="B8339" s="609">
        <v>44659</v>
      </c>
      <c r="C8339" s="362" t="s">
        <v>81</v>
      </c>
      <c r="D8339" s="560">
        <v>127995406</v>
      </c>
      <c r="E8339" s="560"/>
      <c r="F8339" s="560">
        <v>127995400</v>
      </c>
      <c r="G8339" s="560">
        <f t="shared" si="169"/>
        <v>6</v>
      </c>
      <c r="H8339" s="362"/>
      <c r="I8339" s="362"/>
      <c r="J8339" s="362"/>
    </row>
    <row r="8340" spans="1:10" x14ac:dyDescent="0.25">
      <c r="A8340" s="362"/>
      <c r="B8340" s="609">
        <v>44659</v>
      </c>
      <c r="C8340" s="362" t="s">
        <v>84</v>
      </c>
      <c r="D8340" s="560">
        <v>455486083</v>
      </c>
      <c r="E8340" s="560"/>
      <c r="F8340" s="560">
        <v>455486000</v>
      </c>
      <c r="G8340" s="560">
        <f t="shared" si="169"/>
        <v>83</v>
      </c>
      <c r="H8340" s="362"/>
      <c r="I8340" s="362"/>
      <c r="J8340" s="362"/>
    </row>
    <row r="8341" spans="1:10" x14ac:dyDescent="0.25">
      <c r="A8341" s="362"/>
      <c r="B8341" s="609">
        <v>44659</v>
      </c>
      <c r="C8341" s="362" t="s">
        <v>4751</v>
      </c>
      <c r="D8341" s="560">
        <v>218832500</v>
      </c>
      <c r="E8341" s="560"/>
      <c r="F8341" s="560">
        <v>218832500</v>
      </c>
      <c r="G8341" s="560">
        <f t="shared" si="169"/>
        <v>0</v>
      </c>
      <c r="H8341" s="362"/>
      <c r="I8341" s="362"/>
      <c r="J8341" s="362"/>
    </row>
    <row r="8342" spans="1:10" x14ac:dyDescent="0.25">
      <c r="A8342" s="362"/>
      <c r="B8342" s="609">
        <v>44659</v>
      </c>
      <c r="C8342" s="362" t="s">
        <v>166</v>
      </c>
      <c r="D8342" s="560">
        <v>62868270</v>
      </c>
      <c r="E8342" s="560"/>
      <c r="F8342" s="560">
        <v>62868300</v>
      </c>
      <c r="G8342" s="560">
        <f t="shared" si="169"/>
        <v>-30</v>
      </c>
      <c r="H8342" s="362"/>
      <c r="I8342" s="362"/>
      <c r="J8342" s="362"/>
    </row>
    <row r="8343" spans="1:10" x14ac:dyDescent="0.25">
      <c r="A8343" s="362"/>
      <c r="B8343" s="609">
        <v>44659</v>
      </c>
      <c r="C8343" s="362" t="s">
        <v>3435</v>
      </c>
      <c r="D8343" s="560">
        <v>116739079</v>
      </c>
      <c r="E8343" s="560"/>
      <c r="F8343" s="560">
        <v>116739100</v>
      </c>
      <c r="G8343" s="560">
        <f t="shared" si="169"/>
        <v>-21</v>
      </c>
      <c r="H8343" s="362"/>
      <c r="I8343" s="362"/>
      <c r="J8343" s="362"/>
    </row>
    <row r="8344" spans="1:10" x14ac:dyDescent="0.25">
      <c r="A8344" s="362"/>
      <c r="B8344" s="609">
        <v>44659</v>
      </c>
      <c r="C8344" s="370" t="s">
        <v>85</v>
      </c>
      <c r="D8344" s="560">
        <v>45898700</v>
      </c>
      <c r="E8344" s="560"/>
      <c r="F8344" s="560">
        <v>45898700</v>
      </c>
      <c r="G8344" s="560">
        <f t="shared" si="169"/>
        <v>0</v>
      </c>
      <c r="H8344" s="362"/>
      <c r="I8344" s="362"/>
      <c r="J8344" s="362"/>
    </row>
    <row r="8345" spans="1:10" x14ac:dyDescent="0.25">
      <c r="A8345" s="530"/>
      <c r="B8345" s="530"/>
      <c r="C8345" s="530"/>
      <c r="D8345" s="562">
        <f>SUM(D8330:D8344)</f>
        <v>2974561819</v>
      </c>
      <c r="E8345" s="562">
        <f>SUM(E8330:E8344)</f>
        <v>0</v>
      </c>
      <c r="F8345" s="562">
        <f>SUM(F8330:F8344)</f>
        <v>2974559200</v>
      </c>
      <c r="G8345" s="562">
        <f>SUM(G8330:G8344)</f>
        <v>2619</v>
      </c>
      <c r="H8345" s="530"/>
      <c r="I8345" s="530"/>
      <c r="J8345" s="530"/>
    </row>
    <row r="8346" spans="1:10" x14ac:dyDescent="0.25">
      <c r="A8346" s="362"/>
      <c r="B8346" s="609">
        <v>44660</v>
      </c>
      <c r="C8346" s="362" t="s">
        <v>86</v>
      </c>
      <c r="D8346" s="560">
        <v>61021204</v>
      </c>
      <c r="E8346" s="560"/>
      <c r="F8346" s="560"/>
      <c r="G8346" s="560">
        <f t="shared" si="169"/>
        <v>61021204</v>
      </c>
      <c r="H8346" s="362"/>
      <c r="I8346" s="362"/>
      <c r="J8346" s="362"/>
    </row>
    <row r="8347" spans="1:10" x14ac:dyDescent="0.25">
      <c r="A8347" s="362"/>
      <c r="B8347" s="609">
        <v>44660</v>
      </c>
      <c r="C8347" s="362" t="s">
        <v>87</v>
      </c>
      <c r="D8347" s="560">
        <v>125645213</v>
      </c>
      <c r="E8347" s="560"/>
      <c r="F8347" s="560"/>
      <c r="G8347" s="560">
        <f t="shared" si="169"/>
        <v>125645213</v>
      </c>
      <c r="H8347" s="362"/>
      <c r="I8347" s="362"/>
      <c r="J8347" s="362"/>
    </row>
    <row r="8348" spans="1:10" x14ac:dyDescent="0.25">
      <c r="A8348" s="362"/>
      <c r="B8348" s="609">
        <v>44660</v>
      </c>
      <c r="C8348" s="362" t="s">
        <v>88</v>
      </c>
      <c r="D8348" s="560">
        <v>214336020</v>
      </c>
      <c r="E8348" s="560"/>
      <c r="F8348" s="560"/>
      <c r="G8348" s="560">
        <f t="shared" ref="G8348:G8411" si="170">D8348+E8348-F8348</f>
        <v>214336020</v>
      </c>
      <c r="H8348" s="362"/>
      <c r="I8348" s="362"/>
      <c r="J8348" s="362"/>
    </row>
    <row r="8349" spans="1:10" x14ac:dyDescent="0.25">
      <c r="A8349" s="362"/>
      <c r="B8349" s="609">
        <v>44660</v>
      </c>
      <c r="C8349" s="362" t="s">
        <v>82</v>
      </c>
      <c r="D8349" s="560">
        <v>70631387</v>
      </c>
      <c r="E8349" s="560"/>
      <c r="F8349" s="560"/>
      <c r="G8349" s="560">
        <f t="shared" si="170"/>
        <v>70631387</v>
      </c>
      <c r="H8349" s="362"/>
      <c r="I8349" s="362"/>
      <c r="J8349" s="362"/>
    </row>
    <row r="8350" spans="1:10" x14ac:dyDescent="0.25">
      <c r="A8350" s="362"/>
      <c r="B8350" s="609">
        <v>44660</v>
      </c>
      <c r="C8350" s="362" t="s">
        <v>80</v>
      </c>
      <c r="D8350" s="560">
        <v>298050111</v>
      </c>
      <c r="E8350" s="560"/>
      <c r="F8350" s="560"/>
      <c r="G8350" s="560">
        <f t="shared" si="170"/>
        <v>298050111</v>
      </c>
      <c r="H8350" s="362"/>
      <c r="I8350" s="362"/>
      <c r="J8350" s="362"/>
    </row>
    <row r="8351" spans="1:10" x14ac:dyDescent="0.25">
      <c r="A8351" s="362"/>
      <c r="B8351" s="609">
        <v>44660</v>
      </c>
      <c r="C8351" s="362" t="s">
        <v>83</v>
      </c>
      <c r="D8351" s="560">
        <v>184150868</v>
      </c>
      <c r="E8351" s="560"/>
      <c r="F8351" s="560"/>
      <c r="G8351" s="560">
        <f t="shared" si="170"/>
        <v>184150868</v>
      </c>
      <c r="H8351" s="362"/>
      <c r="I8351" s="362"/>
      <c r="J8351" s="362"/>
    </row>
    <row r="8352" spans="1:10" x14ac:dyDescent="0.25">
      <c r="A8352" s="362"/>
      <c r="B8352" s="609">
        <v>44660</v>
      </c>
      <c r="C8352" s="362" t="s">
        <v>78</v>
      </c>
      <c r="D8352" s="560">
        <v>146350006</v>
      </c>
      <c r="E8352" s="560"/>
      <c r="F8352" s="560"/>
      <c r="G8352" s="560">
        <f t="shared" si="170"/>
        <v>146350006</v>
      </c>
      <c r="H8352" s="362"/>
      <c r="I8352" s="362"/>
      <c r="J8352" s="362"/>
    </row>
    <row r="8353" spans="1:10" x14ac:dyDescent="0.25">
      <c r="A8353" s="362"/>
      <c r="B8353" s="609">
        <v>44660</v>
      </c>
      <c r="C8353" s="362" t="s">
        <v>141</v>
      </c>
      <c r="D8353" s="560">
        <v>46623543</v>
      </c>
      <c r="E8353" s="560"/>
      <c r="F8353" s="560"/>
      <c r="G8353" s="560">
        <f t="shared" si="170"/>
        <v>46623543</v>
      </c>
      <c r="H8353" s="362"/>
      <c r="I8353" s="362"/>
      <c r="J8353" s="362"/>
    </row>
    <row r="8354" spans="1:10" x14ac:dyDescent="0.25">
      <c r="A8354" s="362"/>
      <c r="B8354" s="609">
        <v>44660</v>
      </c>
      <c r="C8354" s="362" t="s">
        <v>89</v>
      </c>
      <c r="D8354" s="560">
        <v>353982200</v>
      </c>
      <c r="E8354" s="560"/>
      <c r="F8354" s="560"/>
      <c r="G8354" s="560">
        <f t="shared" si="170"/>
        <v>353982200</v>
      </c>
      <c r="H8354" s="362"/>
      <c r="I8354" s="362"/>
      <c r="J8354" s="362"/>
    </row>
    <row r="8355" spans="1:10" x14ac:dyDescent="0.25">
      <c r="A8355" s="362"/>
      <c r="B8355" s="609">
        <v>44660</v>
      </c>
      <c r="C8355" s="362" t="s">
        <v>81</v>
      </c>
      <c r="D8355" s="560">
        <v>170648082</v>
      </c>
      <c r="E8355" s="560"/>
      <c r="F8355" s="560"/>
      <c r="G8355" s="560">
        <f t="shared" si="170"/>
        <v>170648082</v>
      </c>
      <c r="H8355" s="362"/>
      <c r="I8355" s="362"/>
      <c r="J8355" s="362"/>
    </row>
    <row r="8356" spans="1:10" x14ac:dyDescent="0.25">
      <c r="A8356" s="362"/>
      <c r="B8356" s="609">
        <v>44660</v>
      </c>
      <c r="C8356" s="362" t="s">
        <v>84</v>
      </c>
      <c r="D8356" s="560">
        <v>220172361</v>
      </c>
      <c r="E8356" s="560"/>
      <c r="F8356" s="560"/>
      <c r="G8356" s="560">
        <f t="shared" si="170"/>
        <v>220172361</v>
      </c>
      <c r="H8356" s="362"/>
      <c r="I8356" s="362"/>
      <c r="J8356" s="362"/>
    </row>
    <row r="8357" spans="1:10" x14ac:dyDescent="0.25">
      <c r="A8357" s="362"/>
      <c r="B8357" s="609">
        <v>44660</v>
      </c>
      <c r="C8357" s="362" t="s">
        <v>4751</v>
      </c>
      <c r="D8357" s="560">
        <v>416045800</v>
      </c>
      <c r="E8357" s="560"/>
      <c r="F8357" s="560"/>
      <c r="G8357" s="560">
        <f t="shared" si="170"/>
        <v>416045800</v>
      </c>
      <c r="H8357" s="362"/>
      <c r="I8357" s="362"/>
      <c r="J8357" s="362"/>
    </row>
    <row r="8358" spans="1:10" x14ac:dyDescent="0.25">
      <c r="A8358" s="362"/>
      <c r="B8358" s="609">
        <v>44660</v>
      </c>
      <c r="C8358" s="362" t="s">
        <v>166</v>
      </c>
      <c r="D8358" s="560"/>
      <c r="E8358" s="560"/>
      <c r="F8358" s="560"/>
      <c r="G8358" s="560">
        <f t="shared" si="170"/>
        <v>0</v>
      </c>
      <c r="H8358" s="362"/>
      <c r="I8358" s="362"/>
      <c r="J8358" s="362"/>
    </row>
    <row r="8359" spans="1:10" x14ac:dyDescent="0.25">
      <c r="A8359" s="362"/>
      <c r="B8359" s="609">
        <v>44660</v>
      </c>
      <c r="C8359" s="362" t="s">
        <v>3435</v>
      </c>
      <c r="D8359" s="560"/>
      <c r="E8359" s="560"/>
      <c r="F8359" s="560"/>
      <c r="G8359" s="560">
        <f t="shared" si="170"/>
        <v>0</v>
      </c>
      <c r="H8359" s="362"/>
      <c r="I8359" s="362"/>
      <c r="J8359" s="362"/>
    </row>
    <row r="8360" spans="1:10" x14ac:dyDescent="0.25">
      <c r="A8360" s="362"/>
      <c r="B8360" s="609">
        <v>44660</v>
      </c>
      <c r="C8360" s="370" t="s">
        <v>85</v>
      </c>
      <c r="D8360" s="560">
        <v>26049200</v>
      </c>
      <c r="E8360" s="560"/>
      <c r="F8360" s="560"/>
      <c r="G8360" s="560">
        <f t="shared" si="170"/>
        <v>26049200</v>
      </c>
      <c r="H8360" s="362"/>
      <c r="I8360" s="362"/>
      <c r="J8360" s="362"/>
    </row>
    <row r="8361" spans="1:10" x14ac:dyDescent="0.25">
      <c r="A8361" s="530"/>
      <c r="B8361" s="530"/>
      <c r="C8361" s="530"/>
      <c r="D8361" s="562">
        <f>SUM(D8346:D8360)</f>
        <v>2333705995</v>
      </c>
      <c r="E8361" s="562">
        <f>SUM(E8346:E8360)</f>
        <v>0</v>
      </c>
      <c r="F8361" s="562">
        <f>SUM(F8346:F8360)</f>
        <v>0</v>
      </c>
      <c r="G8361" s="562">
        <f>SUM(G8346:G8360)</f>
        <v>2333705995</v>
      </c>
      <c r="H8361" s="530"/>
      <c r="I8361" s="530"/>
      <c r="J8361" s="530"/>
    </row>
    <row r="8362" spans="1:10" x14ac:dyDescent="0.25">
      <c r="A8362" s="362"/>
      <c r="B8362" s="609">
        <v>44662</v>
      </c>
      <c r="C8362" s="362" t="s">
        <v>86</v>
      </c>
      <c r="D8362" s="560">
        <v>99465372</v>
      </c>
      <c r="E8362" s="560"/>
      <c r="F8362" s="560"/>
      <c r="G8362" s="560">
        <f t="shared" si="170"/>
        <v>99465372</v>
      </c>
      <c r="H8362" s="362"/>
      <c r="I8362" s="362"/>
      <c r="J8362" s="362"/>
    </row>
    <row r="8363" spans="1:10" x14ac:dyDescent="0.25">
      <c r="A8363" s="362"/>
      <c r="B8363" s="609">
        <v>44662</v>
      </c>
      <c r="C8363" s="362" t="s">
        <v>87</v>
      </c>
      <c r="D8363" s="560">
        <v>182405929</v>
      </c>
      <c r="E8363" s="560"/>
      <c r="F8363" s="560"/>
      <c r="G8363" s="560">
        <f t="shared" si="170"/>
        <v>182405929</v>
      </c>
      <c r="H8363" s="362"/>
      <c r="I8363" s="362"/>
      <c r="J8363" s="362"/>
    </row>
    <row r="8364" spans="1:10" x14ac:dyDescent="0.25">
      <c r="A8364" s="362"/>
      <c r="B8364" s="609">
        <v>44662</v>
      </c>
      <c r="C8364" s="362" t="s">
        <v>88</v>
      </c>
      <c r="D8364" s="560">
        <v>173740349</v>
      </c>
      <c r="E8364" s="560"/>
      <c r="F8364" s="560"/>
      <c r="G8364" s="560">
        <f t="shared" si="170"/>
        <v>173740349</v>
      </c>
      <c r="H8364" s="362"/>
      <c r="I8364" s="362"/>
      <c r="J8364" s="362"/>
    </row>
    <row r="8365" spans="1:10" x14ac:dyDescent="0.25">
      <c r="A8365" s="362"/>
      <c r="B8365" s="609">
        <v>44662</v>
      </c>
      <c r="C8365" s="362" t="s">
        <v>82</v>
      </c>
      <c r="D8365" s="560">
        <v>71648429</v>
      </c>
      <c r="E8365" s="560"/>
      <c r="F8365" s="560"/>
      <c r="G8365" s="560">
        <f t="shared" si="170"/>
        <v>71648429</v>
      </c>
      <c r="H8365" s="362"/>
      <c r="I8365" s="362"/>
      <c r="J8365" s="362"/>
    </row>
    <row r="8366" spans="1:10" x14ac:dyDescent="0.25">
      <c r="A8366" s="362"/>
      <c r="B8366" s="609">
        <v>44662</v>
      </c>
      <c r="C8366" s="362" t="s">
        <v>80</v>
      </c>
      <c r="D8366" s="560">
        <v>344364800</v>
      </c>
      <c r="E8366" s="560"/>
      <c r="F8366" s="560"/>
      <c r="G8366" s="560">
        <f t="shared" si="170"/>
        <v>344364800</v>
      </c>
      <c r="H8366" s="362"/>
      <c r="I8366" s="362"/>
      <c r="J8366" s="362"/>
    </row>
    <row r="8367" spans="1:10" x14ac:dyDescent="0.25">
      <c r="A8367" s="362"/>
      <c r="B8367" s="609">
        <v>44662</v>
      </c>
      <c r="C8367" s="362" t="s">
        <v>83</v>
      </c>
      <c r="D8367" s="560">
        <v>293640300</v>
      </c>
      <c r="E8367" s="560"/>
      <c r="F8367" s="560"/>
      <c r="G8367" s="560">
        <f t="shared" si="170"/>
        <v>293640300</v>
      </c>
      <c r="H8367" s="362"/>
      <c r="I8367" s="362"/>
      <c r="J8367" s="362"/>
    </row>
    <row r="8368" spans="1:10" x14ac:dyDescent="0.25">
      <c r="A8368" s="362"/>
      <c r="B8368" s="609">
        <v>44662</v>
      </c>
      <c r="C8368" s="362" t="s">
        <v>78</v>
      </c>
      <c r="D8368" s="560">
        <v>193013192</v>
      </c>
      <c r="E8368" s="560"/>
      <c r="F8368" s="560"/>
      <c r="G8368" s="560">
        <f t="shared" si="170"/>
        <v>193013192</v>
      </c>
      <c r="H8368" s="362"/>
      <c r="I8368" s="362"/>
      <c r="J8368" s="362"/>
    </row>
    <row r="8369" spans="1:10" x14ac:dyDescent="0.25">
      <c r="A8369" s="362"/>
      <c r="B8369" s="609">
        <v>44662</v>
      </c>
      <c r="C8369" s="362" t="s">
        <v>141</v>
      </c>
      <c r="D8369" s="560">
        <v>195616384</v>
      </c>
      <c r="E8369" s="560"/>
      <c r="F8369" s="560"/>
      <c r="G8369" s="560">
        <f t="shared" si="170"/>
        <v>195616384</v>
      </c>
      <c r="H8369" s="362"/>
      <c r="I8369" s="362"/>
      <c r="J8369" s="362"/>
    </row>
    <row r="8370" spans="1:10" x14ac:dyDescent="0.25">
      <c r="A8370" s="362"/>
      <c r="B8370" s="609">
        <v>44662</v>
      </c>
      <c r="C8370" s="362" t="s">
        <v>89</v>
      </c>
      <c r="D8370" s="560">
        <v>143270900</v>
      </c>
      <c r="E8370" s="560"/>
      <c r="F8370" s="560"/>
      <c r="G8370" s="560">
        <f t="shared" si="170"/>
        <v>143270900</v>
      </c>
      <c r="H8370" s="362"/>
      <c r="I8370" s="362"/>
      <c r="J8370" s="362"/>
    </row>
    <row r="8371" spans="1:10" x14ac:dyDescent="0.25">
      <c r="A8371" s="362"/>
      <c r="B8371" s="609">
        <v>44662</v>
      </c>
      <c r="C8371" s="362" t="s">
        <v>81</v>
      </c>
      <c r="D8371" s="560">
        <v>88780902</v>
      </c>
      <c r="E8371" s="560"/>
      <c r="F8371" s="560"/>
      <c r="G8371" s="560">
        <f t="shared" si="170"/>
        <v>88780902</v>
      </c>
      <c r="H8371" s="362"/>
      <c r="I8371" s="362"/>
      <c r="J8371" s="362"/>
    </row>
    <row r="8372" spans="1:10" x14ac:dyDescent="0.25">
      <c r="A8372" s="362"/>
      <c r="B8372" s="609">
        <v>44662</v>
      </c>
      <c r="C8372" s="362" t="s">
        <v>84</v>
      </c>
      <c r="D8372" s="560">
        <v>509191491</v>
      </c>
      <c r="E8372" s="560"/>
      <c r="F8372" s="560"/>
      <c r="G8372" s="560">
        <f t="shared" si="170"/>
        <v>509191491</v>
      </c>
      <c r="H8372" s="362"/>
      <c r="I8372" s="362"/>
      <c r="J8372" s="362"/>
    </row>
    <row r="8373" spans="1:10" x14ac:dyDescent="0.25">
      <c r="A8373" s="362"/>
      <c r="B8373" s="609">
        <v>44662</v>
      </c>
      <c r="C8373" s="362" t="s">
        <v>4751</v>
      </c>
      <c r="D8373" s="560">
        <v>334762500</v>
      </c>
      <c r="E8373" s="560"/>
      <c r="F8373" s="560"/>
      <c r="G8373" s="560">
        <f t="shared" si="170"/>
        <v>334762500</v>
      </c>
      <c r="H8373" s="362"/>
      <c r="I8373" s="362"/>
      <c r="J8373" s="362"/>
    </row>
    <row r="8374" spans="1:10" x14ac:dyDescent="0.25">
      <c r="A8374" s="362"/>
      <c r="B8374" s="609">
        <v>44662</v>
      </c>
      <c r="C8374" s="362" t="s">
        <v>166</v>
      </c>
      <c r="D8374" s="560">
        <v>104406985</v>
      </c>
      <c r="E8374" s="560"/>
      <c r="F8374" s="560"/>
      <c r="G8374" s="560">
        <f t="shared" si="170"/>
        <v>104406985</v>
      </c>
      <c r="H8374" s="362"/>
      <c r="I8374" s="362"/>
      <c r="J8374" s="362"/>
    </row>
    <row r="8375" spans="1:10" x14ac:dyDescent="0.25">
      <c r="A8375" s="362"/>
      <c r="B8375" s="609">
        <v>44662</v>
      </c>
      <c r="C8375" s="362" t="s">
        <v>3435</v>
      </c>
      <c r="D8375" s="560">
        <v>29378290</v>
      </c>
      <c r="E8375" s="560"/>
      <c r="F8375" s="560"/>
      <c r="G8375" s="560">
        <f t="shared" si="170"/>
        <v>29378290</v>
      </c>
      <c r="H8375" s="362"/>
      <c r="I8375" s="362"/>
      <c r="J8375" s="362"/>
    </row>
    <row r="8376" spans="1:10" x14ac:dyDescent="0.25">
      <c r="A8376" s="362"/>
      <c r="B8376" s="609">
        <v>44662</v>
      </c>
      <c r="C8376" s="370" t="s">
        <v>85</v>
      </c>
      <c r="D8376" s="560">
        <v>62407900</v>
      </c>
      <c r="E8376" s="560"/>
      <c r="F8376" s="560"/>
      <c r="G8376" s="560">
        <f t="shared" si="170"/>
        <v>62407900</v>
      </c>
      <c r="H8376" s="362"/>
      <c r="I8376" s="362"/>
      <c r="J8376" s="362"/>
    </row>
    <row r="8377" spans="1:10" x14ac:dyDescent="0.25">
      <c r="A8377" s="530"/>
      <c r="B8377" s="530"/>
      <c r="C8377" s="530"/>
      <c r="D8377" s="562">
        <f>SUM(D8362:D8376)</f>
        <v>2826093723</v>
      </c>
      <c r="E8377" s="562">
        <f>SUM(E8362:E8376)</f>
        <v>0</v>
      </c>
      <c r="F8377" s="562">
        <f>SUM(F8362:F8376)</f>
        <v>0</v>
      </c>
      <c r="G8377" s="562">
        <f>SUM(G8362:G8376)</f>
        <v>2826093723</v>
      </c>
      <c r="H8377" s="530"/>
      <c r="I8377" s="530"/>
      <c r="J8377" s="530"/>
    </row>
    <row r="8378" spans="1:10" x14ac:dyDescent="0.25">
      <c r="A8378" s="362"/>
      <c r="B8378" s="609">
        <v>44663</v>
      </c>
      <c r="C8378" s="362" t="s">
        <v>86</v>
      </c>
      <c r="D8378" s="560">
        <v>126185728</v>
      </c>
      <c r="E8378" s="560"/>
      <c r="F8378" s="560"/>
      <c r="G8378" s="560">
        <f t="shared" si="170"/>
        <v>126185728</v>
      </c>
      <c r="H8378" s="362"/>
      <c r="I8378" s="362"/>
      <c r="J8378" s="362"/>
    </row>
    <row r="8379" spans="1:10" x14ac:dyDescent="0.25">
      <c r="A8379" s="362"/>
      <c r="B8379" s="609">
        <v>44663</v>
      </c>
      <c r="C8379" s="362" t="s">
        <v>87</v>
      </c>
      <c r="D8379" s="560">
        <v>273125866</v>
      </c>
      <c r="E8379" s="560"/>
      <c r="F8379" s="560"/>
      <c r="G8379" s="560">
        <f t="shared" si="170"/>
        <v>273125866</v>
      </c>
      <c r="H8379" s="362"/>
      <c r="I8379" s="362"/>
      <c r="J8379" s="362"/>
    </row>
    <row r="8380" spans="1:10" x14ac:dyDescent="0.25">
      <c r="A8380" s="362"/>
      <c r="B8380" s="609">
        <v>44663</v>
      </c>
      <c r="C8380" s="362" t="s">
        <v>88</v>
      </c>
      <c r="D8380" s="560">
        <v>266079240</v>
      </c>
      <c r="E8380" s="560"/>
      <c r="F8380" s="560"/>
      <c r="G8380" s="560">
        <f t="shared" si="170"/>
        <v>266079240</v>
      </c>
      <c r="H8380" s="362"/>
      <c r="I8380" s="362"/>
      <c r="J8380" s="362"/>
    </row>
    <row r="8381" spans="1:10" x14ac:dyDescent="0.25">
      <c r="A8381" s="362"/>
      <c r="B8381" s="609">
        <v>44663</v>
      </c>
      <c r="C8381" s="362" t="s">
        <v>82</v>
      </c>
      <c r="D8381" s="560">
        <v>176671117</v>
      </c>
      <c r="E8381" s="560"/>
      <c r="F8381" s="560"/>
      <c r="G8381" s="560">
        <f t="shared" si="170"/>
        <v>176671117</v>
      </c>
      <c r="H8381" s="362"/>
      <c r="I8381" s="362"/>
      <c r="J8381" s="362"/>
    </row>
    <row r="8382" spans="1:10" x14ac:dyDescent="0.25">
      <c r="A8382" s="362"/>
      <c r="B8382" s="609">
        <v>44663</v>
      </c>
      <c r="C8382" s="362" t="s">
        <v>80</v>
      </c>
      <c r="D8382" s="560">
        <v>410574667</v>
      </c>
      <c r="E8382" s="560"/>
      <c r="F8382" s="560"/>
      <c r="G8382" s="560">
        <f t="shared" si="170"/>
        <v>410574667</v>
      </c>
      <c r="H8382" s="362"/>
      <c r="I8382" s="362"/>
      <c r="J8382" s="362"/>
    </row>
    <row r="8383" spans="1:10" x14ac:dyDescent="0.25">
      <c r="A8383" s="362"/>
      <c r="B8383" s="609">
        <v>44663</v>
      </c>
      <c r="C8383" s="362" t="s">
        <v>83</v>
      </c>
      <c r="D8383" s="560">
        <v>272147306</v>
      </c>
      <c r="E8383" s="560"/>
      <c r="F8383" s="560"/>
      <c r="G8383" s="560">
        <f t="shared" si="170"/>
        <v>272147306</v>
      </c>
      <c r="H8383" s="362"/>
      <c r="I8383" s="362"/>
      <c r="J8383" s="362"/>
    </row>
    <row r="8384" spans="1:10" x14ac:dyDescent="0.25">
      <c r="A8384" s="362"/>
      <c r="B8384" s="609">
        <v>44663</v>
      </c>
      <c r="C8384" s="362" t="s">
        <v>78</v>
      </c>
      <c r="D8384" s="560">
        <v>171374334</v>
      </c>
      <c r="E8384" s="560"/>
      <c r="F8384" s="560"/>
      <c r="G8384" s="560">
        <f t="shared" si="170"/>
        <v>171374334</v>
      </c>
      <c r="H8384" s="362"/>
      <c r="I8384" s="362"/>
      <c r="J8384" s="362"/>
    </row>
    <row r="8385" spans="1:10" x14ac:dyDescent="0.25">
      <c r="A8385" s="362"/>
      <c r="B8385" s="609">
        <v>44663</v>
      </c>
      <c r="C8385" s="362" t="s">
        <v>141</v>
      </c>
      <c r="D8385" s="560">
        <v>128795132</v>
      </c>
      <c r="E8385" s="560"/>
      <c r="F8385" s="560"/>
      <c r="G8385" s="560">
        <f t="shared" si="170"/>
        <v>128795132</v>
      </c>
      <c r="H8385" s="362"/>
      <c r="I8385" s="362"/>
      <c r="J8385" s="362"/>
    </row>
    <row r="8386" spans="1:10" x14ac:dyDescent="0.25">
      <c r="A8386" s="362"/>
      <c r="B8386" s="609">
        <v>44663</v>
      </c>
      <c r="C8386" s="362" t="s">
        <v>89</v>
      </c>
      <c r="D8386" s="560">
        <v>143104100</v>
      </c>
      <c r="E8386" s="560"/>
      <c r="F8386" s="560"/>
      <c r="G8386" s="560">
        <f t="shared" si="170"/>
        <v>143104100</v>
      </c>
      <c r="H8386" s="362"/>
      <c r="I8386" s="362"/>
      <c r="J8386" s="362"/>
    </row>
    <row r="8387" spans="1:10" x14ac:dyDescent="0.25">
      <c r="A8387" s="362"/>
      <c r="B8387" s="609">
        <v>44663</v>
      </c>
      <c r="C8387" s="362" t="s">
        <v>81</v>
      </c>
      <c r="D8387" s="560">
        <v>116861957</v>
      </c>
      <c r="E8387" s="560"/>
      <c r="F8387" s="560"/>
      <c r="G8387" s="560">
        <f t="shared" si="170"/>
        <v>116861957</v>
      </c>
      <c r="H8387" s="362"/>
      <c r="I8387" s="362"/>
      <c r="J8387" s="362"/>
    </row>
    <row r="8388" spans="1:10" x14ac:dyDescent="0.25">
      <c r="A8388" s="362"/>
      <c r="B8388" s="609">
        <v>44663</v>
      </c>
      <c r="C8388" s="362" t="s">
        <v>84</v>
      </c>
      <c r="D8388" s="560">
        <v>305388726</v>
      </c>
      <c r="E8388" s="560"/>
      <c r="F8388" s="560"/>
      <c r="G8388" s="560">
        <f t="shared" si="170"/>
        <v>305388726</v>
      </c>
      <c r="H8388" s="362"/>
      <c r="I8388" s="362"/>
      <c r="J8388" s="362"/>
    </row>
    <row r="8389" spans="1:10" x14ac:dyDescent="0.25">
      <c r="A8389" s="362"/>
      <c r="B8389" s="609">
        <v>44663</v>
      </c>
      <c r="C8389" s="362" t="s">
        <v>4751</v>
      </c>
      <c r="D8389" s="560">
        <v>264082800</v>
      </c>
      <c r="E8389" s="560"/>
      <c r="F8389" s="560"/>
      <c r="G8389" s="560">
        <f t="shared" si="170"/>
        <v>264082800</v>
      </c>
      <c r="H8389" s="362"/>
      <c r="I8389" s="362"/>
      <c r="J8389" s="362"/>
    </row>
    <row r="8390" spans="1:10" x14ac:dyDescent="0.25">
      <c r="A8390" s="362"/>
      <c r="B8390" s="609">
        <v>44663</v>
      </c>
      <c r="C8390" s="362" t="s">
        <v>166</v>
      </c>
      <c r="D8390" s="560">
        <v>144240238</v>
      </c>
      <c r="E8390" s="560"/>
      <c r="F8390" s="560"/>
      <c r="G8390" s="560">
        <f t="shared" si="170"/>
        <v>144240238</v>
      </c>
      <c r="H8390" s="362"/>
      <c r="I8390" s="362"/>
      <c r="J8390" s="362"/>
    </row>
    <row r="8391" spans="1:10" x14ac:dyDescent="0.25">
      <c r="A8391" s="362"/>
      <c r="B8391" s="609">
        <v>44663</v>
      </c>
      <c r="C8391" s="362" t="s">
        <v>3435</v>
      </c>
      <c r="D8391" s="560">
        <v>29353137</v>
      </c>
      <c r="E8391" s="560"/>
      <c r="F8391" s="560"/>
      <c r="G8391" s="560">
        <f t="shared" si="170"/>
        <v>29353137</v>
      </c>
      <c r="H8391" s="362"/>
      <c r="I8391" s="362"/>
      <c r="J8391" s="362"/>
    </row>
    <row r="8392" spans="1:10" x14ac:dyDescent="0.25">
      <c r="A8392" s="362"/>
      <c r="B8392" s="609">
        <v>44663</v>
      </c>
      <c r="C8392" s="370" t="s">
        <v>85</v>
      </c>
      <c r="D8392" s="560">
        <v>49445200</v>
      </c>
      <c r="E8392" s="560"/>
      <c r="F8392" s="560"/>
      <c r="G8392" s="560">
        <f t="shared" si="170"/>
        <v>49445200</v>
      </c>
      <c r="H8392" s="362"/>
      <c r="I8392" s="362"/>
      <c r="J8392" s="362"/>
    </row>
    <row r="8393" spans="1:10" x14ac:dyDescent="0.25">
      <c r="A8393" s="530"/>
      <c r="B8393" s="530"/>
      <c r="C8393" s="530"/>
      <c r="D8393" s="562">
        <f>SUM(D8378:D8392)</f>
        <v>2877429548</v>
      </c>
      <c r="E8393" s="562">
        <f>SUM(E8378:E8392)</f>
        <v>0</v>
      </c>
      <c r="F8393" s="562">
        <f>SUM(F8378:F8392)</f>
        <v>0</v>
      </c>
      <c r="G8393" s="562">
        <f>SUM(G8378:G8392)</f>
        <v>2877429548</v>
      </c>
      <c r="H8393" s="530"/>
      <c r="I8393" s="530"/>
      <c r="J8393" s="530"/>
    </row>
    <row r="8394" spans="1:10" x14ac:dyDescent="0.25">
      <c r="A8394" s="362"/>
      <c r="B8394" s="609">
        <v>44664</v>
      </c>
      <c r="C8394" s="362" t="s">
        <v>86</v>
      </c>
      <c r="D8394" s="560">
        <v>161170923</v>
      </c>
      <c r="E8394" s="560"/>
      <c r="F8394" s="560">
        <v>161171000</v>
      </c>
      <c r="G8394" s="560">
        <f t="shared" si="170"/>
        <v>-77</v>
      </c>
      <c r="H8394" s="362"/>
      <c r="I8394" s="362"/>
      <c r="J8394" s="362"/>
    </row>
    <row r="8395" spans="1:10" x14ac:dyDescent="0.25">
      <c r="A8395" s="362"/>
      <c r="B8395" s="609">
        <v>44664</v>
      </c>
      <c r="C8395" s="362" t="s">
        <v>87</v>
      </c>
      <c r="D8395" s="560">
        <v>306259691</v>
      </c>
      <c r="E8395" s="560"/>
      <c r="F8395" s="560">
        <v>306259600</v>
      </c>
      <c r="G8395" s="560">
        <f t="shared" si="170"/>
        <v>91</v>
      </c>
      <c r="H8395" s="362"/>
      <c r="I8395" s="362"/>
      <c r="J8395" s="362"/>
    </row>
    <row r="8396" spans="1:10" x14ac:dyDescent="0.25">
      <c r="A8396" s="362"/>
      <c r="B8396" s="609">
        <v>44664</v>
      </c>
      <c r="C8396" s="362" t="s">
        <v>88</v>
      </c>
      <c r="D8396" s="560">
        <v>204448843</v>
      </c>
      <c r="E8396" s="560"/>
      <c r="F8396" s="560">
        <v>204448900</v>
      </c>
      <c r="G8396" s="560">
        <f t="shared" si="170"/>
        <v>-57</v>
      </c>
      <c r="H8396" s="362"/>
      <c r="I8396" s="362"/>
      <c r="J8396" s="362"/>
    </row>
    <row r="8397" spans="1:10" x14ac:dyDescent="0.25">
      <c r="A8397" s="362"/>
      <c r="B8397" s="609">
        <v>44664</v>
      </c>
      <c r="C8397" s="362" t="s">
        <v>82</v>
      </c>
      <c r="D8397" s="560">
        <v>93893779</v>
      </c>
      <c r="E8397" s="560"/>
      <c r="F8397" s="560">
        <v>93893800</v>
      </c>
      <c r="G8397" s="560">
        <f t="shared" si="170"/>
        <v>-21</v>
      </c>
      <c r="H8397" s="362"/>
      <c r="I8397" s="362"/>
      <c r="J8397" s="362"/>
    </row>
    <row r="8398" spans="1:10" x14ac:dyDescent="0.25">
      <c r="A8398" s="362"/>
      <c r="B8398" s="609">
        <v>44664</v>
      </c>
      <c r="C8398" s="362" t="s">
        <v>80</v>
      </c>
      <c r="D8398" s="560">
        <v>423813700</v>
      </c>
      <c r="E8398" s="560"/>
      <c r="F8398" s="560">
        <v>423813700</v>
      </c>
      <c r="G8398" s="560">
        <f t="shared" si="170"/>
        <v>0</v>
      </c>
      <c r="H8398" s="362"/>
      <c r="I8398" s="362"/>
      <c r="J8398" s="362"/>
    </row>
    <row r="8399" spans="1:10" x14ac:dyDescent="0.25">
      <c r="A8399" s="362"/>
      <c r="B8399" s="609">
        <v>44664</v>
      </c>
      <c r="C8399" s="362" t="s">
        <v>83</v>
      </c>
      <c r="D8399" s="560">
        <v>290025300</v>
      </c>
      <c r="E8399" s="560"/>
      <c r="F8399" s="560">
        <v>290025300</v>
      </c>
      <c r="G8399" s="560">
        <f t="shared" si="170"/>
        <v>0</v>
      </c>
      <c r="H8399" s="362"/>
      <c r="I8399" s="362"/>
      <c r="J8399" s="362"/>
    </row>
    <row r="8400" spans="1:10" x14ac:dyDescent="0.25">
      <c r="A8400" s="362"/>
      <c r="B8400" s="609">
        <v>44664</v>
      </c>
      <c r="C8400" s="362" t="s">
        <v>78</v>
      </c>
      <c r="D8400" s="560">
        <v>255717009</v>
      </c>
      <c r="E8400" s="560"/>
      <c r="F8400" s="560">
        <v>255717100</v>
      </c>
      <c r="G8400" s="560">
        <f t="shared" si="170"/>
        <v>-91</v>
      </c>
      <c r="H8400" s="362"/>
      <c r="I8400" s="362"/>
      <c r="J8400" s="362"/>
    </row>
    <row r="8401" spans="1:10" x14ac:dyDescent="0.25">
      <c r="A8401" s="362"/>
      <c r="B8401" s="609">
        <v>44664</v>
      </c>
      <c r="C8401" s="362" t="s">
        <v>141</v>
      </c>
      <c r="D8401" s="560">
        <v>166735803</v>
      </c>
      <c r="E8401" s="560"/>
      <c r="F8401" s="560">
        <v>166735900</v>
      </c>
      <c r="G8401" s="560">
        <f t="shared" si="170"/>
        <v>-97</v>
      </c>
      <c r="H8401" s="362"/>
      <c r="I8401" s="362"/>
      <c r="J8401" s="362"/>
    </row>
    <row r="8402" spans="1:10" x14ac:dyDescent="0.25">
      <c r="A8402" s="362"/>
      <c r="B8402" s="609">
        <v>44664</v>
      </c>
      <c r="C8402" s="362" t="s">
        <v>89</v>
      </c>
      <c r="D8402" s="560">
        <v>213062400</v>
      </c>
      <c r="E8402" s="560"/>
      <c r="F8402" s="560">
        <v>213062400</v>
      </c>
      <c r="G8402" s="560">
        <f t="shared" si="170"/>
        <v>0</v>
      </c>
      <c r="H8402" s="362"/>
      <c r="I8402" s="362"/>
      <c r="J8402" s="362"/>
    </row>
    <row r="8403" spans="1:10" x14ac:dyDescent="0.25">
      <c r="A8403" s="362"/>
      <c r="B8403" s="609">
        <v>44664</v>
      </c>
      <c r="C8403" s="362" t="s">
        <v>81</v>
      </c>
      <c r="D8403" s="560">
        <v>167244962</v>
      </c>
      <c r="E8403" s="560"/>
      <c r="F8403" s="560">
        <v>167245000</v>
      </c>
      <c r="G8403" s="560">
        <f t="shared" si="170"/>
        <v>-38</v>
      </c>
      <c r="H8403" s="362"/>
      <c r="I8403" s="362"/>
      <c r="J8403" s="362"/>
    </row>
    <row r="8404" spans="1:10" x14ac:dyDescent="0.25">
      <c r="A8404" s="362"/>
      <c r="B8404" s="609">
        <v>44664</v>
      </c>
      <c r="C8404" s="362" t="s">
        <v>84</v>
      </c>
      <c r="D8404" s="560">
        <v>299609484</v>
      </c>
      <c r="E8404" s="560"/>
      <c r="F8404" s="560">
        <v>299609500</v>
      </c>
      <c r="G8404" s="560">
        <f t="shared" si="170"/>
        <v>-16</v>
      </c>
      <c r="H8404" s="362"/>
      <c r="I8404" s="362"/>
      <c r="J8404" s="362"/>
    </row>
    <row r="8405" spans="1:10" x14ac:dyDescent="0.25">
      <c r="A8405" s="362"/>
      <c r="B8405" s="609">
        <v>44664</v>
      </c>
      <c r="C8405" s="362" t="s">
        <v>4751</v>
      </c>
      <c r="D8405" s="560">
        <v>161798400</v>
      </c>
      <c r="E8405" s="560"/>
      <c r="F8405" s="560">
        <v>161798400</v>
      </c>
      <c r="G8405" s="560">
        <f t="shared" si="170"/>
        <v>0</v>
      </c>
      <c r="H8405" s="362"/>
      <c r="I8405" s="362"/>
      <c r="J8405" s="362"/>
    </row>
    <row r="8406" spans="1:10" x14ac:dyDescent="0.25">
      <c r="A8406" s="362"/>
      <c r="B8406" s="609">
        <v>44664</v>
      </c>
      <c r="C8406" s="362" t="s">
        <v>166</v>
      </c>
      <c r="D8406" s="560">
        <v>62060235</v>
      </c>
      <c r="E8406" s="560"/>
      <c r="F8406" s="560">
        <v>62060300</v>
      </c>
      <c r="G8406" s="560">
        <f t="shared" si="170"/>
        <v>-65</v>
      </c>
      <c r="H8406" s="362"/>
      <c r="I8406" s="362"/>
      <c r="J8406" s="362"/>
    </row>
    <row r="8407" spans="1:10" x14ac:dyDescent="0.25">
      <c r="A8407" s="362"/>
      <c r="B8407" s="609">
        <v>44664</v>
      </c>
      <c r="C8407" s="362" t="s">
        <v>3435</v>
      </c>
      <c r="D8407" s="560">
        <v>130529943</v>
      </c>
      <c r="E8407" s="560"/>
      <c r="F8407" s="560">
        <v>130530000</v>
      </c>
      <c r="G8407" s="560">
        <f t="shared" si="170"/>
        <v>-57</v>
      </c>
      <c r="H8407" s="362"/>
      <c r="I8407" s="362"/>
      <c r="J8407" s="362"/>
    </row>
    <row r="8408" spans="1:10" x14ac:dyDescent="0.25">
      <c r="A8408" s="362"/>
      <c r="B8408" s="609">
        <v>44664</v>
      </c>
      <c r="C8408" s="370" t="s">
        <v>85</v>
      </c>
      <c r="D8408" s="560">
        <v>59241500</v>
      </c>
      <c r="E8408" s="560"/>
      <c r="F8408" s="560">
        <v>59241500</v>
      </c>
      <c r="G8408" s="560">
        <f t="shared" si="170"/>
        <v>0</v>
      </c>
      <c r="H8408" s="362"/>
      <c r="I8408" s="362"/>
      <c r="J8408" s="362"/>
    </row>
    <row r="8409" spans="1:10" x14ac:dyDescent="0.25">
      <c r="A8409" s="530"/>
      <c r="B8409" s="530"/>
      <c r="C8409" s="530"/>
      <c r="D8409" s="562">
        <f>SUM(D8394:D8408)</f>
        <v>2995611972</v>
      </c>
      <c r="E8409" s="562">
        <f>SUM(E8394:E8408)</f>
        <v>0</v>
      </c>
      <c r="F8409" s="562">
        <f>SUM(F8394:F8408)</f>
        <v>2995612400</v>
      </c>
      <c r="G8409" s="562">
        <f>SUM(G8394:G8408)</f>
        <v>-428</v>
      </c>
      <c r="H8409" s="630">
        <f>SUM(H8394:H8408)</f>
        <v>0</v>
      </c>
      <c r="I8409" s="530"/>
      <c r="J8409" s="530"/>
    </row>
    <row r="8410" spans="1:10" x14ac:dyDescent="0.25">
      <c r="A8410" s="362"/>
      <c r="B8410" s="609">
        <v>44665</v>
      </c>
      <c r="C8410" s="362" t="s">
        <v>86</v>
      </c>
      <c r="D8410" s="560">
        <v>291261413</v>
      </c>
      <c r="E8410" s="560"/>
      <c r="F8410" s="560">
        <v>291261500</v>
      </c>
      <c r="G8410" s="560">
        <f t="shared" si="170"/>
        <v>-87</v>
      </c>
      <c r="H8410" s="362"/>
      <c r="I8410" s="362"/>
      <c r="J8410" s="362"/>
    </row>
    <row r="8411" spans="1:10" x14ac:dyDescent="0.25">
      <c r="A8411" s="362"/>
      <c r="B8411" s="609">
        <v>44665</v>
      </c>
      <c r="C8411" s="362" t="s">
        <v>87</v>
      </c>
      <c r="D8411" s="560">
        <v>352779486</v>
      </c>
      <c r="E8411" s="560"/>
      <c r="F8411" s="560">
        <v>352779500</v>
      </c>
      <c r="G8411" s="560">
        <f t="shared" si="170"/>
        <v>-14</v>
      </c>
      <c r="H8411" s="362"/>
      <c r="I8411" s="362"/>
      <c r="J8411" s="362"/>
    </row>
    <row r="8412" spans="1:10" x14ac:dyDescent="0.25">
      <c r="A8412" s="362"/>
      <c r="B8412" s="609">
        <v>44665</v>
      </c>
      <c r="C8412" s="362" t="s">
        <v>88</v>
      </c>
      <c r="D8412" s="560">
        <v>245478154</v>
      </c>
      <c r="E8412" s="560"/>
      <c r="F8412" s="560">
        <v>245478200</v>
      </c>
      <c r="G8412" s="560">
        <f t="shared" ref="G8412:G8475" si="171">D8412+E8412-F8412</f>
        <v>-46</v>
      </c>
      <c r="H8412" s="362"/>
      <c r="I8412" s="362"/>
      <c r="J8412" s="362"/>
    </row>
    <row r="8413" spans="1:10" x14ac:dyDescent="0.25">
      <c r="A8413" s="362"/>
      <c r="B8413" s="609">
        <v>44665</v>
      </c>
      <c r="C8413" s="362" t="s">
        <v>82</v>
      </c>
      <c r="D8413" s="560">
        <v>116553182</v>
      </c>
      <c r="E8413" s="560"/>
      <c r="F8413" s="560">
        <v>116553200</v>
      </c>
      <c r="G8413" s="560">
        <f t="shared" si="171"/>
        <v>-18</v>
      </c>
      <c r="H8413" s="362"/>
      <c r="I8413" s="362"/>
      <c r="J8413" s="362"/>
    </row>
    <row r="8414" spans="1:10" x14ac:dyDescent="0.25">
      <c r="A8414" s="362"/>
      <c r="B8414" s="609">
        <v>44665</v>
      </c>
      <c r="C8414" s="362" t="s">
        <v>80</v>
      </c>
      <c r="D8414" s="560">
        <v>624606309</v>
      </c>
      <c r="E8414" s="560"/>
      <c r="F8414" s="560">
        <v>624606300</v>
      </c>
      <c r="G8414" s="560">
        <f t="shared" si="171"/>
        <v>9</v>
      </c>
      <c r="H8414" s="362"/>
      <c r="I8414" s="362"/>
      <c r="J8414" s="362"/>
    </row>
    <row r="8415" spans="1:10" x14ac:dyDescent="0.25">
      <c r="A8415" s="362"/>
      <c r="B8415" s="609">
        <v>44665</v>
      </c>
      <c r="C8415" s="362" t="s">
        <v>83</v>
      </c>
      <c r="D8415" s="560">
        <v>138093951</v>
      </c>
      <c r="E8415" s="560"/>
      <c r="F8415" s="560">
        <v>138094000</v>
      </c>
      <c r="G8415" s="560">
        <f t="shared" si="171"/>
        <v>-49</v>
      </c>
      <c r="H8415" s="362"/>
      <c r="I8415" s="362"/>
      <c r="J8415" s="362"/>
    </row>
    <row r="8416" spans="1:10" x14ac:dyDescent="0.25">
      <c r="A8416" s="362"/>
      <c r="B8416" s="609">
        <v>44665</v>
      </c>
      <c r="C8416" s="362" t="s">
        <v>78</v>
      </c>
      <c r="D8416" s="560">
        <v>121428685</v>
      </c>
      <c r="E8416" s="560"/>
      <c r="F8416" s="560">
        <v>121428700</v>
      </c>
      <c r="G8416" s="560">
        <f t="shared" si="171"/>
        <v>-15</v>
      </c>
      <c r="H8416" s="362"/>
      <c r="I8416" s="362"/>
      <c r="J8416" s="362"/>
    </row>
    <row r="8417" spans="1:10" x14ac:dyDescent="0.25">
      <c r="A8417" s="362"/>
      <c r="B8417" s="609">
        <v>44665</v>
      </c>
      <c r="C8417" s="362" t="s">
        <v>141</v>
      </c>
      <c r="D8417" s="560">
        <v>101042319</v>
      </c>
      <c r="E8417" s="560"/>
      <c r="F8417" s="560">
        <v>101042400</v>
      </c>
      <c r="G8417" s="560">
        <f t="shared" si="171"/>
        <v>-81</v>
      </c>
      <c r="H8417" s="362"/>
      <c r="I8417" s="362"/>
      <c r="J8417" s="362"/>
    </row>
    <row r="8418" spans="1:10" x14ac:dyDescent="0.25">
      <c r="A8418" s="362"/>
      <c r="B8418" s="609">
        <v>44665</v>
      </c>
      <c r="C8418" s="362" t="s">
        <v>89</v>
      </c>
      <c r="D8418" s="560">
        <v>161353400</v>
      </c>
      <c r="E8418" s="560"/>
      <c r="F8418" s="560">
        <v>161353500</v>
      </c>
      <c r="G8418" s="560">
        <f t="shared" si="171"/>
        <v>-100</v>
      </c>
      <c r="H8418" s="362"/>
      <c r="I8418" s="362"/>
      <c r="J8418" s="362"/>
    </row>
    <row r="8419" spans="1:10" x14ac:dyDescent="0.25">
      <c r="A8419" s="362"/>
      <c r="B8419" s="609">
        <v>44665</v>
      </c>
      <c r="C8419" s="362" t="s">
        <v>81</v>
      </c>
      <c r="D8419" s="560">
        <v>240034342</v>
      </c>
      <c r="E8419" s="560"/>
      <c r="F8419" s="560">
        <v>240034400</v>
      </c>
      <c r="G8419" s="560">
        <f t="shared" si="171"/>
        <v>-58</v>
      </c>
      <c r="H8419" s="362"/>
      <c r="I8419" s="362"/>
      <c r="J8419" s="362"/>
    </row>
    <row r="8420" spans="1:10" x14ac:dyDescent="0.25">
      <c r="A8420" s="362"/>
      <c r="B8420" s="609">
        <v>44665</v>
      </c>
      <c r="C8420" s="362" t="s">
        <v>84</v>
      </c>
      <c r="D8420" s="560">
        <v>331927040</v>
      </c>
      <c r="E8420" s="560"/>
      <c r="F8420" s="560">
        <v>331927000</v>
      </c>
      <c r="G8420" s="560">
        <f t="shared" si="171"/>
        <v>40</v>
      </c>
      <c r="H8420" s="362"/>
      <c r="I8420" s="362"/>
      <c r="J8420" s="362"/>
    </row>
    <row r="8421" spans="1:10" x14ac:dyDescent="0.25">
      <c r="A8421" s="362"/>
      <c r="B8421" s="609">
        <v>44665</v>
      </c>
      <c r="C8421" s="362" t="s">
        <v>4751</v>
      </c>
      <c r="D8421" s="560">
        <v>255111500</v>
      </c>
      <c r="E8421" s="560"/>
      <c r="F8421" s="560">
        <v>255111500</v>
      </c>
      <c r="G8421" s="560">
        <f t="shared" si="171"/>
        <v>0</v>
      </c>
      <c r="H8421" s="362"/>
      <c r="I8421" s="362"/>
      <c r="J8421" s="362"/>
    </row>
    <row r="8422" spans="1:10" x14ac:dyDescent="0.25">
      <c r="A8422" s="362"/>
      <c r="B8422" s="609">
        <v>44665</v>
      </c>
      <c r="C8422" s="362" t="s">
        <v>166</v>
      </c>
      <c r="D8422" s="560">
        <v>71970634</v>
      </c>
      <c r="E8422" s="560"/>
      <c r="F8422" s="560">
        <v>71970700</v>
      </c>
      <c r="G8422" s="560">
        <f t="shared" si="171"/>
        <v>-66</v>
      </c>
      <c r="H8422" s="362"/>
      <c r="I8422" s="362"/>
      <c r="J8422" s="362"/>
    </row>
    <row r="8423" spans="1:10" x14ac:dyDescent="0.25">
      <c r="A8423" s="362"/>
      <c r="B8423" s="609">
        <v>44665</v>
      </c>
      <c r="C8423" s="362" t="s">
        <v>3435</v>
      </c>
      <c r="D8423" s="560">
        <v>72825432</v>
      </c>
      <c r="E8423" s="560"/>
      <c r="F8423" s="560">
        <v>72825500</v>
      </c>
      <c r="G8423" s="560">
        <f t="shared" si="171"/>
        <v>-68</v>
      </c>
      <c r="H8423" s="362"/>
      <c r="I8423" s="362"/>
      <c r="J8423" s="362"/>
    </row>
    <row r="8424" spans="1:10" x14ac:dyDescent="0.25">
      <c r="A8424" s="362"/>
      <c r="B8424" s="609">
        <v>44665</v>
      </c>
      <c r="C8424" s="370" t="s">
        <v>85</v>
      </c>
      <c r="D8424" s="560">
        <v>29252000</v>
      </c>
      <c r="E8424" s="560"/>
      <c r="F8424" s="560">
        <v>29252000</v>
      </c>
      <c r="G8424" s="560">
        <f t="shared" si="171"/>
        <v>0</v>
      </c>
      <c r="H8424" s="362"/>
      <c r="I8424" s="362"/>
      <c r="J8424" s="362"/>
    </row>
    <row r="8425" spans="1:10" x14ac:dyDescent="0.25">
      <c r="A8425" s="530"/>
      <c r="B8425" s="530"/>
      <c r="C8425" s="530"/>
      <c r="D8425" s="562">
        <f>SUM(D8410:D8424)</f>
        <v>3153717847</v>
      </c>
      <c r="E8425" s="562">
        <f>SUM(E8410:E8424)</f>
        <v>0</v>
      </c>
      <c r="F8425" s="562">
        <f>SUM(F8410:F8424)</f>
        <v>3153718400</v>
      </c>
      <c r="G8425" s="562">
        <f>SUM(G8410:G8424)</f>
        <v>-553</v>
      </c>
      <c r="H8425" s="530"/>
      <c r="I8425" s="530"/>
      <c r="J8425" s="530"/>
    </row>
    <row r="8426" spans="1:10" x14ac:dyDescent="0.25">
      <c r="A8426" s="362"/>
      <c r="B8426" s="609">
        <v>44666</v>
      </c>
      <c r="C8426" s="362" t="s">
        <v>86</v>
      </c>
      <c r="D8426" s="560">
        <v>100646236</v>
      </c>
      <c r="E8426" s="560"/>
      <c r="F8426" s="560">
        <v>100646400</v>
      </c>
      <c r="G8426" s="560">
        <f t="shared" si="171"/>
        <v>-164</v>
      </c>
      <c r="H8426" s="362"/>
      <c r="I8426" s="362"/>
      <c r="J8426" s="362"/>
    </row>
    <row r="8427" spans="1:10" x14ac:dyDescent="0.25">
      <c r="A8427" s="362"/>
      <c r="B8427" s="609">
        <v>44666</v>
      </c>
      <c r="C8427" s="362" t="s">
        <v>87</v>
      </c>
      <c r="D8427" s="560">
        <v>320258612</v>
      </c>
      <c r="E8427" s="560"/>
      <c r="F8427" s="560">
        <v>320258700</v>
      </c>
      <c r="G8427" s="560">
        <f t="shared" si="171"/>
        <v>-88</v>
      </c>
      <c r="H8427" s="362"/>
      <c r="I8427" s="362"/>
      <c r="J8427" s="362"/>
    </row>
    <row r="8428" spans="1:10" x14ac:dyDescent="0.25">
      <c r="A8428" s="362"/>
      <c r="B8428" s="609">
        <v>44666</v>
      </c>
      <c r="C8428" s="362" t="s">
        <v>88</v>
      </c>
      <c r="D8428" s="560">
        <v>165787773</v>
      </c>
      <c r="E8428" s="560"/>
      <c r="F8428" s="560">
        <v>165787800</v>
      </c>
      <c r="G8428" s="560">
        <f t="shared" si="171"/>
        <v>-27</v>
      </c>
      <c r="H8428" s="362"/>
      <c r="I8428" s="362"/>
      <c r="J8428" s="362"/>
    </row>
    <row r="8429" spans="1:10" x14ac:dyDescent="0.25">
      <c r="A8429" s="362"/>
      <c r="B8429" s="609">
        <v>44666</v>
      </c>
      <c r="C8429" s="362" t="s">
        <v>82</v>
      </c>
      <c r="D8429" s="560">
        <v>109441081</v>
      </c>
      <c r="E8429" s="560"/>
      <c r="F8429" s="560">
        <v>109441200</v>
      </c>
      <c r="G8429" s="560">
        <f t="shared" si="171"/>
        <v>-119</v>
      </c>
      <c r="H8429" s="362"/>
      <c r="I8429" s="362"/>
      <c r="J8429" s="362"/>
    </row>
    <row r="8430" spans="1:10" x14ac:dyDescent="0.25">
      <c r="A8430" s="362"/>
      <c r="B8430" s="609">
        <v>44666</v>
      </c>
      <c r="C8430" s="362" t="s">
        <v>80</v>
      </c>
      <c r="D8430" s="560">
        <v>407027400</v>
      </c>
      <c r="E8430" s="560"/>
      <c r="F8430" s="560">
        <v>407025400</v>
      </c>
      <c r="G8430" s="560">
        <f t="shared" si="171"/>
        <v>2000</v>
      </c>
      <c r="H8430" s="362"/>
      <c r="I8430" s="362"/>
      <c r="J8430" s="362"/>
    </row>
    <row r="8431" spans="1:10" x14ac:dyDescent="0.25">
      <c r="A8431" s="362"/>
      <c r="B8431" s="609">
        <v>44666</v>
      </c>
      <c r="C8431" s="362" t="s">
        <v>83</v>
      </c>
      <c r="D8431" s="560">
        <v>273410709</v>
      </c>
      <c r="E8431" s="560"/>
      <c r="F8431" s="560">
        <v>273410700</v>
      </c>
      <c r="G8431" s="560">
        <f t="shared" si="171"/>
        <v>9</v>
      </c>
      <c r="H8431" s="362"/>
      <c r="I8431" s="362"/>
      <c r="J8431" s="362"/>
    </row>
    <row r="8432" spans="1:10" x14ac:dyDescent="0.25">
      <c r="A8432" s="362"/>
      <c r="B8432" s="609">
        <v>44666</v>
      </c>
      <c r="C8432" s="362" t="s">
        <v>78</v>
      </c>
      <c r="D8432" s="560">
        <v>120928555</v>
      </c>
      <c r="E8432" s="560"/>
      <c r="F8432" s="560">
        <v>120928600</v>
      </c>
      <c r="G8432" s="560">
        <f t="shared" si="171"/>
        <v>-45</v>
      </c>
      <c r="H8432" s="362"/>
      <c r="I8432" s="362"/>
      <c r="J8432" s="362"/>
    </row>
    <row r="8433" spans="1:10" x14ac:dyDescent="0.25">
      <c r="A8433" s="362"/>
      <c r="B8433" s="609">
        <v>44666</v>
      </c>
      <c r="C8433" s="362" t="s">
        <v>141</v>
      </c>
      <c r="D8433" s="560">
        <v>83762378</v>
      </c>
      <c r="E8433" s="560"/>
      <c r="F8433" s="560">
        <v>83762400</v>
      </c>
      <c r="G8433" s="560">
        <f t="shared" si="171"/>
        <v>-22</v>
      </c>
      <c r="H8433" s="362"/>
      <c r="I8433" s="362"/>
      <c r="J8433" s="362"/>
    </row>
    <row r="8434" spans="1:10" x14ac:dyDescent="0.25">
      <c r="A8434" s="362"/>
      <c r="B8434" s="609">
        <v>44666</v>
      </c>
      <c r="C8434" s="362" t="s">
        <v>89</v>
      </c>
      <c r="D8434" s="560">
        <v>265659200</v>
      </c>
      <c r="E8434" s="560"/>
      <c r="F8434" s="560">
        <v>265659300</v>
      </c>
      <c r="G8434" s="560">
        <f t="shared" si="171"/>
        <v>-100</v>
      </c>
      <c r="H8434" s="362"/>
      <c r="I8434" s="362"/>
      <c r="J8434" s="362"/>
    </row>
    <row r="8435" spans="1:10" x14ac:dyDescent="0.25">
      <c r="A8435" s="362"/>
      <c r="B8435" s="609">
        <v>44666</v>
      </c>
      <c r="C8435" s="362" t="s">
        <v>81</v>
      </c>
      <c r="D8435" s="560">
        <v>162525692</v>
      </c>
      <c r="E8435" s="560"/>
      <c r="F8435" s="560">
        <f>127472900+35052800</f>
        <v>162525700</v>
      </c>
      <c r="G8435" s="560">
        <f t="shared" si="171"/>
        <v>-8</v>
      </c>
      <c r="H8435" s="362"/>
      <c r="I8435" s="362"/>
      <c r="J8435" s="362"/>
    </row>
    <row r="8436" spans="1:10" x14ac:dyDescent="0.25">
      <c r="A8436" s="362"/>
      <c r="B8436" s="609">
        <v>44666</v>
      </c>
      <c r="C8436" s="362" t="s">
        <v>84</v>
      </c>
      <c r="D8436" s="560">
        <v>609559362</v>
      </c>
      <c r="E8436" s="560"/>
      <c r="F8436" s="560">
        <v>609559300</v>
      </c>
      <c r="G8436" s="560">
        <f t="shared" si="171"/>
        <v>62</v>
      </c>
      <c r="H8436" s="362"/>
      <c r="I8436" s="362"/>
      <c r="J8436" s="362"/>
    </row>
    <row r="8437" spans="1:10" x14ac:dyDescent="0.25">
      <c r="A8437" s="362"/>
      <c r="B8437" s="609">
        <v>44666</v>
      </c>
      <c r="C8437" s="362" t="s">
        <v>4751</v>
      </c>
      <c r="D8437" s="560">
        <v>130991700</v>
      </c>
      <c r="E8437" s="560"/>
      <c r="F8437" s="560">
        <v>130991700</v>
      </c>
      <c r="G8437" s="560">
        <f t="shared" si="171"/>
        <v>0</v>
      </c>
      <c r="H8437" s="362"/>
      <c r="I8437" s="362"/>
      <c r="J8437" s="362"/>
    </row>
    <row r="8438" spans="1:10" x14ac:dyDescent="0.25">
      <c r="A8438" s="362"/>
      <c r="B8438" s="609">
        <v>44666</v>
      </c>
      <c r="C8438" s="362" t="s">
        <v>166</v>
      </c>
      <c r="D8438" s="560"/>
      <c r="E8438" s="560"/>
      <c r="F8438" s="560"/>
      <c r="G8438" s="560">
        <f t="shared" si="171"/>
        <v>0</v>
      </c>
      <c r="H8438" s="362"/>
      <c r="I8438" s="362"/>
      <c r="J8438" s="362"/>
    </row>
    <row r="8439" spans="1:10" x14ac:dyDescent="0.25">
      <c r="A8439" s="362"/>
      <c r="B8439" s="609">
        <v>44666</v>
      </c>
      <c r="C8439" s="362" t="s">
        <v>3435</v>
      </c>
      <c r="D8439" s="560">
        <v>63555227</v>
      </c>
      <c r="E8439" s="560"/>
      <c r="F8439" s="560">
        <v>63555300</v>
      </c>
      <c r="G8439" s="560">
        <f t="shared" si="171"/>
        <v>-73</v>
      </c>
      <c r="H8439" s="362"/>
      <c r="I8439" s="362"/>
      <c r="J8439" s="362"/>
    </row>
    <row r="8440" spans="1:10" x14ac:dyDescent="0.25">
      <c r="A8440" s="362"/>
      <c r="B8440" s="609">
        <v>44666</v>
      </c>
      <c r="C8440" s="370" t="s">
        <v>85</v>
      </c>
      <c r="D8440" s="560">
        <v>33879000</v>
      </c>
      <c r="E8440" s="560"/>
      <c r="F8440" s="560">
        <v>33879000</v>
      </c>
      <c r="G8440" s="560">
        <f t="shared" si="171"/>
        <v>0</v>
      </c>
      <c r="H8440" s="362"/>
      <c r="I8440" s="362"/>
      <c r="J8440" s="362"/>
    </row>
    <row r="8441" spans="1:10" x14ac:dyDescent="0.25">
      <c r="A8441" s="530"/>
      <c r="B8441" s="530"/>
      <c r="C8441" s="530"/>
      <c r="D8441" s="562">
        <f>SUM(D8426:D8440)</f>
        <v>2847432925</v>
      </c>
      <c r="E8441" s="562">
        <f>SUM(E8426:E8440)</f>
        <v>0</v>
      </c>
      <c r="F8441" s="562">
        <f>SUM(F8426:F8440)</f>
        <v>2847431500</v>
      </c>
      <c r="G8441" s="562">
        <f>SUM(G8426:G8440)</f>
        <v>1425</v>
      </c>
      <c r="H8441" s="530"/>
      <c r="I8441" s="530"/>
      <c r="J8441" s="530"/>
    </row>
    <row r="8442" spans="1:10" x14ac:dyDescent="0.25">
      <c r="A8442" s="362"/>
      <c r="B8442" s="609">
        <v>44667</v>
      </c>
      <c r="C8442" s="362" t="s">
        <v>86</v>
      </c>
      <c r="D8442" s="560">
        <v>130990955</v>
      </c>
      <c r="E8442" s="560"/>
      <c r="F8442" s="560">
        <v>130991000</v>
      </c>
      <c r="G8442" s="560">
        <f t="shared" si="171"/>
        <v>-45</v>
      </c>
      <c r="H8442" s="362"/>
      <c r="I8442" s="362"/>
      <c r="J8442" s="362"/>
    </row>
    <row r="8443" spans="1:10" x14ac:dyDescent="0.25">
      <c r="A8443" s="362"/>
      <c r="B8443" s="609">
        <v>44667</v>
      </c>
      <c r="C8443" s="362" t="s">
        <v>87</v>
      </c>
      <c r="D8443" s="560">
        <v>253504522</v>
      </c>
      <c r="E8443" s="560"/>
      <c r="F8443" s="560">
        <f>131005200+122499500</f>
        <v>253504700</v>
      </c>
      <c r="G8443" s="560">
        <f t="shared" si="171"/>
        <v>-178</v>
      </c>
      <c r="H8443" s="362"/>
      <c r="I8443" s="362"/>
      <c r="J8443" s="362"/>
    </row>
    <row r="8444" spans="1:10" x14ac:dyDescent="0.25">
      <c r="A8444" s="362"/>
      <c r="B8444" s="609">
        <v>44667</v>
      </c>
      <c r="C8444" s="362" t="s">
        <v>88</v>
      </c>
      <c r="D8444" s="560">
        <v>144756719</v>
      </c>
      <c r="E8444" s="560"/>
      <c r="F8444" s="560">
        <v>144756800</v>
      </c>
      <c r="G8444" s="560">
        <f t="shared" si="171"/>
        <v>-81</v>
      </c>
      <c r="H8444" s="362"/>
      <c r="I8444" s="362"/>
      <c r="J8444" s="362"/>
    </row>
    <row r="8445" spans="1:10" x14ac:dyDescent="0.25">
      <c r="A8445" s="362"/>
      <c r="B8445" s="609">
        <v>44667</v>
      </c>
      <c r="C8445" s="362" t="s">
        <v>82</v>
      </c>
      <c r="D8445" s="560">
        <v>88426173</v>
      </c>
      <c r="E8445" s="560"/>
      <c r="F8445" s="560">
        <v>88438200</v>
      </c>
      <c r="G8445" s="560">
        <f t="shared" si="171"/>
        <v>-12027</v>
      </c>
      <c r="H8445" s="362"/>
      <c r="I8445" s="362"/>
      <c r="J8445" s="362"/>
    </row>
    <row r="8446" spans="1:10" x14ac:dyDescent="0.25">
      <c r="A8446" s="362"/>
      <c r="B8446" s="609">
        <v>44667</v>
      </c>
      <c r="C8446" s="362" t="s">
        <v>80</v>
      </c>
      <c r="D8446" s="560">
        <v>283641900</v>
      </c>
      <c r="E8446" s="560"/>
      <c r="F8446" s="560">
        <v>283641900</v>
      </c>
      <c r="G8446" s="560">
        <f t="shared" si="171"/>
        <v>0</v>
      </c>
      <c r="H8446" s="362"/>
      <c r="I8446" s="362"/>
      <c r="J8446" s="362"/>
    </row>
    <row r="8447" spans="1:10" x14ac:dyDescent="0.25">
      <c r="A8447" s="362"/>
      <c r="B8447" s="609">
        <v>44667</v>
      </c>
      <c r="C8447" s="362" t="s">
        <v>83</v>
      </c>
      <c r="D8447" s="560">
        <v>146019251</v>
      </c>
      <c r="E8447" s="560"/>
      <c r="F8447" s="560">
        <v>146019300</v>
      </c>
      <c r="G8447" s="560">
        <f t="shared" si="171"/>
        <v>-49</v>
      </c>
      <c r="H8447" s="362"/>
      <c r="I8447" s="362"/>
      <c r="J8447" s="362"/>
    </row>
    <row r="8448" spans="1:10" x14ac:dyDescent="0.25">
      <c r="A8448" s="362"/>
      <c r="B8448" s="609">
        <v>44667</v>
      </c>
      <c r="C8448" s="362" t="s">
        <v>78</v>
      </c>
      <c r="D8448" s="560">
        <v>267984813</v>
      </c>
      <c r="E8448" s="560"/>
      <c r="F8448" s="560">
        <v>267984900</v>
      </c>
      <c r="G8448" s="560">
        <f t="shared" si="171"/>
        <v>-87</v>
      </c>
      <c r="H8448" s="362"/>
      <c r="I8448" s="362"/>
      <c r="J8448" s="362"/>
    </row>
    <row r="8449" spans="1:10" x14ac:dyDescent="0.25">
      <c r="A8449" s="362"/>
      <c r="B8449" s="609">
        <v>44667</v>
      </c>
      <c r="C8449" s="362" t="s">
        <v>141</v>
      </c>
      <c r="D8449" s="560">
        <v>71012137</v>
      </c>
      <c r="E8449" s="560"/>
      <c r="F8449" s="560">
        <v>71012200</v>
      </c>
      <c r="G8449" s="560">
        <f t="shared" si="171"/>
        <v>-63</v>
      </c>
      <c r="H8449" s="362"/>
      <c r="I8449" s="362"/>
      <c r="J8449" s="362"/>
    </row>
    <row r="8450" spans="1:10" x14ac:dyDescent="0.25">
      <c r="A8450" s="362"/>
      <c r="B8450" s="609">
        <v>44667</v>
      </c>
      <c r="C8450" s="362" t="s">
        <v>89</v>
      </c>
      <c r="D8450" s="560">
        <v>160087500</v>
      </c>
      <c r="E8450" s="560"/>
      <c r="F8450" s="560">
        <v>160087500</v>
      </c>
      <c r="G8450" s="560">
        <f t="shared" si="171"/>
        <v>0</v>
      </c>
      <c r="H8450" s="362"/>
      <c r="I8450" s="362"/>
      <c r="J8450" s="362"/>
    </row>
    <row r="8451" spans="1:10" x14ac:dyDescent="0.25">
      <c r="A8451" s="362"/>
      <c r="B8451" s="609">
        <v>44667</v>
      </c>
      <c r="C8451" s="362" t="s">
        <v>81</v>
      </c>
      <c r="D8451" s="560">
        <v>258557831</v>
      </c>
      <c r="E8451" s="560"/>
      <c r="F8451" s="560">
        <f>83346900+175211000</f>
        <v>258557900</v>
      </c>
      <c r="G8451" s="560">
        <f t="shared" si="171"/>
        <v>-69</v>
      </c>
      <c r="H8451" s="362"/>
      <c r="I8451" s="362"/>
      <c r="J8451" s="362"/>
    </row>
    <row r="8452" spans="1:10" x14ac:dyDescent="0.25">
      <c r="A8452" s="362"/>
      <c r="B8452" s="609">
        <v>44667</v>
      </c>
      <c r="C8452" s="362" t="s">
        <v>84</v>
      </c>
      <c r="D8452" s="560">
        <v>228892853</v>
      </c>
      <c r="E8452" s="560"/>
      <c r="F8452" s="560">
        <v>228892300</v>
      </c>
      <c r="G8452" s="560">
        <f t="shared" si="171"/>
        <v>553</v>
      </c>
      <c r="H8452" s="362"/>
      <c r="I8452" s="362"/>
      <c r="J8452" s="362"/>
    </row>
    <row r="8453" spans="1:10" x14ac:dyDescent="0.25">
      <c r="A8453" s="362"/>
      <c r="B8453" s="609">
        <v>44667</v>
      </c>
      <c r="C8453" s="362" t="s">
        <v>4751</v>
      </c>
      <c r="D8453" s="560">
        <v>352567800</v>
      </c>
      <c r="E8453" s="560"/>
      <c r="F8453" s="560">
        <v>352567800</v>
      </c>
      <c r="G8453" s="560">
        <f t="shared" si="171"/>
        <v>0</v>
      </c>
      <c r="H8453" s="362"/>
      <c r="I8453" s="362"/>
      <c r="J8453" s="362"/>
    </row>
    <row r="8454" spans="1:10" x14ac:dyDescent="0.25">
      <c r="A8454" s="362"/>
      <c r="B8454" s="609">
        <v>44667</v>
      </c>
      <c r="C8454" s="362" t="s">
        <v>166</v>
      </c>
      <c r="D8454" s="560"/>
      <c r="E8454" s="560"/>
      <c r="F8454" s="560"/>
      <c r="G8454" s="560">
        <f t="shared" si="171"/>
        <v>0</v>
      </c>
      <c r="H8454" s="362"/>
      <c r="I8454" s="362"/>
      <c r="J8454" s="362"/>
    </row>
    <row r="8455" spans="1:10" x14ac:dyDescent="0.25">
      <c r="A8455" s="362"/>
      <c r="B8455" s="609">
        <v>44667</v>
      </c>
      <c r="C8455" s="362" t="s">
        <v>3435</v>
      </c>
      <c r="D8455" s="560"/>
      <c r="E8455" s="560"/>
      <c r="F8455" s="560"/>
      <c r="G8455" s="560">
        <f t="shared" si="171"/>
        <v>0</v>
      </c>
      <c r="H8455" s="362"/>
      <c r="I8455" s="362"/>
      <c r="J8455" s="362"/>
    </row>
    <row r="8456" spans="1:10" x14ac:dyDescent="0.25">
      <c r="A8456" s="362"/>
      <c r="B8456" s="609">
        <v>44667</v>
      </c>
      <c r="C8456" s="370" t="s">
        <v>85</v>
      </c>
      <c r="D8456" s="560">
        <v>50435200</v>
      </c>
      <c r="E8456" s="560"/>
      <c r="F8456" s="560">
        <v>50435200</v>
      </c>
      <c r="G8456" s="560">
        <f t="shared" si="171"/>
        <v>0</v>
      </c>
      <c r="H8456" s="362"/>
      <c r="I8456" s="362"/>
      <c r="J8456" s="362"/>
    </row>
    <row r="8457" spans="1:10" x14ac:dyDescent="0.25">
      <c r="A8457" s="530"/>
      <c r="B8457" s="530"/>
      <c r="C8457" s="530"/>
      <c r="D8457" s="562">
        <f>SUM(D8442:D8456)</f>
        <v>2436877654</v>
      </c>
      <c r="E8457" s="562">
        <f>SUM(E8442:E8456)</f>
        <v>0</v>
      </c>
      <c r="F8457" s="562">
        <f>SUM(F8442:F8456)</f>
        <v>2436889700</v>
      </c>
      <c r="G8457" s="562">
        <f>SUM(G8442:G8456)</f>
        <v>-12046</v>
      </c>
      <c r="H8457" s="530"/>
      <c r="I8457" s="530"/>
      <c r="J8457" s="530"/>
    </row>
    <row r="8458" spans="1:10" x14ac:dyDescent="0.25">
      <c r="A8458" s="362"/>
      <c r="B8458" s="609">
        <v>44669</v>
      </c>
      <c r="C8458" s="362" t="s">
        <v>86</v>
      </c>
      <c r="D8458" s="560">
        <v>111766818</v>
      </c>
      <c r="E8458" s="560"/>
      <c r="F8458" s="560">
        <v>111767000</v>
      </c>
      <c r="G8458" s="560">
        <f t="shared" si="171"/>
        <v>-182</v>
      </c>
      <c r="H8458" s="362"/>
      <c r="I8458" s="362"/>
      <c r="J8458" s="362"/>
    </row>
    <row r="8459" spans="1:10" x14ac:dyDescent="0.25">
      <c r="A8459" s="362"/>
      <c r="B8459" s="609">
        <v>44669</v>
      </c>
      <c r="C8459" s="362" t="s">
        <v>87</v>
      </c>
      <c r="D8459" s="560">
        <v>153827560</v>
      </c>
      <c r="E8459" s="560"/>
      <c r="F8459" s="560">
        <v>153827700</v>
      </c>
      <c r="G8459" s="560">
        <f t="shared" si="171"/>
        <v>-140</v>
      </c>
      <c r="H8459" s="362"/>
      <c r="I8459" s="362"/>
      <c r="J8459" s="362"/>
    </row>
    <row r="8460" spans="1:10" x14ac:dyDescent="0.25">
      <c r="A8460" s="362"/>
      <c r="B8460" s="609">
        <v>44669</v>
      </c>
      <c r="C8460" s="362" t="s">
        <v>88</v>
      </c>
      <c r="D8460" s="560">
        <v>510654447</v>
      </c>
      <c r="E8460" s="560"/>
      <c r="F8460" s="560">
        <v>510654500</v>
      </c>
      <c r="G8460" s="560">
        <f t="shared" si="171"/>
        <v>-53</v>
      </c>
      <c r="H8460" s="362"/>
      <c r="I8460" s="362"/>
      <c r="J8460" s="362"/>
    </row>
    <row r="8461" spans="1:10" x14ac:dyDescent="0.25">
      <c r="A8461" s="362"/>
      <c r="B8461" s="609">
        <v>44669</v>
      </c>
      <c r="C8461" s="362" t="s">
        <v>82</v>
      </c>
      <c r="D8461" s="560">
        <v>71366395</v>
      </c>
      <c r="E8461" s="560"/>
      <c r="F8461" s="560">
        <v>71366400</v>
      </c>
      <c r="G8461" s="560">
        <f t="shared" si="171"/>
        <v>-5</v>
      </c>
      <c r="H8461" s="362"/>
      <c r="I8461" s="362"/>
      <c r="J8461" s="362"/>
    </row>
    <row r="8462" spans="1:10" x14ac:dyDescent="0.25">
      <c r="A8462" s="362"/>
      <c r="B8462" s="609">
        <v>44669</v>
      </c>
      <c r="C8462" s="362" t="s">
        <v>80</v>
      </c>
      <c r="D8462" s="560">
        <v>304971797</v>
      </c>
      <c r="E8462" s="560"/>
      <c r="F8462" s="560">
        <v>304974300</v>
      </c>
      <c r="G8462" s="560">
        <f t="shared" si="171"/>
        <v>-2503</v>
      </c>
      <c r="H8462" s="362"/>
      <c r="I8462" s="362"/>
      <c r="J8462" s="362"/>
    </row>
    <row r="8463" spans="1:10" x14ac:dyDescent="0.25">
      <c r="A8463" s="362"/>
      <c r="B8463" s="609">
        <v>44669</v>
      </c>
      <c r="C8463" s="362" t="s">
        <v>83</v>
      </c>
      <c r="D8463" s="560">
        <v>229256700</v>
      </c>
      <c r="E8463" s="560"/>
      <c r="F8463" s="560">
        <v>229256700</v>
      </c>
      <c r="G8463" s="560">
        <f t="shared" si="171"/>
        <v>0</v>
      </c>
      <c r="H8463" s="362"/>
      <c r="I8463" s="362"/>
      <c r="J8463" s="362"/>
    </row>
    <row r="8464" spans="1:10" x14ac:dyDescent="0.25">
      <c r="A8464" s="362"/>
      <c r="B8464" s="609">
        <v>44669</v>
      </c>
      <c r="C8464" s="362" t="s">
        <v>78</v>
      </c>
      <c r="D8464" s="560">
        <v>94755800</v>
      </c>
      <c r="E8464" s="560"/>
      <c r="F8464" s="560">
        <v>94755800</v>
      </c>
      <c r="G8464" s="560">
        <f t="shared" si="171"/>
        <v>0</v>
      </c>
      <c r="H8464" s="362"/>
      <c r="I8464" s="362"/>
      <c r="J8464" s="362"/>
    </row>
    <row r="8465" spans="1:10" x14ac:dyDescent="0.25">
      <c r="A8465" s="362"/>
      <c r="B8465" s="609">
        <v>44669</v>
      </c>
      <c r="C8465" s="362" t="s">
        <v>141</v>
      </c>
      <c r="D8465" s="560">
        <v>74833674</v>
      </c>
      <c r="E8465" s="560"/>
      <c r="F8465" s="560">
        <v>74833700</v>
      </c>
      <c r="G8465" s="560">
        <f t="shared" si="171"/>
        <v>-26</v>
      </c>
      <c r="H8465" s="362"/>
      <c r="I8465" s="362"/>
      <c r="J8465" s="362"/>
    </row>
    <row r="8466" spans="1:10" x14ac:dyDescent="0.25">
      <c r="A8466" s="362"/>
      <c r="B8466" s="609">
        <v>44669</v>
      </c>
      <c r="C8466" s="362" t="s">
        <v>89</v>
      </c>
      <c r="D8466" s="560">
        <v>217322700</v>
      </c>
      <c r="E8466" s="560"/>
      <c r="F8466" s="560">
        <v>217322700</v>
      </c>
      <c r="G8466" s="560">
        <f t="shared" si="171"/>
        <v>0</v>
      </c>
      <c r="H8466" s="362"/>
      <c r="I8466" s="362"/>
      <c r="J8466" s="362"/>
    </row>
    <row r="8467" spans="1:10" x14ac:dyDescent="0.25">
      <c r="A8467" s="362"/>
      <c r="B8467" s="609">
        <v>44669</v>
      </c>
      <c r="C8467" s="362" t="s">
        <v>81</v>
      </c>
      <c r="D8467" s="560">
        <v>144270259</v>
      </c>
      <c r="E8467" s="560"/>
      <c r="F8467" s="560">
        <v>144270300</v>
      </c>
      <c r="G8467" s="560">
        <f t="shared" si="171"/>
        <v>-41</v>
      </c>
      <c r="H8467" s="362"/>
      <c r="I8467" s="362"/>
      <c r="J8467" s="362"/>
    </row>
    <row r="8468" spans="1:10" x14ac:dyDescent="0.25">
      <c r="A8468" s="362"/>
      <c r="B8468" s="609">
        <v>44669</v>
      </c>
      <c r="C8468" s="362" t="s">
        <v>84</v>
      </c>
      <c r="D8468" s="560">
        <v>372326324</v>
      </c>
      <c r="E8468" s="560"/>
      <c r="F8468" s="560">
        <v>372326000</v>
      </c>
      <c r="G8468" s="560">
        <f t="shared" si="171"/>
        <v>324</v>
      </c>
      <c r="H8468" s="362"/>
      <c r="I8468" s="362"/>
      <c r="J8468" s="362"/>
    </row>
    <row r="8469" spans="1:10" x14ac:dyDescent="0.25">
      <c r="A8469" s="362"/>
      <c r="B8469" s="609">
        <v>44669</v>
      </c>
      <c r="C8469" s="362" t="s">
        <v>4751</v>
      </c>
      <c r="D8469" s="560">
        <v>263614200</v>
      </c>
      <c r="E8469" s="560"/>
      <c r="F8469" s="560">
        <v>263614200</v>
      </c>
      <c r="G8469" s="560">
        <f t="shared" si="171"/>
        <v>0</v>
      </c>
      <c r="H8469" s="362"/>
      <c r="I8469" s="362"/>
      <c r="J8469" s="362"/>
    </row>
    <row r="8470" spans="1:10" x14ac:dyDescent="0.25">
      <c r="A8470" s="362"/>
      <c r="B8470" s="609">
        <v>44669</v>
      </c>
      <c r="C8470" s="362" t="s">
        <v>166</v>
      </c>
      <c r="D8470" s="560">
        <v>77326411</v>
      </c>
      <c r="E8470" s="560"/>
      <c r="F8470" s="560">
        <v>77326500</v>
      </c>
      <c r="G8470" s="560">
        <f t="shared" si="171"/>
        <v>-89</v>
      </c>
      <c r="H8470" s="362"/>
      <c r="I8470" s="362"/>
      <c r="J8470" s="362"/>
    </row>
    <row r="8471" spans="1:10" x14ac:dyDescent="0.25">
      <c r="A8471" s="362"/>
      <c r="B8471" s="609">
        <v>44669</v>
      </c>
      <c r="C8471" s="362" t="s">
        <v>3435</v>
      </c>
      <c r="D8471" s="560">
        <v>34030421</v>
      </c>
      <c r="E8471" s="560"/>
      <c r="F8471" s="560">
        <v>34030500</v>
      </c>
      <c r="G8471" s="560">
        <f t="shared" si="171"/>
        <v>-79</v>
      </c>
      <c r="H8471" s="362"/>
      <c r="I8471" s="362"/>
      <c r="J8471" s="362"/>
    </row>
    <row r="8472" spans="1:10" x14ac:dyDescent="0.25">
      <c r="A8472" s="362"/>
      <c r="B8472" s="609">
        <v>44669</v>
      </c>
      <c r="C8472" s="370" t="s">
        <v>85</v>
      </c>
      <c r="D8472" s="560">
        <v>57272600</v>
      </c>
      <c r="E8472" s="560"/>
      <c r="F8472" s="560">
        <v>57272600</v>
      </c>
      <c r="G8472" s="560">
        <f t="shared" si="171"/>
        <v>0</v>
      </c>
      <c r="H8472" s="362"/>
      <c r="I8472" s="362"/>
      <c r="J8472" s="362"/>
    </row>
    <row r="8473" spans="1:10" x14ac:dyDescent="0.25">
      <c r="A8473" s="530"/>
      <c r="B8473" s="530"/>
      <c r="C8473" s="530"/>
      <c r="D8473" s="562">
        <f>SUM(D8458:D8472)</f>
        <v>2717596106</v>
      </c>
      <c r="E8473" s="562">
        <f>SUM(E8458:E8472)</f>
        <v>0</v>
      </c>
      <c r="F8473" s="562">
        <f>SUM(F8458:F8472)</f>
        <v>2717598900</v>
      </c>
      <c r="G8473" s="562">
        <f>SUM(G8458:G8472)</f>
        <v>-2794</v>
      </c>
      <c r="H8473" s="530"/>
      <c r="I8473" s="530"/>
      <c r="J8473" s="530"/>
    </row>
    <row r="8474" spans="1:10" x14ac:dyDescent="0.25">
      <c r="A8474" s="362"/>
      <c r="B8474" s="609">
        <v>44670</v>
      </c>
      <c r="C8474" s="362" t="s">
        <v>86</v>
      </c>
      <c r="D8474" s="560">
        <v>157510682</v>
      </c>
      <c r="E8474" s="560"/>
      <c r="F8474" s="560">
        <v>157510700</v>
      </c>
      <c r="G8474" s="560">
        <f t="shared" si="171"/>
        <v>-18</v>
      </c>
      <c r="H8474" s="362"/>
      <c r="I8474" s="362"/>
      <c r="J8474" s="362"/>
    </row>
    <row r="8475" spans="1:10" x14ac:dyDescent="0.25">
      <c r="A8475" s="362"/>
      <c r="B8475" s="609">
        <v>44670</v>
      </c>
      <c r="C8475" s="362" t="s">
        <v>87</v>
      </c>
      <c r="D8475" s="560">
        <v>207666482</v>
      </c>
      <c r="E8475" s="560"/>
      <c r="F8475" s="560">
        <v>207666500</v>
      </c>
      <c r="G8475" s="560">
        <f t="shared" si="171"/>
        <v>-18</v>
      </c>
      <c r="H8475" s="362"/>
      <c r="I8475" s="362"/>
      <c r="J8475" s="362"/>
    </row>
    <row r="8476" spans="1:10" x14ac:dyDescent="0.25">
      <c r="A8476" s="362"/>
      <c r="B8476" s="609">
        <v>44670</v>
      </c>
      <c r="C8476" s="362" t="s">
        <v>88</v>
      </c>
      <c r="D8476" s="560">
        <v>127937709</v>
      </c>
      <c r="E8476" s="560"/>
      <c r="F8476" s="560">
        <v>127937800</v>
      </c>
      <c r="G8476" s="560">
        <f t="shared" ref="G8476:G8539" si="172">D8476+E8476-F8476</f>
        <v>-91</v>
      </c>
      <c r="H8476" s="362"/>
      <c r="I8476" s="362"/>
      <c r="J8476" s="362"/>
    </row>
    <row r="8477" spans="1:10" x14ac:dyDescent="0.25">
      <c r="A8477" s="362"/>
      <c r="B8477" s="609">
        <v>44670</v>
      </c>
      <c r="C8477" s="362" t="s">
        <v>82</v>
      </c>
      <c r="D8477" s="560">
        <v>64071797</v>
      </c>
      <c r="E8477" s="560"/>
      <c r="F8477" s="560">
        <v>64071800</v>
      </c>
      <c r="G8477" s="560">
        <f t="shared" si="172"/>
        <v>-3</v>
      </c>
      <c r="H8477" s="362"/>
      <c r="I8477" s="362"/>
      <c r="J8477" s="362"/>
    </row>
    <row r="8478" spans="1:10" x14ac:dyDescent="0.25">
      <c r="A8478" s="362"/>
      <c r="B8478" s="609">
        <v>44670</v>
      </c>
      <c r="C8478" s="362" t="s">
        <v>80</v>
      </c>
      <c r="D8478" s="560">
        <v>309023900</v>
      </c>
      <c r="E8478" s="560"/>
      <c r="F8478" s="560">
        <v>309023900</v>
      </c>
      <c r="G8478" s="560">
        <f t="shared" si="172"/>
        <v>0</v>
      </c>
      <c r="H8478" s="362"/>
      <c r="I8478" s="362"/>
      <c r="J8478" s="362"/>
    </row>
    <row r="8479" spans="1:10" x14ac:dyDescent="0.25">
      <c r="A8479" s="362"/>
      <c r="B8479" s="609">
        <v>44670</v>
      </c>
      <c r="C8479" s="362" t="s">
        <v>83</v>
      </c>
      <c r="D8479" s="560">
        <v>196150479</v>
      </c>
      <c r="E8479" s="560"/>
      <c r="F8479" s="560">
        <v>196150500</v>
      </c>
      <c r="G8479" s="560">
        <f t="shared" si="172"/>
        <v>-21</v>
      </c>
      <c r="H8479" s="362"/>
      <c r="I8479" s="362"/>
      <c r="J8479" s="362"/>
    </row>
    <row r="8480" spans="1:10" x14ac:dyDescent="0.25">
      <c r="A8480" s="362"/>
      <c r="B8480" s="609">
        <v>44670</v>
      </c>
      <c r="C8480" s="362" t="s">
        <v>78</v>
      </c>
      <c r="D8480" s="560">
        <v>152948890</v>
      </c>
      <c r="E8480" s="560"/>
      <c r="F8480" s="560">
        <v>152948900</v>
      </c>
      <c r="G8480" s="560">
        <f t="shared" si="172"/>
        <v>-10</v>
      </c>
      <c r="H8480" s="362"/>
      <c r="I8480" s="362"/>
      <c r="J8480" s="362"/>
    </row>
    <row r="8481" spans="1:10" x14ac:dyDescent="0.25">
      <c r="A8481" s="362"/>
      <c r="B8481" s="609">
        <v>44670</v>
      </c>
      <c r="C8481" s="362" t="s">
        <v>141</v>
      </c>
      <c r="D8481" s="560">
        <v>121612633</v>
      </c>
      <c r="E8481" s="560"/>
      <c r="F8481" s="560">
        <v>121612700</v>
      </c>
      <c r="G8481" s="560">
        <f t="shared" si="172"/>
        <v>-67</v>
      </c>
      <c r="H8481" s="362"/>
      <c r="I8481" s="362"/>
      <c r="J8481" s="362"/>
    </row>
    <row r="8482" spans="1:10" x14ac:dyDescent="0.25">
      <c r="A8482" s="362"/>
      <c r="B8482" s="609">
        <v>44670</v>
      </c>
      <c r="C8482" s="362" t="s">
        <v>89</v>
      </c>
      <c r="D8482" s="560">
        <v>228324800</v>
      </c>
      <c r="E8482" s="560"/>
      <c r="F8482" s="560">
        <v>228324800</v>
      </c>
      <c r="G8482" s="560">
        <f t="shared" si="172"/>
        <v>0</v>
      </c>
      <c r="H8482" s="362"/>
      <c r="I8482" s="362"/>
      <c r="J8482" s="362"/>
    </row>
    <row r="8483" spans="1:10" x14ac:dyDescent="0.25">
      <c r="A8483" s="362"/>
      <c r="B8483" s="609">
        <v>44670</v>
      </c>
      <c r="C8483" s="362" t="s">
        <v>81</v>
      </c>
      <c r="D8483" s="560">
        <v>127609324</v>
      </c>
      <c r="E8483" s="560"/>
      <c r="F8483" s="560">
        <v>127609400</v>
      </c>
      <c r="G8483" s="560">
        <f t="shared" si="172"/>
        <v>-76</v>
      </c>
      <c r="H8483" s="362"/>
      <c r="I8483" s="362"/>
      <c r="J8483" s="362"/>
    </row>
    <row r="8484" spans="1:10" x14ac:dyDescent="0.25">
      <c r="A8484" s="362"/>
      <c r="B8484" s="609">
        <v>44670</v>
      </c>
      <c r="C8484" s="362" t="s">
        <v>84</v>
      </c>
      <c r="D8484" s="560">
        <v>301651814</v>
      </c>
      <c r="E8484" s="560"/>
      <c r="F8484" s="560">
        <v>301649900</v>
      </c>
      <c r="G8484" s="560">
        <f t="shared" si="172"/>
        <v>1914</v>
      </c>
      <c r="H8484" s="362"/>
      <c r="I8484" s="362"/>
      <c r="J8484" s="362"/>
    </row>
    <row r="8485" spans="1:10" x14ac:dyDescent="0.25">
      <c r="A8485" s="362"/>
      <c r="B8485" s="609">
        <v>44670</v>
      </c>
      <c r="C8485" s="362" t="s">
        <v>4751</v>
      </c>
      <c r="D8485" s="560">
        <v>423147000</v>
      </c>
      <c r="E8485" s="560"/>
      <c r="F8485" s="560">
        <v>423147000</v>
      </c>
      <c r="G8485" s="560">
        <f t="shared" si="172"/>
        <v>0</v>
      </c>
      <c r="H8485" s="362"/>
      <c r="I8485" s="362"/>
      <c r="J8485" s="362"/>
    </row>
    <row r="8486" spans="1:10" x14ac:dyDescent="0.25">
      <c r="A8486" s="362"/>
      <c r="B8486" s="609">
        <v>44670</v>
      </c>
      <c r="C8486" s="362" t="s">
        <v>166</v>
      </c>
      <c r="D8486" s="560">
        <v>129231425</v>
      </c>
      <c r="E8486" s="560"/>
      <c r="F8486" s="560">
        <v>129231500</v>
      </c>
      <c r="G8486" s="560">
        <f t="shared" si="172"/>
        <v>-75</v>
      </c>
      <c r="H8486" s="362"/>
      <c r="I8486" s="362"/>
      <c r="J8486" s="362"/>
    </row>
    <row r="8487" spans="1:10" x14ac:dyDescent="0.25">
      <c r="A8487" s="362"/>
      <c r="B8487" s="609">
        <v>44670</v>
      </c>
      <c r="C8487" s="362" t="s">
        <v>3435</v>
      </c>
      <c r="D8487" s="560">
        <v>66043148</v>
      </c>
      <c r="E8487" s="560"/>
      <c r="F8487" s="560">
        <v>66043200</v>
      </c>
      <c r="G8487" s="560">
        <f t="shared" si="172"/>
        <v>-52</v>
      </c>
      <c r="H8487" s="362"/>
      <c r="I8487" s="362"/>
      <c r="J8487" s="362"/>
    </row>
    <row r="8488" spans="1:10" x14ac:dyDescent="0.25">
      <c r="A8488" s="362"/>
      <c r="B8488" s="609">
        <v>44670</v>
      </c>
      <c r="C8488" s="370" t="s">
        <v>85</v>
      </c>
      <c r="D8488" s="560">
        <v>51751600</v>
      </c>
      <c r="E8488" s="560"/>
      <c r="F8488" s="560">
        <v>51751600</v>
      </c>
      <c r="G8488" s="560">
        <f t="shared" si="172"/>
        <v>0</v>
      </c>
      <c r="H8488" s="362"/>
      <c r="I8488" s="362"/>
      <c r="J8488" s="362"/>
    </row>
    <row r="8489" spans="1:10" x14ac:dyDescent="0.25">
      <c r="A8489" s="530"/>
      <c r="B8489" s="530"/>
      <c r="C8489" s="530"/>
      <c r="D8489" s="562">
        <f>SUM(D8474:D8488)</f>
        <v>2664681683</v>
      </c>
      <c r="E8489" s="562">
        <f>SUM(E8474:E8488)</f>
        <v>0</v>
      </c>
      <c r="F8489" s="562">
        <f>SUM(F8474:F8488)</f>
        <v>2664680200</v>
      </c>
      <c r="G8489" s="562">
        <f>SUM(G8474:G8488)</f>
        <v>1483</v>
      </c>
      <c r="H8489" s="530"/>
      <c r="I8489" s="530"/>
      <c r="J8489" s="530"/>
    </row>
    <row r="8490" spans="1:10" x14ac:dyDescent="0.25">
      <c r="A8490" s="362"/>
      <c r="B8490" s="609">
        <v>44671</v>
      </c>
      <c r="C8490" s="362" t="s">
        <v>86</v>
      </c>
      <c r="D8490" s="560">
        <v>65920572</v>
      </c>
      <c r="E8490" s="560"/>
      <c r="F8490" s="560"/>
      <c r="G8490" s="560">
        <f t="shared" si="172"/>
        <v>65920572</v>
      </c>
      <c r="H8490" s="362"/>
      <c r="I8490" s="362"/>
      <c r="J8490" s="362"/>
    </row>
    <row r="8491" spans="1:10" x14ac:dyDescent="0.25">
      <c r="A8491" s="362"/>
      <c r="B8491" s="609">
        <v>44671</v>
      </c>
      <c r="C8491" s="362" t="s">
        <v>87</v>
      </c>
      <c r="D8491" s="560">
        <v>143337637</v>
      </c>
      <c r="E8491" s="560"/>
      <c r="F8491" s="560"/>
      <c r="G8491" s="560">
        <f t="shared" si="172"/>
        <v>143337637</v>
      </c>
      <c r="H8491" s="362"/>
      <c r="I8491" s="362"/>
      <c r="J8491" s="362"/>
    </row>
    <row r="8492" spans="1:10" x14ac:dyDescent="0.25">
      <c r="A8492" s="362"/>
      <c r="B8492" s="609">
        <v>44671</v>
      </c>
      <c r="C8492" s="362" t="s">
        <v>88</v>
      </c>
      <c r="D8492" s="560">
        <v>204148586</v>
      </c>
      <c r="E8492" s="560"/>
      <c r="F8492" s="560"/>
      <c r="G8492" s="560">
        <f t="shared" si="172"/>
        <v>204148586</v>
      </c>
      <c r="H8492" s="362"/>
      <c r="I8492" s="362"/>
      <c r="J8492" s="362"/>
    </row>
    <row r="8493" spans="1:10" x14ac:dyDescent="0.25">
      <c r="A8493" s="362"/>
      <c r="B8493" s="609">
        <v>44671</v>
      </c>
      <c r="C8493" s="362" t="s">
        <v>82</v>
      </c>
      <c r="D8493" s="560">
        <v>103384454</v>
      </c>
      <c r="E8493" s="560"/>
      <c r="F8493" s="560"/>
      <c r="G8493" s="560">
        <f t="shared" si="172"/>
        <v>103384454</v>
      </c>
      <c r="H8493" s="362"/>
      <c r="I8493" s="362"/>
      <c r="J8493" s="362"/>
    </row>
    <row r="8494" spans="1:10" x14ac:dyDescent="0.25">
      <c r="A8494" s="362"/>
      <c r="B8494" s="609">
        <v>44671</v>
      </c>
      <c r="C8494" s="362" t="s">
        <v>80</v>
      </c>
      <c r="D8494" s="560">
        <v>450034602</v>
      </c>
      <c r="E8494" s="560"/>
      <c r="F8494" s="560"/>
      <c r="G8494" s="560">
        <f t="shared" si="172"/>
        <v>450034602</v>
      </c>
      <c r="H8494" s="362"/>
      <c r="I8494" s="362"/>
      <c r="J8494" s="362"/>
    </row>
    <row r="8495" spans="1:10" x14ac:dyDescent="0.25">
      <c r="A8495" s="362"/>
      <c r="B8495" s="609">
        <v>44671</v>
      </c>
      <c r="C8495" s="362" t="s">
        <v>83</v>
      </c>
      <c r="D8495" s="560">
        <v>147913371</v>
      </c>
      <c r="E8495" s="560"/>
      <c r="F8495" s="560"/>
      <c r="G8495" s="560">
        <f t="shared" si="172"/>
        <v>147913371</v>
      </c>
      <c r="H8495" s="362"/>
      <c r="I8495" s="362"/>
      <c r="J8495" s="362"/>
    </row>
    <row r="8496" spans="1:10" x14ac:dyDescent="0.25">
      <c r="A8496" s="362"/>
      <c r="B8496" s="609">
        <v>44671</v>
      </c>
      <c r="C8496" s="362" t="s">
        <v>78</v>
      </c>
      <c r="D8496" s="560">
        <v>178665327</v>
      </c>
      <c r="E8496" s="560"/>
      <c r="F8496" s="560"/>
      <c r="G8496" s="560">
        <f t="shared" si="172"/>
        <v>178665327</v>
      </c>
      <c r="H8496" s="362"/>
      <c r="I8496" s="362"/>
      <c r="J8496" s="362"/>
    </row>
    <row r="8497" spans="1:10" x14ac:dyDescent="0.25">
      <c r="A8497" s="362"/>
      <c r="B8497" s="609">
        <v>44671</v>
      </c>
      <c r="C8497" s="362" t="s">
        <v>141</v>
      </c>
      <c r="D8497" s="560">
        <v>168843783</v>
      </c>
      <c r="E8497" s="560"/>
      <c r="F8497" s="560"/>
      <c r="G8497" s="560">
        <f t="shared" si="172"/>
        <v>168843783</v>
      </c>
      <c r="H8497" s="362"/>
      <c r="I8497" s="362"/>
      <c r="J8497" s="362"/>
    </row>
    <row r="8498" spans="1:10" x14ac:dyDescent="0.25">
      <c r="A8498" s="362"/>
      <c r="B8498" s="609">
        <v>44671</v>
      </c>
      <c r="C8498" s="362" t="s">
        <v>89</v>
      </c>
      <c r="D8498" s="560">
        <v>200864400</v>
      </c>
      <c r="E8498" s="560"/>
      <c r="F8498" s="560"/>
      <c r="G8498" s="560">
        <f t="shared" si="172"/>
        <v>200864400</v>
      </c>
      <c r="H8498" s="362"/>
      <c r="I8498" s="362"/>
      <c r="J8498" s="362"/>
    </row>
    <row r="8499" spans="1:10" x14ac:dyDescent="0.25">
      <c r="A8499" s="362"/>
      <c r="B8499" s="609">
        <v>44671</v>
      </c>
      <c r="C8499" s="362" t="s">
        <v>81</v>
      </c>
      <c r="D8499" s="560">
        <v>159651722</v>
      </c>
      <c r="E8499" s="560"/>
      <c r="F8499" s="560"/>
      <c r="G8499" s="560">
        <f t="shared" si="172"/>
        <v>159651722</v>
      </c>
      <c r="H8499" s="362"/>
      <c r="I8499" s="362"/>
      <c r="J8499" s="362"/>
    </row>
    <row r="8500" spans="1:10" x14ac:dyDescent="0.25">
      <c r="A8500" s="362"/>
      <c r="B8500" s="609">
        <v>44671</v>
      </c>
      <c r="C8500" s="362" t="s">
        <v>84</v>
      </c>
      <c r="D8500" s="560">
        <v>310922871</v>
      </c>
      <c r="E8500" s="560"/>
      <c r="F8500" s="560"/>
      <c r="G8500" s="560">
        <f t="shared" si="172"/>
        <v>310922871</v>
      </c>
      <c r="H8500" s="362"/>
      <c r="I8500" s="362"/>
      <c r="J8500" s="362"/>
    </row>
    <row r="8501" spans="1:10" x14ac:dyDescent="0.25">
      <c r="A8501" s="362"/>
      <c r="B8501" s="609">
        <v>44671</v>
      </c>
      <c r="C8501" s="362" t="s">
        <v>4751</v>
      </c>
      <c r="D8501" s="560">
        <v>280333800</v>
      </c>
      <c r="E8501" s="560"/>
      <c r="F8501" s="560"/>
      <c r="G8501" s="560">
        <f t="shared" si="172"/>
        <v>280333800</v>
      </c>
      <c r="H8501" s="362"/>
      <c r="I8501" s="362"/>
      <c r="J8501" s="362"/>
    </row>
    <row r="8502" spans="1:10" x14ac:dyDescent="0.25">
      <c r="A8502" s="362"/>
      <c r="B8502" s="609">
        <v>44671</v>
      </c>
      <c r="C8502" s="362" t="s">
        <v>166</v>
      </c>
      <c r="D8502" s="560">
        <v>79124049</v>
      </c>
      <c r="E8502" s="560"/>
      <c r="F8502" s="560"/>
      <c r="G8502" s="560">
        <f t="shared" si="172"/>
        <v>79124049</v>
      </c>
      <c r="H8502" s="362"/>
      <c r="I8502" s="362"/>
      <c r="J8502" s="362"/>
    </row>
    <row r="8503" spans="1:10" x14ac:dyDescent="0.25">
      <c r="A8503" s="362"/>
      <c r="B8503" s="609">
        <v>44671</v>
      </c>
      <c r="C8503" s="362" t="s">
        <v>3435</v>
      </c>
      <c r="D8503" s="560">
        <v>54473883</v>
      </c>
      <c r="E8503" s="560"/>
      <c r="F8503" s="560"/>
      <c r="G8503" s="560">
        <f t="shared" si="172"/>
        <v>54473883</v>
      </c>
      <c r="H8503" s="362"/>
      <c r="I8503" s="362"/>
      <c r="J8503" s="362"/>
    </row>
    <row r="8504" spans="1:10" x14ac:dyDescent="0.25">
      <c r="A8504" s="362"/>
      <c r="B8504" s="609">
        <v>44671</v>
      </c>
      <c r="C8504" s="370" t="s">
        <v>85</v>
      </c>
      <c r="D8504" s="560">
        <v>60578000</v>
      </c>
      <c r="E8504" s="560"/>
      <c r="F8504" s="560"/>
      <c r="G8504" s="560">
        <f t="shared" si="172"/>
        <v>60578000</v>
      </c>
      <c r="H8504" s="362"/>
      <c r="I8504" s="362"/>
      <c r="J8504" s="362"/>
    </row>
    <row r="8505" spans="1:10" x14ac:dyDescent="0.25">
      <c r="A8505" s="530"/>
      <c r="B8505" s="530"/>
      <c r="C8505" s="530"/>
      <c r="D8505" s="562">
        <f>SUM(D8490:D8504)</f>
        <v>2608197057</v>
      </c>
      <c r="E8505" s="562">
        <f>SUM(E8490:E8504)</f>
        <v>0</v>
      </c>
      <c r="F8505" s="562">
        <f>SUM(F8490:F8504)</f>
        <v>0</v>
      </c>
      <c r="G8505" s="562">
        <f>SUM(G8490:G8504)</f>
        <v>2608197057</v>
      </c>
      <c r="H8505" s="530"/>
      <c r="I8505" s="530"/>
      <c r="J8505" s="530"/>
    </row>
    <row r="8506" spans="1:10" x14ac:dyDescent="0.25">
      <c r="A8506" s="362"/>
      <c r="B8506" s="609">
        <v>44672</v>
      </c>
      <c r="C8506" s="362" t="s">
        <v>86</v>
      </c>
      <c r="D8506" s="560">
        <v>167343931</v>
      </c>
      <c r="E8506" s="560"/>
      <c r="F8506" s="560"/>
      <c r="G8506" s="560">
        <f t="shared" si="172"/>
        <v>167343931</v>
      </c>
      <c r="H8506" s="362"/>
      <c r="I8506" s="362"/>
      <c r="J8506" s="362"/>
    </row>
    <row r="8507" spans="1:10" x14ac:dyDescent="0.25">
      <c r="A8507" s="362"/>
      <c r="B8507" s="609">
        <v>44672</v>
      </c>
      <c r="C8507" s="362" t="s">
        <v>87</v>
      </c>
      <c r="D8507" s="560">
        <v>381459014</v>
      </c>
      <c r="E8507" s="560"/>
      <c r="F8507" s="560"/>
      <c r="G8507" s="560">
        <f t="shared" si="172"/>
        <v>381459014</v>
      </c>
      <c r="H8507" s="362"/>
      <c r="I8507" s="362"/>
      <c r="J8507" s="362"/>
    </row>
    <row r="8508" spans="1:10" x14ac:dyDescent="0.25">
      <c r="A8508" s="362"/>
      <c r="B8508" s="609">
        <v>44672</v>
      </c>
      <c r="C8508" s="362" t="s">
        <v>88</v>
      </c>
      <c r="D8508" s="560">
        <v>131408660</v>
      </c>
      <c r="E8508" s="560"/>
      <c r="F8508" s="560"/>
      <c r="G8508" s="560">
        <f t="shared" si="172"/>
        <v>131408660</v>
      </c>
      <c r="H8508" s="362"/>
      <c r="I8508" s="362"/>
      <c r="J8508" s="362"/>
    </row>
    <row r="8509" spans="1:10" x14ac:dyDescent="0.25">
      <c r="A8509" s="362"/>
      <c r="B8509" s="609">
        <v>44672</v>
      </c>
      <c r="C8509" s="362" t="s">
        <v>82</v>
      </c>
      <c r="D8509" s="560">
        <v>84587570</v>
      </c>
      <c r="E8509" s="560"/>
      <c r="F8509" s="560"/>
      <c r="G8509" s="560">
        <f t="shared" si="172"/>
        <v>84587570</v>
      </c>
      <c r="H8509" s="362"/>
      <c r="I8509" s="362"/>
      <c r="J8509" s="362"/>
    </row>
    <row r="8510" spans="1:10" x14ac:dyDescent="0.25">
      <c r="A8510" s="362"/>
      <c r="B8510" s="609">
        <v>44672</v>
      </c>
      <c r="C8510" s="362" t="s">
        <v>80</v>
      </c>
      <c r="D8510" s="560">
        <v>449193600</v>
      </c>
      <c r="E8510" s="560"/>
      <c r="F8510" s="560"/>
      <c r="G8510" s="560">
        <f t="shared" si="172"/>
        <v>449193600</v>
      </c>
      <c r="H8510" s="362"/>
      <c r="I8510" s="362"/>
      <c r="J8510" s="362"/>
    </row>
    <row r="8511" spans="1:10" x14ac:dyDescent="0.25">
      <c r="A8511" s="362"/>
      <c r="B8511" s="609">
        <v>44672</v>
      </c>
      <c r="C8511" s="362" t="s">
        <v>83</v>
      </c>
      <c r="D8511" s="560">
        <v>371440693</v>
      </c>
      <c r="E8511" s="560"/>
      <c r="F8511" s="560"/>
      <c r="G8511" s="560">
        <f t="shared" si="172"/>
        <v>371440693</v>
      </c>
      <c r="H8511" s="362"/>
      <c r="I8511" s="362"/>
      <c r="J8511" s="362"/>
    </row>
    <row r="8512" spans="1:10" x14ac:dyDescent="0.25">
      <c r="A8512" s="362"/>
      <c r="B8512" s="609">
        <v>44672</v>
      </c>
      <c r="C8512" s="362" t="s">
        <v>78</v>
      </c>
      <c r="D8512" s="560">
        <v>134907685</v>
      </c>
      <c r="E8512" s="560"/>
      <c r="F8512" s="560"/>
      <c r="G8512" s="560">
        <f t="shared" si="172"/>
        <v>134907685</v>
      </c>
      <c r="H8512" s="362"/>
      <c r="I8512" s="362"/>
      <c r="J8512" s="362"/>
    </row>
    <row r="8513" spans="1:10" x14ac:dyDescent="0.25">
      <c r="A8513" s="362"/>
      <c r="B8513" s="609">
        <v>44672</v>
      </c>
      <c r="C8513" s="362" t="s">
        <v>141</v>
      </c>
      <c r="D8513" s="560">
        <v>107923968</v>
      </c>
      <c r="E8513" s="560"/>
      <c r="F8513" s="560"/>
      <c r="G8513" s="560">
        <f t="shared" si="172"/>
        <v>107923968</v>
      </c>
      <c r="H8513" s="362"/>
      <c r="I8513" s="362"/>
      <c r="J8513" s="362"/>
    </row>
    <row r="8514" spans="1:10" x14ac:dyDescent="0.25">
      <c r="A8514" s="362"/>
      <c r="B8514" s="609">
        <v>44672</v>
      </c>
      <c r="C8514" s="362" t="s">
        <v>89</v>
      </c>
      <c r="D8514" s="560">
        <v>212075000</v>
      </c>
      <c r="E8514" s="560"/>
      <c r="F8514" s="560"/>
      <c r="G8514" s="560">
        <f t="shared" si="172"/>
        <v>212075000</v>
      </c>
      <c r="H8514" s="362"/>
      <c r="I8514" s="362"/>
      <c r="J8514" s="362"/>
    </row>
    <row r="8515" spans="1:10" x14ac:dyDescent="0.25">
      <c r="A8515" s="362"/>
      <c r="B8515" s="609">
        <v>44672</v>
      </c>
      <c r="C8515" s="362" t="s">
        <v>81</v>
      </c>
      <c r="D8515" s="560">
        <v>91653715</v>
      </c>
      <c r="E8515" s="560"/>
      <c r="F8515" s="560"/>
      <c r="G8515" s="560">
        <f t="shared" si="172"/>
        <v>91653715</v>
      </c>
      <c r="H8515" s="362"/>
      <c r="I8515" s="362"/>
      <c r="J8515" s="362"/>
    </row>
    <row r="8516" spans="1:10" x14ac:dyDescent="0.25">
      <c r="A8516" s="362"/>
      <c r="B8516" s="609">
        <v>44672</v>
      </c>
      <c r="C8516" s="362" t="s">
        <v>84</v>
      </c>
      <c r="D8516" s="560">
        <v>349408191</v>
      </c>
      <c r="E8516" s="560"/>
      <c r="F8516" s="560"/>
      <c r="G8516" s="560">
        <f t="shared" si="172"/>
        <v>349408191</v>
      </c>
      <c r="H8516" s="362"/>
      <c r="I8516" s="362"/>
      <c r="J8516" s="362"/>
    </row>
    <row r="8517" spans="1:10" x14ac:dyDescent="0.25">
      <c r="A8517" s="362"/>
      <c r="B8517" s="609">
        <v>44672</v>
      </c>
      <c r="C8517" s="362" t="s">
        <v>4751</v>
      </c>
      <c r="D8517" s="560">
        <v>264225400</v>
      </c>
      <c r="E8517" s="560"/>
      <c r="F8517" s="560"/>
      <c r="G8517" s="560">
        <f t="shared" si="172"/>
        <v>264225400</v>
      </c>
      <c r="H8517" s="362"/>
      <c r="I8517" s="362"/>
      <c r="J8517" s="362"/>
    </row>
    <row r="8518" spans="1:10" x14ac:dyDescent="0.25">
      <c r="A8518" s="362"/>
      <c r="B8518" s="609">
        <v>44672</v>
      </c>
      <c r="C8518" s="362" t="s">
        <v>166</v>
      </c>
      <c r="D8518" s="560">
        <v>84517318</v>
      </c>
      <c r="E8518" s="560"/>
      <c r="F8518" s="560"/>
      <c r="G8518" s="560">
        <f t="shared" si="172"/>
        <v>84517318</v>
      </c>
      <c r="H8518" s="362"/>
      <c r="I8518" s="362"/>
      <c r="J8518" s="362"/>
    </row>
    <row r="8519" spans="1:10" x14ac:dyDescent="0.25">
      <c r="A8519" s="362"/>
      <c r="B8519" s="609">
        <v>44672</v>
      </c>
      <c r="C8519" s="362" t="s">
        <v>3435</v>
      </c>
      <c r="D8519" s="560">
        <v>19913784</v>
      </c>
      <c r="E8519" s="560"/>
      <c r="F8519" s="560"/>
      <c r="G8519" s="560">
        <f t="shared" si="172"/>
        <v>19913784</v>
      </c>
      <c r="H8519" s="362"/>
      <c r="I8519" s="362"/>
      <c r="J8519" s="362"/>
    </row>
    <row r="8520" spans="1:10" x14ac:dyDescent="0.25">
      <c r="A8520" s="362"/>
      <c r="B8520" s="609">
        <v>44672</v>
      </c>
      <c r="C8520" s="370" t="s">
        <v>85</v>
      </c>
      <c r="D8520" s="560">
        <v>53437100</v>
      </c>
      <c r="E8520" s="560"/>
      <c r="F8520" s="560"/>
      <c r="G8520" s="560">
        <f t="shared" si="172"/>
        <v>53437100</v>
      </c>
      <c r="H8520" s="362"/>
      <c r="I8520" s="362"/>
      <c r="J8520" s="362"/>
    </row>
    <row r="8521" spans="1:10" x14ac:dyDescent="0.25">
      <c r="A8521" s="530"/>
      <c r="B8521" s="530"/>
      <c r="C8521" s="530"/>
      <c r="D8521" s="562">
        <f>SUM(D8506:D8520)</f>
        <v>2903495629</v>
      </c>
      <c r="E8521" s="562">
        <f>SUM(E8506:E8520)</f>
        <v>0</v>
      </c>
      <c r="F8521" s="562">
        <f>SUM(F8506:F8520)</f>
        <v>0</v>
      </c>
      <c r="G8521" s="562">
        <f>SUM(G8506:G8520)</f>
        <v>2903495629</v>
      </c>
      <c r="H8521" s="530"/>
      <c r="I8521" s="530"/>
      <c r="J8521" s="530"/>
    </row>
    <row r="8522" spans="1:10" x14ac:dyDescent="0.25">
      <c r="A8522" s="362"/>
      <c r="B8522" s="609">
        <v>44673</v>
      </c>
      <c r="C8522" s="362" t="s">
        <v>86</v>
      </c>
      <c r="D8522" s="560">
        <v>168344331</v>
      </c>
      <c r="E8522" s="560"/>
      <c r="F8522" s="560"/>
      <c r="G8522" s="560">
        <f t="shared" si="172"/>
        <v>168344331</v>
      </c>
      <c r="H8522" s="362"/>
      <c r="I8522" s="362"/>
      <c r="J8522" s="362"/>
    </row>
    <row r="8523" spans="1:10" x14ac:dyDescent="0.25">
      <c r="A8523" s="362"/>
      <c r="B8523" s="609">
        <v>44673</v>
      </c>
      <c r="C8523" s="362" t="s">
        <v>87</v>
      </c>
      <c r="D8523" s="560">
        <v>381459014</v>
      </c>
      <c r="E8523" s="560"/>
      <c r="F8523" s="560"/>
      <c r="G8523" s="560">
        <f t="shared" si="172"/>
        <v>381459014</v>
      </c>
      <c r="H8523" s="362"/>
      <c r="I8523" s="362"/>
      <c r="J8523" s="362"/>
    </row>
    <row r="8524" spans="1:10" x14ac:dyDescent="0.25">
      <c r="A8524" s="362"/>
      <c r="B8524" s="609">
        <v>44673</v>
      </c>
      <c r="C8524" s="362" t="s">
        <v>88</v>
      </c>
      <c r="D8524" s="560">
        <v>131408660</v>
      </c>
      <c r="E8524" s="560"/>
      <c r="F8524" s="560"/>
      <c r="G8524" s="560">
        <f t="shared" si="172"/>
        <v>131408660</v>
      </c>
      <c r="H8524" s="362"/>
      <c r="I8524" s="362"/>
      <c r="J8524" s="362"/>
    </row>
    <row r="8525" spans="1:10" x14ac:dyDescent="0.25">
      <c r="A8525" s="362"/>
      <c r="B8525" s="609">
        <v>44673</v>
      </c>
      <c r="C8525" s="362" t="s">
        <v>82</v>
      </c>
      <c r="D8525" s="560">
        <v>84587570</v>
      </c>
      <c r="E8525" s="560"/>
      <c r="F8525" s="560"/>
      <c r="G8525" s="560">
        <f t="shared" si="172"/>
        <v>84587570</v>
      </c>
      <c r="H8525" s="362"/>
      <c r="I8525" s="362"/>
      <c r="J8525" s="362"/>
    </row>
    <row r="8526" spans="1:10" x14ac:dyDescent="0.25">
      <c r="A8526" s="362"/>
      <c r="B8526" s="609">
        <v>44673</v>
      </c>
      <c r="C8526" s="362" t="s">
        <v>80</v>
      </c>
      <c r="D8526" s="560">
        <v>206246558</v>
      </c>
      <c r="E8526" s="560"/>
      <c r="F8526" s="560"/>
      <c r="G8526" s="560">
        <f t="shared" si="172"/>
        <v>206246558</v>
      </c>
      <c r="H8526" s="362"/>
      <c r="I8526" s="362"/>
      <c r="J8526" s="362"/>
    </row>
    <row r="8527" spans="1:10" x14ac:dyDescent="0.25">
      <c r="A8527" s="362"/>
      <c r="B8527" s="609">
        <v>44673</v>
      </c>
      <c r="C8527" s="362" t="s">
        <v>83</v>
      </c>
      <c r="D8527" s="560">
        <v>371440693</v>
      </c>
      <c r="E8527" s="560"/>
      <c r="F8527" s="560"/>
      <c r="G8527" s="560">
        <f t="shared" si="172"/>
        <v>371440693</v>
      </c>
      <c r="H8527" s="362"/>
      <c r="I8527" s="362"/>
      <c r="J8527" s="362"/>
    </row>
    <row r="8528" spans="1:10" x14ac:dyDescent="0.25">
      <c r="A8528" s="362"/>
      <c r="B8528" s="609">
        <v>44673</v>
      </c>
      <c r="C8528" s="362" t="s">
        <v>78</v>
      </c>
      <c r="D8528" s="560">
        <v>134907685</v>
      </c>
      <c r="E8528" s="560"/>
      <c r="F8528" s="560"/>
      <c r="G8528" s="560">
        <f t="shared" si="172"/>
        <v>134907685</v>
      </c>
      <c r="H8528" s="362"/>
      <c r="I8528" s="362"/>
      <c r="J8528" s="362"/>
    </row>
    <row r="8529" spans="1:10" x14ac:dyDescent="0.25">
      <c r="A8529" s="362"/>
      <c r="B8529" s="609">
        <v>44673</v>
      </c>
      <c r="C8529" s="362" t="s">
        <v>141</v>
      </c>
      <c r="D8529" s="560">
        <v>107923968</v>
      </c>
      <c r="E8529" s="560"/>
      <c r="F8529" s="560"/>
      <c r="G8529" s="560">
        <f t="shared" si="172"/>
        <v>107923968</v>
      </c>
      <c r="H8529" s="362"/>
      <c r="I8529" s="362"/>
      <c r="J8529" s="362"/>
    </row>
    <row r="8530" spans="1:10" x14ac:dyDescent="0.25">
      <c r="A8530" s="362"/>
      <c r="B8530" s="609">
        <v>44673</v>
      </c>
      <c r="C8530" s="362" t="s">
        <v>89</v>
      </c>
      <c r="D8530" s="560">
        <v>284815600</v>
      </c>
      <c r="E8530" s="560"/>
      <c r="F8530" s="560"/>
      <c r="G8530" s="560">
        <f t="shared" si="172"/>
        <v>284815600</v>
      </c>
      <c r="H8530" s="362"/>
      <c r="I8530" s="362"/>
      <c r="J8530" s="362"/>
    </row>
    <row r="8531" spans="1:10" x14ac:dyDescent="0.25">
      <c r="A8531" s="362"/>
      <c r="B8531" s="609">
        <v>44673</v>
      </c>
      <c r="C8531" s="362" t="s">
        <v>81</v>
      </c>
      <c r="D8531" s="560">
        <v>114799865</v>
      </c>
      <c r="E8531" s="560"/>
      <c r="F8531" s="560"/>
      <c r="G8531" s="560">
        <f t="shared" si="172"/>
        <v>114799865</v>
      </c>
      <c r="H8531" s="362"/>
      <c r="I8531" s="362"/>
      <c r="J8531" s="362"/>
    </row>
    <row r="8532" spans="1:10" x14ac:dyDescent="0.25">
      <c r="A8532" s="362"/>
      <c r="B8532" s="609">
        <v>44673</v>
      </c>
      <c r="C8532" s="362" t="s">
        <v>84</v>
      </c>
      <c r="D8532" s="560">
        <v>299019493</v>
      </c>
      <c r="E8532" s="560"/>
      <c r="F8532" s="560"/>
      <c r="G8532" s="560">
        <f t="shared" si="172"/>
        <v>299019493</v>
      </c>
      <c r="H8532" s="362"/>
      <c r="I8532" s="362"/>
      <c r="J8532" s="362"/>
    </row>
    <row r="8533" spans="1:10" x14ac:dyDescent="0.25">
      <c r="A8533" s="362"/>
      <c r="B8533" s="609">
        <v>44673</v>
      </c>
      <c r="C8533" s="362" t="s">
        <v>4751</v>
      </c>
      <c r="D8533" s="560">
        <v>264225400</v>
      </c>
      <c r="E8533" s="560"/>
      <c r="F8533" s="560"/>
      <c r="G8533" s="560">
        <f t="shared" si="172"/>
        <v>264225400</v>
      </c>
      <c r="H8533" s="362"/>
      <c r="I8533" s="362"/>
      <c r="J8533" s="362"/>
    </row>
    <row r="8534" spans="1:10" x14ac:dyDescent="0.25">
      <c r="A8534" s="362"/>
      <c r="B8534" s="609">
        <v>44673</v>
      </c>
      <c r="C8534" s="362" t="s">
        <v>166</v>
      </c>
      <c r="D8534" s="560">
        <v>84517318</v>
      </c>
      <c r="E8534" s="560"/>
      <c r="F8534" s="560"/>
      <c r="G8534" s="560">
        <f t="shared" si="172"/>
        <v>84517318</v>
      </c>
      <c r="H8534" s="362"/>
      <c r="I8534" s="362"/>
      <c r="J8534" s="362"/>
    </row>
    <row r="8535" spans="1:10" x14ac:dyDescent="0.25">
      <c r="A8535" s="362"/>
      <c r="B8535" s="609">
        <v>44673</v>
      </c>
      <c r="C8535" s="362" t="s">
        <v>3435</v>
      </c>
      <c r="D8535" s="560">
        <v>19913784</v>
      </c>
      <c r="E8535" s="560"/>
      <c r="F8535" s="560"/>
      <c r="G8535" s="560">
        <f t="shared" si="172"/>
        <v>19913784</v>
      </c>
      <c r="H8535" s="362"/>
      <c r="I8535" s="362"/>
      <c r="J8535" s="362"/>
    </row>
    <row r="8536" spans="1:10" x14ac:dyDescent="0.25">
      <c r="A8536" s="362"/>
      <c r="B8536" s="609">
        <v>44673</v>
      </c>
      <c r="C8536" s="370" t="s">
        <v>85</v>
      </c>
      <c r="D8536" s="560">
        <v>50345300</v>
      </c>
      <c r="E8536" s="560"/>
      <c r="F8536" s="560"/>
      <c r="G8536" s="560">
        <f t="shared" si="172"/>
        <v>50345300</v>
      </c>
      <c r="H8536" s="362"/>
      <c r="I8536" s="362"/>
      <c r="J8536" s="362"/>
    </row>
    <row r="8537" spans="1:10" x14ac:dyDescent="0.25">
      <c r="A8537" s="530"/>
      <c r="B8537" s="530"/>
      <c r="C8537" s="530"/>
      <c r="D8537" s="562">
        <f>SUM(D8522:D8536)</f>
        <v>2703955239</v>
      </c>
      <c r="E8537" s="562">
        <f>SUM(E8522:E8536)</f>
        <v>0</v>
      </c>
      <c r="F8537" s="562">
        <f>SUM(F8522:F8536)</f>
        <v>0</v>
      </c>
      <c r="G8537" s="562">
        <f>SUM(G8522:G8536)</f>
        <v>2703955239</v>
      </c>
      <c r="H8537" s="530"/>
      <c r="I8537" s="530"/>
      <c r="J8537" s="530"/>
    </row>
    <row r="8538" spans="1:10" x14ac:dyDescent="0.25">
      <c r="A8538" s="362"/>
      <c r="B8538" s="609">
        <v>44674</v>
      </c>
      <c r="C8538" s="362" t="s">
        <v>86</v>
      </c>
      <c r="D8538" s="560">
        <v>234517882</v>
      </c>
      <c r="E8538" s="560"/>
      <c r="F8538" s="560"/>
      <c r="G8538" s="560">
        <f t="shared" si="172"/>
        <v>234517882</v>
      </c>
      <c r="H8538" s="362"/>
      <c r="I8538" s="362"/>
      <c r="J8538" s="362"/>
    </row>
    <row r="8539" spans="1:10" x14ac:dyDescent="0.25">
      <c r="A8539" s="362"/>
      <c r="B8539" s="609">
        <v>44674</v>
      </c>
      <c r="C8539" s="362" t="s">
        <v>87</v>
      </c>
      <c r="D8539" s="560">
        <v>130811048</v>
      </c>
      <c r="E8539" s="560"/>
      <c r="F8539" s="560"/>
      <c r="G8539" s="560">
        <f t="shared" si="172"/>
        <v>130811048</v>
      </c>
      <c r="H8539" s="362"/>
      <c r="I8539" s="362"/>
      <c r="J8539" s="362"/>
    </row>
    <row r="8540" spans="1:10" x14ac:dyDescent="0.25">
      <c r="A8540" s="362"/>
      <c r="B8540" s="609">
        <v>44674</v>
      </c>
      <c r="C8540" s="362" t="s">
        <v>88</v>
      </c>
      <c r="D8540" s="560">
        <v>309881030</v>
      </c>
      <c r="E8540" s="560"/>
      <c r="F8540" s="560"/>
      <c r="G8540" s="560">
        <f t="shared" ref="G8540:G8603" si="173">D8540+E8540-F8540</f>
        <v>309881030</v>
      </c>
      <c r="H8540" s="362"/>
      <c r="I8540" s="362"/>
      <c r="J8540" s="362"/>
    </row>
    <row r="8541" spans="1:10" x14ac:dyDescent="0.25">
      <c r="A8541" s="362"/>
      <c r="B8541" s="609">
        <v>44674</v>
      </c>
      <c r="C8541" s="362" t="s">
        <v>82</v>
      </c>
      <c r="D8541" s="560">
        <v>162332065</v>
      </c>
      <c r="E8541" s="560"/>
      <c r="F8541" s="560"/>
      <c r="G8541" s="560">
        <f t="shared" si="173"/>
        <v>162332065</v>
      </c>
      <c r="H8541" s="362"/>
      <c r="I8541" s="362"/>
      <c r="J8541" s="362"/>
    </row>
    <row r="8542" spans="1:10" x14ac:dyDescent="0.25">
      <c r="A8542" s="362"/>
      <c r="B8542" s="609">
        <v>44674</v>
      </c>
      <c r="C8542" s="362" t="s">
        <v>80</v>
      </c>
      <c r="D8542" s="560">
        <v>591440000</v>
      </c>
      <c r="E8542" s="560"/>
      <c r="F8542" s="560"/>
      <c r="G8542" s="560">
        <f t="shared" si="173"/>
        <v>591440000</v>
      </c>
      <c r="H8542" s="362"/>
      <c r="I8542" s="362"/>
      <c r="J8542" s="362"/>
    </row>
    <row r="8543" spans="1:10" x14ac:dyDescent="0.25">
      <c r="A8543" s="362"/>
      <c r="B8543" s="609">
        <v>44674</v>
      </c>
      <c r="C8543" s="362" t="s">
        <v>83</v>
      </c>
      <c r="D8543" s="560">
        <v>205916000</v>
      </c>
      <c r="E8543" s="560"/>
      <c r="F8543" s="560"/>
      <c r="G8543" s="560">
        <f t="shared" si="173"/>
        <v>205916000</v>
      </c>
      <c r="H8543" s="362"/>
      <c r="I8543" s="362"/>
      <c r="J8543" s="362"/>
    </row>
    <row r="8544" spans="1:10" x14ac:dyDescent="0.25">
      <c r="A8544" s="362"/>
      <c r="B8544" s="609">
        <v>44674</v>
      </c>
      <c r="C8544" s="362" t="s">
        <v>78</v>
      </c>
      <c r="D8544" s="560">
        <v>179294307</v>
      </c>
      <c r="E8544" s="560"/>
      <c r="F8544" s="560"/>
      <c r="G8544" s="560">
        <f t="shared" si="173"/>
        <v>179294307</v>
      </c>
      <c r="H8544" s="362"/>
      <c r="I8544" s="362"/>
      <c r="J8544" s="362"/>
    </row>
    <row r="8545" spans="1:10" x14ac:dyDescent="0.25">
      <c r="A8545" s="362"/>
      <c r="B8545" s="609">
        <v>44674</v>
      </c>
      <c r="C8545" s="362" t="s">
        <v>141</v>
      </c>
      <c r="D8545" s="560">
        <v>62372771</v>
      </c>
      <c r="E8545" s="560"/>
      <c r="F8545" s="560"/>
      <c r="G8545" s="560">
        <f t="shared" si="173"/>
        <v>62372771</v>
      </c>
      <c r="H8545" s="362"/>
      <c r="I8545" s="362"/>
      <c r="J8545" s="362"/>
    </row>
    <row r="8546" spans="1:10" x14ac:dyDescent="0.25">
      <c r="A8546" s="362"/>
      <c r="B8546" s="609">
        <v>44674</v>
      </c>
      <c r="C8546" s="362" t="s">
        <v>89</v>
      </c>
      <c r="D8546" s="560">
        <v>225386200</v>
      </c>
      <c r="E8546" s="560"/>
      <c r="F8546" s="560"/>
      <c r="G8546" s="560">
        <f t="shared" si="173"/>
        <v>225386200</v>
      </c>
      <c r="H8546" s="362"/>
      <c r="I8546" s="362"/>
      <c r="J8546" s="362"/>
    </row>
    <row r="8547" spans="1:10" x14ac:dyDescent="0.25">
      <c r="A8547" s="362"/>
      <c r="B8547" s="609">
        <v>44674</v>
      </c>
      <c r="C8547" s="362" t="s">
        <v>81</v>
      </c>
      <c r="D8547" s="560">
        <v>161618280</v>
      </c>
      <c r="E8547" s="560"/>
      <c r="F8547" s="560"/>
      <c r="G8547" s="560">
        <f t="shared" si="173"/>
        <v>161618280</v>
      </c>
      <c r="H8547" s="362"/>
      <c r="I8547" s="362"/>
      <c r="J8547" s="362"/>
    </row>
    <row r="8548" spans="1:10" x14ac:dyDescent="0.25">
      <c r="A8548" s="362"/>
      <c r="B8548" s="609">
        <v>44674</v>
      </c>
      <c r="C8548" s="362" t="s">
        <v>84</v>
      </c>
      <c r="D8548" s="560">
        <v>215671220</v>
      </c>
      <c r="E8548" s="560"/>
      <c r="F8548" s="560"/>
      <c r="G8548" s="560">
        <f t="shared" si="173"/>
        <v>215671220</v>
      </c>
      <c r="H8548" s="362"/>
      <c r="I8548" s="362"/>
      <c r="J8548" s="362"/>
    </row>
    <row r="8549" spans="1:10" x14ac:dyDescent="0.25">
      <c r="A8549" s="362"/>
      <c r="B8549" s="609">
        <v>44674</v>
      </c>
      <c r="C8549" s="362" t="s">
        <v>4751</v>
      </c>
      <c r="D8549" s="560">
        <v>416968700</v>
      </c>
      <c r="E8549" s="560"/>
      <c r="F8549" s="560"/>
      <c r="G8549" s="560">
        <f t="shared" si="173"/>
        <v>416968700</v>
      </c>
      <c r="H8549" s="362"/>
      <c r="I8549" s="362"/>
      <c r="J8549" s="362"/>
    </row>
    <row r="8550" spans="1:10" x14ac:dyDescent="0.25">
      <c r="A8550" s="362"/>
      <c r="B8550" s="609">
        <v>44674</v>
      </c>
      <c r="C8550" s="362" t="s">
        <v>166</v>
      </c>
      <c r="D8550" s="560"/>
      <c r="E8550" s="560"/>
      <c r="F8550" s="560"/>
      <c r="G8550" s="560">
        <f t="shared" si="173"/>
        <v>0</v>
      </c>
      <c r="H8550" s="362"/>
      <c r="I8550" s="362"/>
      <c r="J8550" s="362"/>
    </row>
    <row r="8551" spans="1:10" x14ac:dyDescent="0.25">
      <c r="A8551" s="362"/>
      <c r="B8551" s="609">
        <v>44674</v>
      </c>
      <c r="C8551" s="362" t="s">
        <v>3435</v>
      </c>
      <c r="D8551" s="560"/>
      <c r="E8551" s="560"/>
      <c r="F8551" s="560"/>
      <c r="G8551" s="560">
        <f t="shared" si="173"/>
        <v>0</v>
      </c>
      <c r="H8551" s="362"/>
      <c r="I8551" s="362"/>
      <c r="J8551" s="362"/>
    </row>
    <row r="8552" spans="1:10" x14ac:dyDescent="0.25">
      <c r="A8552" s="362"/>
      <c r="B8552" s="609">
        <v>44674</v>
      </c>
      <c r="C8552" s="370" t="s">
        <v>85</v>
      </c>
      <c r="D8552" s="560">
        <v>33177000</v>
      </c>
      <c r="E8552" s="560"/>
      <c r="F8552" s="560"/>
      <c r="G8552" s="560">
        <f t="shared" si="173"/>
        <v>33177000</v>
      </c>
      <c r="H8552" s="362"/>
      <c r="I8552" s="362"/>
      <c r="J8552" s="362"/>
    </row>
    <row r="8553" spans="1:10" x14ac:dyDescent="0.25">
      <c r="A8553" s="530"/>
      <c r="B8553" s="530"/>
      <c r="C8553" s="530"/>
      <c r="D8553" s="562">
        <f>SUM(D8538:D8552)</f>
        <v>2929386503</v>
      </c>
      <c r="E8553" s="562">
        <f>SUM(E8538:E8552)</f>
        <v>0</v>
      </c>
      <c r="F8553" s="562">
        <f>SUM(F8538:F8552)</f>
        <v>0</v>
      </c>
      <c r="G8553" s="562">
        <f>SUM(G8538:G8552)</f>
        <v>2929386503</v>
      </c>
      <c r="H8553" s="530"/>
      <c r="I8553" s="530"/>
      <c r="J8553" s="530"/>
    </row>
    <row r="8554" spans="1:10" x14ac:dyDescent="0.25">
      <c r="A8554" s="362"/>
      <c r="B8554" s="609">
        <v>44676</v>
      </c>
      <c r="C8554" s="362" t="s">
        <v>86</v>
      </c>
      <c r="D8554" s="560">
        <v>203157577</v>
      </c>
      <c r="E8554" s="560"/>
      <c r="F8554" s="560"/>
      <c r="G8554" s="560">
        <f t="shared" si="173"/>
        <v>203157577</v>
      </c>
      <c r="H8554" s="362"/>
      <c r="I8554" s="362"/>
      <c r="J8554" s="362"/>
    </row>
    <row r="8555" spans="1:10" x14ac:dyDescent="0.25">
      <c r="A8555" s="362"/>
      <c r="B8555" s="609">
        <v>44676</v>
      </c>
      <c r="C8555" s="362" t="s">
        <v>87</v>
      </c>
      <c r="D8555" s="560">
        <v>234677285</v>
      </c>
      <c r="E8555" s="560"/>
      <c r="F8555" s="560"/>
      <c r="G8555" s="560">
        <f t="shared" si="173"/>
        <v>234677285</v>
      </c>
      <c r="H8555" s="362"/>
      <c r="I8555" s="362"/>
      <c r="J8555" s="362"/>
    </row>
    <row r="8556" spans="1:10" x14ac:dyDescent="0.25">
      <c r="A8556" s="362"/>
      <c r="B8556" s="609">
        <v>44676</v>
      </c>
      <c r="C8556" s="362" t="s">
        <v>88</v>
      </c>
      <c r="D8556" s="560">
        <v>236113260</v>
      </c>
      <c r="E8556" s="560"/>
      <c r="F8556" s="560"/>
      <c r="G8556" s="560">
        <f t="shared" si="173"/>
        <v>236113260</v>
      </c>
      <c r="H8556" s="362"/>
      <c r="I8556" s="362"/>
      <c r="J8556" s="362"/>
    </row>
    <row r="8557" spans="1:10" x14ac:dyDescent="0.25">
      <c r="A8557" s="362"/>
      <c r="B8557" s="609">
        <v>44676</v>
      </c>
      <c r="C8557" s="362" t="s">
        <v>82</v>
      </c>
      <c r="D8557" s="560">
        <v>168611572</v>
      </c>
      <c r="E8557" s="560"/>
      <c r="F8557" s="560"/>
      <c r="G8557" s="560">
        <f t="shared" si="173"/>
        <v>168611572</v>
      </c>
      <c r="H8557" s="362"/>
      <c r="I8557" s="362"/>
      <c r="J8557" s="362"/>
    </row>
    <row r="8558" spans="1:10" x14ac:dyDescent="0.25">
      <c r="A8558" s="362"/>
      <c r="B8558" s="609">
        <v>44676</v>
      </c>
      <c r="C8558" s="362" t="s">
        <v>80</v>
      </c>
      <c r="D8558" s="560">
        <v>364316900</v>
      </c>
      <c r="E8558" s="560"/>
      <c r="F8558" s="560"/>
      <c r="G8558" s="560">
        <f t="shared" si="173"/>
        <v>364316900</v>
      </c>
      <c r="H8558" s="362"/>
      <c r="I8558" s="362"/>
      <c r="J8558" s="362"/>
    </row>
    <row r="8559" spans="1:10" x14ac:dyDescent="0.25">
      <c r="A8559" s="362"/>
      <c r="B8559" s="609">
        <v>44676</v>
      </c>
      <c r="C8559" s="362" t="s">
        <v>83</v>
      </c>
      <c r="D8559" s="560">
        <v>301929901</v>
      </c>
      <c r="E8559" s="560"/>
      <c r="F8559" s="560"/>
      <c r="G8559" s="560">
        <f t="shared" si="173"/>
        <v>301929901</v>
      </c>
      <c r="H8559" s="362"/>
      <c r="I8559" s="362"/>
      <c r="J8559" s="362"/>
    </row>
    <row r="8560" spans="1:10" x14ac:dyDescent="0.25">
      <c r="A8560" s="362"/>
      <c r="B8560" s="609">
        <v>44676</v>
      </c>
      <c r="C8560" s="362" t="s">
        <v>78</v>
      </c>
      <c r="D8560" s="560">
        <v>127117724</v>
      </c>
      <c r="E8560" s="560"/>
      <c r="F8560" s="560"/>
      <c r="G8560" s="560">
        <f t="shared" si="173"/>
        <v>127117724</v>
      </c>
      <c r="H8560" s="362"/>
      <c r="I8560" s="362"/>
      <c r="J8560" s="362"/>
    </row>
    <row r="8561" spans="1:10" x14ac:dyDescent="0.25">
      <c r="A8561" s="362"/>
      <c r="B8561" s="609">
        <v>44676</v>
      </c>
      <c r="C8561" s="362" t="s">
        <v>141</v>
      </c>
      <c r="D8561" s="560">
        <v>146664744</v>
      </c>
      <c r="E8561" s="560"/>
      <c r="F8561" s="560"/>
      <c r="G8561" s="560">
        <f t="shared" si="173"/>
        <v>146664744</v>
      </c>
      <c r="H8561" s="362"/>
      <c r="I8561" s="362"/>
      <c r="J8561" s="362"/>
    </row>
    <row r="8562" spans="1:10" x14ac:dyDescent="0.25">
      <c r="A8562" s="362"/>
      <c r="B8562" s="609">
        <v>44676</v>
      </c>
      <c r="C8562" s="362" t="s">
        <v>89</v>
      </c>
      <c r="D8562" s="560">
        <v>182325000</v>
      </c>
      <c r="E8562" s="560"/>
      <c r="F8562" s="560"/>
      <c r="G8562" s="560">
        <f t="shared" si="173"/>
        <v>182325000</v>
      </c>
      <c r="H8562" s="362"/>
      <c r="I8562" s="362"/>
      <c r="J8562" s="362"/>
    </row>
    <row r="8563" spans="1:10" x14ac:dyDescent="0.25">
      <c r="A8563" s="362"/>
      <c r="B8563" s="609">
        <v>44676</v>
      </c>
      <c r="C8563" s="362" t="s">
        <v>81</v>
      </c>
      <c r="D8563" s="560">
        <v>172626999</v>
      </c>
      <c r="E8563" s="560"/>
      <c r="F8563" s="560"/>
      <c r="G8563" s="560">
        <f t="shared" si="173"/>
        <v>172626999</v>
      </c>
      <c r="H8563" s="362"/>
      <c r="I8563" s="362"/>
      <c r="J8563" s="362"/>
    </row>
    <row r="8564" spans="1:10" x14ac:dyDescent="0.25">
      <c r="A8564" s="362"/>
      <c r="B8564" s="609">
        <v>44676</v>
      </c>
      <c r="C8564" s="362" t="s">
        <v>84</v>
      </c>
      <c r="D8564" s="560">
        <v>490196238</v>
      </c>
      <c r="E8564" s="560"/>
      <c r="F8564" s="560"/>
      <c r="G8564" s="560">
        <f t="shared" si="173"/>
        <v>490196238</v>
      </c>
      <c r="H8564" s="362"/>
      <c r="I8564" s="362"/>
      <c r="J8564" s="362"/>
    </row>
    <row r="8565" spans="1:10" x14ac:dyDescent="0.25">
      <c r="A8565" s="362"/>
      <c r="B8565" s="609">
        <v>44676</v>
      </c>
      <c r="C8565" s="362" t="s">
        <v>4751</v>
      </c>
      <c r="D8565" s="560">
        <v>279373100</v>
      </c>
      <c r="E8565" s="560"/>
      <c r="F8565" s="560"/>
      <c r="G8565" s="560">
        <f t="shared" si="173"/>
        <v>279373100</v>
      </c>
      <c r="H8565" s="362"/>
      <c r="I8565" s="362"/>
      <c r="J8565" s="362"/>
    </row>
    <row r="8566" spans="1:10" x14ac:dyDescent="0.25">
      <c r="A8566" s="362"/>
      <c r="B8566" s="609">
        <v>44676</v>
      </c>
      <c r="C8566" s="362" t="s">
        <v>166</v>
      </c>
      <c r="D8566" s="560">
        <v>83404516</v>
      </c>
      <c r="E8566" s="560"/>
      <c r="F8566" s="560"/>
      <c r="G8566" s="560">
        <f t="shared" si="173"/>
        <v>83404516</v>
      </c>
      <c r="H8566" s="362"/>
      <c r="I8566" s="362"/>
      <c r="J8566" s="362"/>
    </row>
    <row r="8567" spans="1:10" x14ac:dyDescent="0.25">
      <c r="A8567" s="362"/>
      <c r="B8567" s="609">
        <v>44676</v>
      </c>
      <c r="C8567" s="362" t="s">
        <v>3435</v>
      </c>
      <c r="D8567" s="560">
        <v>36204882</v>
      </c>
      <c r="E8567" s="560"/>
      <c r="F8567" s="560"/>
      <c r="G8567" s="560">
        <f t="shared" si="173"/>
        <v>36204882</v>
      </c>
      <c r="H8567" s="362"/>
      <c r="I8567" s="362"/>
      <c r="J8567" s="362"/>
    </row>
    <row r="8568" spans="1:10" x14ac:dyDescent="0.25">
      <c r="A8568" s="362"/>
      <c r="B8568" s="609">
        <v>44676</v>
      </c>
      <c r="C8568" s="370" t="s">
        <v>85</v>
      </c>
      <c r="D8568" s="560">
        <v>92494600</v>
      </c>
      <c r="E8568" s="560"/>
      <c r="F8568" s="560"/>
      <c r="G8568" s="560">
        <f t="shared" si="173"/>
        <v>92494600</v>
      </c>
      <c r="H8568" s="362"/>
      <c r="I8568" s="362"/>
      <c r="J8568" s="362"/>
    </row>
    <row r="8569" spans="1:10" x14ac:dyDescent="0.25">
      <c r="A8569" s="530"/>
      <c r="B8569" s="530"/>
      <c r="C8569" s="530"/>
      <c r="D8569" s="562">
        <f>SUM(D8554:D8568)</f>
        <v>3119214298</v>
      </c>
      <c r="E8569" s="562">
        <f>SUM(E8554:E8568)</f>
        <v>0</v>
      </c>
      <c r="F8569" s="562">
        <f>SUM(F8554:F8568)</f>
        <v>0</v>
      </c>
      <c r="G8569" s="562">
        <f>SUM(G8554:G8568)</f>
        <v>3119214298</v>
      </c>
      <c r="H8569" s="530"/>
      <c r="I8569" s="530"/>
      <c r="J8569" s="530"/>
    </row>
    <row r="8570" spans="1:10" x14ac:dyDescent="0.25">
      <c r="A8570" s="362"/>
      <c r="B8570" s="609">
        <v>44677</v>
      </c>
      <c r="C8570" s="362" t="s">
        <v>86</v>
      </c>
      <c r="D8570" s="560">
        <v>169958103</v>
      </c>
      <c r="E8570" s="560"/>
      <c r="F8570" s="560"/>
      <c r="G8570" s="560">
        <f t="shared" si="173"/>
        <v>169958103</v>
      </c>
      <c r="H8570" s="362"/>
      <c r="I8570" s="362"/>
      <c r="J8570" s="362"/>
    </row>
    <row r="8571" spans="1:10" x14ac:dyDescent="0.25">
      <c r="A8571" s="362"/>
      <c r="B8571" s="609">
        <v>44677</v>
      </c>
      <c r="C8571" s="362" t="s">
        <v>87</v>
      </c>
      <c r="D8571" s="560">
        <v>250792928</v>
      </c>
      <c r="E8571" s="560"/>
      <c r="F8571" s="560"/>
      <c r="G8571" s="560">
        <f t="shared" si="173"/>
        <v>250792928</v>
      </c>
      <c r="H8571" s="362"/>
      <c r="I8571" s="362"/>
      <c r="J8571" s="362"/>
    </row>
    <row r="8572" spans="1:10" x14ac:dyDescent="0.25">
      <c r="A8572" s="362"/>
      <c r="B8572" s="609">
        <v>44677</v>
      </c>
      <c r="C8572" s="362" t="s">
        <v>88</v>
      </c>
      <c r="D8572" s="560">
        <v>121966932</v>
      </c>
      <c r="E8572" s="560"/>
      <c r="F8572" s="560"/>
      <c r="G8572" s="560">
        <f t="shared" si="173"/>
        <v>121966932</v>
      </c>
      <c r="H8572" s="362"/>
      <c r="I8572" s="362"/>
      <c r="J8572" s="362"/>
    </row>
    <row r="8573" spans="1:10" x14ac:dyDescent="0.25">
      <c r="A8573" s="362"/>
      <c r="B8573" s="609">
        <v>44677</v>
      </c>
      <c r="C8573" s="362" t="s">
        <v>82</v>
      </c>
      <c r="D8573" s="560">
        <v>72115655</v>
      </c>
      <c r="E8573" s="560"/>
      <c r="F8573" s="560"/>
      <c r="G8573" s="560">
        <f t="shared" si="173"/>
        <v>72115655</v>
      </c>
      <c r="H8573" s="362"/>
      <c r="I8573" s="362"/>
      <c r="J8573" s="362"/>
    </row>
    <row r="8574" spans="1:10" x14ac:dyDescent="0.25">
      <c r="A8574" s="362"/>
      <c r="B8574" s="609">
        <v>44677</v>
      </c>
      <c r="C8574" s="362" t="s">
        <v>80</v>
      </c>
      <c r="D8574" s="560">
        <v>308796400</v>
      </c>
      <c r="E8574" s="560"/>
      <c r="F8574" s="560"/>
      <c r="G8574" s="560">
        <f t="shared" si="173"/>
        <v>308796400</v>
      </c>
      <c r="H8574" s="362"/>
      <c r="I8574" s="362"/>
      <c r="J8574" s="362"/>
    </row>
    <row r="8575" spans="1:10" x14ac:dyDescent="0.25">
      <c r="A8575" s="362"/>
      <c r="B8575" s="609">
        <v>44677</v>
      </c>
      <c r="C8575" s="362" t="s">
        <v>83</v>
      </c>
      <c r="D8575" s="560">
        <v>216862863</v>
      </c>
      <c r="E8575" s="560"/>
      <c r="F8575" s="560"/>
      <c r="G8575" s="560">
        <f t="shared" si="173"/>
        <v>216862863</v>
      </c>
      <c r="H8575" s="362"/>
      <c r="I8575" s="362"/>
      <c r="J8575" s="362"/>
    </row>
    <row r="8576" spans="1:10" x14ac:dyDescent="0.25">
      <c r="A8576" s="362"/>
      <c r="B8576" s="609">
        <v>44677</v>
      </c>
      <c r="C8576" s="362" t="s">
        <v>78</v>
      </c>
      <c r="D8576" s="560">
        <v>185427948</v>
      </c>
      <c r="E8576" s="560"/>
      <c r="F8576" s="560"/>
      <c r="G8576" s="560">
        <f t="shared" si="173"/>
        <v>185427948</v>
      </c>
      <c r="H8576" s="362"/>
      <c r="I8576" s="362"/>
      <c r="J8576" s="362"/>
    </row>
    <row r="8577" spans="1:10" x14ac:dyDescent="0.25">
      <c r="A8577" s="362"/>
      <c r="B8577" s="609">
        <v>44677</v>
      </c>
      <c r="C8577" s="362" t="s">
        <v>141</v>
      </c>
      <c r="D8577" s="560">
        <v>119379375</v>
      </c>
      <c r="E8577" s="560"/>
      <c r="F8577" s="560"/>
      <c r="G8577" s="560">
        <f t="shared" si="173"/>
        <v>119379375</v>
      </c>
      <c r="H8577" s="362"/>
      <c r="I8577" s="362"/>
      <c r="J8577" s="362"/>
    </row>
    <row r="8578" spans="1:10" x14ac:dyDescent="0.25">
      <c r="A8578" s="362"/>
      <c r="B8578" s="609">
        <v>44677</v>
      </c>
      <c r="C8578" s="362" t="s">
        <v>89</v>
      </c>
      <c r="D8578" s="560">
        <v>191082800</v>
      </c>
      <c r="E8578" s="560"/>
      <c r="F8578" s="560"/>
      <c r="G8578" s="560">
        <f t="shared" si="173"/>
        <v>191082800</v>
      </c>
      <c r="H8578" s="362"/>
      <c r="I8578" s="362"/>
      <c r="J8578" s="362"/>
    </row>
    <row r="8579" spans="1:10" x14ac:dyDescent="0.25">
      <c r="A8579" s="362"/>
      <c r="B8579" s="609">
        <v>44677</v>
      </c>
      <c r="C8579" s="362" t="s">
        <v>81</v>
      </c>
      <c r="D8579" s="560">
        <v>142506491</v>
      </c>
      <c r="E8579" s="560"/>
      <c r="F8579" s="560"/>
      <c r="G8579" s="560">
        <f t="shared" si="173"/>
        <v>142506491</v>
      </c>
      <c r="H8579" s="362"/>
      <c r="I8579" s="362"/>
      <c r="J8579" s="362"/>
    </row>
    <row r="8580" spans="1:10" x14ac:dyDescent="0.25">
      <c r="A8580" s="362"/>
      <c r="B8580" s="609">
        <v>44677</v>
      </c>
      <c r="C8580" s="362" t="s">
        <v>84</v>
      </c>
      <c r="D8580" s="560">
        <v>425082603</v>
      </c>
      <c r="E8580" s="560"/>
      <c r="F8580" s="560"/>
      <c r="G8580" s="560">
        <f t="shared" si="173"/>
        <v>425082603</v>
      </c>
      <c r="H8580" s="362"/>
      <c r="I8580" s="362"/>
      <c r="J8580" s="362"/>
    </row>
    <row r="8581" spans="1:10" x14ac:dyDescent="0.25">
      <c r="A8581" s="362"/>
      <c r="B8581" s="609">
        <v>44677</v>
      </c>
      <c r="C8581" s="362" t="s">
        <v>4751</v>
      </c>
      <c r="D8581" s="560">
        <v>312201100</v>
      </c>
      <c r="E8581" s="560"/>
      <c r="F8581" s="560"/>
      <c r="G8581" s="560">
        <f t="shared" si="173"/>
        <v>312201100</v>
      </c>
      <c r="H8581" s="362"/>
      <c r="I8581" s="362"/>
      <c r="J8581" s="362"/>
    </row>
    <row r="8582" spans="1:10" x14ac:dyDescent="0.25">
      <c r="A8582" s="362"/>
      <c r="B8582" s="609">
        <v>44677</v>
      </c>
      <c r="C8582" s="362" t="s">
        <v>166</v>
      </c>
      <c r="D8582" s="560">
        <v>147179596</v>
      </c>
      <c r="E8582" s="560"/>
      <c r="F8582" s="560"/>
      <c r="G8582" s="560">
        <f t="shared" si="173"/>
        <v>147179596</v>
      </c>
      <c r="H8582" s="362"/>
      <c r="I8582" s="362"/>
      <c r="J8582" s="362"/>
    </row>
    <row r="8583" spans="1:10" x14ac:dyDescent="0.25">
      <c r="A8583" s="362"/>
      <c r="B8583" s="609">
        <v>44677</v>
      </c>
      <c r="C8583" s="362" t="s">
        <v>3435</v>
      </c>
      <c r="D8583" s="560">
        <v>79617379</v>
      </c>
      <c r="E8583" s="560"/>
      <c r="F8583" s="560"/>
      <c r="G8583" s="560">
        <f t="shared" si="173"/>
        <v>79617379</v>
      </c>
      <c r="H8583" s="362"/>
      <c r="I8583" s="362"/>
      <c r="J8583" s="362"/>
    </row>
    <row r="8584" spans="1:10" x14ac:dyDescent="0.25">
      <c r="A8584" s="362"/>
      <c r="B8584" s="609">
        <v>44677</v>
      </c>
      <c r="C8584" s="370" t="s">
        <v>85</v>
      </c>
      <c r="D8584" s="560">
        <v>61855800</v>
      </c>
      <c r="E8584" s="560"/>
      <c r="F8584" s="560"/>
      <c r="G8584" s="560">
        <f t="shared" si="173"/>
        <v>61855800</v>
      </c>
      <c r="H8584" s="362"/>
      <c r="I8584" s="362"/>
      <c r="J8584" s="362"/>
    </row>
    <row r="8585" spans="1:10" x14ac:dyDescent="0.25">
      <c r="A8585" s="530"/>
      <c r="B8585" s="530"/>
      <c r="C8585" s="530"/>
      <c r="D8585" s="562">
        <f>SUM(D8570:D8584)</f>
        <v>2804825973</v>
      </c>
      <c r="E8585" s="562">
        <f>SUM(E8570:E8584)</f>
        <v>0</v>
      </c>
      <c r="F8585" s="562">
        <f>SUM(F8570:F8584)</f>
        <v>0</v>
      </c>
      <c r="G8585" s="562">
        <f>SUM(G8570:G8584)</f>
        <v>2804825973</v>
      </c>
      <c r="H8585" s="530"/>
      <c r="I8585" s="530"/>
      <c r="J8585" s="530"/>
    </row>
    <row r="8586" spans="1:10" x14ac:dyDescent="0.25">
      <c r="A8586" s="362"/>
      <c r="B8586" s="609">
        <v>44678</v>
      </c>
      <c r="C8586" s="362" t="s">
        <v>86</v>
      </c>
      <c r="D8586" s="560">
        <v>155172905</v>
      </c>
      <c r="E8586" s="560"/>
      <c r="F8586" s="560"/>
      <c r="G8586" s="560">
        <f t="shared" si="173"/>
        <v>155172905</v>
      </c>
      <c r="H8586" s="362"/>
      <c r="I8586" s="362"/>
      <c r="J8586" s="362"/>
    </row>
    <row r="8587" spans="1:10" x14ac:dyDescent="0.25">
      <c r="A8587" s="362"/>
      <c r="B8587" s="609">
        <v>44678</v>
      </c>
      <c r="C8587" s="362" t="s">
        <v>87</v>
      </c>
      <c r="D8587" s="560">
        <v>203211018</v>
      </c>
      <c r="E8587" s="560"/>
      <c r="F8587" s="560"/>
      <c r="G8587" s="560">
        <f t="shared" si="173"/>
        <v>203211018</v>
      </c>
      <c r="H8587" s="362"/>
      <c r="I8587" s="362"/>
      <c r="J8587" s="362"/>
    </row>
    <row r="8588" spans="1:10" x14ac:dyDescent="0.25">
      <c r="A8588" s="362"/>
      <c r="B8588" s="609">
        <v>44678</v>
      </c>
      <c r="C8588" s="362" t="s">
        <v>88</v>
      </c>
      <c r="D8588" s="560">
        <v>191958743</v>
      </c>
      <c r="E8588" s="560"/>
      <c r="F8588" s="560"/>
      <c r="G8588" s="560">
        <f t="shared" si="173"/>
        <v>191958743</v>
      </c>
      <c r="H8588" s="362"/>
      <c r="I8588" s="362"/>
      <c r="J8588" s="362"/>
    </row>
    <row r="8589" spans="1:10" x14ac:dyDescent="0.25">
      <c r="A8589" s="362"/>
      <c r="B8589" s="609">
        <v>44678</v>
      </c>
      <c r="C8589" s="362" t="s">
        <v>82</v>
      </c>
      <c r="D8589" s="560">
        <v>80150901</v>
      </c>
      <c r="E8589" s="560"/>
      <c r="F8589" s="560"/>
      <c r="G8589" s="560">
        <f t="shared" si="173"/>
        <v>80150901</v>
      </c>
      <c r="H8589" s="362"/>
      <c r="I8589" s="362"/>
      <c r="J8589" s="362"/>
    </row>
    <row r="8590" spans="1:10" x14ac:dyDescent="0.25">
      <c r="A8590" s="362"/>
      <c r="B8590" s="609">
        <v>44678</v>
      </c>
      <c r="C8590" s="362" t="s">
        <v>80</v>
      </c>
      <c r="D8590" s="560">
        <v>338431400</v>
      </c>
      <c r="E8590" s="560"/>
      <c r="F8590" s="560"/>
      <c r="G8590" s="560">
        <f t="shared" si="173"/>
        <v>338431400</v>
      </c>
      <c r="H8590" s="362"/>
      <c r="I8590" s="362"/>
      <c r="J8590" s="362"/>
    </row>
    <row r="8591" spans="1:10" x14ac:dyDescent="0.25">
      <c r="A8591" s="362"/>
      <c r="B8591" s="609">
        <v>44678</v>
      </c>
      <c r="C8591" s="362" t="s">
        <v>83</v>
      </c>
      <c r="D8591" s="560">
        <v>160856428</v>
      </c>
      <c r="E8591" s="560"/>
      <c r="F8591" s="560"/>
      <c r="G8591" s="560">
        <f t="shared" si="173"/>
        <v>160856428</v>
      </c>
      <c r="H8591" s="362"/>
      <c r="I8591" s="362"/>
      <c r="J8591" s="362"/>
    </row>
    <row r="8592" spans="1:10" x14ac:dyDescent="0.25">
      <c r="A8592" s="362"/>
      <c r="B8592" s="609">
        <v>44678</v>
      </c>
      <c r="C8592" s="362" t="s">
        <v>78</v>
      </c>
      <c r="D8592" s="560">
        <v>123903095</v>
      </c>
      <c r="E8592" s="560"/>
      <c r="F8592" s="560"/>
      <c r="G8592" s="560">
        <f t="shared" si="173"/>
        <v>123903095</v>
      </c>
      <c r="H8592" s="362"/>
      <c r="I8592" s="362"/>
      <c r="J8592" s="362"/>
    </row>
    <row r="8593" spans="1:10" x14ac:dyDescent="0.25">
      <c r="A8593" s="362"/>
      <c r="B8593" s="609">
        <v>44678</v>
      </c>
      <c r="C8593" s="362" t="s">
        <v>141</v>
      </c>
      <c r="D8593" s="560">
        <v>144095535</v>
      </c>
      <c r="E8593" s="560"/>
      <c r="F8593" s="560"/>
      <c r="G8593" s="560">
        <f t="shared" si="173"/>
        <v>144095535</v>
      </c>
      <c r="H8593" s="362"/>
      <c r="I8593" s="362"/>
      <c r="J8593" s="362"/>
    </row>
    <row r="8594" spans="1:10" x14ac:dyDescent="0.25">
      <c r="A8594" s="362"/>
      <c r="B8594" s="609">
        <v>44678</v>
      </c>
      <c r="C8594" s="362" t="s">
        <v>89</v>
      </c>
      <c r="D8594" s="560">
        <v>209282400</v>
      </c>
      <c r="E8594" s="560"/>
      <c r="F8594" s="560"/>
      <c r="G8594" s="560">
        <f t="shared" si="173"/>
        <v>209282400</v>
      </c>
      <c r="H8594" s="362"/>
      <c r="I8594" s="362"/>
      <c r="J8594" s="362"/>
    </row>
    <row r="8595" spans="1:10" x14ac:dyDescent="0.25">
      <c r="A8595" s="362"/>
      <c r="B8595" s="609">
        <v>44678</v>
      </c>
      <c r="C8595" s="362" t="s">
        <v>81</v>
      </c>
      <c r="D8595" s="560">
        <v>138957523</v>
      </c>
      <c r="E8595" s="560"/>
      <c r="F8595" s="560"/>
      <c r="G8595" s="560">
        <f t="shared" si="173"/>
        <v>138957523</v>
      </c>
      <c r="H8595" s="362"/>
      <c r="I8595" s="362"/>
      <c r="J8595" s="362"/>
    </row>
    <row r="8596" spans="1:10" x14ac:dyDescent="0.25">
      <c r="A8596" s="362"/>
      <c r="B8596" s="609">
        <v>44678</v>
      </c>
      <c r="C8596" s="362" t="s">
        <v>84</v>
      </c>
      <c r="D8596" s="560">
        <v>289356843</v>
      </c>
      <c r="E8596" s="560"/>
      <c r="F8596" s="560"/>
      <c r="G8596" s="560">
        <f t="shared" si="173"/>
        <v>289356843</v>
      </c>
      <c r="H8596" s="362"/>
      <c r="I8596" s="362"/>
      <c r="J8596" s="362"/>
    </row>
    <row r="8597" spans="1:10" x14ac:dyDescent="0.25">
      <c r="A8597" s="362"/>
      <c r="B8597" s="609">
        <v>44678</v>
      </c>
      <c r="C8597" s="362" t="s">
        <v>4751</v>
      </c>
      <c r="D8597" s="560">
        <v>167916900</v>
      </c>
      <c r="E8597" s="560"/>
      <c r="F8597" s="560"/>
      <c r="G8597" s="560">
        <f t="shared" si="173"/>
        <v>167916900</v>
      </c>
      <c r="H8597" s="362"/>
      <c r="I8597" s="362"/>
      <c r="J8597" s="362"/>
    </row>
    <row r="8598" spans="1:10" x14ac:dyDescent="0.25">
      <c r="A8598" s="362"/>
      <c r="B8598" s="609">
        <v>44678</v>
      </c>
      <c r="C8598" s="362" t="s">
        <v>166</v>
      </c>
      <c r="D8598" s="560">
        <v>123458591</v>
      </c>
      <c r="E8598" s="560"/>
      <c r="F8598" s="560"/>
      <c r="G8598" s="560">
        <f t="shared" si="173"/>
        <v>123458591</v>
      </c>
      <c r="H8598" s="362"/>
      <c r="I8598" s="362"/>
      <c r="J8598" s="362"/>
    </row>
    <row r="8599" spans="1:10" x14ac:dyDescent="0.25">
      <c r="A8599" s="362"/>
      <c r="B8599" s="609">
        <v>44678</v>
      </c>
      <c r="C8599" s="362" t="s">
        <v>3435</v>
      </c>
      <c r="D8599" s="560">
        <v>107530584</v>
      </c>
      <c r="E8599" s="560"/>
      <c r="F8599" s="560"/>
      <c r="G8599" s="560">
        <f t="shared" si="173"/>
        <v>107530584</v>
      </c>
      <c r="H8599" s="362"/>
      <c r="I8599" s="362"/>
      <c r="J8599" s="362"/>
    </row>
    <row r="8600" spans="1:10" x14ac:dyDescent="0.25">
      <c r="A8600" s="362"/>
      <c r="B8600" s="609">
        <v>44678</v>
      </c>
      <c r="C8600" s="370" t="s">
        <v>85</v>
      </c>
      <c r="D8600" s="560">
        <v>58808000</v>
      </c>
      <c r="E8600" s="560"/>
      <c r="F8600" s="560"/>
      <c r="G8600" s="560">
        <f t="shared" si="173"/>
        <v>58808000</v>
      </c>
      <c r="H8600" s="362"/>
      <c r="I8600" s="362"/>
      <c r="J8600" s="362"/>
    </row>
    <row r="8601" spans="1:10" x14ac:dyDescent="0.25">
      <c r="A8601" s="530"/>
      <c r="B8601" s="530"/>
      <c r="C8601" s="530"/>
      <c r="D8601" s="562">
        <f>SUM(D8586:D8600)</f>
        <v>2493090866</v>
      </c>
      <c r="E8601" s="562">
        <f>SUM(E8586:E8600)</f>
        <v>0</v>
      </c>
      <c r="F8601" s="562">
        <f>SUM(F8586:F8600)</f>
        <v>0</v>
      </c>
      <c r="G8601" s="562">
        <f>SUM(G8586:G8600)</f>
        <v>2493090866</v>
      </c>
      <c r="H8601" s="530"/>
      <c r="I8601" s="530"/>
      <c r="J8601" s="530"/>
    </row>
    <row r="8602" spans="1:10" x14ac:dyDescent="0.25">
      <c r="A8602" s="362"/>
      <c r="B8602" s="609">
        <v>44679</v>
      </c>
      <c r="C8602" s="362" t="s">
        <v>86</v>
      </c>
      <c r="D8602" s="560">
        <v>354034546</v>
      </c>
      <c r="E8602" s="560"/>
      <c r="F8602" s="560">
        <v>354409600</v>
      </c>
      <c r="G8602" s="560">
        <f t="shared" si="173"/>
        <v>-375054</v>
      </c>
      <c r="H8602" s="362"/>
      <c r="I8602" s="362"/>
      <c r="J8602" s="362"/>
    </row>
    <row r="8603" spans="1:10" x14ac:dyDescent="0.25">
      <c r="A8603" s="362"/>
      <c r="B8603" s="609">
        <v>44679</v>
      </c>
      <c r="C8603" s="362" t="s">
        <v>87</v>
      </c>
      <c r="D8603" s="560">
        <v>372445018</v>
      </c>
      <c r="E8603" s="560"/>
      <c r="F8603" s="560"/>
      <c r="G8603" s="560">
        <f t="shared" si="173"/>
        <v>372445018</v>
      </c>
      <c r="H8603" s="362"/>
      <c r="I8603" s="362"/>
      <c r="J8603" s="362"/>
    </row>
    <row r="8604" spans="1:10" x14ac:dyDescent="0.25">
      <c r="A8604" s="362"/>
      <c r="B8604" s="609">
        <v>44679</v>
      </c>
      <c r="C8604" s="362" t="s">
        <v>88</v>
      </c>
      <c r="D8604" s="560">
        <v>305309317</v>
      </c>
      <c r="E8604" s="560"/>
      <c r="F8604" s="560"/>
      <c r="G8604" s="560">
        <f t="shared" ref="G8604:G8683" si="174">D8604+E8604-F8604</f>
        <v>305309317</v>
      </c>
      <c r="H8604" s="362"/>
      <c r="I8604" s="362"/>
      <c r="J8604" s="362"/>
    </row>
    <row r="8605" spans="1:10" x14ac:dyDescent="0.25">
      <c r="A8605" s="362"/>
      <c r="B8605" s="609">
        <v>44679</v>
      </c>
      <c r="C8605" s="362" t="s">
        <v>82</v>
      </c>
      <c r="D8605" s="560">
        <v>130975532</v>
      </c>
      <c r="E8605" s="560"/>
      <c r="F8605" s="560"/>
      <c r="G8605" s="560">
        <f t="shared" si="174"/>
        <v>130975532</v>
      </c>
      <c r="H8605" s="362"/>
      <c r="I8605" s="362"/>
      <c r="J8605" s="362"/>
    </row>
    <row r="8606" spans="1:10" x14ac:dyDescent="0.25">
      <c r="A8606" s="362"/>
      <c r="B8606" s="609">
        <v>44679</v>
      </c>
      <c r="C8606" s="362" t="s">
        <v>80</v>
      </c>
      <c r="D8606" s="560">
        <v>731213478</v>
      </c>
      <c r="E8606" s="560"/>
      <c r="F8606" s="560"/>
      <c r="G8606" s="560">
        <f t="shared" si="174"/>
        <v>731213478</v>
      </c>
      <c r="H8606" s="362"/>
      <c r="I8606" s="362"/>
      <c r="J8606" s="362"/>
    </row>
    <row r="8607" spans="1:10" x14ac:dyDescent="0.25">
      <c r="A8607" s="362"/>
      <c r="B8607" s="609">
        <v>44679</v>
      </c>
      <c r="C8607" s="362" t="s">
        <v>83</v>
      </c>
      <c r="D8607" s="560">
        <v>150848333</v>
      </c>
      <c r="E8607" s="560"/>
      <c r="F8607" s="560"/>
      <c r="G8607" s="560">
        <f t="shared" si="174"/>
        <v>150848333</v>
      </c>
      <c r="H8607" s="362"/>
      <c r="I8607" s="362"/>
      <c r="J8607" s="362"/>
    </row>
    <row r="8608" spans="1:10" x14ac:dyDescent="0.25">
      <c r="A8608" s="362"/>
      <c r="B8608" s="609">
        <v>44679</v>
      </c>
      <c r="C8608" s="362" t="s">
        <v>78</v>
      </c>
      <c r="D8608" s="560">
        <v>240754102</v>
      </c>
      <c r="E8608" s="560"/>
      <c r="F8608" s="560"/>
      <c r="G8608" s="560">
        <f t="shared" si="174"/>
        <v>240754102</v>
      </c>
      <c r="H8608" s="362"/>
      <c r="I8608" s="362"/>
      <c r="J8608" s="362"/>
    </row>
    <row r="8609" spans="1:10" x14ac:dyDescent="0.25">
      <c r="A8609" s="362"/>
      <c r="B8609" s="609">
        <v>44679</v>
      </c>
      <c r="C8609" s="362" t="s">
        <v>141</v>
      </c>
      <c r="D8609" s="560">
        <v>94339327</v>
      </c>
      <c r="E8609" s="560"/>
      <c r="F8609" s="560"/>
      <c r="G8609" s="560">
        <f t="shared" si="174"/>
        <v>94339327</v>
      </c>
      <c r="H8609" s="362"/>
      <c r="I8609" s="362"/>
      <c r="J8609" s="362"/>
    </row>
    <row r="8610" spans="1:10" x14ac:dyDescent="0.25">
      <c r="A8610" s="362"/>
      <c r="B8610" s="609">
        <v>44679</v>
      </c>
      <c r="C8610" s="362" t="s">
        <v>89</v>
      </c>
      <c r="D8610" s="560">
        <v>174589800</v>
      </c>
      <c r="E8610" s="560"/>
      <c r="F8610" s="560"/>
      <c r="G8610" s="560">
        <f t="shared" si="174"/>
        <v>174589800</v>
      </c>
      <c r="H8610" s="362"/>
      <c r="I8610" s="362"/>
      <c r="J8610" s="362"/>
    </row>
    <row r="8611" spans="1:10" x14ac:dyDescent="0.25">
      <c r="A8611" s="362"/>
      <c r="B8611" s="609">
        <v>44679</v>
      </c>
      <c r="C8611" s="362" t="s">
        <v>81</v>
      </c>
      <c r="D8611" s="560">
        <v>220343682</v>
      </c>
      <c r="E8611" s="560"/>
      <c r="F8611" s="560"/>
      <c r="G8611" s="560">
        <f t="shared" si="174"/>
        <v>220343682</v>
      </c>
      <c r="H8611" s="362"/>
      <c r="I8611" s="362"/>
      <c r="J8611" s="362"/>
    </row>
    <row r="8612" spans="1:10" x14ac:dyDescent="0.25">
      <c r="A8612" s="362"/>
      <c r="B8612" s="609">
        <v>44679</v>
      </c>
      <c r="C8612" s="362" t="s">
        <v>84</v>
      </c>
      <c r="D8612" s="560">
        <v>329722175</v>
      </c>
      <c r="E8612" s="560"/>
      <c r="F8612" s="560"/>
      <c r="G8612" s="560">
        <f t="shared" si="174"/>
        <v>329722175</v>
      </c>
      <c r="H8612" s="362"/>
      <c r="I8612" s="362"/>
      <c r="J8612" s="362"/>
    </row>
    <row r="8613" spans="1:10" x14ac:dyDescent="0.25">
      <c r="A8613" s="362"/>
      <c r="B8613" s="609">
        <v>44679</v>
      </c>
      <c r="C8613" s="362" t="s">
        <v>4751</v>
      </c>
      <c r="D8613" s="560">
        <v>262225300</v>
      </c>
      <c r="E8613" s="560"/>
      <c r="F8613" s="560"/>
      <c r="G8613" s="560">
        <f t="shared" si="174"/>
        <v>262225300</v>
      </c>
      <c r="H8613" s="362"/>
      <c r="I8613" s="362"/>
      <c r="J8613" s="362"/>
    </row>
    <row r="8614" spans="1:10" x14ac:dyDescent="0.25">
      <c r="A8614" s="362"/>
      <c r="B8614" s="609">
        <v>44679</v>
      </c>
      <c r="C8614" s="362" t="s">
        <v>166</v>
      </c>
      <c r="D8614" s="560">
        <v>98651268</v>
      </c>
      <c r="E8614" s="560"/>
      <c r="F8614" s="560"/>
      <c r="G8614" s="560">
        <f t="shared" si="174"/>
        <v>98651268</v>
      </c>
      <c r="H8614" s="362"/>
      <c r="I8614" s="362"/>
      <c r="J8614" s="362"/>
    </row>
    <row r="8615" spans="1:10" x14ac:dyDescent="0.25">
      <c r="A8615" s="362"/>
      <c r="B8615" s="609">
        <v>44679</v>
      </c>
      <c r="C8615" s="362" t="s">
        <v>3435</v>
      </c>
      <c r="D8615" s="560">
        <v>26665387</v>
      </c>
      <c r="E8615" s="560"/>
      <c r="F8615" s="560"/>
      <c r="G8615" s="560">
        <f t="shared" si="174"/>
        <v>26665387</v>
      </c>
      <c r="H8615" s="362"/>
      <c r="I8615" s="362"/>
      <c r="J8615" s="362"/>
    </row>
    <row r="8616" spans="1:10" x14ac:dyDescent="0.25">
      <c r="A8616" s="362"/>
      <c r="B8616" s="609">
        <v>44679</v>
      </c>
      <c r="C8616" s="370" t="s">
        <v>85</v>
      </c>
      <c r="D8616" s="560">
        <v>28993100</v>
      </c>
      <c r="E8616" s="560"/>
      <c r="F8616" s="560"/>
      <c r="G8616" s="560">
        <f t="shared" si="174"/>
        <v>28993100</v>
      </c>
      <c r="H8616" s="362"/>
      <c r="I8616" s="362"/>
      <c r="J8616" s="362"/>
    </row>
    <row r="8617" spans="1:10" x14ac:dyDescent="0.25">
      <c r="A8617" s="530"/>
      <c r="B8617" s="530"/>
      <c r="C8617" s="530"/>
      <c r="D8617" s="562">
        <f>SUM(D8602:D8616)</f>
        <v>3521110365</v>
      </c>
      <c r="E8617" s="562">
        <f>SUM(E8602:E8616)</f>
        <v>0</v>
      </c>
      <c r="F8617" s="562">
        <f>SUM(F8602:F8616)</f>
        <v>354409600</v>
      </c>
      <c r="G8617" s="562">
        <f>SUM(G8602:G8616)</f>
        <v>3166700765</v>
      </c>
      <c r="H8617" s="530"/>
      <c r="I8617" s="530"/>
      <c r="J8617" s="530"/>
    </row>
    <row r="8618" spans="1:10" x14ac:dyDescent="0.25">
      <c r="A8618" s="362"/>
      <c r="B8618" s="609">
        <v>44680</v>
      </c>
      <c r="C8618" s="362" t="s">
        <v>86</v>
      </c>
      <c r="D8618" s="560">
        <v>59193624</v>
      </c>
      <c r="E8618" s="560"/>
      <c r="F8618" s="560"/>
      <c r="G8618" s="560">
        <f t="shared" si="174"/>
        <v>59193624</v>
      </c>
      <c r="H8618" s="362"/>
      <c r="I8618" s="362"/>
      <c r="J8618" s="362"/>
    </row>
    <row r="8619" spans="1:10" x14ac:dyDescent="0.25">
      <c r="A8619" s="362"/>
      <c r="B8619" s="609">
        <v>44680</v>
      </c>
      <c r="C8619" s="362" t="s">
        <v>87</v>
      </c>
      <c r="D8619" s="560">
        <v>219946654</v>
      </c>
      <c r="E8619" s="560"/>
      <c r="F8619" s="560"/>
      <c r="G8619" s="560">
        <f t="shared" si="174"/>
        <v>219946654</v>
      </c>
      <c r="H8619" s="362"/>
      <c r="I8619" s="362"/>
      <c r="J8619" s="362"/>
    </row>
    <row r="8620" spans="1:10" x14ac:dyDescent="0.25">
      <c r="A8620" s="362"/>
      <c r="B8620" s="609">
        <v>44680</v>
      </c>
      <c r="C8620" s="362" t="s">
        <v>88</v>
      </c>
      <c r="D8620" s="560">
        <v>102784968</v>
      </c>
      <c r="E8620" s="560"/>
      <c r="F8620" s="560"/>
      <c r="G8620" s="560">
        <f t="shared" si="174"/>
        <v>102784968</v>
      </c>
      <c r="H8620" s="362"/>
      <c r="I8620" s="362"/>
      <c r="J8620" s="362"/>
    </row>
    <row r="8621" spans="1:10" x14ac:dyDescent="0.25">
      <c r="A8621" s="362"/>
      <c r="B8621" s="609">
        <v>44680</v>
      </c>
      <c r="C8621" s="362" t="s">
        <v>82</v>
      </c>
      <c r="D8621" s="560">
        <v>58584639</v>
      </c>
      <c r="E8621" s="560"/>
      <c r="F8621" s="560"/>
      <c r="G8621" s="560">
        <f t="shared" si="174"/>
        <v>58584639</v>
      </c>
      <c r="H8621" s="362"/>
      <c r="I8621" s="362"/>
      <c r="J8621" s="362"/>
    </row>
    <row r="8622" spans="1:10" x14ac:dyDescent="0.25">
      <c r="A8622" s="362"/>
      <c r="B8622" s="609">
        <v>44680</v>
      </c>
      <c r="C8622" s="362" t="s">
        <v>80</v>
      </c>
      <c r="D8622" s="560">
        <v>319492700</v>
      </c>
      <c r="E8622" s="560"/>
      <c r="F8622" s="560"/>
      <c r="G8622" s="560">
        <f t="shared" si="174"/>
        <v>319492700</v>
      </c>
      <c r="H8622" s="362"/>
      <c r="I8622" s="362"/>
      <c r="J8622" s="362"/>
    </row>
    <row r="8623" spans="1:10" x14ac:dyDescent="0.25">
      <c r="A8623" s="362"/>
      <c r="B8623" s="609">
        <v>44680</v>
      </c>
      <c r="C8623" s="362" t="s">
        <v>83</v>
      </c>
      <c r="D8623" s="560">
        <v>113128100</v>
      </c>
      <c r="E8623" s="560"/>
      <c r="F8623" s="560"/>
      <c r="G8623" s="560">
        <f t="shared" si="174"/>
        <v>113128100</v>
      </c>
      <c r="H8623" s="362"/>
      <c r="I8623" s="362"/>
      <c r="J8623" s="362"/>
    </row>
    <row r="8624" spans="1:10" x14ac:dyDescent="0.25">
      <c r="A8624" s="362"/>
      <c r="B8624" s="609">
        <v>44680</v>
      </c>
      <c r="C8624" s="362" t="s">
        <v>78</v>
      </c>
      <c r="D8624" s="560">
        <v>336919009</v>
      </c>
      <c r="E8624" s="560"/>
      <c r="F8624" s="560"/>
      <c r="G8624" s="560">
        <f t="shared" si="174"/>
        <v>336919009</v>
      </c>
      <c r="H8624" s="362"/>
      <c r="I8624" s="362"/>
      <c r="J8624" s="362"/>
    </row>
    <row r="8625" spans="1:10" x14ac:dyDescent="0.25">
      <c r="A8625" s="362"/>
      <c r="B8625" s="609">
        <v>44680</v>
      </c>
      <c r="C8625" s="362" t="s">
        <v>141</v>
      </c>
      <c r="D8625" s="560">
        <v>157792863</v>
      </c>
      <c r="E8625" s="560"/>
      <c r="F8625" s="560"/>
      <c r="G8625" s="560">
        <f t="shared" si="174"/>
        <v>157792863</v>
      </c>
      <c r="H8625" s="362"/>
      <c r="I8625" s="362"/>
      <c r="J8625" s="362"/>
    </row>
    <row r="8626" spans="1:10" x14ac:dyDescent="0.25">
      <c r="A8626" s="362"/>
      <c r="B8626" s="609">
        <v>44680</v>
      </c>
      <c r="C8626" s="362" t="s">
        <v>89</v>
      </c>
      <c r="D8626" s="560">
        <v>208464300</v>
      </c>
      <c r="E8626" s="560"/>
      <c r="F8626" s="560"/>
      <c r="G8626" s="560">
        <f t="shared" si="174"/>
        <v>208464300</v>
      </c>
      <c r="H8626" s="362"/>
      <c r="I8626" s="362"/>
      <c r="J8626" s="362"/>
    </row>
    <row r="8627" spans="1:10" x14ac:dyDescent="0.25">
      <c r="A8627" s="362"/>
      <c r="B8627" s="609">
        <v>44680</v>
      </c>
      <c r="C8627" s="362" t="s">
        <v>81</v>
      </c>
      <c r="D8627" s="560">
        <v>137667903</v>
      </c>
      <c r="E8627" s="560"/>
      <c r="F8627" s="560"/>
      <c r="G8627" s="560">
        <f t="shared" si="174"/>
        <v>137667903</v>
      </c>
      <c r="H8627" s="362"/>
      <c r="I8627" s="362"/>
      <c r="J8627" s="362"/>
    </row>
    <row r="8628" spans="1:10" x14ac:dyDescent="0.25">
      <c r="A8628" s="362"/>
      <c r="B8628" s="609">
        <v>44680</v>
      </c>
      <c r="C8628" s="362" t="s">
        <v>84</v>
      </c>
      <c r="D8628" s="560">
        <v>184668715</v>
      </c>
      <c r="E8628" s="560"/>
      <c r="F8628" s="560"/>
      <c r="G8628" s="560">
        <f t="shared" si="174"/>
        <v>184668715</v>
      </c>
      <c r="H8628" s="362"/>
      <c r="I8628" s="362"/>
      <c r="J8628" s="362"/>
    </row>
    <row r="8629" spans="1:10" x14ac:dyDescent="0.25">
      <c r="A8629" s="362"/>
      <c r="B8629" s="609">
        <v>44680</v>
      </c>
      <c r="C8629" s="362" t="s">
        <v>4751</v>
      </c>
      <c r="D8629" s="560">
        <v>162709000</v>
      </c>
      <c r="E8629" s="560"/>
      <c r="F8629" s="560"/>
      <c r="G8629" s="560">
        <f t="shared" si="174"/>
        <v>162709000</v>
      </c>
      <c r="H8629" s="362"/>
      <c r="I8629" s="362"/>
      <c r="J8629" s="362"/>
    </row>
    <row r="8630" spans="1:10" x14ac:dyDescent="0.25">
      <c r="A8630" s="362"/>
      <c r="B8630" s="609">
        <v>44680</v>
      </c>
      <c r="C8630" s="362" t="s">
        <v>166</v>
      </c>
      <c r="D8630" s="560"/>
      <c r="E8630" s="560"/>
      <c r="F8630" s="560"/>
      <c r="G8630" s="560">
        <f t="shared" si="174"/>
        <v>0</v>
      </c>
      <c r="H8630" s="362"/>
      <c r="I8630" s="362"/>
      <c r="J8630" s="362"/>
    </row>
    <row r="8631" spans="1:10" x14ac:dyDescent="0.25">
      <c r="A8631" s="362"/>
      <c r="B8631" s="609">
        <v>44680</v>
      </c>
      <c r="C8631" s="362" t="s">
        <v>3435</v>
      </c>
      <c r="D8631" s="560"/>
      <c r="E8631" s="560"/>
      <c r="F8631" s="560"/>
      <c r="G8631" s="560">
        <f t="shared" si="174"/>
        <v>0</v>
      </c>
      <c r="H8631" s="362"/>
      <c r="I8631" s="362"/>
      <c r="J8631" s="362"/>
    </row>
    <row r="8632" spans="1:10" x14ac:dyDescent="0.25">
      <c r="A8632" s="362"/>
      <c r="B8632" s="609">
        <v>44680</v>
      </c>
      <c r="C8632" s="370" t="s">
        <v>85</v>
      </c>
      <c r="D8632" s="560">
        <v>29828700</v>
      </c>
      <c r="E8632" s="560"/>
      <c r="F8632" s="560"/>
      <c r="G8632" s="560">
        <f t="shared" si="174"/>
        <v>29828700</v>
      </c>
      <c r="H8632" s="362"/>
      <c r="I8632" s="362"/>
      <c r="J8632" s="362"/>
    </row>
    <row r="8633" spans="1:10" x14ac:dyDescent="0.25">
      <c r="A8633" s="530"/>
      <c r="B8633" s="530"/>
      <c r="C8633" s="530"/>
      <c r="D8633" s="562">
        <f>SUM(D8618:D8632)</f>
        <v>2091181175</v>
      </c>
      <c r="E8633" s="562">
        <f>SUM(E8618:E8632)</f>
        <v>0</v>
      </c>
      <c r="F8633" s="562">
        <f>SUM(F8618:F8632)</f>
        <v>0</v>
      </c>
      <c r="G8633" s="562">
        <f>SUM(G8618:G8632)</f>
        <v>2091181175</v>
      </c>
      <c r="H8633" s="530"/>
      <c r="I8633" s="530"/>
      <c r="J8633" s="530"/>
    </row>
    <row r="8634" spans="1:10" x14ac:dyDescent="0.25">
      <c r="A8634" s="362"/>
      <c r="B8634" s="1339">
        <v>44681</v>
      </c>
      <c r="C8634" s="362" t="s">
        <v>86</v>
      </c>
      <c r="D8634" s="560">
        <v>93056018</v>
      </c>
      <c r="E8634" s="560"/>
      <c r="F8634" s="560"/>
      <c r="G8634" s="560">
        <f t="shared" si="174"/>
        <v>93056018</v>
      </c>
      <c r="H8634" s="362"/>
      <c r="I8634" s="362"/>
      <c r="J8634" s="362"/>
    </row>
    <row r="8635" spans="1:10" x14ac:dyDescent="0.25">
      <c r="A8635" s="362"/>
      <c r="B8635" s="1339">
        <v>44681</v>
      </c>
      <c r="C8635" s="362" t="s">
        <v>87</v>
      </c>
      <c r="D8635" s="560">
        <v>82108637</v>
      </c>
      <c r="E8635" s="560"/>
      <c r="F8635" s="560"/>
      <c r="G8635" s="560">
        <f t="shared" si="174"/>
        <v>82108637</v>
      </c>
      <c r="H8635" s="362"/>
      <c r="I8635" s="362"/>
      <c r="J8635" s="362"/>
    </row>
    <row r="8636" spans="1:10" x14ac:dyDescent="0.25">
      <c r="A8636" s="362"/>
      <c r="B8636" s="1339">
        <v>44681</v>
      </c>
      <c r="C8636" s="362" t="s">
        <v>88</v>
      </c>
      <c r="D8636" s="560">
        <v>184480333</v>
      </c>
      <c r="E8636" s="560"/>
      <c r="F8636" s="560"/>
      <c r="G8636" s="560">
        <f t="shared" si="174"/>
        <v>184480333</v>
      </c>
      <c r="H8636" s="362"/>
      <c r="I8636" s="362"/>
      <c r="J8636" s="362"/>
    </row>
    <row r="8637" spans="1:10" x14ac:dyDescent="0.25">
      <c r="A8637" s="362"/>
      <c r="B8637" s="1339">
        <v>44681</v>
      </c>
      <c r="C8637" s="362" t="s">
        <v>82</v>
      </c>
      <c r="D8637" s="560">
        <v>104214298</v>
      </c>
      <c r="E8637" s="560"/>
      <c r="F8637" s="560"/>
      <c r="G8637" s="560">
        <f t="shared" si="174"/>
        <v>104214298</v>
      </c>
      <c r="H8637" s="362"/>
      <c r="I8637" s="362"/>
      <c r="J8637" s="362"/>
    </row>
    <row r="8638" spans="1:10" x14ac:dyDescent="0.25">
      <c r="A8638" s="362"/>
      <c r="B8638" s="1339">
        <v>44681</v>
      </c>
      <c r="C8638" s="362" t="s">
        <v>80</v>
      </c>
      <c r="D8638" s="560">
        <v>153788000</v>
      </c>
      <c r="E8638" s="560"/>
      <c r="F8638" s="560"/>
      <c r="G8638" s="560">
        <f t="shared" si="174"/>
        <v>153788000</v>
      </c>
      <c r="H8638" s="362"/>
      <c r="I8638" s="362"/>
      <c r="J8638" s="362"/>
    </row>
    <row r="8639" spans="1:10" x14ac:dyDescent="0.25">
      <c r="A8639" s="362"/>
      <c r="B8639" s="1339">
        <v>44681</v>
      </c>
      <c r="C8639" s="362" t="s">
        <v>83</v>
      </c>
      <c r="D8639" s="560">
        <v>315972294</v>
      </c>
      <c r="E8639" s="560"/>
      <c r="F8639" s="560"/>
      <c r="G8639" s="560">
        <f t="shared" si="174"/>
        <v>315972294</v>
      </c>
      <c r="H8639" s="362"/>
      <c r="I8639" s="362"/>
      <c r="J8639" s="362"/>
    </row>
    <row r="8640" spans="1:10" x14ac:dyDescent="0.25">
      <c r="A8640" s="362"/>
      <c r="B8640" s="1339">
        <v>44681</v>
      </c>
      <c r="C8640" s="362" t="s">
        <v>78</v>
      </c>
      <c r="D8640" s="560">
        <v>176706323</v>
      </c>
      <c r="E8640" s="560"/>
      <c r="F8640" s="560"/>
      <c r="G8640" s="560">
        <f t="shared" si="174"/>
        <v>176706323</v>
      </c>
      <c r="H8640" s="362"/>
      <c r="I8640" s="362"/>
      <c r="J8640" s="362"/>
    </row>
    <row r="8641" spans="1:10" x14ac:dyDescent="0.25">
      <c r="A8641" s="362"/>
      <c r="B8641" s="1339">
        <v>44681</v>
      </c>
      <c r="C8641" s="362" t="s">
        <v>141</v>
      </c>
      <c r="D8641" s="560">
        <v>144375131</v>
      </c>
      <c r="E8641" s="560"/>
      <c r="F8641" s="560"/>
      <c r="G8641" s="560">
        <f t="shared" si="174"/>
        <v>144375131</v>
      </c>
      <c r="H8641" s="362"/>
      <c r="I8641" s="362"/>
      <c r="J8641" s="362"/>
    </row>
    <row r="8642" spans="1:10" x14ac:dyDescent="0.25">
      <c r="A8642" s="362"/>
      <c r="B8642" s="1339">
        <v>44681</v>
      </c>
      <c r="C8642" s="362" t="s">
        <v>89</v>
      </c>
      <c r="D8642" s="560">
        <v>174426000</v>
      </c>
      <c r="E8642" s="560"/>
      <c r="F8642" s="560"/>
      <c r="G8642" s="560">
        <f t="shared" si="174"/>
        <v>174426000</v>
      </c>
      <c r="H8642" s="362"/>
      <c r="I8642" s="362"/>
      <c r="J8642" s="362"/>
    </row>
    <row r="8643" spans="1:10" x14ac:dyDescent="0.25">
      <c r="A8643" s="362"/>
      <c r="B8643" s="1339">
        <v>44681</v>
      </c>
      <c r="C8643" s="362" t="s">
        <v>81</v>
      </c>
      <c r="D8643" s="560">
        <v>188328234</v>
      </c>
      <c r="E8643" s="560"/>
      <c r="F8643" s="560"/>
      <c r="G8643" s="560">
        <f t="shared" si="174"/>
        <v>188328234</v>
      </c>
      <c r="H8643" s="362"/>
      <c r="I8643" s="362"/>
      <c r="J8643" s="362"/>
    </row>
    <row r="8644" spans="1:10" x14ac:dyDescent="0.25">
      <c r="A8644" s="362"/>
      <c r="B8644" s="1339">
        <v>44681</v>
      </c>
      <c r="C8644" s="362" t="s">
        <v>84</v>
      </c>
      <c r="D8644" s="560">
        <v>315956006</v>
      </c>
      <c r="E8644" s="560"/>
      <c r="F8644" s="560"/>
      <c r="G8644" s="560">
        <f t="shared" si="174"/>
        <v>315956006</v>
      </c>
      <c r="H8644" s="362"/>
      <c r="I8644" s="362"/>
      <c r="J8644" s="362"/>
    </row>
    <row r="8645" spans="1:10" x14ac:dyDescent="0.25">
      <c r="A8645" s="362"/>
      <c r="B8645" s="1339">
        <v>44681</v>
      </c>
      <c r="C8645" s="362" t="s">
        <v>4751</v>
      </c>
      <c r="D8645" s="560">
        <v>198629400</v>
      </c>
      <c r="E8645" s="560"/>
      <c r="F8645" s="560"/>
      <c r="G8645" s="560">
        <f t="shared" si="174"/>
        <v>198629400</v>
      </c>
      <c r="H8645" s="362"/>
      <c r="I8645" s="362"/>
      <c r="J8645" s="362"/>
    </row>
    <row r="8646" spans="1:10" x14ac:dyDescent="0.25">
      <c r="A8646" s="362"/>
      <c r="B8646" s="1339">
        <v>44681</v>
      </c>
      <c r="C8646" s="362" t="s">
        <v>166</v>
      </c>
      <c r="D8646" s="560">
        <v>83370285</v>
      </c>
      <c r="E8646" s="560"/>
      <c r="F8646" s="560"/>
      <c r="G8646" s="560">
        <f t="shared" si="174"/>
        <v>83370285</v>
      </c>
      <c r="H8646" s="362"/>
      <c r="I8646" s="362"/>
      <c r="J8646" s="362"/>
    </row>
    <row r="8647" spans="1:10" x14ac:dyDescent="0.25">
      <c r="A8647" s="362"/>
      <c r="B8647" s="1339">
        <v>44681</v>
      </c>
      <c r="C8647" s="362" t="s">
        <v>3435</v>
      </c>
      <c r="D8647" s="560"/>
      <c r="E8647" s="560"/>
      <c r="F8647" s="560"/>
      <c r="G8647" s="560">
        <f t="shared" si="174"/>
        <v>0</v>
      </c>
      <c r="H8647" s="362"/>
      <c r="I8647" s="362"/>
      <c r="J8647" s="362"/>
    </row>
    <row r="8648" spans="1:10" x14ac:dyDescent="0.25">
      <c r="A8648" s="362"/>
      <c r="B8648" s="1339">
        <v>44681</v>
      </c>
      <c r="C8648" s="370" t="s">
        <v>85</v>
      </c>
      <c r="D8648" s="560">
        <v>58816700</v>
      </c>
      <c r="E8648" s="560"/>
      <c r="F8648" s="560"/>
      <c r="G8648" s="560">
        <f t="shared" si="174"/>
        <v>58816700</v>
      </c>
      <c r="H8648" s="362"/>
      <c r="I8648" s="362"/>
      <c r="J8648" s="362"/>
    </row>
    <row r="8649" spans="1:10" x14ac:dyDescent="0.25">
      <c r="A8649" s="530"/>
      <c r="B8649" s="530"/>
      <c r="C8649" s="530"/>
      <c r="D8649" s="562">
        <f>SUM(D8634:D8648)</f>
        <v>2274227659</v>
      </c>
      <c r="E8649" s="562">
        <f>SUM(E8634:E8648)</f>
        <v>0</v>
      </c>
      <c r="F8649" s="562">
        <f>SUM(F8634:F8648)</f>
        <v>0</v>
      </c>
      <c r="G8649" s="562">
        <f>SUM(G8634:G8648)</f>
        <v>2274227659</v>
      </c>
      <c r="H8649" s="530"/>
      <c r="I8649" s="530"/>
      <c r="J8649" s="530"/>
    </row>
    <row r="8650" spans="1:10" s="565" customFormat="1" x14ac:dyDescent="0.25">
      <c r="A8650" s="370"/>
      <c r="B8650" s="850">
        <v>44690</v>
      </c>
      <c r="C8650" s="362" t="s">
        <v>86</v>
      </c>
      <c r="D8650" s="563">
        <v>93056018</v>
      </c>
      <c r="E8650" s="563"/>
      <c r="F8650" s="563"/>
      <c r="G8650" s="560">
        <f t="shared" si="174"/>
        <v>93056018</v>
      </c>
      <c r="H8650" s="370"/>
      <c r="I8650" s="370"/>
      <c r="J8650" s="370"/>
    </row>
    <row r="8651" spans="1:10" s="565" customFormat="1" x14ac:dyDescent="0.25">
      <c r="A8651" s="370"/>
      <c r="B8651" s="850">
        <v>44690</v>
      </c>
      <c r="C8651" s="362" t="s">
        <v>87</v>
      </c>
      <c r="D8651" s="563">
        <v>82108637</v>
      </c>
      <c r="E8651" s="563"/>
      <c r="F8651" s="563"/>
      <c r="G8651" s="560">
        <f t="shared" si="174"/>
        <v>82108637</v>
      </c>
      <c r="H8651" s="370"/>
      <c r="I8651" s="370"/>
      <c r="J8651" s="370"/>
    </row>
    <row r="8652" spans="1:10" s="565" customFormat="1" x14ac:dyDescent="0.25">
      <c r="A8652" s="370"/>
      <c r="B8652" s="850">
        <v>44690</v>
      </c>
      <c r="C8652" s="362" t="s">
        <v>88</v>
      </c>
      <c r="D8652" s="563">
        <v>184480333</v>
      </c>
      <c r="E8652" s="563"/>
      <c r="F8652" s="563"/>
      <c r="G8652" s="560">
        <f t="shared" si="174"/>
        <v>184480333</v>
      </c>
      <c r="H8652" s="370"/>
      <c r="I8652" s="370"/>
      <c r="J8652" s="370"/>
    </row>
    <row r="8653" spans="1:10" s="565" customFormat="1" x14ac:dyDescent="0.25">
      <c r="A8653" s="370"/>
      <c r="B8653" s="850">
        <v>44690</v>
      </c>
      <c r="C8653" s="362" t="s">
        <v>82</v>
      </c>
      <c r="D8653" s="563">
        <v>104214298</v>
      </c>
      <c r="E8653" s="563"/>
      <c r="F8653" s="563"/>
      <c r="G8653" s="560">
        <f t="shared" si="174"/>
        <v>104214298</v>
      </c>
      <c r="H8653" s="370"/>
      <c r="I8653" s="370"/>
      <c r="J8653" s="370"/>
    </row>
    <row r="8654" spans="1:10" s="565" customFormat="1" x14ac:dyDescent="0.25">
      <c r="A8654" s="370"/>
      <c r="B8654" s="850">
        <v>44690</v>
      </c>
      <c r="C8654" s="362" t="s">
        <v>80</v>
      </c>
      <c r="D8654" s="563">
        <v>153788000</v>
      </c>
      <c r="E8654" s="563"/>
      <c r="F8654" s="563"/>
      <c r="G8654" s="560">
        <f t="shared" si="174"/>
        <v>153788000</v>
      </c>
      <c r="H8654" s="370"/>
      <c r="I8654" s="370"/>
      <c r="J8654" s="370"/>
    </row>
    <row r="8655" spans="1:10" s="565" customFormat="1" x14ac:dyDescent="0.25">
      <c r="A8655" s="370"/>
      <c r="B8655" s="850">
        <v>44690</v>
      </c>
      <c r="C8655" s="362" t="s">
        <v>83</v>
      </c>
      <c r="D8655" s="563">
        <v>315971900</v>
      </c>
      <c r="E8655" s="563"/>
      <c r="F8655" s="563"/>
      <c r="G8655" s="560">
        <f t="shared" si="174"/>
        <v>315971900</v>
      </c>
      <c r="H8655" s="370"/>
      <c r="I8655" s="370"/>
      <c r="J8655" s="370"/>
    </row>
    <row r="8656" spans="1:10" s="565" customFormat="1" x14ac:dyDescent="0.25">
      <c r="A8656" s="370"/>
      <c r="B8656" s="850">
        <v>44690</v>
      </c>
      <c r="C8656" s="362" t="s">
        <v>78</v>
      </c>
      <c r="D8656" s="563">
        <v>176706323</v>
      </c>
      <c r="E8656" s="563"/>
      <c r="F8656" s="563"/>
      <c r="G8656" s="560">
        <f t="shared" si="174"/>
        <v>176706323</v>
      </c>
      <c r="H8656" s="370"/>
      <c r="I8656" s="370"/>
      <c r="J8656" s="370"/>
    </row>
    <row r="8657" spans="1:10" s="565" customFormat="1" x14ac:dyDescent="0.25">
      <c r="A8657" s="370"/>
      <c r="B8657" s="850">
        <v>44690</v>
      </c>
      <c r="C8657" s="362" t="s">
        <v>141</v>
      </c>
      <c r="D8657" s="563">
        <v>146442472</v>
      </c>
      <c r="E8657" s="563"/>
      <c r="F8657" s="563"/>
      <c r="G8657" s="560">
        <f t="shared" si="174"/>
        <v>146442472</v>
      </c>
      <c r="H8657" s="370"/>
      <c r="I8657" s="370"/>
      <c r="J8657" s="370"/>
    </row>
    <row r="8658" spans="1:10" s="565" customFormat="1" x14ac:dyDescent="0.25">
      <c r="A8658" s="370"/>
      <c r="B8658" s="850">
        <v>44690</v>
      </c>
      <c r="C8658" s="362" t="s">
        <v>89</v>
      </c>
      <c r="D8658" s="563">
        <v>174426000</v>
      </c>
      <c r="E8658" s="563"/>
      <c r="F8658" s="563"/>
      <c r="G8658" s="560">
        <f t="shared" si="174"/>
        <v>174426000</v>
      </c>
      <c r="H8658" s="370"/>
      <c r="I8658" s="370"/>
      <c r="J8658" s="370"/>
    </row>
    <row r="8659" spans="1:10" s="565" customFormat="1" x14ac:dyDescent="0.25">
      <c r="A8659" s="370"/>
      <c r="B8659" s="850">
        <v>44690</v>
      </c>
      <c r="C8659" s="362" t="s">
        <v>81</v>
      </c>
      <c r="D8659" s="563">
        <v>188328234</v>
      </c>
      <c r="E8659" s="563"/>
      <c r="F8659" s="563"/>
      <c r="G8659" s="560">
        <f t="shared" si="174"/>
        <v>188328234</v>
      </c>
      <c r="H8659" s="370"/>
      <c r="I8659" s="370"/>
      <c r="J8659" s="370"/>
    </row>
    <row r="8660" spans="1:10" s="565" customFormat="1" x14ac:dyDescent="0.25">
      <c r="A8660" s="370"/>
      <c r="B8660" s="850">
        <v>44690</v>
      </c>
      <c r="C8660" s="362" t="s">
        <v>84</v>
      </c>
      <c r="D8660" s="563">
        <v>315956006</v>
      </c>
      <c r="E8660" s="563"/>
      <c r="F8660" s="563"/>
      <c r="G8660" s="560">
        <f t="shared" si="174"/>
        <v>315956006</v>
      </c>
      <c r="H8660" s="370"/>
      <c r="I8660" s="370"/>
      <c r="J8660" s="370"/>
    </row>
    <row r="8661" spans="1:10" s="565" customFormat="1" x14ac:dyDescent="0.25">
      <c r="A8661" s="370"/>
      <c r="B8661" s="850">
        <v>44690</v>
      </c>
      <c r="C8661" s="362" t="s">
        <v>4751</v>
      </c>
      <c r="D8661" s="563">
        <v>198629400</v>
      </c>
      <c r="E8661" s="563"/>
      <c r="F8661" s="563"/>
      <c r="G8661" s="560">
        <f t="shared" si="174"/>
        <v>198629400</v>
      </c>
      <c r="H8661" s="370"/>
      <c r="I8661" s="370"/>
      <c r="J8661" s="370"/>
    </row>
    <row r="8662" spans="1:10" s="565" customFormat="1" x14ac:dyDescent="0.25">
      <c r="A8662" s="370"/>
      <c r="B8662" s="850">
        <v>44690</v>
      </c>
      <c r="C8662" s="362" t="s">
        <v>166</v>
      </c>
      <c r="D8662" s="563">
        <v>83370285</v>
      </c>
      <c r="E8662" s="563"/>
      <c r="F8662" s="563"/>
      <c r="G8662" s="560">
        <f t="shared" si="174"/>
        <v>83370285</v>
      </c>
      <c r="H8662" s="370"/>
      <c r="I8662" s="370"/>
      <c r="J8662" s="370"/>
    </row>
    <row r="8663" spans="1:10" s="565" customFormat="1" x14ac:dyDescent="0.25">
      <c r="A8663" s="370"/>
      <c r="B8663" s="850">
        <v>44690</v>
      </c>
      <c r="C8663" s="362" t="s">
        <v>3435</v>
      </c>
      <c r="D8663" s="563"/>
      <c r="E8663" s="563"/>
      <c r="F8663" s="563"/>
      <c r="G8663" s="560">
        <f t="shared" si="174"/>
        <v>0</v>
      </c>
      <c r="H8663" s="370"/>
      <c r="I8663" s="370"/>
      <c r="J8663" s="370"/>
    </row>
    <row r="8664" spans="1:10" s="565" customFormat="1" x14ac:dyDescent="0.25">
      <c r="A8664" s="370"/>
      <c r="B8664" s="850">
        <v>44690</v>
      </c>
      <c r="C8664" s="370" t="s">
        <v>85</v>
      </c>
      <c r="D8664" s="563">
        <v>58816700</v>
      </c>
      <c r="E8664" s="563"/>
      <c r="F8664" s="563"/>
      <c r="G8664" s="560">
        <f t="shared" si="174"/>
        <v>58816700</v>
      </c>
      <c r="H8664" s="370"/>
      <c r="I8664" s="370"/>
      <c r="J8664" s="370"/>
    </row>
    <row r="8665" spans="1:10" s="565" customFormat="1" x14ac:dyDescent="0.25">
      <c r="A8665" s="530"/>
      <c r="B8665" s="530"/>
      <c r="C8665" s="530"/>
      <c r="D8665" s="562">
        <f>SUM(D8650:D8664)</f>
        <v>2276294606</v>
      </c>
      <c r="E8665" s="562">
        <f>SUM(E8650:E8664)</f>
        <v>0</v>
      </c>
      <c r="F8665" s="562">
        <f>SUM(F8650:F8664)</f>
        <v>0</v>
      </c>
      <c r="G8665" s="562">
        <f>SUM(G8650:G8664)</f>
        <v>2276294606</v>
      </c>
      <c r="H8665" s="530"/>
      <c r="I8665" s="530"/>
      <c r="J8665" s="530"/>
    </row>
    <row r="8666" spans="1:10" x14ac:dyDescent="0.25">
      <c r="A8666" s="362"/>
      <c r="B8666" s="609">
        <v>44691</v>
      </c>
      <c r="C8666" s="362" t="s">
        <v>86</v>
      </c>
      <c r="D8666" s="560">
        <v>142160146</v>
      </c>
      <c r="E8666" s="560"/>
      <c r="F8666" s="560"/>
      <c r="G8666" s="560">
        <f t="shared" si="174"/>
        <v>142160146</v>
      </c>
      <c r="H8666" s="362"/>
      <c r="I8666" s="362"/>
      <c r="J8666" s="362"/>
    </row>
    <row r="8667" spans="1:10" x14ac:dyDescent="0.25">
      <c r="A8667" s="362"/>
      <c r="B8667" s="609">
        <v>44691</v>
      </c>
      <c r="C8667" s="362" t="s">
        <v>87</v>
      </c>
      <c r="D8667" s="560">
        <v>228653604</v>
      </c>
      <c r="E8667" s="560"/>
      <c r="F8667" s="560"/>
      <c r="G8667" s="560">
        <f t="shared" si="174"/>
        <v>228653604</v>
      </c>
      <c r="H8667" s="362"/>
      <c r="I8667" s="362"/>
      <c r="J8667" s="362"/>
    </row>
    <row r="8668" spans="1:10" x14ac:dyDescent="0.25">
      <c r="A8668" s="362"/>
      <c r="B8668" s="609">
        <v>44691</v>
      </c>
      <c r="C8668" s="362" t="s">
        <v>88</v>
      </c>
      <c r="D8668" s="560">
        <v>319794186</v>
      </c>
      <c r="E8668" s="560"/>
      <c r="F8668" s="560"/>
      <c r="G8668" s="560">
        <f t="shared" si="174"/>
        <v>319794186</v>
      </c>
      <c r="H8668" s="362"/>
      <c r="I8668" s="362"/>
      <c r="J8668" s="362"/>
    </row>
    <row r="8669" spans="1:10" x14ac:dyDescent="0.25">
      <c r="A8669" s="362"/>
      <c r="B8669" s="609">
        <v>44691</v>
      </c>
      <c r="C8669" s="362" t="s">
        <v>82</v>
      </c>
      <c r="D8669" s="560">
        <v>168883720</v>
      </c>
      <c r="E8669" s="560"/>
      <c r="F8669" s="560"/>
      <c r="G8669" s="560">
        <f t="shared" si="174"/>
        <v>168883720</v>
      </c>
      <c r="H8669" s="362"/>
      <c r="I8669" s="362"/>
      <c r="J8669" s="362"/>
    </row>
    <row r="8670" spans="1:10" x14ac:dyDescent="0.25">
      <c r="A8670" s="362"/>
      <c r="B8670" s="609">
        <v>44691</v>
      </c>
      <c r="C8670" s="362" t="s">
        <v>80</v>
      </c>
      <c r="D8670" s="560">
        <v>354624817</v>
      </c>
      <c r="E8670" s="560"/>
      <c r="F8670" s="560"/>
      <c r="G8670" s="560">
        <f t="shared" si="174"/>
        <v>354624817</v>
      </c>
      <c r="H8670" s="362"/>
      <c r="I8670" s="362"/>
      <c r="J8670" s="362"/>
    </row>
    <row r="8671" spans="1:10" x14ac:dyDescent="0.25">
      <c r="A8671" s="362"/>
      <c r="B8671" s="609">
        <v>44691</v>
      </c>
      <c r="C8671" s="362" t="s">
        <v>83</v>
      </c>
      <c r="D8671" s="560">
        <v>382304354</v>
      </c>
      <c r="E8671" s="560"/>
      <c r="F8671" s="560"/>
      <c r="G8671" s="560">
        <f t="shared" si="174"/>
        <v>382304354</v>
      </c>
      <c r="H8671" s="362"/>
      <c r="I8671" s="362"/>
      <c r="J8671" s="362"/>
    </row>
    <row r="8672" spans="1:10" x14ac:dyDescent="0.25">
      <c r="A8672" s="362"/>
      <c r="B8672" s="609">
        <v>44691</v>
      </c>
      <c r="C8672" s="362" t="s">
        <v>78</v>
      </c>
      <c r="D8672" s="560">
        <v>281853557</v>
      </c>
      <c r="E8672" s="560"/>
      <c r="F8672" s="560"/>
      <c r="G8672" s="560">
        <f t="shared" si="174"/>
        <v>281853557</v>
      </c>
      <c r="H8672" s="362"/>
      <c r="I8672" s="362"/>
      <c r="J8672" s="362"/>
    </row>
    <row r="8673" spans="1:10" x14ac:dyDescent="0.25">
      <c r="A8673" s="362"/>
      <c r="B8673" s="609">
        <v>44691</v>
      </c>
      <c r="C8673" s="362" t="s">
        <v>141</v>
      </c>
      <c r="D8673" s="560">
        <v>192796151</v>
      </c>
      <c r="E8673" s="560"/>
      <c r="F8673" s="560"/>
      <c r="G8673" s="560">
        <f t="shared" si="174"/>
        <v>192796151</v>
      </c>
      <c r="H8673" s="362"/>
      <c r="I8673" s="362"/>
      <c r="J8673" s="362"/>
    </row>
    <row r="8674" spans="1:10" x14ac:dyDescent="0.25">
      <c r="A8674" s="362"/>
      <c r="B8674" s="609">
        <v>44691</v>
      </c>
      <c r="C8674" s="362" t="s">
        <v>89</v>
      </c>
      <c r="D8674" s="560">
        <v>153114100</v>
      </c>
      <c r="E8674" s="560"/>
      <c r="F8674" s="560"/>
      <c r="G8674" s="560">
        <f t="shared" si="174"/>
        <v>153114100</v>
      </c>
      <c r="H8674" s="362"/>
      <c r="I8674" s="362"/>
      <c r="J8674" s="362"/>
    </row>
    <row r="8675" spans="1:10" x14ac:dyDescent="0.25">
      <c r="A8675" s="362"/>
      <c r="B8675" s="609">
        <v>44691</v>
      </c>
      <c r="C8675" s="362" t="s">
        <v>81</v>
      </c>
      <c r="D8675" s="560">
        <v>215117836</v>
      </c>
      <c r="E8675" s="560"/>
      <c r="F8675" s="560"/>
      <c r="G8675" s="560">
        <f t="shared" si="174"/>
        <v>215117836</v>
      </c>
      <c r="H8675" s="362"/>
      <c r="I8675" s="362"/>
      <c r="J8675" s="362"/>
    </row>
    <row r="8676" spans="1:10" x14ac:dyDescent="0.25">
      <c r="A8676" s="362"/>
      <c r="B8676" s="609">
        <v>44691</v>
      </c>
      <c r="C8676" s="362" t="s">
        <v>84</v>
      </c>
      <c r="D8676" s="560">
        <v>525762886</v>
      </c>
      <c r="E8676" s="560"/>
      <c r="F8676" s="560"/>
      <c r="G8676" s="560">
        <f t="shared" si="174"/>
        <v>525762886</v>
      </c>
      <c r="H8676" s="362"/>
      <c r="I8676" s="362"/>
      <c r="J8676" s="362"/>
    </row>
    <row r="8677" spans="1:10" x14ac:dyDescent="0.25">
      <c r="A8677" s="362"/>
      <c r="B8677" s="609">
        <v>44691</v>
      </c>
      <c r="C8677" s="362" t="s">
        <v>4751</v>
      </c>
      <c r="D8677" s="560">
        <v>265290600</v>
      </c>
      <c r="E8677" s="560"/>
      <c r="F8677" s="560"/>
      <c r="G8677" s="560">
        <f t="shared" si="174"/>
        <v>265290600</v>
      </c>
      <c r="H8677" s="362"/>
      <c r="I8677" s="362"/>
      <c r="J8677" s="362"/>
    </row>
    <row r="8678" spans="1:10" x14ac:dyDescent="0.25">
      <c r="A8678" s="362"/>
      <c r="B8678" s="609">
        <v>44691</v>
      </c>
      <c r="C8678" s="362" t="s">
        <v>166</v>
      </c>
      <c r="D8678" s="560">
        <v>69422920</v>
      </c>
      <c r="E8678" s="560"/>
      <c r="F8678" s="560"/>
      <c r="G8678" s="560">
        <f t="shared" si="174"/>
        <v>69422920</v>
      </c>
      <c r="H8678" s="362"/>
      <c r="I8678" s="362"/>
      <c r="J8678" s="362"/>
    </row>
    <row r="8679" spans="1:10" x14ac:dyDescent="0.25">
      <c r="A8679" s="362"/>
      <c r="B8679" s="609">
        <v>44691</v>
      </c>
      <c r="C8679" s="362" t="s">
        <v>3435</v>
      </c>
      <c r="D8679" s="560">
        <v>92385550</v>
      </c>
      <c r="E8679" s="560"/>
      <c r="F8679" s="560"/>
      <c r="G8679" s="560">
        <f t="shared" si="174"/>
        <v>92385550</v>
      </c>
      <c r="H8679" s="362"/>
      <c r="I8679" s="362"/>
      <c r="J8679" s="362"/>
    </row>
    <row r="8680" spans="1:10" x14ac:dyDescent="0.25">
      <c r="A8680" s="362"/>
      <c r="B8680" s="609">
        <v>44691</v>
      </c>
      <c r="C8680" s="370" t="s">
        <v>85</v>
      </c>
      <c r="D8680" s="560">
        <v>50863200</v>
      </c>
      <c r="E8680" s="560"/>
      <c r="F8680" s="560"/>
      <c r="G8680" s="560">
        <f t="shared" si="174"/>
        <v>50863200</v>
      </c>
      <c r="H8680" s="362"/>
      <c r="I8680" s="362"/>
      <c r="J8680" s="362"/>
    </row>
    <row r="8681" spans="1:10" x14ac:dyDescent="0.25">
      <c r="A8681" s="530"/>
      <c r="B8681" s="530"/>
      <c r="C8681" s="530"/>
      <c r="D8681" s="562">
        <f>SUM(D8666:D8680)</f>
        <v>3443027627</v>
      </c>
      <c r="E8681" s="562">
        <f>SUM(E8666:E8680)</f>
        <v>0</v>
      </c>
      <c r="F8681" s="562">
        <f>SUM(F8666:F8680)</f>
        <v>0</v>
      </c>
      <c r="G8681" s="562">
        <f>SUM(G8666:G8680)</f>
        <v>3443027627</v>
      </c>
      <c r="H8681" s="530"/>
      <c r="I8681" s="530"/>
      <c r="J8681" s="530"/>
    </row>
    <row r="8682" spans="1:10" x14ac:dyDescent="0.25">
      <c r="A8682" s="362"/>
      <c r="B8682" s="609">
        <v>44692</v>
      </c>
      <c r="C8682" s="362" t="s">
        <v>86</v>
      </c>
      <c r="D8682" s="560">
        <v>111003329</v>
      </c>
      <c r="E8682" s="560"/>
      <c r="F8682" s="560"/>
      <c r="G8682" s="560">
        <f t="shared" si="174"/>
        <v>111003329</v>
      </c>
      <c r="H8682" s="362"/>
      <c r="I8682" s="362"/>
      <c r="J8682" s="362"/>
    </row>
    <row r="8683" spans="1:10" x14ac:dyDescent="0.25">
      <c r="A8683" s="362"/>
      <c r="B8683" s="609">
        <v>44692</v>
      </c>
      <c r="C8683" s="362" t="s">
        <v>87</v>
      </c>
      <c r="D8683" s="560">
        <v>381576672</v>
      </c>
      <c r="E8683" s="560"/>
      <c r="F8683" s="560"/>
      <c r="G8683" s="560">
        <f t="shared" si="174"/>
        <v>381576672</v>
      </c>
      <c r="H8683" s="362"/>
      <c r="I8683" s="362"/>
      <c r="J8683" s="362"/>
    </row>
    <row r="8684" spans="1:10" x14ac:dyDescent="0.25">
      <c r="A8684" s="362"/>
      <c r="B8684" s="609">
        <v>44692</v>
      </c>
      <c r="C8684" s="362" t="s">
        <v>88</v>
      </c>
      <c r="D8684" s="560">
        <v>372315188</v>
      </c>
      <c r="E8684" s="560"/>
      <c r="F8684" s="560"/>
      <c r="G8684" s="560">
        <f t="shared" ref="G8684:G8747" si="175">D8684+E8684-F8684</f>
        <v>372315188</v>
      </c>
      <c r="H8684" s="362"/>
      <c r="I8684" s="362"/>
      <c r="J8684" s="362"/>
    </row>
    <row r="8685" spans="1:10" x14ac:dyDescent="0.25">
      <c r="A8685" s="362"/>
      <c r="B8685" s="609">
        <v>44692</v>
      </c>
      <c r="C8685" s="362" t="s">
        <v>82</v>
      </c>
      <c r="D8685" s="560">
        <v>204000240</v>
      </c>
      <c r="E8685" s="560"/>
      <c r="F8685" s="560"/>
      <c r="G8685" s="560">
        <f t="shared" si="175"/>
        <v>204000240</v>
      </c>
      <c r="H8685" s="362"/>
      <c r="I8685" s="362"/>
      <c r="J8685" s="362"/>
    </row>
    <row r="8686" spans="1:10" x14ac:dyDescent="0.25">
      <c r="A8686" s="362"/>
      <c r="B8686" s="609">
        <v>44692</v>
      </c>
      <c r="C8686" s="362" t="s">
        <v>80</v>
      </c>
      <c r="D8686" s="560">
        <v>508055326</v>
      </c>
      <c r="E8686" s="560"/>
      <c r="F8686" s="560"/>
      <c r="G8686" s="560">
        <f t="shared" si="175"/>
        <v>508055326</v>
      </c>
      <c r="H8686" s="362"/>
      <c r="I8686" s="362"/>
      <c r="J8686" s="362"/>
    </row>
    <row r="8687" spans="1:10" x14ac:dyDescent="0.25">
      <c r="A8687" s="362"/>
      <c r="B8687" s="609">
        <v>44692</v>
      </c>
      <c r="C8687" s="362" t="s">
        <v>83</v>
      </c>
      <c r="D8687" s="560">
        <v>281054661</v>
      </c>
      <c r="E8687" s="560"/>
      <c r="F8687" s="560"/>
      <c r="G8687" s="560">
        <f t="shared" si="175"/>
        <v>281054661</v>
      </c>
      <c r="H8687" s="362"/>
      <c r="I8687" s="362"/>
      <c r="J8687" s="362"/>
    </row>
    <row r="8688" spans="1:10" x14ac:dyDescent="0.25">
      <c r="A8688" s="362"/>
      <c r="B8688" s="609">
        <v>44692</v>
      </c>
      <c r="C8688" s="362" t="s">
        <v>78</v>
      </c>
      <c r="D8688" s="560">
        <v>241507452</v>
      </c>
      <c r="E8688" s="560"/>
      <c r="F8688" s="560"/>
      <c r="G8688" s="560">
        <f t="shared" si="175"/>
        <v>241507452</v>
      </c>
      <c r="H8688" s="362"/>
      <c r="I8688" s="362"/>
      <c r="J8688" s="362"/>
    </row>
    <row r="8689" spans="1:10" x14ac:dyDescent="0.25">
      <c r="A8689" s="362"/>
      <c r="B8689" s="609">
        <v>44692</v>
      </c>
      <c r="C8689" s="362" t="s">
        <v>141</v>
      </c>
      <c r="D8689" s="560">
        <v>281093907</v>
      </c>
      <c r="E8689" s="560"/>
      <c r="F8689" s="560"/>
      <c r="G8689" s="560">
        <f t="shared" si="175"/>
        <v>281093907</v>
      </c>
      <c r="H8689" s="362"/>
      <c r="I8689" s="362"/>
      <c r="J8689" s="362"/>
    </row>
    <row r="8690" spans="1:10" x14ac:dyDescent="0.25">
      <c r="A8690" s="362"/>
      <c r="B8690" s="609">
        <v>44692</v>
      </c>
      <c r="C8690" s="362" t="s">
        <v>89</v>
      </c>
      <c r="D8690" s="560">
        <v>124691600</v>
      </c>
      <c r="E8690" s="560"/>
      <c r="F8690" s="560"/>
      <c r="G8690" s="560">
        <f t="shared" si="175"/>
        <v>124691600</v>
      </c>
      <c r="H8690" s="362"/>
      <c r="I8690" s="362"/>
      <c r="J8690" s="362"/>
    </row>
    <row r="8691" spans="1:10" x14ac:dyDescent="0.25">
      <c r="A8691" s="362"/>
      <c r="B8691" s="609">
        <v>44692</v>
      </c>
      <c r="C8691" s="362" t="s">
        <v>81</v>
      </c>
      <c r="D8691" s="560">
        <v>225514353</v>
      </c>
      <c r="E8691" s="560"/>
      <c r="F8691" s="560"/>
      <c r="G8691" s="560">
        <f t="shared" si="175"/>
        <v>225514353</v>
      </c>
      <c r="H8691" s="362"/>
      <c r="I8691" s="362"/>
      <c r="J8691" s="362"/>
    </row>
    <row r="8692" spans="1:10" x14ac:dyDescent="0.25">
      <c r="A8692" s="362"/>
      <c r="B8692" s="609">
        <v>44692</v>
      </c>
      <c r="C8692" s="362" t="s">
        <v>84</v>
      </c>
      <c r="D8692" s="560">
        <v>394730712</v>
      </c>
      <c r="E8692" s="560"/>
      <c r="F8692" s="560"/>
      <c r="G8692" s="560">
        <f t="shared" si="175"/>
        <v>394730712</v>
      </c>
      <c r="H8692" s="362"/>
      <c r="I8692" s="362"/>
      <c r="J8692" s="362"/>
    </row>
    <row r="8693" spans="1:10" x14ac:dyDescent="0.25">
      <c r="A8693" s="362"/>
      <c r="B8693" s="609">
        <v>44692</v>
      </c>
      <c r="C8693" s="362" t="s">
        <v>4751</v>
      </c>
      <c r="D8693" s="560">
        <v>309543800</v>
      </c>
      <c r="E8693" s="560"/>
      <c r="F8693" s="560"/>
      <c r="G8693" s="560">
        <f t="shared" si="175"/>
        <v>309543800</v>
      </c>
      <c r="H8693" s="362"/>
      <c r="I8693" s="362"/>
      <c r="J8693" s="362"/>
    </row>
    <row r="8694" spans="1:10" x14ac:dyDescent="0.25">
      <c r="A8694" s="362"/>
      <c r="B8694" s="609">
        <v>44692</v>
      </c>
      <c r="C8694" s="362" t="s">
        <v>166</v>
      </c>
      <c r="D8694" s="560">
        <v>95047476</v>
      </c>
      <c r="E8694" s="560"/>
      <c r="F8694" s="560"/>
      <c r="G8694" s="560">
        <f t="shared" si="175"/>
        <v>95047476</v>
      </c>
      <c r="H8694" s="362"/>
      <c r="I8694" s="362"/>
      <c r="J8694" s="362"/>
    </row>
    <row r="8695" spans="1:10" x14ac:dyDescent="0.25">
      <c r="A8695" s="362"/>
      <c r="B8695" s="609">
        <v>44692</v>
      </c>
      <c r="C8695" s="362" t="s">
        <v>3435</v>
      </c>
      <c r="D8695" s="560">
        <v>111749426</v>
      </c>
      <c r="E8695" s="560"/>
      <c r="F8695" s="560"/>
      <c r="G8695" s="560">
        <f t="shared" si="175"/>
        <v>111749426</v>
      </c>
      <c r="H8695" s="362"/>
      <c r="I8695" s="362"/>
      <c r="J8695" s="362"/>
    </row>
    <row r="8696" spans="1:10" x14ac:dyDescent="0.25">
      <c r="A8696" s="362"/>
      <c r="B8696" s="609">
        <v>44692</v>
      </c>
      <c r="C8696" s="370" t="s">
        <v>85</v>
      </c>
      <c r="D8696" s="560">
        <v>46363200</v>
      </c>
      <c r="E8696" s="560"/>
      <c r="F8696" s="560"/>
      <c r="G8696" s="560">
        <f t="shared" si="175"/>
        <v>46363200</v>
      </c>
      <c r="H8696" s="362"/>
      <c r="I8696" s="362"/>
      <c r="J8696" s="362"/>
    </row>
    <row r="8697" spans="1:10" x14ac:dyDescent="0.25">
      <c r="A8697" s="530"/>
      <c r="B8697" s="530"/>
      <c r="C8697" s="530"/>
      <c r="D8697" s="562">
        <f>SUM(D8682:D8696)</f>
        <v>3688247342</v>
      </c>
      <c r="E8697" s="562">
        <f>SUM(E8682:E8696)</f>
        <v>0</v>
      </c>
      <c r="F8697" s="562">
        <f>SUM(F8682:F8696)</f>
        <v>0</v>
      </c>
      <c r="G8697" s="562">
        <f>SUM(G8682:G8696)</f>
        <v>3688247342</v>
      </c>
      <c r="H8697" s="530"/>
      <c r="I8697" s="530"/>
      <c r="J8697" s="530"/>
    </row>
    <row r="8698" spans="1:10" x14ac:dyDescent="0.25">
      <c r="A8698" s="362"/>
      <c r="B8698" s="609">
        <v>44693</v>
      </c>
      <c r="C8698" s="362" t="s">
        <v>86</v>
      </c>
      <c r="D8698" s="560">
        <v>288830296</v>
      </c>
      <c r="E8698" s="560"/>
      <c r="F8698" s="560"/>
      <c r="G8698" s="560">
        <f t="shared" si="175"/>
        <v>288830296</v>
      </c>
      <c r="H8698" s="362"/>
      <c r="I8698" s="362"/>
      <c r="J8698" s="362"/>
    </row>
    <row r="8699" spans="1:10" x14ac:dyDescent="0.25">
      <c r="A8699" s="362"/>
      <c r="B8699" s="609">
        <v>44693</v>
      </c>
      <c r="C8699" s="362" t="s">
        <v>87</v>
      </c>
      <c r="D8699" s="560">
        <v>378797987</v>
      </c>
      <c r="E8699" s="560"/>
      <c r="F8699" s="560"/>
      <c r="G8699" s="560">
        <f t="shared" si="175"/>
        <v>378797987</v>
      </c>
      <c r="H8699" s="362"/>
      <c r="I8699" s="362"/>
      <c r="J8699" s="362"/>
    </row>
    <row r="8700" spans="1:10" x14ac:dyDescent="0.25">
      <c r="A8700" s="362"/>
      <c r="B8700" s="609">
        <v>44693</v>
      </c>
      <c r="C8700" s="362" t="s">
        <v>88</v>
      </c>
      <c r="D8700" s="560">
        <v>186951698</v>
      </c>
      <c r="E8700" s="560"/>
      <c r="F8700" s="560"/>
      <c r="G8700" s="560">
        <f t="shared" si="175"/>
        <v>186951698</v>
      </c>
      <c r="H8700" s="362"/>
      <c r="I8700" s="362"/>
      <c r="J8700" s="362"/>
    </row>
    <row r="8701" spans="1:10" x14ac:dyDescent="0.25">
      <c r="A8701" s="362"/>
      <c r="B8701" s="609">
        <v>44693</v>
      </c>
      <c r="C8701" s="362" t="s">
        <v>82</v>
      </c>
      <c r="D8701" s="560">
        <v>213067262</v>
      </c>
      <c r="E8701" s="560"/>
      <c r="F8701" s="560"/>
      <c r="G8701" s="560">
        <f t="shared" si="175"/>
        <v>213067262</v>
      </c>
      <c r="H8701" s="362"/>
      <c r="I8701" s="362"/>
      <c r="J8701" s="362"/>
    </row>
    <row r="8702" spans="1:10" x14ac:dyDescent="0.25">
      <c r="A8702" s="362"/>
      <c r="B8702" s="609">
        <v>44693</v>
      </c>
      <c r="C8702" s="362" t="s">
        <v>80</v>
      </c>
      <c r="D8702" s="560">
        <v>282531600</v>
      </c>
      <c r="E8702" s="560"/>
      <c r="F8702" s="560"/>
      <c r="G8702" s="560">
        <f t="shared" si="175"/>
        <v>282531600</v>
      </c>
      <c r="H8702" s="362"/>
      <c r="I8702" s="362"/>
      <c r="J8702" s="362"/>
    </row>
    <row r="8703" spans="1:10" x14ac:dyDescent="0.25">
      <c r="A8703" s="362"/>
      <c r="B8703" s="609">
        <v>44693</v>
      </c>
      <c r="C8703" s="362" t="s">
        <v>83</v>
      </c>
      <c r="D8703" s="560">
        <v>388797000</v>
      </c>
      <c r="E8703" s="560"/>
      <c r="F8703" s="560"/>
      <c r="G8703" s="560">
        <f t="shared" si="175"/>
        <v>388797000</v>
      </c>
      <c r="H8703" s="362"/>
      <c r="I8703" s="362"/>
      <c r="J8703" s="362"/>
    </row>
    <row r="8704" spans="1:10" x14ac:dyDescent="0.25">
      <c r="A8704" s="362"/>
      <c r="B8704" s="609">
        <v>44693</v>
      </c>
      <c r="C8704" s="362" t="s">
        <v>78</v>
      </c>
      <c r="D8704" s="560">
        <v>134844352</v>
      </c>
      <c r="E8704" s="560"/>
      <c r="F8704" s="560"/>
      <c r="G8704" s="560">
        <f t="shared" si="175"/>
        <v>134844352</v>
      </c>
      <c r="H8704" s="362"/>
      <c r="I8704" s="362"/>
      <c r="J8704" s="362"/>
    </row>
    <row r="8705" spans="1:10" x14ac:dyDescent="0.25">
      <c r="A8705" s="362"/>
      <c r="B8705" s="609">
        <v>44693</v>
      </c>
      <c r="C8705" s="362" t="s">
        <v>141</v>
      </c>
      <c r="D8705" s="560">
        <v>95524737</v>
      </c>
      <c r="E8705" s="560"/>
      <c r="F8705" s="560"/>
      <c r="G8705" s="560">
        <f t="shared" si="175"/>
        <v>95524737</v>
      </c>
      <c r="H8705" s="362"/>
      <c r="I8705" s="362"/>
      <c r="J8705" s="362"/>
    </row>
    <row r="8706" spans="1:10" x14ac:dyDescent="0.25">
      <c r="A8706" s="362"/>
      <c r="B8706" s="609">
        <v>44693</v>
      </c>
      <c r="C8706" s="362" t="s">
        <v>89</v>
      </c>
      <c r="D8706" s="560">
        <v>107527900</v>
      </c>
      <c r="E8706" s="560"/>
      <c r="F8706" s="560"/>
      <c r="G8706" s="560">
        <f t="shared" si="175"/>
        <v>107527900</v>
      </c>
      <c r="H8706" s="362"/>
      <c r="I8706" s="362"/>
      <c r="J8706" s="362"/>
    </row>
    <row r="8707" spans="1:10" x14ac:dyDescent="0.25">
      <c r="A8707" s="362"/>
      <c r="B8707" s="609">
        <v>44693</v>
      </c>
      <c r="C8707" s="362" t="s">
        <v>81</v>
      </c>
      <c r="D8707" s="560">
        <v>174587035</v>
      </c>
      <c r="E8707" s="560"/>
      <c r="F8707" s="560"/>
      <c r="G8707" s="560">
        <f t="shared" si="175"/>
        <v>174587035</v>
      </c>
      <c r="H8707" s="362"/>
      <c r="I8707" s="362"/>
      <c r="J8707" s="362"/>
    </row>
    <row r="8708" spans="1:10" x14ac:dyDescent="0.25">
      <c r="A8708" s="362"/>
      <c r="B8708" s="609">
        <v>44693</v>
      </c>
      <c r="C8708" s="362" t="s">
        <v>84</v>
      </c>
      <c r="D8708" s="560">
        <v>282688634</v>
      </c>
      <c r="E8708" s="560"/>
      <c r="F8708" s="560"/>
      <c r="G8708" s="560">
        <f t="shared" si="175"/>
        <v>282688634</v>
      </c>
      <c r="H8708" s="362"/>
      <c r="I8708" s="362"/>
      <c r="J8708" s="362"/>
    </row>
    <row r="8709" spans="1:10" x14ac:dyDescent="0.25">
      <c r="A8709" s="362"/>
      <c r="B8709" s="609">
        <v>44693</v>
      </c>
      <c r="C8709" s="362" t="s">
        <v>4751</v>
      </c>
      <c r="D8709" s="560">
        <v>202689500</v>
      </c>
      <c r="E8709" s="560"/>
      <c r="F8709" s="560"/>
      <c r="G8709" s="560">
        <f t="shared" si="175"/>
        <v>202689500</v>
      </c>
      <c r="H8709" s="362"/>
      <c r="I8709" s="362"/>
      <c r="J8709" s="362"/>
    </row>
    <row r="8710" spans="1:10" x14ac:dyDescent="0.25">
      <c r="A8710" s="362"/>
      <c r="B8710" s="609">
        <v>44693</v>
      </c>
      <c r="C8710" s="362" t="s">
        <v>166</v>
      </c>
      <c r="D8710" s="560">
        <v>106255351</v>
      </c>
      <c r="E8710" s="560"/>
      <c r="F8710" s="560"/>
      <c r="G8710" s="560">
        <f t="shared" si="175"/>
        <v>106255351</v>
      </c>
      <c r="H8710" s="362"/>
      <c r="I8710" s="362"/>
      <c r="J8710" s="362"/>
    </row>
    <row r="8711" spans="1:10" x14ac:dyDescent="0.25">
      <c r="A8711" s="362"/>
      <c r="B8711" s="609">
        <v>44693</v>
      </c>
      <c r="C8711" s="362" t="s">
        <v>3435</v>
      </c>
      <c r="D8711" s="560">
        <v>68631212</v>
      </c>
      <c r="E8711" s="560"/>
      <c r="F8711" s="560"/>
      <c r="G8711" s="560">
        <f t="shared" si="175"/>
        <v>68631212</v>
      </c>
      <c r="H8711" s="362"/>
      <c r="I8711" s="362"/>
      <c r="J8711" s="362"/>
    </row>
    <row r="8712" spans="1:10" x14ac:dyDescent="0.25">
      <c r="A8712" s="362"/>
      <c r="B8712" s="609">
        <v>44693</v>
      </c>
      <c r="C8712" s="370" t="s">
        <v>85</v>
      </c>
      <c r="D8712" s="560">
        <v>16180500</v>
      </c>
      <c r="E8712" s="560"/>
      <c r="F8712" s="560"/>
      <c r="G8712" s="560">
        <f t="shared" si="175"/>
        <v>16180500</v>
      </c>
      <c r="H8712" s="362"/>
      <c r="I8712" s="362"/>
      <c r="J8712" s="362"/>
    </row>
    <row r="8713" spans="1:10" x14ac:dyDescent="0.25">
      <c r="A8713" s="530"/>
      <c r="B8713" s="530"/>
      <c r="C8713" s="530"/>
      <c r="D8713" s="562">
        <f>SUM(D8698:D8712)</f>
        <v>2927905064</v>
      </c>
      <c r="E8713" s="562">
        <f>SUM(E8698:E8712)</f>
        <v>0</v>
      </c>
      <c r="F8713" s="562">
        <f>SUM(F8698:F8712)</f>
        <v>0</v>
      </c>
      <c r="G8713" s="562">
        <f>SUM(G8698:G8712)</f>
        <v>2927905064</v>
      </c>
      <c r="H8713" s="530"/>
      <c r="I8713" s="530"/>
      <c r="J8713" s="530"/>
    </row>
    <row r="8714" spans="1:10" x14ac:dyDescent="0.25">
      <c r="A8714" s="362"/>
      <c r="B8714" s="609">
        <v>44694</v>
      </c>
      <c r="C8714" s="362" t="s">
        <v>86</v>
      </c>
      <c r="D8714" s="560">
        <v>105494738</v>
      </c>
      <c r="E8714" s="560"/>
      <c r="F8714" s="560"/>
      <c r="G8714" s="560">
        <f t="shared" si="175"/>
        <v>105494738</v>
      </c>
      <c r="H8714" s="362"/>
      <c r="I8714" s="362"/>
      <c r="J8714" s="362"/>
    </row>
    <row r="8715" spans="1:10" x14ac:dyDescent="0.25">
      <c r="A8715" s="362"/>
      <c r="B8715" s="609">
        <v>44694</v>
      </c>
      <c r="C8715" s="362" t="s">
        <v>87</v>
      </c>
      <c r="D8715" s="560">
        <v>592368647</v>
      </c>
      <c r="E8715" s="560"/>
      <c r="F8715" s="560"/>
      <c r="G8715" s="560">
        <f t="shared" si="175"/>
        <v>592368647</v>
      </c>
      <c r="H8715" s="362"/>
      <c r="I8715" s="362"/>
      <c r="J8715" s="362"/>
    </row>
    <row r="8716" spans="1:10" x14ac:dyDescent="0.25">
      <c r="A8716" s="362"/>
      <c r="B8716" s="609">
        <v>44694</v>
      </c>
      <c r="C8716" s="362" t="s">
        <v>88</v>
      </c>
      <c r="D8716" s="560">
        <v>312747615</v>
      </c>
      <c r="E8716" s="560"/>
      <c r="F8716" s="560"/>
      <c r="G8716" s="560">
        <f t="shared" si="175"/>
        <v>312747615</v>
      </c>
      <c r="H8716" s="362"/>
      <c r="I8716" s="362"/>
      <c r="J8716" s="362"/>
    </row>
    <row r="8717" spans="1:10" x14ac:dyDescent="0.25">
      <c r="A8717" s="362"/>
      <c r="B8717" s="609">
        <v>44694</v>
      </c>
      <c r="C8717" s="362" t="s">
        <v>82</v>
      </c>
      <c r="D8717" s="560">
        <v>119594778</v>
      </c>
      <c r="E8717" s="560"/>
      <c r="F8717" s="560"/>
      <c r="G8717" s="560">
        <f t="shared" si="175"/>
        <v>119594778</v>
      </c>
      <c r="H8717" s="362"/>
      <c r="I8717" s="362"/>
      <c r="J8717" s="362"/>
    </row>
    <row r="8718" spans="1:10" x14ac:dyDescent="0.25">
      <c r="A8718" s="362"/>
      <c r="B8718" s="609">
        <v>44694</v>
      </c>
      <c r="C8718" s="362" t="s">
        <v>80</v>
      </c>
      <c r="D8718" s="560">
        <v>282198376</v>
      </c>
      <c r="E8718" s="560"/>
      <c r="F8718" s="560"/>
      <c r="G8718" s="560">
        <f t="shared" si="175"/>
        <v>282198376</v>
      </c>
      <c r="H8718" s="362"/>
      <c r="I8718" s="362"/>
      <c r="J8718" s="362"/>
    </row>
    <row r="8719" spans="1:10" x14ac:dyDescent="0.25">
      <c r="A8719" s="362"/>
      <c r="B8719" s="609">
        <v>44694</v>
      </c>
      <c r="C8719" s="362" t="s">
        <v>83</v>
      </c>
      <c r="D8719" s="560">
        <v>346552039</v>
      </c>
      <c r="E8719" s="560"/>
      <c r="F8719" s="560"/>
      <c r="G8719" s="560">
        <f t="shared" si="175"/>
        <v>346552039</v>
      </c>
      <c r="H8719" s="362"/>
      <c r="I8719" s="362"/>
      <c r="J8719" s="362"/>
    </row>
    <row r="8720" spans="1:10" x14ac:dyDescent="0.25">
      <c r="A8720" s="362"/>
      <c r="B8720" s="609">
        <v>44694</v>
      </c>
      <c r="C8720" s="362" t="s">
        <v>78</v>
      </c>
      <c r="D8720" s="560">
        <v>117747641</v>
      </c>
      <c r="E8720" s="560"/>
      <c r="F8720" s="560"/>
      <c r="G8720" s="560">
        <f t="shared" si="175"/>
        <v>117747641</v>
      </c>
      <c r="H8720" s="362"/>
      <c r="I8720" s="362"/>
      <c r="J8720" s="362"/>
    </row>
    <row r="8721" spans="1:10" x14ac:dyDescent="0.25">
      <c r="A8721" s="362"/>
      <c r="B8721" s="609">
        <v>44694</v>
      </c>
      <c r="C8721" s="362" t="s">
        <v>141</v>
      </c>
      <c r="D8721" s="560">
        <v>89457077</v>
      </c>
      <c r="E8721" s="560"/>
      <c r="F8721" s="560"/>
      <c r="G8721" s="560">
        <f t="shared" si="175"/>
        <v>89457077</v>
      </c>
      <c r="H8721" s="362"/>
      <c r="I8721" s="362"/>
      <c r="J8721" s="362"/>
    </row>
    <row r="8722" spans="1:10" x14ac:dyDescent="0.25">
      <c r="A8722" s="362"/>
      <c r="B8722" s="609">
        <v>44694</v>
      </c>
      <c r="C8722" s="362" t="s">
        <v>89</v>
      </c>
      <c r="D8722" s="560">
        <v>293982800</v>
      </c>
      <c r="E8722" s="560"/>
      <c r="F8722" s="560"/>
      <c r="G8722" s="560">
        <f t="shared" si="175"/>
        <v>293982800</v>
      </c>
      <c r="H8722" s="362"/>
      <c r="I8722" s="362"/>
      <c r="J8722" s="362"/>
    </row>
    <row r="8723" spans="1:10" x14ac:dyDescent="0.25">
      <c r="A8723" s="362"/>
      <c r="B8723" s="609">
        <v>44694</v>
      </c>
      <c r="C8723" s="362" t="s">
        <v>81</v>
      </c>
      <c r="D8723" s="560">
        <v>325743219</v>
      </c>
      <c r="E8723" s="560"/>
      <c r="F8723" s="560"/>
      <c r="G8723" s="560">
        <f t="shared" si="175"/>
        <v>325743219</v>
      </c>
      <c r="H8723" s="362"/>
      <c r="I8723" s="362"/>
      <c r="J8723" s="362"/>
    </row>
    <row r="8724" spans="1:10" x14ac:dyDescent="0.25">
      <c r="A8724" s="362"/>
      <c r="B8724" s="609">
        <v>44694</v>
      </c>
      <c r="C8724" s="362" t="s">
        <v>84</v>
      </c>
      <c r="D8724" s="560">
        <v>346221509</v>
      </c>
      <c r="E8724" s="560"/>
      <c r="F8724" s="560"/>
      <c r="G8724" s="560">
        <f t="shared" si="175"/>
        <v>346221509</v>
      </c>
      <c r="H8724" s="362"/>
      <c r="I8724" s="362"/>
      <c r="J8724" s="362"/>
    </row>
    <row r="8725" spans="1:10" x14ac:dyDescent="0.25">
      <c r="A8725" s="362"/>
      <c r="B8725" s="609">
        <v>44694</v>
      </c>
      <c r="C8725" s="362" t="s">
        <v>4751</v>
      </c>
      <c r="D8725" s="560">
        <v>172945500</v>
      </c>
      <c r="E8725" s="560"/>
      <c r="F8725" s="560"/>
      <c r="G8725" s="560">
        <f t="shared" si="175"/>
        <v>172945500</v>
      </c>
      <c r="H8725" s="362"/>
      <c r="I8725" s="362"/>
      <c r="J8725" s="362"/>
    </row>
    <row r="8726" spans="1:10" x14ac:dyDescent="0.25">
      <c r="A8726" s="362"/>
      <c r="B8726" s="609">
        <v>44694</v>
      </c>
      <c r="C8726" s="362" t="s">
        <v>166</v>
      </c>
      <c r="D8726" s="560">
        <v>41612267</v>
      </c>
      <c r="E8726" s="560"/>
      <c r="F8726" s="560"/>
      <c r="G8726" s="560">
        <f t="shared" si="175"/>
        <v>41612267</v>
      </c>
      <c r="H8726" s="362"/>
      <c r="I8726" s="362"/>
      <c r="J8726" s="362"/>
    </row>
    <row r="8727" spans="1:10" x14ac:dyDescent="0.25">
      <c r="A8727" s="362"/>
      <c r="B8727" s="609">
        <v>44694</v>
      </c>
      <c r="C8727" s="362" t="s">
        <v>3435</v>
      </c>
      <c r="D8727" s="560">
        <v>180201980</v>
      </c>
      <c r="E8727" s="560"/>
      <c r="F8727" s="560"/>
      <c r="G8727" s="560">
        <f t="shared" si="175"/>
        <v>180201980</v>
      </c>
      <c r="H8727" s="362"/>
      <c r="I8727" s="362"/>
      <c r="J8727" s="362"/>
    </row>
    <row r="8728" spans="1:10" x14ac:dyDescent="0.25">
      <c r="A8728" s="362"/>
      <c r="B8728" s="609">
        <v>44694</v>
      </c>
      <c r="C8728" s="370" t="s">
        <v>85</v>
      </c>
      <c r="D8728" s="560">
        <v>10106600</v>
      </c>
      <c r="E8728" s="560"/>
      <c r="F8728" s="560"/>
      <c r="G8728" s="560">
        <f t="shared" si="175"/>
        <v>10106600</v>
      </c>
      <c r="H8728" s="362"/>
      <c r="I8728" s="362"/>
      <c r="J8728" s="362"/>
    </row>
    <row r="8729" spans="1:10" x14ac:dyDescent="0.25">
      <c r="A8729" s="530"/>
      <c r="B8729" s="530"/>
      <c r="C8729" s="530"/>
      <c r="D8729" s="562">
        <f>SUM(D8714:D8728)</f>
        <v>3336974786</v>
      </c>
      <c r="E8729" s="562">
        <f>SUM(E8714:E8728)</f>
        <v>0</v>
      </c>
      <c r="F8729" s="562">
        <f>SUM(F8714:F8728)</f>
        <v>0</v>
      </c>
      <c r="G8729" s="562">
        <f>SUM(G8714:G8728)</f>
        <v>3336974786</v>
      </c>
      <c r="H8729" s="530"/>
      <c r="I8729" s="530"/>
      <c r="J8729" s="530"/>
    </row>
    <row r="8730" spans="1:10" x14ac:dyDescent="0.25">
      <c r="A8730" s="362"/>
      <c r="B8730" s="609">
        <v>44695</v>
      </c>
      <c r="C8730" s="362" t="s">
        <v>86</v>
      </c>
      <c r="D8730" s="560">
        <v>108301310</v>
      </c>
      <c r="E8730" s="560"/>
      <c r="F8730" s="560"/>
      <c r="G8730" s="560">
        <f t="shared" si="175"/>
        <v>108301310</v>
      </c>
      <c r="H8730" s="362"/>
      <c r="I8730" s="362"/>
      <c r="J8730" s="362"/>
    </row>
    <row r="8731" spans="1:10" x14ac:dyDescent="0.25">
      <c r="A8731" s="362"/>
      <c r="B8731" s="609">
        <v>44695</v>
      </c>
      <c r="C8731" s="362" t="s">
        <v>87</v>
      </c>
      <c r="D8731" s="560">
        <v>311491748</v>
      </c>
      <c r="E8731" s="560"/>
      <c r="F8731" s="560"/>
      <c r="G8731" s="560">
        <f t="shared" si="175"/>
        <v>311491748</v>
      </c>
      <c r="H8731" s="362"/>
      <c r="I8731" s="362"/>
      <c r="J8731" s="362"/>
    </row>
    <row r="8732" spans="1:10" x14ac:dyDescent="0.25">
      <c r="A8732" s="362"/>
      <c r="B8732" s="609">
        <v>44695</v>
      </c>
      <c r="C8732" s="362" t="s">
        <v>88</v>
      </c>
      <c r="D8732" s="560">
        <v>511023639</v>
      </c>
      <c r="E8732" s="560"/>
      <c r="F8732" s="560"/>
      <c r="G8732" s="560">
        <f t="shared" si="175"/>
        <v>511023639</v>
      </c>
      <c r="H8732" s="362"/>
      <c r="I8732" s="362"/>
      <c r="J8732" s="362"/>
    </row>
    <row r="8733" spans="1:10" x14ac:dyDescent="0.25">
      <c r="A8733" s="362"/>
      <c r="B8733" s="609">
        <v>44695</v>
      </c>
      <c r="C8733" s="362" t="s">
        <v>82</v>
      </c>
      <c r="D8733" s="560">
        <v>159889057</v>
      </c>
      <c r="E8733" s="560"/>
      <c r="F8733" s="560"/>
      <c r="G8733" s="560">
        <f t="shared" si="175"/>
        <v>159889057</v>
      </c>
      <c r="H8733" s="362"/>
      <c r="I8733" s="362"/>
      <c r="J8733" s="362"/>
    </row>
    <row r="8734" spans="1:10" x14ac:dyDescent="0.25">
      <c r="A8734" s="362"/>
      <c r="B8734" s="609">
        <v>44695</v>
      </c>
      <c r="C8734" s="362" t="s">
        <v>80</v>
      </c>
      <c r="D8734" s="560">
        <v>586671200</v>
      </c>
      <c r="E8734" s="560"/>
      <c r="F8734" s="560"/>
      <c r="G8734" s="560">
        <f t="shared" si="175"/>
        <v>586671200</v>
      </c>
      <c r="H8734" s="362"/>
      <c r="I8734" s="362"/>
      <c r="J8734" s="362"/>
    </row>
    <row r="8735" spans="1:10" x14ac:dyDescent="0.25">
      <c r="A8735" s="362"/>
      <c r="B8735" s="609">
        <v>44695</v>
      </c>
      <c r="C8735" s="362" t="s">
        <v>83</v>
      </c>
      <c r="D8735" s="560">
        <v>415373327</v>
      </c>
      <c r="E8735" s="560"/>
      <c r="F8735" s="560"/>
      <c r="G8735" s="560">
        <f t="shared" si="175"/>
        <v>415373327</v>
      </c>
      <c r="H8735" s="362"/>
      <c r="I8735" s="362"/>
      <c r="J8735" s="362"/>
    </row>
    <row r="8736" spans="1:10" x14ac:dyDescent="0.25">
      <c r="A8736" s="362"/>
      <c r="B8736" s="609">
        <v>44695</v>
      </c>
      <c r="C8736" s="362" t="s">
        <v>78</v>
      </c>
      <c r="D8736" s="560">
        <v>203667539</v>
      </c>
      <c r="E8736" s="560"/>
      <c r="F8736" s="560"/>
      <c r="G8736" s="560">
        <f t="shared" si="175"/>
        <v>203667539</v>
      </c>
      <c r="H8736" s="362"/>
      <c r="I8736" s="362"/>
      <c r="J8736" s="362"/>
    </row>
    <row r="8737" spans="1:10" x14ac:dyDescent="0.25">
      <c r="A8737" s="362"/>
      <c r="B8737" s="609">
        <v>44695</v>
      </c>
      <c r="C8737" s="362" t="s">
        <v>141</v>
      </c>
      <c r="D8737" s="560">
        <v>73745910</v>
      </c>
      <c r="E8737" s="560"/>
      <c r="F8737" s="560"/>
      <c r="G8737" s="560">
        <f t="shared" si="175"/>
        <v>73745910</v>
      </c>
      <c r="H8737" s="362"/>
      <c r="I8737" s="362"/>
      <c r="J8737" s="362"/>
    </row>
    <row r="8738" spans="1:10" x14ac:dyDescent="0.25">
      <c r="A8738" s="362"/>
      <c r="B8738" s="609">
        <v>44695</v>
      </c>
      <c r="C8738" s="362" t="s">
        <v>89</v>
      </c>
      <c r="D8738" s="560">
        <v>157922700</v>
      </c>
      <c r="E8738" s="560"/>
      <c r="F8738" s="560"/>
      <c r="G8738" s="560">
        <f t="shared" si="175"/>
        <v>157922700</v>
      </c>
      <c r="H8738" s="362"/>
      <c r="I8738" s="362"/>
      <c r="J8738" s="362"/>
    </row>
    <row r="8739" spans="1:10" x14ac:dyDescent="0.25">
      <c r="A8739" s="362"/>
      <c r="B8739" s="609">
        <v>44695</v>
      </c>
      <c r="C8739" s="362" t="s">
        <v>81</v>
      </c>
      <c r="D8739" s="560">
        <v>244599059</v>
      </c>
      <c r="E8739" s="560"/>
      <c r="F8739" s="560"/>
      <c r="G8739" s="560">
        <f t="shared" si="175"/>
        <v>244599059</v>
      </c>
      <c r="H8739" s="362"/>
      <c r="I8739" s="362"/>
      <c r="J8739" s="362"/>
    </row>
    <row r="8740" spans="1:10" x14ac:dyDescent="0.25">
      <c r="A8740" s="362"/>
      <c r="B8740" s="609">
        <v>44695</v>
      </c>
      <c r="C8740" s="362" t="s">
        <v>84</v>
      </c>
      <c r="D8740" s="560">
        <v>335779090</v>
      </c>
      <c r="E8740" s="560"/>
      <c r="F8740" s="560"/>
      <c r="G8740" s="560">
        <f t="shared" si="175"/>
        <v>335779090</v>
      </c>
      <c r="H8740" s="362"/>
      <c r="I8740" s="362"/>
      <c r="J8740" s="362"/>
    </row>
    <row r="8741" spans="1:10" x14ac:dyDescent="0.25">
      <c r="A8741" s="362"/>
      <c r="B8741" s="609">
        <v>44695</v>
      </c>
      <c r="C8741" s="362" t="s">
        <v>4751</v>
      </c>
      <c r="D8741" s="560">
        <v>357365200</v>
      </c>
      <c r="E8741" s="560"/>
      <c r="F8741" s="560"/>
      <c r="G8741" s="560">
        <f t="shared" si="175"/>
        <v>357365200</v>
      </c>
      <c r="H8741" s="362"/>
      <c r="I8741" s="362"/>
      <c r="J8741" s="362"/>
    </row>
    <row r="8742" spans="1:10" x14ac:dyDescent="0.25">
      <c r="A8742" s="362"/>
      <c r="B8742" s="609">
        <v>44695</v>
      </c>
      <c r="C8742" s="362" t="s">
        <v>166</v>
      </c>
      <c r="D8742" s="560"/>
      <c r="E8742" s="560"/>
      <c r="F8742" s="560"/>
      <c r="G8742" s="560">
        <f t="shared" si="175"/>
        <v>0</v>
      </c>
      <c r="H8742" s="362"/>
      <c r="I8742" s="362"/>
      <c r="J8742" s="362"/>
    </row>
    <row r="8743" spans="1:10" x14ac:dyDescent="0.25">
      <c r="A8743" s="362"/>
      <c r="B8743" s="609">
        <v>44695</v>
      </c>
      <c r="C8743" s="362" t="s">
        <v>3435</v>
      </c>
      <c r="D8743" s="560"/>
      <c r="E8743" s="560"/>
      <c r="F8743" s="560"/>
      <c r="G8743" s="560">
        <f t="shared" si="175"/>
        <v>0</v>
      </c>
      <c r="H8743" s="362"/>
      <c r="I8743" s="362"/>
      <c r="J8743" s="362"/>
    </row>
    <row r="8744" spans="1:10" x14ac:dyDescent="0.25">
      <c r="A8744" s="362"/>
      <c r="B8744" s="609">
        <v>44695</v>
      </c>
      <c r="C8744" s="370" t="s">
        <v>85</v>
      </c>
      <c r="D8744" s="560">
        <v>78692900</v>
      </c>
      <c r="E8744" s="560"/>
      <c r="F8744" s="560"/>
      <c r="G8744" s="560">
        <f t="shared" si="175"/>
        <v>78692900</v>
      </c>
      <c r="H8744" s="362"/>
      <c r="I8744" s="362"/>
      <c r="J8744" s="362"/>
    </row>
    <row r="8745" spans="1:10" x14ac:dyDescent="0.25">
      <c r="A8745" s="530"/>
      <c r="B8745" s="530"/>
      <c r="C8745" s="530"/>
      <c r="D8745" s="562">
        <f>SUM(D8730:D8744)</f>
        <v>3544522679</v>
      </c>
      <c r="E8745" s="562">
        <f>SUM(E8730:E8744)</f>
        <v>0</v>
      </c>
      <c r="F8745" s="562">
        <f>SUM(F8730:F8744)</f>
        <v>0</v>
      </c>
      <c r="G8745" s="562">
        <f>SUM(G8730:G8744)</f>
        <v>3544522679</v>
      </c>
      <c r="H8745" s="530"/>
      <c r="I8745" s="530"/>
      <c r="J8745" s="530"/>
    </row>
    <row r="8746" spans="1:10" x14ac:dyDescent="0.25">
      <c r="A8746" s="362"/>
      <c r="B8746" s="609">
        <v>44697</v>
      </c>
      <c r="C8746" s="362" t="s">
        <v>86</v>
      </c>
      <c r="D8746" s="560"/>
      <c r="E8746" s="560"/>
      <c r="F8746" s="560"/>
      <c r="G8746" s="560">
        <f t="shared" si="175"/>
        <v>0</v>
      </c>
      <c r="H8746" s="362"/>
      <c r="I8746" s="362"/>
      <c r="J8746" s="362"/>
    </row>
    <row r="8747" spans="1:10" x14ac:dyDescent="0.25">
      <c r="A8747" s="362"/>
      <c r="B8747" s="609">
        <v>44697</v>
      </c>
      <c r="C8747" s="362" t="s">
        <v>87</v>
      </c>
      <c r="D8747" s="560"/>
      <c r="E8747" s="560"/>
      <c r="F8747" s="560"/>
      <c r="G8747" s="560">
        <f t="shared" si="175"/>
        <v>0</v>
      </c>
      <c r="H8747" s="362"/>
      <c r="I8747" s="362"/>
      <c r="J8747" s="362"/>
    </row>
    <row r="8748" spans="1:10" x14ac:dyDescent="0.25">
      <c r="A8748" s="362"/>
      <c r="B8748" s="609">
        <v>44697</v>
      </c>
      <c r="C8748" s="362" t="s">
        <v>88</v>
      </c>
      <c r="D8748" s="560"/>
      <c r="E8748" s="560"/>
      <c r="F8748" s="560"/>
      <c r="G8748" s="560">
        <f t="shared" ref="G8748:G8760" si="176">D8748+E8748-F8748</f>
        <v>0</v>
      </c>
      <c r="H8748" s="362"/>
      <c r="I8748" s="362"/>
      <c r="J8748" s="362"/>
    </row>
    <row r="8749" spans="1:10" x14ac:dyDescent="0.25">
      <c r="A8749" s="362"/>
      <c r="B8749" s="609">
        <v>44697</v>
      </c>
      <c r="C8749" s="362" t="s">
        <v>82</v>
      </c>
      <c r="D8749" s="560"/>
      <c r="E8749" s="560"/>
      <c r="F8749" s="560"/>
      <c r="G8749" s="560">
        <f t="shared" si="176"/>
        <v>0</v>
      </c>
      <c r="H8749" s="362"/>
      <c r="I8749" s="362"/>
      <c r="J8749" s="362"/>
    </row>
    <row r="8750" spans="1:10" x14ac:dyDescent="0.25">
      <c r="A8750" s="362"/>
      <c r="B8750" s="609">
        <v>44697</v>
      </c>
      <c r="C8750" s="362" t="s">
        <v>80</v>
      </c>
      <c r="D8750" s="560"/>
      <c r="E8750" s="560"/>
      <c r="F8750" s="560"/>
      <c r="G8750" s="560">
        <f t="shared" si="176"/>
        <v>0</v>
      </c>
      <c r="H8750" s="362"/>
      <c r="I8750" s="362"/>
      <c r="J8750" s="362"/>
    </row>
    <row r="8751" spans="1:10" x14ac:dyDescent="0.25">
      <c r="A8751" s="362"/>
      <c r="B8751" s="609">
        <v>44697</v>
      </c>
      <c r="C8751" s="362" t="s">
        <v>83</v>
      </c>
      <c r="D8751" s="560"/>
      <c r="E8751" s="560"/>
      <c r="F8751" s="560"/>
      <c r="G8751" s="560">
        <f t="shared" si="176"/>
        <v>0</v>
      </c>
      <c r="H8751" s="362"/>
      <c r="I8751" s="362"/>
      <c r="J8751" s="362"/>
    </row>
    <row r="8752" spans="1:10" x14ac:dyDescent="0.25">
      <c r="A8752" s="362"/>
      <c r="B8752" s="609">
        <v>44697</v>
      </c>
      <c r="C8752" s="362" t="s">
        <v>78</v>
      </c>
      <c r="D8752" s="560"/>
      <c r="E8752" s="560"/>
      <c r="F8752" s="560"/>
      <c r="G8752" s="560">
        <f t="shared" si="176"/>
        <v>0</v>
      </c>
      <c r="H8752" s="362"/>
      <c r="I8752" s="362"/>
      <c r="J8752" s="362"/>
    </row>
    <row r="8753" spans="1:10" x14ac:dyDescent="0.25">
      <c r="A8753" s="362"/>
      <c r="B8753" s="609">
        <v>44697</v>
      </c>
      <c r="C8753" s="362" t="s">
        <v>141</v>
      </c>
      <c r="D8753" s="560"/>
      <c r="E8753" s="560"/>
      <c r="F8753" s="560"/>
      <c r="G8753" s="560">
        <f t="shared" si="176"/>
        <v>0</v>
      </c>
      <c r="H8753" s="362"/>
      <c r="I8753" s="362"/>
      <c r="J8753" s="362"/>
    </row>
    <row r="8754" spans="1:10" x14ac:dyDescent="0.25">
      <c r="A8754" s="362"/>
      <c r="B8754" s="609">
        <v>44697</v>
      </c>
      <c r="C8754" s="362" t="s">
        <v>89</v>
      </c>
      <c r="D8754" s="560"/>
      <c r="E8754" s="560"/>
      <c r="F8754" s="560"/>
      <c r="G8754" s="560">
        <f t="shared" si="176"/>
        <v>0</v>
      </c>
      <c r="H8754" s="362"/>
      <c r="I8754" s="362"/>
      <c r="J8754" s="362"/>
    </row>
    <row r="8755" spans="1:10" x14ac:dyDescent="0.25">
      <c r="A8755" s="362"/>
      <c r="B8755" s="609">
        <v>44697</v>
      </c>
      <c r="C8755" s="362" t="s">
        <v>81</v>
      </c>
      <c r="D8755" s="560"/>
      <c r="E8755" s="560"/>
      <c r="F8755" s="560"/>
      <c r="G8755" s="560">
        <f t="shared" si="176"/>
        <v>0</v>
      </c>
      <c r="H8755" s="362"/>
      <c r="I8755" s="362"/>
      <c r="J8755" s="362"/>
    </row>
    <row r="8756" spans="1:10" x14ac:dyDescent="0.25">
      <c r="A8756" s="362"/>
      <c r="B8756" s="609">
        <v>44697</v>
      </c>
      <c r="C8756" s="362" t="s">
        <v>84</v>
      </c>
      <c r="D8756" s="560"/>
      <c r="E8756" s="560"/>
      <c r="F8756" s="560"/>
      <c r="G8756" s="560">
        <f t="shared" si="176"/>
        <v>0</v>
      </c>
      <c r="H8756" s="362"/>
      <c r="I8756" s="362"/>
      <c r="J8756" s="362"/>
    </row>
    <row r="8757" spans="1:10" x14ac:dyDescent="0.25">
      <c r="A8757" s="362"/>
      <c r="B8757" s="609">
        <v>44697</v>
      </c>
      <c r="C8757" s="362" t="s">
        <v>4751</v>
      </c>
      <c r="D8757" s="560"/>
      <c r="E8757" s="560"/>
      <c r="F8757" s="560"/>
      <c r="G8757" s="560">
        <f t="shared" si="176"/>
        <v>0</v>
      </c>
      <c r="H8757" s="362"/>
      <c r="I8757" s="362"/>
      <c r="J8757" s="362"/>
    </row>
    <row r="8758" spans="1:10" x14ac:dyDescent="0.25">
      <c r="A8758" s="362"/>
      <c r="B8758" s="609">
        <v>44697</v>
      </c>
      <c r="C8758" s="362" t="s">
        <v>166</v>
      </c>
      <c r="D8758" s="560"/>
      <c r="E8758" s="560"/>
      <c r="F8758" s="560"/>
      <c r="G8758" s="560">
        <f t="shared" si="176"/>
        <v>0</v>
      </c>
      <c r="H8758" s="362"/>
      <c r="I8758" s="362"/>
      <c r="J8758" s="362"/>
    </row>
    <row r="8759" spans="1:10" x14ac:dyDescent="0.25">
      <c r="A8759" s="362"/>
      <c r="B8759" s="609">
        <v>44697</v>
      </c>
      <c r="C8759" s="362" t="s">
        <v>3435</v>
      </c>
      <c r="D8759" s="560"/>
      <c r="E8759" s="560"/>
      <c r="F8759" s="560"/>
      <c r="G8759" s="560">
        <f t="shared" si="176"/>
        <v>0</v>
      </c>
      <c r="H8759" s="362"/>
      <c r="I8759" s="362"/>
      <c r="J8759" s="362"/>
    </row>
    <row r="8760" spans="1:10" x14ac:dyDescent="0.25">
      <c r="A8760" s="362"/>
      <c r="B8760" s="609">
        <v>44697</v>
      </c>
      <c r="C8760" s="370" t="s">
        <v>85</v>
      </c>
      <c r="D8760" s="560"/>
      <c r="E8760" s="560"/>
      <c r="F8760" s="560"/>
      <c r="G8760" s="560">
        <f t="shared" si="176"/>
        <v>0</v>
      </c>
      <c r="H8760" s="362"/>
      <c r="I8760" s="362"/>
      <c r="J8760" s="362"/>
    </row>
    <row r="8761" spans="1:10" x14ac:dyDescent="0.25">
      <c r="A8761" s="530"/>
      <c r="B8761" s="530"/>
      <c r="C8761" s="530"/>
      <c r="D8761" s="562">
        <f>SUM(D8746:D8760)</f>
        <v>0</v>
      </c>
      <c r="E8761" s="562">
        <f>SUM(E8746:E8760)</f>
        <v>0</v>
      </c>
      <c r="F8761" s="562">
        <f>SUM(F8746:F8760)</f>
        <v>0</v>
      </c>
      <c r="G8761" s="562">
        <f>SUM(G8746:G8760)</f>
        <v>0</v>
      </c>
      <c r="H8761" s="530"/>
      <c r="I8761" s="530"/>
      <c r="J8761" s="530"/>
    </row>
    <row r="8762" spans="1:10" x14ac:dyDescent="0.25">
      <c r="A8762" s="362"/>
      <c r="B8762" s="609">
        <v>44698</v>
      </c>
      <c r="C8762" s="362" t="s">
        <v>86</v>
      </c>
      <c r="D8762" s="560"/>
      <c r="E8762" s="560"/>
      <c r="F8762" s="560"/>
      <c r="G8762" s="560"/>
      <c r="H8762" s="362"/>
      <c r="I8762" s="362"/>
      <c r="J8762" s="362"/>
    </row>
    <row r="8763" spans="1:10" x14ac:dyDescent="0.25">
      <c r="A8763" s="362"/>
      <c r="B8763" s="609">
        <v>44698</v>
      </c>
      <c r="C8763" s="362" t="s">
        <v>87</v>
      </c>
      <c r="D8763" s="560">
        <v>160010065</v>
      </c>
      <c r="E8763" s="560"/>
      <c r="F8763" s="560"/>
      <c r="G8763" s="560"/>
      <c r="H8763" s="362"/>
      <c r="I8763" s="362"/>
      <c r="J8763" s="362"/>
    </row>
    <row r="8764" spans="1:10" x14ac:dyDescent="0.25">
      <c r="A8764" s="362"/>
      <c r="B8764" s="609">
        <v>44698</v>
      </c>
      <c r="C8764" s="362" t="s">
        <v>88</v>
      </c>
      <c r="D8764" s="560"/>
      <c r="E8764" s="560"/>
      <c r="F8764" s="560"/>
      <c r="G8764" s="560"/>
      <c r="H8764" s="362"/>
      <c r="I8764" s="362"/>
      <c r="J8764" s="362"/>
    </row>
    <row r="8765" spans="1:10" x14ac:dyDescent="0.25">
      <c r="A8765" s="362"/>
      <c r="B8765" s="609">
        <v>44698</v>
      </c>
      <c r="C8765" s="362" t="s">
        <v>82</v>
      </c>
      <c r="D8765" s="560"/>
      <c r="E8765" s="560"/>
      <c r="F8765" s="560"/>
      <c r="G8765" s="560"/>
      <c r="H8765" s="362"/>
      <c r="I8765" s="362"/>
      <c r="J8765" s="362"/>
    </row>
    <row r="8766" spans="1:10" x14ac:dyDescent="0.25">
      <c r="A8766" s="362"/>
      <c r="B8766" s="609">
        <v>44698</v>
      </c>
      <c r="C8766" s="362" t="s">
        <v>80</v>
      </c>
      <c r="D8766" s="560"/>
      <c r="E8766" s="560"/>
      <c r="F8766" s="560"/>
      <c r="G8766" s="560"/>
      <c r="H8766" s="362"/>
      <c r="I8766" s="362"/>
      <c r="J8766" s="362"/>
    </row>
    <row r="8767" spans="1:10" x14ac:dyDescent="0.25">
      <c r="A8767" s="362"/>
      <c r="B8767" s="609">
        <v>44698</v>
      </c>
      <c r="C8767" s="362" t="s">
        <v>83</v>
      </c>
      <c r="D8767" s="560"/>
      <c r="E8767" s="560"/>
      <c r="F8767" s="560"/>
      <c r="G8767" s="560"/>
      <c r="H8767" s="362"/>
      <c r="I8767" s="362"/>
      <c r="J8767" s="362"/>
    </row>
    <row r="8768" spans="1:10" x14ac:dyDescent="0.25">
      <c r="A8768" s="362"/>
      <c r="B8768" s="609">
        <v>44698</v>
      </c>
      <c r="C8768" s="362" t="s">
        <v>78</v>
      </c>
      <c r="D8768" s="560"/>
      <c r="E8768" s="560"/>
      <c r="F8768" s="560"/>
      <c r="G8768" s="560"/>
      <c r="H8768" s="362"/>
      <c r="I8768" s="362"/>
      <c r="J8768" s="362"/>
    </row>
    <row r="8769" spans="1:10" x14ac:dyDescent="0.25">
      <c r="A8769" s="362"/>
      <c r="B8769" s="609">
        <v>44698</v>
      </c>
      <c r="C8769" s="362" t="s">
        <v>141</v>
      </c>
      <c r="D8769" s="560"/>
      <c r="E8769" s="560"/>
      <c r="F8769" s="560"/>
      <c r="G8769" s="560"/>
      <c r="H8769" s="362"/>
      <c r="I8769" s="362"/>
      <c r="J8769" s="362"/>
    </row>
    <row r="8770" spans="1:10" x14ac:dyDescent="0.25">
      <c r="A8770" s="362"/>
      <c r="B8770" s="609">
        <v>44698</v>
      </c>
      <c r="C8770" s="362" t="s">
        <v>89</v>
      </c>
      <c r="D8770" s="560"/>
      <c r="E8770" s="560"/>
      <c r="F8770" s="560"/>
      <c r="G8770" s="560"/>
      <c r="H8770" s="362"/>
      <c r="I8770" s="362"/>
      <c r="J8770" s="362"/>
    </row>
    <row r="8771" spans="1:10" x14ac:dyDescent="0.25">
      <c r="A8771" s="362"/>
      <c r="B8771" s="609">
        <v>44698</v>
      </c>
      <c r="C8771" s="362" t="s">
        <v>81</v>
      </c>
      <c r="D8771" s="560"/>
      <c r="E8771" s="560"/>
      <c r="F8771" s="560"/>
      <c r="G8771" s="560"/>
      <c r="H8771" s="362"/>
      <c r="I8771" s="362"/>
      <c r="J8771" s="362"/>
    </row>
    <row r="8772" spans="1:10" x14ac:dyDescent="0.25">
      <c r="A8772" s="362"/>
      <c r="B8772" s="609">
        <v>44698</v>
      </c>
      <c r="C8772" s="362" t="s">
        <v>84</v>
      </c>
      <c r="D8772" s="560"/>
      <c r="E8772" s="560"/>
      <c r="F8772" s="560"/>
      <c r="G8772" s="560"/>
      <c r="H8772" s="362"/>
      <c r="I8772" s="362"/>
      <c r="J8772" s="362"/>
    </row>
    <row r="8773" spans="1:10" x14ac:dyDescent="0.25">
      <c r="A8773" s="362"/>
      <c r="B8773" s="609">
        <v>44698</v>
      </c>
      <c r="C8773" s="362" t="s">
        <v>4751</v>
      </c>
      <c r="D8773" s="560"/>
      <c r="E8773" s="560"/>
      <c r="F8773" s="560"/>
      <c r="G8773" s="560"/>
      <c r="H8773" s="362"/>
      <c r="I8773" s="362"/>
      <c r="J8773" s="362"/>
    </row>
    <row r="8774" spans="1:10" x14ac:dyDescent="0.25">
      <c r="A8774" s="362"/>
      <c r="B8774" s="609">
        <v>44698</v>
      </c>
      <c r="C8774" s="362" t="s">
        <v>166</v>
      </c>
      <c r="D8774" s="560"/>
      <c r="E8774" s="560"/>
      <c r="F8774" s="560"/>
      <c r="G8774" s="560"/>
      <c r="H8774" s="362"/>
      <c r="I8774" s="362"/>
      <c r="J8774" s="362"/>
    </row>
    <row r="8775" spans="1:10" x14ac:dyDescent="0.25">
      <c r="A8775" s="362"/>
      <c r="B8775" s="609">
        <v>44698</v>
      </c>
      <c r="C8775" s="362" t="s">
        <v>3435</v>
      </c>
      <c r="D8775" s="560"/>
      <c r="E8775" s="560"/>
      <c r="F8775" s="560"/>
      <c r="G8775" s="560"/>
      <c r="H8775" s="362"/>
      <c r="I8775" s="362"/>
      <c r="J8775" s="362"/>
    </row>
    <row r="8776" spans="1:10" x14ac:dyDescent="0.25">
      <c r="A8776" s="362"/>
      <c r="B8776" s="609">
        <v>44698</v>
      </c>
      <c r="C8776" s="370" t="s">
        <v>85</v>
      </c>
      <c r="D8776" s="560"/>
      <c r="E8776" s="560"/>
      <c r="F8776" s="560"/>
      <c r="G8776" s="560"/>
      <c r="H8776" s="362"/>
      <c r="I8776" s="362"/>
      <c r="J8776" s="362"/>
    </row>
    <row r="8777" spans="1:10" x14ac:dyDescent="0.25">
      <c r="A8777" s="530"/>
      <c r="B8777" s="530"/>
      <c r="C8777" s="530"/>
      <c r="D8777" s="562"/>
      <c r="E8777" s="562"/>
      <c r="F8777" s="562"/>
      <c r="G8777" s="562"/>
      <c r="H8777" s="530"/>
      <c r="I8777" s="530"/>
      <c r="J8777" s="530"/>
    </row>
    <row r="8778" spans="1:10" x14ac:dyDescent="0.25">
      <c r="A8778" s="362"/>
      <c r="B8778" s="609">
        <v>44699</v>
      </c>
      <c r="C8778" s="362" t="s">
        <v>86</v>
      </c>
      <c r="D8778" s="560">
        <v>208896182</v>
      </c>
      <c r="E8778" s="560"/>
      <c r="F8778" s="560"/>
      <c r="G8778" s="560">
        <f t="shared" ref="G8778:G8843" si="177">D8778+E8778-F8778</f>
        <v>208896182</v>
      </c>
      <c r="H8778" s="362"/>
      <c r="I8778" s="362"/>
      <c r="J8778" s="362"/>
    </row>
    <row r="8779" spans="1:10" x14ac:dyDescent="0.25">
      <c r="A8779" s="362"/>
      <c r="B8779" s="609">
        <v>44699</v>
      </c>
      <c r="C8779" s="362" t="s">
        <v>87</v>
      </c>
      <c r="D8779" s="560">
        <v>207575470</v>
      </c>
      <c r="E8779" s="560"/>
      <c r="F8779" s="560"/>
      <c r="G8779" s="560">
        <f t="shared" si="177"/>
        <v>207575470</v>
      </c>
      <c r="H8779" s="362"/>
      <c r="I8779" s="362"/>
      <c r="J8779" s="362"/>
    </row>
    <row r="8780" spans="1:10" x14ac:dyDescent="0.25">
      <c r="A8780" s="362"/>
      <c r="B8780" s="609">
        <v>44699</v>
      </c>
      <c r="C8780" s="362" t="s">
        <v>88</v>
      </c>
      <c r="D8780" s="560">
        <v>201417739</v>
      </c>
      <c r="E8780" s="560"/>
      <c r="F8780" s="560"/>
      <c r="G8780" s="560">
        <f t="shared" si="177"/>
        <v>201417739</v>
      </c>
      <c r="H8780" s="362"/>
      <c r="I8780" s="362"/>
      <c r="J8780" s="362"/>
    </row>
    <row r="8781" spans="1:10" x14ac:dyDescent="0.25">
      <c r="A8781" s="362"/>
      <c r="B8781" s="609">
        <v>44699</v>
      </c>
      <c r="C8781" s="362" t="s">
        <v>82</v>
      </c>
      <c r="D8781" s="560">
        <v>66795582</v>
      </c>
      <c r="E8781" s="560"/>
      <c r="F8781" s="560"/>
      <c r="G8781" s="560">
        <f t="shared" si="177"/>
        <v>66795582</v>
      </c>
      <c r="H8781" s="362"/>
      <c r="I8781" s="362"/>
      <c r="J8781" s="362"/>
    </row>
    <row r="8782" spans="1:10" x14ac:dyDescent="0.25">
      <c r="A8782" s="362"/>
      <c r="B8782" s="609">
        <v>44699</v>
      </c>
      <c r="C8782" s="362" t="s">
        <v>80</v>
      </c>
      <c r="D8782" s="560">
        <v>314089100</v>
      </c>
      <c r="E8782" s="560"/>
      <c r="F8782" s="560"/>
      <c r="G8782" s="560">
        <f t="shared" si="177"/>
        <v>314089100</v>
      </c>
      <c r="H8782" s="362"/>
      <c r="I8782" s="362"/>
      <c r="J8782" s="362"/>
    </row>
    <row r="8783" spans="1:10" x14ac:dyDescent="0.25">
      <c r="A8783" s="362"/>
      <c r="B8783" s="609">
        <v>44699</v>
      </c>
      <c r="C8783" s="362" t="s">
        <v>83</v>
      </c>
      <c r="D8783" s="560">
        <v>256855709</v>
      </c>
      <c r="E8783" s="560"/>
      <c r="F8783" s="560"/>
      <c r="G8783" s="560">
        <f t="shared" si="177"/>
        <v>256855709</v>
      </c>
      <c r="H8783" s="362"/>
      <c r="I8783" s="362"/>
      <c r="J8783" s="362"/>
    </row>
    <row r="8784" spans="1:10" x14ac:dyDescent="0.25">
      <c r="A8784" s="362"/>
      <c r="B8784" s="609">
        <v>44699</v>
      </c>
      <c r="C8784" s="362" t="s">
        <v>78</v>
      </c>
      <c r="D8784" s="560">
        <v>88964773</v>
      </c>
      <c r="E8784" s="560"/>
      <c r="F8784" s="560"/>
      <c r="G8784" s="560">
        <f t="shared" si="177"/>
        <v>88964773</v>
      </c>
      <c r="H8784" s="362"/>
      <c r="I8784" s="362"/>
      <c r="J8784" s="362"/>
    </row>
    <row r="8785" spans="1:10" x14ac:dyDescent="0.25">
      <c r="A8785" s="362"/>
      <c r="B8785" s="609">
        <v>44699</v>
      </c>
      <c r="C8785" s="362" t="s">
        <v>141</v>
      </c>
      <c r="D8785" s="560">
        <v>114466381</v>
      </c>
      <c r="E8785" s="560"/>
      <c r="F8785" s="560"/>
      <c r="G8785" s="560">
        <f t="shared" si="177"/>
        <v>114466381</v>
      </c>
      <c r="H8785" s="362"/>
      <c r="I8785" s="362"/>
      <c r="J8785" s="362"/>
    </row>
    <row r="8786" spans="1:10" x14ac:dyDescent="0.25">
      <c r="A8786" s="362"/>
      <c r="B8786" s="609">
        <v>44699</v>
      </c>
      <c r="C8786" s="362" t="s">
        <v>89</v>
      </c>
      <c r="D8786" s="560">
        <v>222808800</v>
      </c>
      <c r="E8786" s="560"/>
      <c r="F8786" s="560"/>
      <c r="G8786" s="560">
        <f t="shared" si="177"/>
        <v>222808800</v>
      </c>
      <c r="H8786" s="362"/>
      <c r="I8786" s="362"/>
      <c r="J8786" s="362"/>
    </row>
    <row r="8787" spans="1:10" x14ac:dyDescent="0.25">
      <c r="A8787" s="362"/>
      <c r="B8787" s="609">
        <v>44699</v>
      </c>
      <c r="C8787" s="362" t="s">
        <v>81</v>
      </c>
      <c r="D8787" s="560">
        <v>113204009</v>
      </c>
      <c r="E8787" s="560"/>
      <c r="F8787" s="560"/>
      <c r="G8787" s="560">
        <f t="shared" si="177"/>
        <v>113204009</v>
      </c>
      <c r="H8787" s="362"/>
      <c r="I8787" s="362"/>
      <c r="J8787" s="362"/>
    </row>
    <row r="8788" spans="1:10" x14ac:dyDescent="0.25">
      <c r="A8788" s="362"/>
      <c r="B8788" s="609">
        <v>44699</v>
      </c>
      <c r="C8788" s="362" t="s">
        <v>84</v>
      </c>
      <c r="D8788" s="560">
        <v>373607794</v>
      </c>
      <c r="E8788" s="560"/>
      <c r="F8788" s="560"/>
      <c r="G8788" s="560">
        <f t="shared" si="177"/>
        <v>373607794</v>
      </c>
      <c r="H8788" s="362"/>
      <c r="I8788" s="362"/>
      <c r="J8788" s="362"/>
    </row>
    <row r="8789" spans="1:10" x14ac:dyDescent="0.25">
      <c r="A8789" s="362"/>
      <c r="B8789" s="609">
        <v>44699</v>
      </c>
      <c r="C8789" s="362" t="s">
        <v>4751</v>
      </c>
      <c r="D8789" s="560">
        <v>232371900</v>
      </c>
      <c r="E8789" s="560"/>
      <c r="F8789" s="560"/>
      <c r="G8789" s="560">
        <f t="shared" si="177"/>
        <v>232371900</v>
      </c>
      <c r="H8789" s="362"/>
      <c r="I8789" s="362"/>
      <c r="J8789" s="362"/>
    </row>
    <row r="8790" spans="1:10" x14ac:dyDescent="0.25">
      <c r="A8790" s="362"/>
      <c r="B8790" s="609">
        <v>44699</v>
      </c>
      <c r="C8790" s="362" t="s">
        <v>166</v>
      </c>
      <c r="D8790" s="560">
        <v>146971516</v>
      </c>
      <c r="E8790" s="560"/>
      <c r="F8790" s="560"/>
      <c r="G8790" s="560">
        <f t="shared" si="177"/>
        <v>146971516</v>
      </c>
      <c r="H8790" s="362"/>
      <c r="I8790" s="362"/>
      <c r="J8790" s="362"/>
    </row>
    <row r="8791" spans="1:10" x14ac:dyDescent="0.25">
      <c r="A8791" s="362"/>
      <c r="B8791" s="609">
        <v>44699</v>
      </c>
      <c r="C8791" s="362" t="s">
        <v>3435</v>
      </c>
      <c r="D8791" s="560">
        <v>55796046</v>
      </c>
      <c r="E8791" s="560"/>
      <c r="F8791" s="560"/>
      <c r="G8791" s="560">
        <f t="shared" si="177"/>
        <v>55796046</v>
      </c>
      <c r="H8791" s="362"/>
      <c r="I8791" s="362"/>
      <c r="J8791" s="362"/>
    </row>
    <row r="8792" spans="1:10" x14ac:dyDescent="0.25">
      <c r="A8792" s="362"/>
      <c r="B8792" s="609">
        <v>44699</v>
      </c>
      <c r="C8792" s="370" t="s">
        <v>85</v>
      </c>
      <c r="D8792" s="560">
        <v>91155200</v>
      </c>
      <c r="E8792" s="560"/>
      <c r="F8792" s="560"/>
      <c r="G8792" s="560">
        <f t="shared" si="177"/>
        <v>91155200</v>
      </c>
      <c r="H8792" s="362"/>
      <c r="I8792" s="362"/>
      <c r="J8792" s="362"/>
    </row>
    <row r="8793" spans="1:10" x14ac:dyDescent="0.25">
      <c r="A8793" s="530"/>
      <c r="B8793" s="530"/>
      <c r="C8793" s="530"/>
      <c r="D8793" s="562">
        <f>SUM(D8778:D8792)</f>
        <v>2694976201</v>
      </c>
      <c r="E8793" s="562">
        <f>SUM(E8778:E8792)</f>
        <v>0</v>
      </c>
      <c r="F8793" s="562">
        <f>SUM(F8778:F8792)</f>
        <v>0</v>
      </c>
      <c r="G8793" s="562">
        <f>SUM(G8778:G8792)</f>
        <v>2694976201</v>
      </c>
      <c r="H8793" s="530"/>
      <c r="I8793" s="530"/>
      <c r="J8793" s="530"/>
    </row>
    <row r="8794" spans="1:10" x14ac:dyDescent="0.25">
      <c r="A8794" s="362"/>
      <c r="B8794" s="609">
        <v>44700</v>
      </c>
      <c r="C8794" s="362" t="s">
        <v>86</v>
      </c>
      <c r="D8794" s="560">
        <v>58475051</v>
      </c>
      <c r="E8794" s="560"/>
      <c r="F8794" s="560"/>
      <c r="G8794" s="560">
        <f t="shared" si="177"/>
        <v>58475051</v>
      </c>
      <c r="H8794" s="362"/>
      <c r="I8794" s="362"/>
      <c r="J8794" s="362"/>
    </row>
    <row r="8795" spans="1:10" x14ac:dyDescent="0.25">
      <c r="A8795" s="362"/>
      <c r="B8795" s="609">
        <v>44700</v>
      </c>
      <c r="C8795" s="362" t="s">
        <v>87</v>
      </c>
      <c r="D8795" s="560">
        <v>150625261</v>
      </c>
      <c r="E8795" s="560"/>
      <c r="F8795" s="560"/>
      <c r="G8795" s="560">
        <f t="shared" si="177"/>
        <v>150625261</v>
      </c>
      <c r="H8795" s="362"/>
      <c r="I8795" s="362"/>
      <c r="J8795" s="362"/>
    </row>
    <row r="8796" spans="1:10" x14ac:dyDescent="0.25">
      <c r="A8796" s="362"/>
      <c r="B8796" s="609">
        <v>44700</v>
      </c>
      <c r="C8796" s="362" t="s">
        <v>88</v>
      </c>
      <c r="D8796" s="560">
        <v>142918673</v>
      </c>
      <c r="E8796" s="560"/>
      <c r="F8796" s="560"/>
      <c r="G8796" s="560">
        <f t="shared" si="177"/>
        <v>142918673</v>
      </c>
      <c r="H8796" s="362"/>
      <c r="I8796" s="362"/>
      <c r="J8796" s="362"/>
    </row>
    <row r="8797" spans="1:10" x14ac:dyDescent="0.25">
      <c r="A8797" s="362"/>
      <c r="B8797" s="609">
        <v>44700</v>
      </c>
      <c r="C8797" s="362" t="s">
        <v>82</v>
      </c>
      <c r="D8797" s="560">
        <v>87624734</v>
      </c>
      <c r="E8797" s="560"/>
      <c r="F8797" s="560"/>
      <c r="G8797" s="560">
        <f t="shared" si="177"/>
        <v>87624734</v>
      </c>
      <c r="H8797" s="362"/>
      <c r="I8797" s="362"/>
      <c r="J8797" s="362"/>
    </row>
    <row r="8798" spans="1:10" x14ac:dyDescent="0.25">
      <c r="A8798" s="362"/>
      <c r="B8798" s="609">
        <v>44700</v>
      </c>
      <c r="C8798" s="362" t="s">
        <v>80</v>
      </c>
      <c r="D8798" s="560">
        <v>545883600</v>
      </c>
      <c r="E8798" s="560"/>
      <c r="F8798" s="560"/>
      <c r="G8798" s="560">
        <f t="shared" si="177"/>
        <v>545883600</v>
      </c>
      <c r="H8798" s="362"/>
      <c r="I8798" s="362"/>
      <c r="J8798" s="362"/>
    </row>
    <row r="8799" spans="1:10" x14ac:dyDescent="0.25">
      <c r="A8799" s="362"/>
      <c r="B8799" s="609">
        <v>44700</v>
      </c>
      <c r="C8799" s="362" t="s">
        <v>83</v>
      </c>
      <c r="D8799" s="560">
        <v>230536868</v>
      </c>
      <c r="E8799" s="560"/>
      <c r="F8799" s="560"/>
      <c r="G8799" s="560">
        <f t="shared" si="177"/>
        <v>230536868</v>
      </c>
      <c r="H8799" s="362"/>
      <c r="I8799" s="362"/>
      <c r="J8799" s="362"/>
    </row>
    <row r="8800" spans="1:10" x14ac:dyDescent="0.25">
      <c r="A8800" s="362"/>
      <c r="B8800" s="609">
        <v>44700</v>
      </c>
      <c r="C8800" s="362" t="s">
        <v>78</v>
      </c>
      <c r="D8800" s="560">
        <v>176698100</v>
      </c>
      <c r="E8800" s="560"/>
      <c r="F8800" s="560"/>
      <c r="G8800" s="560">
        <f t="shared" si="177"/>
        <v>176698100</v>
      </c>
      <c r="H8800" s="362"/>
      <c r="I8800" s="362"/>
      <c r="J8800" s="362"/>
    </row>
    <row r="8801" spans="1:10" x14ac:dyDescent="0.25">
      <c r="A8801" s="362"/>
      <c r="B8801" s="609">
        <v>44700</v>
      </c>
      <c r="C8801" s="362" t="s">
        <v>141</v>
      </c>
      <c r="D8801" s="560">
        <v>86681739</v>
      </c>
      <c r="E8801" s="560"/>
      <c r="F8801" s="560"/>
      <c r="G8801" s="560">
        <f t="shared" si="177"/>
        <v>86681739</v>
      </c>
      <c r="H8801" s="362"/>
      <c r="I8801" s="362"/>
      <c r="J8801" s="362"/>
    </row>
    <row r="8802" spans="1:10" x14ac:dyDescent="0.25">
      <c r="A8802" s="362"/>
      <c r="B8802" s="609">
        <v>44700</v>
      </c>
      <c r="C8802" s="362" t="s">
        <v>89</v>
      </c>
      <c r="D8802" s="560">
        <v>363285500</v>
      </c>
      <c r="E8802" s="560"/>
      <c r="F8802" s="560"/>
      <c r="G8802" s="560">
        <f t="shared" si="177"/>
        <v>363285500</v>
      </c>
      <c r="H8802" s="362"/>
      <c r="I8802" s="362"/>
      <c r="J8802" s="362"/>
    </row>
    <row r="8803" spans="1:10" x14ac:dyDescent="0.25">
      <c r="A8803" s="362"/>
      <c r="B8803" s="609">
        <v>44700</v>
      </c>
      <c r="C8803" s="362" t="s">
        <v>81</v>
      </c>
      <c r="D8803" s="560">
        <v>81976305</v>
      </c>
      <c r="E8803" s="560"/>
      <c r="F8803" s="560"/>
      <c r="G8803" s="560">
        <f t="shared" si="177"/>
        <v>81976305</v>
      </c>
      <c r="H8803" s="362"/>
      <c r="I8803" s="362"/>
      <c r="J8803" s="362"/>
    </row>
    <row r="8804" spans="1:10" x14ac:dyDescent="0.25">
      <c r="A8804" s="362"/>
      <c r="B8804" s="609">
        <v>44700</v>
      </c>
      <c r="C8804" s="362" t="s">
        <v>84</v>
      </c>
      <c r="D8804" s="560">
        <v>539616945</v>
      </c>
      <c r="E8804" s="560"/>
      <c r="F8804" s="560"/>
      <c r="G8804" s="560">
        <f t="shared" si="177"/>
        <v>539616945</v>
      </c>
      <c r="H8804" s="362"/>
      <c r="I8804" s="362"/>
      <c r="J8804" s="362"/>
    </row>
    <row r="8805" spans="1:10" x14ac:dyDescent="0.25">
      <c r="A8805" s="362"/>
      <c r="B8805" s="609">
        <v>44700</v>
      </c>
      <c r="C8805" s="362" t="s">
        <v>4751</v>
      </c>
      <c r="D8805" s="560">
        <v>332878900</v>
      </c>
      <c r="E8805" s="560"/>
      <c r="F8805" s="560"/>
      <c r="G8805" s="560">
        <f t="shared" si="177"/>
        <v>332878900</v>
      </c>
      <c r="H8805" s="362"/>
      <c r="I8805" s="362"/>
      <c r="J8805" s="362"/>
    </row>
    <row r="8806" spans="1:10" x14ac:dyDescent="0.25">
      <c r="A8806" s="362"/>
      <c r="B8806" s="609">
        <v>44700</v>
      </c>
      <c r="C8806" s="362" t="s">
        <v>166</v>
      </c>
      <c r="D8806" s="560">
        <v>64319299</v>
      </c>
      <c r="E8806" s="560"/>
      <c r="F8806" s="560"/>
      <c r="G8806" s="560">
        <f t="shared" si="177"/>
        <v>64319299</v>
      </c>
      <c r="H8806" s="362"/>
      <c r="I8806" s="362"/>
      <c r="J8806" s="362"/>
    </row>
    <row r="8807" spans="1:10" x14ac:dyDescent="0.25">
      <c r="A8807" s="362"/>
      <c r="B8807" s="609">
        <v>44700</v>
      </c>
      <c r="C8807" s="362" t="s">
        <v>3435</v>
      </c>
      <c r="D8807" s="560">
        <v>148122586</v>
      </c>
      <c r="E8807" s="560"/>
      <c r="F8807" s="560"/>
      <c r="G8807" s="560">
        <f t="shared" si="177"/>
        <v>148122586</v>
      </c>
      <c r="H8807" s="362"/>
      <c r="I8807" s="362"/>
      <c r="J8807" s="362"/>
    </row>
    <row r="8808" spans="1:10" x14ac:dyDescent="0.25">
      <c r="A8808" s="362"/>
      <c r="B8808" s="609">
        <v>44700</v>
      </c>
      <c r="C8808" s="370" t="s">
        <v>85</v>
      </c>
      <c r="D8808" s="560">
        <v>58676900</v>
      </c>
      <c r="E8808" s="560"/>
      <c r="F8808" s="560"/>
      <c r="G8808" s="560">
        <f t="shared" si="177"/>
        <v>58676900</v>
      </c>
      <c r="H8808" s="362"/>
      <c r="I8808" s="362"/>
      <c r="J8808" s="362"/>
    </row>
    <row r="8809" spans="1:10" x14ac:dyDescent="0.25">
      <c r="A8809" s="530"/>
      <c r="B8809" s="530"/>
      <c r="C8809" s="530"/>
      <c r="D8809" s="562">
        <f>SUM(D8794:D8808)</f>
        <v>3068320461</v>
      </c>
      <c r="E8809" s="562">
        <f>SUM(E8794:E8808)</f>
        <v>0</v>
      </c>
      <c r="F8809" s="562">
        <f>SUM(F8794:F8808)</f>
        <v>0</v>
      </c>
      <c r="G8809" s="562">
        <f>SUM(G8794:G8808)</f>
        <v>3068320461</v>
      </c>
      <c r="H8809" s="530"/>
      <c r="I8809" s="530"/>
      <c r="J8809" s="530"/>
    </row>
    <row r="8810" spans="1:10" x14ac:dyDescent="0.25">
      <c r="A8810" s="362"/>
      <c r="B8810" s="609">
        <v>44701</v>
      </c>
      <c r="C8810" s="362" t="s">
        <v>86</v>
      </c>
      <c r="D8810" s="560">
        <v>37669732</v>
      </c>
      <c r="E8810" s="560"/>
      <c r="F8810" s="560"/>
      <c r="G8810" s="560">
        <f t="shared" si="177"/>
        <v>37669732</v>
      </c>
      <c r="H8810" s="362"/>
      <c r="I8810" s="362"/>
      <c r="J8810" s="362"/>
    </row>
    <row r="8811" spans="1:10" x14ac:dyDescent="0.25">
      <c r="A8811" s="362"/>
      <c r="B8811" s="609">
        <v>44701</v>
      </c>
      <c r="C8811" s="362" t="s">
        <v>87</v>
      </c>
      <c r="D8811" s="560">
        <v>339940480</v>
      </c>
      <c r="E8811" s="560"/>
      <c r="F8811" s="560"/>
      <c r="G8811" s="560">
        <f t="shared" si="177"/>
        <v>339940480</v>
      </c>
      <c r="H8811" s="362"/>
      <c r="I8811" s="362"/>
      <c r="J8811" s="362"/>
    </row>
    <row r="8812" spans="1:10" x14ac:dyDescent="0.25">
      <c r="A8812" s="362"/>
      <c r="B8812" s="609">
        <v>44701</v>
      </c>
      <c r="C8812" s="362" t="s">
        <v>88</v>
      </c>
      <c r="D8812" s="560">
        <v>191013004</v>
      </c>
      <c r="E8812" s="560"/>
      <c r="F8812" s="560"/>
      <c r="G8812" s="560">
        <f t="shared" si="177"/>
        <v>191013004</v>
      </c>
      <c r="H8812" s="362"/>
      <c r="I8812" s="362"/>
      <c r="J8812" s="362"/>
    </row>
    <row r="8813" spans="1:10" x14ac:dyDescent="0.25">
      <c r="A8813" s="362"/>
      <c r="B8813" s="609">
        <v>44701</v>
      </c>
      <c r="C8813" s="362" t="s">
        <v>82</v>
      </c>
      <c r="D8813" s="560">
        <v>85441310</v>
      </c>
      <c r="E8813" s="560"/>
      <c r="F8813" s="560"/>
      <c r="G8813" s="560">
        <f t="shared" si="177"/>
        <v>85441310</v>
      </c>
      <c r="H8813" s="362"/>
      <c r="I8813" s="362"/>
      <c r="J8813" s="362"/>
    </row>
    <row r="8814" spans="1:10" x14ac:dyDescent="0.25">
      <c r="A8814" s="362"/>
      <c r="B8814" s="609">
        <v>44701</v>
      </c>
      <c r="C8814" s="362" t="s">
        <v>80</v>
      </c>
      <c r="D8814" s="560">
        <v>311368995</v>
      </c>
      <c r="E8814" s="560"/>
      <c r="F8814" s="560"/>
      <c r="G8814" s="560">
        <f t="shared" si="177"/>
        <v>311368995</v>
      </c>
      <c r="H8814" s="362"/>
      <c r="I8814" s="362"/>
      <c r="J8814" s="362"/>
    </row>
    <row r="8815" spans="1:10" x14ac:dyDescent="0.25">
      <c r="A8815" s="362"/>
      <c r="B8815" s="609">
        <v>44701</v>
      </c>
      <c r="C8815" s="362" t="s">
        <v>83</v>
      </c>
      <c r="D8815" s="560">
        <v>135830300</v>
      </c>
      <c r="E8815" s="560"/>
      <c r="F8815" s="560"/>
      <c r="G8815" s="560">
        <f t="shared" si="177"/>
        <v>135830300</v>
      </c>
      <c r="H8815" s="362"/>
      <c r="I8815" s="362"/>
      <c r="J8815" s="362"/>
    </row>
    <row r="8816" spans="1:10" x14ac:dyDescent="0.25">
      <c r="A8816" s="362"/>
      <c r="B8816" s="609">
        <v>44701</v>
      </c>
      <c r="C8816" s="362" t="s">
        <v>78</v>
      </c>
      <c r="D8816" s="560">
        <v>115079404</v>
      </c>
      <c r="E8816" s="560"/>
      <c r="F8816" s="560"/>
      <c r="G8816" s="560">
        <f t="shared" si="177"/>
        <v>115079404</v>
      </c>
      <c r="H8816" s="362"/>
      <c r="I8816" s="362"/>
      <c r="J8816" s="362"/>
    </row>
    <row r="8817" spans="1:10" x14ac:dyDescent="0.25">
      <c r="A8817" s="362"/>
      <c r="B8817" s="609">
        <v>44701</v>
      </c>
      <c r="C8817" s="362" t="s">
        <v>141</v>
      </c>
      <c r="D8817" s="560">
        <v>113590527</v>
      </c>
      <c r="E8817" s="560"/>
      <c r="F8817" s="560"/>
      <c r="G8817" s="560">
        <f t="shared" si="177"/>
        <v>113590527</v>
      </c>
      <c r="H8817" s="362"/>
      <c r="I8817" s="362"/>
      <c r="J8817" s="362"/>
    </row>
    <row r="8818" spans="1:10" x14ac:dyDescent="0.25">
      <c r="A8818" s="362"/>
      <c r="B8818" s="609">
        <v>44701</v>
      </c>
      <c r="C8818" s="362" t="s">
        <v>89</v>
      </c>
      <c r="D8818" s="560">
        <v>258937500</v>
      </c>
      <c r="E8818" s="560"/>
      <c r="F8818" s="560"/>
      <c r="G8818" s="560">
        <f t="shared" si="177"/>
        <v>258937500</v>
      </c>
      <c r="H8818" s="362"/>
      <c r="I8818" s="362"/>
      <c r="J8818" s="362"/>
    </row>
    <row r="8819" spans="1:10" x14ac:dyDescent="0.25">
      <c r="A8819" s="362"/>
      <c r="B8819" s="609">
        <v>44701</v>
      </c>
      <c r="C8819" s="362" t="s">
        <v>81</v>
      </c>
      <c r="D8819" s="560">
        <v>84390226</v>
      </c>
      <c r="E8819" s="560"/>
      <c r="F8819" s="560"/>
      <c r="G8819" s="560">
        <f t="shared" si="177"/>
        <v>84390226</v>
      </c>
      <c r="H8819" s="362"/>
      <c r="I8819" s="362"/>
      <c r="J8819" s="362"/>
    </row>
    <row r="8820" spans="1:10" x14ac:dyDescent="0.25">
      <c r="A8820" s="362"/>
      <c r="B8820" s="609">
        <v>44701</v>
      </c>
      <c r="C8820" s="362" t="s">
        <v>84</v>
      </c>
      <c r="D8820" s="560">
        <v>310741451</v>
      </c>
      <c r="E8820" s="560"/>
      <c r="F8820" s="560"/>
      <c r="G8820" s="560">
        <f t="shared" si="177"/>
        <v>310741451</v>
      </c>
      <c r="H8820" s="362"/>
      <c r="I8820" s="362"/>
      <c r="J8820" s="362"/>
    </row>
    <row r="8821" spans="1:10" x14ac:dyDescent="0.25">
      <c r="A8821" s="362"/>
      <c r="B8821" s="609">
        <v>44701</v>
      </c>
      <c r="C8821" s="362" t="s">
        <v>4751</v>
      </c>
      <c r="D8821" s="560">
        <v>281254500</v>
      </c>
      <c r="E8821" s="560"/>
      <c r="F8821" s="560"/>
      <c r="G8821" s="560">
        <f t="shared" si="177"/>
        <v>281254500</v>
      </c>
      <c r="H8821" s="362"/>
      <c r="I8821" s="362"/>
      <c r="J8821" s="362"/>
    </row>
    <row r="8822" spans="1:10" x14ac:dyDescent="0.25">
      <c r="A8822" s="362"/>
      <c r="B8822" s="609">
        <v>44701</v>
      </c>
      <c r="C8822" s="362" t="s">
        <v>166</v>
      </c>
      <c r="D8822" s="560">
        <v>56475037</v>
      </c>
      <c r="E8822" s="560"/>
      <c r="F8822" s="560"/>
      <c r="G8822" s="560">
        <f t="shared" si="177"/>
        <v>56475037</v>
      </c>
      <c r="H8822" s="362"/>
      <c r="I8822" s="362"/>
      <c r="J8822" s="362"/>
    </row>
    <row r="8823" spans="1:10" x14ac:dyDescent="0.25">
      <c r="A8823" s="362"/>
      <c r="B8823" s="609">
        <v>44701</v>
      </c>
      <c r="C8823" s="362" t="s">
        <v>3435</v>
      </c>
      <c r="D8823" s="560">
        <v>57476970</v>
      </c>
      <c r="E8823" s="560"/>
      <c r="F8823" s="560"/>
      <c r="G8823" s="560">
        <f t="shared" si="177"/>
        <v>57476970</v>
      </c>
      <c r="H8823" s="362"/>
      <c r="I8823" s="362"/>
      <c r="J8823" s="362"/>
    </row>
    <row r="8824" spans="1:10" x14ac:dyDescent="0.25">
      <c r="A8824" s="362"/>
      <c r="B8824" s="609">
        <v>44701</v>
      </c>
      <c r="C8824" s="370" t="s">
        <v>85</v>
      </c>
      <c r="D8824" s="560">
        <v>61192500</v>
      </c>
      <c r="E8824" s="560"/>
      <c r="F8824" s="560"/>
      <c r="G8824" s="560">
        <f t="shared" si="177"/>
        <v>61192500</v>
      </c>
      <c r="H8824" s="362"/>
      <c r="I8824" s="362"/>
      <c r="J8824" s="362"/>
    </row>
    <row r="8825" spans="1:10" x14ac:dyDescent="0.25">
      <c r="A8825" s="530"/>
      <c r="B8825" s="530"/>
      <c r="C8825" s="530"/>
      <c r="D8825" s="562">
        <f>SUM(D8810:D8824)</f>
        <v>2440401936</v>
      </c>
      <c r="E8825" s="562">
        <f>SUM(E8810:E8824)</f>
        <v>0</v>
      </c>
      <c r="F8825" s="562">
        <f>SUM(F8810:F8824)</f>
        <v>0</v>
      </c>
      <c r="G8825" s="562">
        <f>SUM(G8810:G8824)</f>
        <v>2440401936</v>
      </c>
      <c r="H8825" s="530"/>
      <c r="I8825" s="530"/>
      <c r="J8825" s="530"/>
    </row>
    <row r="8826" spans="1:10" x14ac:dyDescent="0.25">
      <c r="A8826" s="362"/>
      <c r="B8826" s="609">
        <v>44702</v>
      </c>
      <c r="C8826" s="362" t="s">
        <v>86</v>
      </c>
      <c r="D8826" s="560">
        <v>114566981</v>
      </c>
      <c r="E8826" s="560"/>
      <c r="F8826" s="560"/>
      <c r="G8826" s="560">
        <f t="shared" si="177"/>
        <v>114566981</v>
      </c>
      <c r="H8826" s="362"/>
      <c r="I8826" s="362"/>
      <c r="J8826" s="362"/>
    </row>
    <row r="8827" spans="1:10" x14ac:dyDescent="0.25">
      <c r="A8827" s="362"/>
      <c r="B8827" s="609">
        <v>44702</v>
      </c>
      <c r="C8827" s="362" t="s">
        <v>87</v>
      </c>
      <c r="D8827" s="560">
        <v>253671103</v>
      </c>
      <c r="E8827" s="560"/>
      <c r="F8827" s="560"/>
      <c r="G8827" s="560">
        <f t="shared" si="177"/>
        <v>253671103</v>
      </c>
      <c r="H8827" s="362"/>
      <c r="I8827" s="362"/>
      <c r="J8827" s="362"/>
    </row>
    <row r="8828" spans="1:10" x14ac:dyDescent="0.25">
      <c r="A8828" s="362"/>
      <c r="B8828" s="609">
        <v>44702</v>
      </c>
      <c r="C8828" s="362" t="s">
        <v>88</v>
      </c>
      <c r="D8828" s="560">
        <v>196782793</v>
      </c>
      <c r="E8828" s="560"/>
      <c r="F8828" s="560"/>
      <c r="G8828" s="560">
        <f t="shared" si="177"/>
        <v>196782793</v>
      </c>
      <c r="H8828" s="362"/>
      <c r="I8828" s="362"/>
      <c r="J8828" s="362"/>
    </row>
    <row r="8829" spans="1:10" x14ac:dyDescent="0.25">
      <c r="A8829" s="362"/>
      <c r="B8829" s="609">
        <v>44702</v>
      </c>
      <c r="C8829" s="362" t="s">
        <v>82</v>
      </c>
      <c r="D8829" s="560">
        <v>53882238</v>
      </c>
      <c r="E8829" s="560"/>
      <c r="F8829" s="560"/>
      <c r="G8829" s="560">
        <f t="shared" si="177"/>
        <v>53882238</v>
      </c>
      <c r="H8829" s="362"/>
      <c r="I8829" s="362"/>
      <c r="J8829" s="362"/>
    </row>
    <row r="8830" spans="1:10" x14ac:dyDescent="0.25">
      <c r="A8830" s="362"/>
      <c r="B8830" s="609">
        <v>44702</v>
      </c>
      <c r="C8830" s="362" t="s">
        <v>80</v>
      </c>
      <c r="D8830" s="560">
        <v>293664869</v>
      </c>
      <c r="E8830" s="560"/>
      <c r="F8830" s="560"/>
      <c r="G8830" s="560">
        <f t="shared" si="177"/>
        <v>293664869</v>
      </c>
      <c r="H8830" s="362"/>
      <c r="I8830" s="362"/>
      <c r="J8830" s="362"/>
    </row>
    <row r="8831" spans="1:10" x14ac:dyDescent="0.25">
      <c r="A8831" s="362"/>
      <c r="B8831" s="609">
        <v>44702</v>
      </c>
      <c r="C8831" s="362" t="s">
        <v>83</v>
      </c>
      <c r="D8831" s="560">
        <v>117433501</v>
      </c>
      <c r="E8831" s="560"/>
      <c r="F8831" s="560"/>
      <c r="G8831" s="560">
        <f t="shared" si="177"/>
        <v>117433501</v>
      </c>
      <c r="H8831" s="362"/>
      <c r="I8831" s="362"/>
      <c r="J8831" s="362"/>
    </row>
    <row r="8832" spans="1:10" x14ac:dyDescent="0.25">
      <c r="A8832" s="362"/>
      <c r="B8832" s="609">
        <v>44702</v>
      </c>
      <c r="C8832" s="362" t="s">
        <v>78</v>
      </c>
      <c r="D8832" s="560">
        <v>193781674</v>
      </c>
      <c r="E8832" s="560"/>
      <c r="F8832" s="560"/>
      <c r="G8832" s="560">
        <f t="shared" si="177"/>
        <v>193781674</v>
      </c>
      <c r="H8832" s="362"/>
      <c r="I8832" s="362"/>
      <c r="J8832" s="362"/>
    </row>
    <row r="8833" spans="1:10" x14ac:dyDescent="0.25">
      <c r="A8833" s="362"/>
      <c r="B8833" s="609">
        <v>44702</v>
      </c>
      <c r="C8833" s="362" t="s">
        <v>141</v>
      </c>
      <c r="D8833" s="560">
        <v>61199548</v>
      </c>
      <c r="E8833" s="560"/>
      <c r="F8833" s="560"/>
      <c r="G8833" s="560">
        <f t="shared" si="177"/>
        <v>61199548</v>
      </c>
      <c r="H8833" s="362"/>
      <c r="I8833" s="362"/>
      <c r="J8833" s="362"/>
    </row>
    <row r="8834" spans="1:10" x14ac:dyDescent="0.25">
      <c r="A8834" s="362"/>
      <c r="B8834" s="609">
        <v>44702</v>
      </c>
      <c r="C8834" s="362" t="s">
        <v>89</v>
      </c>
      <c r="D8834" s="560">
        <v>182450700</v>
      </c>
      <c r="E8834" s="560"/>
      <c r="F8834" s="560"/>
      <c r="G8834" s="560">
        <f t="shared" si="177"/>
        <v>182450700</v>
      </c>
      <c r="H8834" s="362"/>
      <c r="I8834" s="362"/>
      <c r="J8834" s="362"/>
    </row>
    <row r="8835" spans="1:10" x14ac:dyDescent="0.25">
      <c r="A8835" s="362"/>
      <c r="B8835" s="609">
        <v>44702</v>
      </c>
      <c r="C8835" s="362" t="s">
        <v>81</v>
      </c>
      <c r="D8835" s="560">
        <v>163404006</v>
      </c>
      <c r="E8835" s="560"/>
      <c r="F8835" s="560"/>
      <c r="G8835" s="560">
        <f t="shared" si="177"/>
        <v>163404006</v>
      </c>
      <c r="H8835" s="362"/>
      <c r="I8835" s="362"/>
      <c r="J8835" s="362"/>
    </row>
    <row r="8836" spans="1:10" x14ac:dyDescent="0.25">
      <c r="A8836" s="362"/>
      <c r="B8836" s="609">
        <v>44702</v>
      </c>
      <c r="C8836" s="362" t="s">
        <v>84</v>
      </c>
      <c r="D8836" s="560">
        <v>257265334</v>
      </c>
      <c r="E8836" s="560"/>
      <c r="F8836" s="560"/>
      <c r="G8836" s="560">
        <f t="shared" si="177"/>
        <v>257265334</v>
      </c>
      <c r="H8836" s="362"/>
      <c r="I8836" s="362"/>
      <c r="J8836" s="362"/>
    </row>
    <row r="8837" spans="1:10" x14ac:dyDescent="0.25">
      <c r="A8837" s="362"/>
      <c r="B8837" s="609">
        <v>44702</v>
      </c>
      <c r="C8837" s="362" t="s">
        <v>4751</v>
      </c>
      <c r="D8837" s="560">
        <v>319931400</v>
      </c>
      <c r="E8837" s="560"/>
      <c r="F8837" s="560"/>
      <c r="G8837" s="560">
        <f t="shared" si="177"/>
        <v>319931400</v>
      </c>
      <c r="H8837" s="362"/>
      <c r="I8837" s="362"/>
      <c r="J8837" s="362"/>
    </row>
    <row r="8838" spans="1:10" x14ac:dyDescent="0.25">
      <c r="A8838" s="362"/>
      <c r="B8838" s="609">
        <v>44702</v>
      </c>
      <c r="C8838" s="362" t="s">
        <v>166</v>
      </c>
      <c r="D8838" s="560"/>
      <c r="E8838" s="560"/>
      <c r="F8838" s="560"/>
      <c r="G8838" s="560">
        <f t="shared" si="177"/>
        <v>0</v>
      </c>
      <c r="H8838" s="362"/>
      <c r="I8838" s="362"/>
      <c r="J8838" s="362"/>
    </row>
    <row r="8839" spans="1:10" x14ac:dyDescent="0.25">
      <c r="A8839" s="362"/>
      <c r="B8839" s="609">
        <v>44702</v>
      </c>
      <c r="C8839" s="362" t="s">
        <v>3435</v>
      </c>
      <c r="D8839" s="560"/>
      <c r="E8839" s="560"/>
      <c r="F8839" s="560"/>
      <c r="G8839" s="560">
        <f t="shared" si="177"/>
        <v>0</v>
      </c>
      <c r="H8839" s="362"/>
      <c r="I8839" s="362"/>
      <c r="J8839" s="362"/>
    </row>
    <row r="8840" spans="1:10" x14ac:dyDescent="0.25">
      <c r="A8840" s="362"/>
      <c r="B8840" s="609">
        <v>44702</v>
      </c>
      <c r="C8840" s="370" t="s">
        <v>85</v>
      </c>
      <c r="D8840" s="560">
        <v>44228900</v>
      </c>
      <c r="E8840" s="560"/>
      <c r="F8840" s="560"/>
      <c r="G8840" s="560">
        <f t="shared" si="177"/>
        <v>44228900</v>
      </c>
      <c r="H8840" s="362"/>
      <c r="I8840" s="362"/>
      <c r="J8840" s="362"/>
    </row>
    <row r="8841" spans="1:10" x14ac:dyDescent="0.25">
      <c r="A8841" s="530"/>
      <c r="B8841" s="530"/>
      <c r="C8841" s="530"/>
      <c r="D8841" s="562">
        <f>SUM(D8826:D8840)</f>
        <v>2252263047</v>
      </c>
      <c r="E8841" s="562">
        <f>SUM(E8826:E8840)</f>
        <v>0</v>
      </c>
      <c r="F8841" s="562">
        <f>SUM(F8826:F8840)</f>
        <v>0</v>
      </c>
      <c r="G8841" s="562">
        <f>SUM(G8826:G8840)</f>
        <v>2252263047</v>
      </c>
      <c r="H8841" s="530"/>
      <c r="I8841" s="530"/>
      <c r="J8841" s="530"/>
    </row>
    <row r="8842" spans="1:10" x14ac:dyDescent="0.25">
      <c r="A8842" s="362"/>
      <c r="B8842" s="609">
        <v>44704</v>
      </c>
      <c r="C8842" s="362" t="s">
        <v>86</v>
      </c>
      <c r="D8842" s="560">
        <v>99651307</v>
      </c>
      <c r="E8842" s="560"/>
      <c r="F8842" s="560"/>
      <c r="G8842" s="560">
        <f t="shared" si="177"/>
        <v>99651307</v>
      </c>
      <c r="H8842" s="362"/>
      <c r="I8842" s="362"/>
      <c r="J8842" s="362"/>
    </row>
    <row r="8843" spans="1:10" x14ac:dyDescent="0.25">
      <c r="A8843" s="362"/>
      <c r="B8843" s="609">
        <v>44704</v>
      </c>
      <c r="C8843" s="362" t="s">
        <v>87</v>
      </c>
      <c r="D8843" s="560">
        <v>89516685</v>
      </c>
      <c r="E8843" s="560"/>
      <c r="F8843" s="560"/>
      <c r="G8843" s="560">
        <f t="shared" si="177"/>
        <v>89516685</v>
      </c>
      <c r="H8843" s="362"/>
      <c r="I8843" s="362"/>
      <c r="J8843" s="362"/>
    </row>
    <row r="8844" spans="1:10" x14ac:dyDescent="0.25">
      <c r="A8844" s="362"/>
      <c r="B8844" s="609">
        <v>44704</v>
      </c>
      <c r="C8844" s="362" t="s">
        <v>88</v>
      </c>
      <c r="D8844" s="560">
        <v>217887784</v>
      </c>
      <c r="E8844" s="560"/>
      <c r="F8844" s="560"/>
      <c r="G8844" s="560">
        <f t="shared" ref="G8844:G8907" si="178">D8844+E8844-F8844</f>
        <v>217887784</v>
      </c>
      <c r="H8844" s="362"/>
      <c r="I8844" s="362"/>
      <c r="J8844" s="362"/>
    </row>
    <row r="8845" spans="1:10" x14ac:dyDescent="0.25">
      <c r="A8845" s="362"/>
      <c r="B8845" s="609">
        <v>44704</v>
      </c>
      <c r="C8845" s="362" t="s">
        <v>82</v>
      </c>
      <c r="D8845" s="560">
        <v>58872654</v>
      </c>
      <c r="E8845" s="560"/>
      <c r="F8845" s="560"/>
      <c r="G8845" s="560">
        <f t="shared" si="178"/>
        <v>58872654</v>
      </c>
      <c r="H8845" s="362"/>
      <c r="I8845" s="362"/>
      <c r="J8845" s="362"/>
    </row>
    <row r="8846" spans="1:10" x14ac:dyDescent="0.25">
      <c r="A8846" s="362"/>
      <c r="B8846" s="609">
        <v>44704</v>
      </c>
      <c r="C8846" s="362" t="s">
        <v>80</v>
      </c>
      <c r="D8846" s="560">
        <v>257219186</v>
      </c>
      <c r="E8846" s="560"/>
      <c r="F8846" s="560"/>
      <c r="G8846" s="560">
        <f t="shared" si="178"/>
        <v>257219186</v>
      </c>
      <c r="H8846" s="362"/>
      <c r="I8846" s="362"/>
      <c r="J8846" s="362"/>
    </row>
    <row r="8847" spans="1:10" x14ac:dyDescent="0.25">
      <c r="A8847" s="362"/>
      <c r="B8847" s="609">
        <v>44704</v>
      </c>
      <c r="C8847" s="362" t="s">
        <v>83</v>
      </c>
      <c r="D8847" s="560">
        <v>192704459</v>
      </c>
      <c r="E8847" s="560"/>
      <c r="F8847" s="560"/>
      <c r="G8847" s="560">
        <f t="shared" si="178"/>
        <v>192704459</v>
      </c>
      <c r="H8847" s="362"/>
      <c r="I8847" s="362"/>
      <c r="J8847" s="362"/>
    </row>
    <row r="8848" spans="1:10" x14ac:dyDescent="0.25">
      <c r="A8848" s="362"/>
      <c r="B8848" s="609">
        <v>44704</v>
      </c>
      <c r="C8848" s="362" t="s">
        <v>78</v>
      </c>
      <c r="D8848" s="560">
        <v>126223789</v>
      </c>
      <c r="E8848" s="560"/>
      <c r="F8848" s="560"/>
      <c r="G8848" s="560">
        <f t="shared" si="178"/>
        <v>126223789</v>
      </c>
      <c r="H8848" s="362"/>
      <c r="I8848" s="362"/>
      <c r="J8848" s="362"/>
    </row>
    <row r="8849" spans="1:10" x14ac:dyDescent="0.25">
      <c r="A8849" s="362"/>
      <c r="B8849" s="609">
        <v>44704</v>
      </c>
      <c r="C8849" s="362" t="s">
        <v>141</v>
      </c>
      <c r="D8849" s="560">
        <v>136043913</v>
      </c>
      <c r="E8849" s="560"/>
      <c r="F8849" s="560"/>
      <c r="G8849" s="560">
        <f t="shared" si="178"/>
        <v>136043913</v>
      </c>
      <c r="H8849" s="362"/>
      <c r="I8849" s="362"/>
      <c r="J8849" s="362"/>
    </row>
    <row r="8850" spans="1:10" x14ac:dyDescent="0.25">
      <c r="A8850" s="362"/>
      <c r="B8850" s="609">
        <v>44704</v>
      </c>
      <c r="C8850" s="362" t="s">
        <v>89</v>
      </c>
      <c r="D8850" s="560">
        <v>163313300</v>
      </c>
      <c r="E8850" s="560"/>
      <c r="F8850" s="560"/>
      <c r="G8850" s="560">
        <f t="shared" si="178"/>
        <v>163313300</v>
      </c>
      <c r="H8850" s="362"/>
      <c r="I8850" s="362"/>
      <c r="J8850" s="362"/>
    </row>
    <row r="8851" spans="1:10" x14ac:dyDescent="0.25">
      <c r="A8851" s="362"/>
      <c r="B8851" s="609">
        <v>44704</v>
      </c>
      <c r="C8851" s="362" t="s">
        <v>81</v>
      </c>
      <c r="D8851" s="560">
        <v>179486287</v>
      </c>
      <c r="E8851" s="560"/>
      <c r="F8851" s="560"/>
      <c r="G8851" s="560">
        <f t="shared" si="178"/>
        <v>179486287</v>
      </c>
      <c r="H8851" s="362"/>
      <c r="I8851" s="362"/>
      <c r="J8851" s="362"/>
    </row>
    <row r="8852" spans="1:10" x14ac:dyDescent="0.25">
      <c r="A8852" s="362"/>
      <c r="B8852" s="609">
        <v>44704</v>
      </c>
      <c r="C8852" s="362" t="s">
        <v>84</v>
      </c>
      <c r="D8852" s="560">
        <v>274411847</v>
      </c>
      <c r="E8852" s="560"/>
      <c r="F8852" s="560"/>
      <c r="G8852" s="560">
        <f t="shared" si="178"/>
        <v>274411847</v>
      </c>
      <c r="H8852" s="362"/>
      <c r="I8852" s="362"/>
      <c r="J8852" s="362"/>
    </row>
    <row r="8853" spans="1:10" x14ac:dyDescent="0.25">
      <c r="A8853" s="362"/>
      <c r="B8853" s="609">
        <v>44704</v>
      </c>
      <c r="C8853" s="362" t="s">
        <v>4751</v>
      </c>
      <c r="D8853" s="560">
        <v>174611300</v>
      </c>
      <c r="E8853" s="560"/>
      <c r="F8853" s="560"/>
      <c r="G8853" s="560">
        <f t="shared" si="178"/>
        <v>174611300</v>
      </c>
      <c r="H8853" s="362"/>
      <c r="I8853" s="362"/>
      <c r="J8853" s="362"/>
    </row>
    <row r="8854" spans="1:10" x14ac:dyDescent="0.25">
      <c r="A8854" s="362"/>
      <c r="B8854" s="609">
        <v>44704</v>
      </c>
      <c r="C8854" s="362" t="s">
        <v>166</v>
      </c>
      <c r="D8854" s="560">
        <v>57691038</v>
      </c>
      <c r="E8854" s="560"/>
      <c r="F8854" s="560"/>
      <c r="G8854" s="560">
        <f t="shared" si="178"/>
        <v>57691038</v>
      </c>
      <c r="H8854" s="362"/>
      <c r="I8854" s="362"/>
      <c r="J8854" s="362"/>
    </row>
    <row r="8855" spans="1:10" x14ac:dyDescent="0.25">
      <c r="A8855" s="362"/>
      <c r="B8855" s="609">
        <v>44704</v>
      </c>
      <c r="C8855" s="362" t="s">
        <v>3435</v>
      </c>
      <c r="D8855" s="560">
        <v>27012634</v>
      </c>
      <c r="E8855" s="560"/>
      <c r="F8855" s="560"/>
      <c r="G8855" s="560">
        <f t="shared" si="178"/>
        <v>27012634</v>
      </c>
      <c r="H8855" s="362"/>
      <c r="I8855" s="362"/>
      <c r="J8855" s="362"/>
    </row>
    <row r="8856" spans="1:10" x14ac:dyDescent="0.25">
      <c r="A8856" s="362"/>
      <c r="B8856" s="609">
        <v>44704</v>
      </c>
      <c r="C8856" s="370" t="s">
        <v>85</v>
      </c>
      <c r="D8856" s="560">
        <v>66693900</v>
      </c>
      <c r="E8856" s="560"/>
      <c r="F8856" s="560"/>
      <c r="G8856" s="560">
        <f t="shared" si="178"/>
        <v>66693900</v>
      </c>
      <c r="H8856" s="362"/>
      <c r="I8856" s="362"/>
      <c r="J8856" s="362"/>
    </row>
    <row r="8857" spans="1:10" x14ac:dyDescent="0.25">
      <c r="A8857" s="530"/>
      <c r="B8857" s="530"/>
      <c r="C8857" s="530"/>
      <c r="D8857" s="562">
        <f>SUM(D8842:D8856)</f>
        <v>2121340083</v>
      </c>
      <c r="E8857" s="562">
        <f>SUM(E8842:E8856)</f>
        <v>0</v>
      </c>
      <c r="F8857" s="562">
        <f>SUM(F8842:F8856)</f>
        <v>0</v>
      </c>
      <c r="G8857" s="562">
        <f>SUM(G8842:G8856)</f>
        <v>2121340083</v>
      </c>
      <c r="H8857" s="530"/>
      <c r="I8857" s="530"/>
      <c r="J8857" s="530"/>
    </row>
    <row r="8858" spans="1:10" x14ac:dyDescent="0.25">
      <c r="A8858" s="362"/>
      <c r="B8858" s="609">
        <v>44705</v>
      </c>
      <c r="C8858" s="362" t="s">
        <v>86</v>
      </c>
      <c r="D8858" s="560">
        <v>209511328</v>
      </c>
      <c r="E8858" s="560"/>
      <c r="F8858" s="560"/>
      <c r="G8858" s="560">
        <f t="shared" si="178"/>
        <v>209511328</v>
      </c>
      <c r="H8858" s="362"/>
      <c r="I8858" s="362"/>
      <c r="J8858" s="362"/>
    </row>
    <row r="8859" spans="1:10" x14ac:dyDescent="0.25">
      <c r="A8859" s="362"/>
      <c r="B8859" s="609">
        <v>44705</v>
      </c>
      <c r="C8859" s="362" t="s">
        <v>87</v>
      </c>
      <c r="D8859" s="560">
        <v>133332022</v>
      </c>
      <c r="E8859" s="560"/>
      <c r="F8859" s="560"/>
      <c r="G8859" s="560">
        <f t="shared" si="178"/>
        <v>133332022</v>
      </c>
      <c r="H8859" s="362"/>
      <c r="I8859" s="362"/>
      <c r="J8859" s="362"/>
    </row>
    <row r="8860" spans="1:10" x14ac:dyDescent="0.25">
      <c r="A8860" s="362"/>
      <c r="B8860" s="609">
        <v>44705</v>
      </c>
      <c r="C8860" s="362" t="s">
        <v>88</v>
      </c>
      <c r="D8860" s="560">
        <v>137081222</v>
      </c>
      <c r="E8860" s="560"/>
      <c r="F8860" s="560"/>
      <c r="G8860" s="560">
        <f t="shared" si="178"/>
        <v>137081222</v>
      </c>
      <c r="H8860" s="362"/>
      <c r="I8860" s="362"/>
      <c r="J8860" s="362"/>
    </row>
    <row r="8861" spans="1:10" x14ac:dyDescent="0.25">
      <c r="A8861" s="362"/>
      <c r="B8861" s="609">
        <v>44705</v>
      </c>
      <c r="C8861" s="362" t="s">
        <v>82</v>
      </c>
      <c r="D8861" s="560">
        <v>81373643</v>
      </c>
      <c r="E8861" s="560"/>
      <c r="F8861" s="560"/>
      <c r="G8861" s="560">
        <f t="shared" si="178"/>
        <v>81373643</v>
      </c>
      <c r="H8861" s="362"/>
      <c r="I8861" s="362"/>
      <c r="J8861" s="362"/>
    </row>
    <row r="8862" spans="1:10" x14ac:dyDescent="0.25">
      <c r="A8862" s="362"/>
      <c r="B8862" s="609">
        <v>44705</v>
      </c>
      <c r="C8862" s="362" t="s">
        <v>80</v>
      </c>
      <c r="D8862" s="560">
        <v>227743700</v>
      </c>
      <c r="E8862" s="560"/>
      <c r="F8862" s="560"/>
      <c r="G8862" s="560">
        <f t="shared" si="178"/>
        <v>227743700</v>
      </c>
      <c r="H8862" s="362"/>
      <c r="I8862" s="362"/>
      <c r="J8862" s="362"/>
    </row>
    <row r="8863" spans="1:10" x14ac:dyDescent="0.25">
      <c r="A8863" s="362"/>
      <c r="B8863" s="609">
        <v>44705</v>
      </c>
      <c r="C8863" s="362" t="s">
        <v>83</v>
      </c>
      <c r="D8863" s="560">
        <v>162330462</v>
      </c>
      <c r="E8863" s="560"/>
      <c r="F8863" s="560"/>
      <c r="G8863" s="560">
        <f t="shared" si="178"/>
        <v>162330462</v>
      </c>
      <c r="H8863" s="362"/>
      <c r="I8863" s="362"/>
      <c r="J8863" s="966"/>
    </row>
    <row r="8864" spans="1:10" x14ac:dyDescent="0.25">
      <c r="A8864" s="362"/>
      <c r="B8864" s="609">
        <v>44705</v>
      </c>
      <c r="C8864" s="362" t="s">
        <v>78</v>
      </c>
      <c r="D8864" s="560">
        <v>194814519</v>
      </c>
      <c r="E8864" s="560"/>
      <c r="F8864" s="560"/>
      <c r="G8864" s="560">
        <f t="shared" si="178"/>
        <v>194814519</v>
      </c>
      <c r="H8864" s="362"/>
      <c r="I8864" s="362"/>
      <c r="J8864" s="966"/>
    </row>
    <row r="8865" spans="1:10" x14ac:dyDescent="0.25">
      <c r="A8865" s="362"/>
      <c r="B8865" s="609">
        <v>44705</v>
      </c>
      <c r="C8865" s="362" t="s">
        <v>141</v>
      </c>
      <c r="D8865" s="560">
        <v>194436478</v>
      </c>
      <c r="E8865" s="560"/>
      <c r="F8865" s="560"/>
      <c r="G8865" s="560">
        <f t="shared" si="178"/>
        <v>194436478</v>
      </c>
      <c r="H8865" s="362"/>
      <c r="I8865" s="362"/>
      <c r="J8865" s="362"/>
    </row>
    <row r="8866" spans="1:10" x14ac:dyDescent="0.25">
      <c r="A8866" s="362"/>
      <c r="B8866" s="609">
        <v>44705</v>
      </c>
      <c r="C8866" s="362" t="s">
        <v>89</v>
      </c>
      <c r="D8866" s="560">
        <v>164227700</v>
      </c>
      <c r="E8866" s="560"/>
      <c r="F8866" s="560"/>
      <c r="G8866" s="560">
        <f t="shared" si="178"/>
        <v>164227700</v>
      </c>
      <c r="H8866" s="362"/>
      <c r="I8866" s="362"/>
      <c r="J8866" s="362"/>
    </row>
    <row r="8867" spans="1:10" x14ac:dyDescent="0.25">
      <c r="A8867" s="362"/>
      <c r="B8867" s="609">
        <v>44705</v>
      </c>
      <c r="C8867" s="362" t="s">
        <v>81</v>
      </c>
      <c r="D8867" s="560">
        <v>130739955</v>
      </c>
      <c r="E8867" s="560"/>
      <c r="F8867" s="560"/>
      <c r="G8867" s="560">
        <f t="shared" si="178"/>
        <v>130739955</v>
      </c>
      <c r="H8867" s="362"/>
      <c r="I8867" s="362"/>
      <c r="J8867" s="362"/>
    </row>
    <row r="8868" spans="1:10" x14ac:dyDescent="0.25">
      <c r="A8868" s="362"/>
      <c r="B8868" s="609">
        <v>44705</v>
      </c>
      <c r="C8868" s="362" t="s">
        <v>84</v>
      </c>
      <c r="D8868" s="560">
        <v>220345929</v>
      </c>
      <c r="E8868" s="560"/>
      <c r="F8868" s="560"/>
      <c r="G8868" s="560">
        <f t="shared" si="178"/>
        <v>220345929</v>
      </c>
      <c r="H8868" s="362"/>
      <c r="I8868" s="362"/>
      <c r="J8868" s="362"/>
    </row>
    <row r="8869" spans="1:10" x14ac:dyDescent="0.25">
      <c r="A8869" s="362"/>
      <c r="B8869" s="609">
        <v>44705</v>
      </c>
      <c r="C8869" s="362" t="s">
        <v>4751</v>
      </c>
      <c r="D8869" s="560">
        <v>207773000</v>
      </c>
      <c r="E8869" s="560"/>
      <c r="F8869" s="560"/>
      <c r="G8869" s="560">
        <f t="shared" si="178"/>
        <v>207773000</v>
      </c>
      <c r="H8869" s="362"/>
      <c r="I8869" s="362"/>
      <c r="J8869" s="362"/>
    </row>
    <row r="8870" spans="1:10" x14ac:dyDescent="0.25">
      <c r="A8870" s="362"/>
      <c r="B8870" s="609">
        <v>44705</v>
      </c>
      <c r="C8870" s="362" t="s">
        <v>166</v>
      </c>
      <c r="D8870" s="560">
        <v>80383858</v>
      </c>
      <c r="E8870" s="560"/>
      <c r="F8870" s="560"/>
      <c r="G8870" s="560">
        <f t="shared" si="178"/>
        <v>80383858</v>
      </c>
      <c r="H8870" s="362"/>
      <c r="I8870" s="362"/>
      <c r="J8870" s="362"/>
    </row>
    <row r="8871" spans="1:10" x14ac:dyDescent="0.25">
      <c r="A8871" s="362"/>
      <c r="B8871" s="609">
        <v>44705</v>
      </c>
      <c r="C8871" s="362" t="s">
        <v>3435</v>
      </c>
      <c r="D8871" s="560">
        <v>112501730</v>
      </c>
      <c r="E8871" s="560"/>
      <c r="F8871" s="560"/>
      <c r="G8871" s="560">
        <f t="shared" si="178"/>
        <v>112501730</v>
      </c>
      <c r="H8871" s="362"/>
      <c r="I8871" s="362"/>
      <c r="J8871" s="362"/>
    </row>
    <row r="8872" spans="1:10" x14ac:dyDescent="0.25">
      <c r="A8872" s="362"/>
      <c r="B8872" s="609">
        <v>44705</v>
      </c>
      <c r="C8872" s="370" t="s">
        <v>85</v>
      </c>
      <c r="D8872" s="560">
        <v>43944400</v>
      </c>
      <c r="E8872" s="560"/>
      <c r="F8872" s="560"/>
      <c r="G8872" s="560">
        <f t="shared" si="178"/>
        <v>43944400</v>
      </c>
      <c r="H8872" s="362"/>
      <c r="I8872" s="362"/>
      <c r="J8872" s="362"/>
    </row>
    <row r="8873" spans="1:10" x14ac:dyDescent="0.25">
      <c r="A8873" s="530"/>
      <c r="B8873" s="530"/>
      <c r="C8873" s="530"/>
      <c r="D8873" s="562">
        <f>SUM(D8858:D8872)</f>
        <v>2300539946</v>
      </c>
      <c r="E8873" s="562">
        <f>SUM(E8858:E8872)</f>
        <v>0</v>
      </c>
      <c r="F8873" s="562">
        <f>SUM(F8858:F8872)</f>
        <v>0</v>
      </c>
      <c r="G8873" s="562">
        <f>SUM(G8858:G8872)</f>
        <v>2300539946</v>
      </c>
      <c r="H8873" s="530"/>
      <c r="I8873" s="530"/>
      <c r="J8873" s="362"/>
    </row>
    <row r="8874" spans="1:10" x14ac:dyDescent="0.25">
      <c r="A8874" s="362"/>
      <c r="B8874" s="609">
        <v>44706</v>
      </c>
      <c r="C8874" s="362" t="s">
        <v>86</v>
      </c>
      <c r="D8874" s="560">
        <v>328058220</v>
      </c>
      <c r="E8874" s="560"/>
      <c r="F8874" s="560">
        <v>328058500</v>
      </c>
      <c r="G8874" s="560">
        <f t="shared" si="178"/>
        <v>-280</v>
      </c>
      <c r="H8874" s="362"/>
      <c r="I8874" s="362"/>
      <c r="J8874" s="362"/>
    </row>
    <row r="8875" spans="1:10" x14ac:dyDescent="0.25">
      <c r="A8875" s="362"/>
      <c r="B8875" s="609">
        <v>44706</v>
      </c>
      <c r="C8875" s="362" t="s">
        <v>87</v>
      </c>
      <c r="D8875" s="560">
        <v>148600847</v>
      </c>
      <c r="E8875" s="560"/>
      <c r="F8875" s="560">
        <v>148600900</v>
      </c>
      <c r="G8875" s="560">
        <f t="shared" si="178"/>
        <v>-53</v>
      </c>
      <c r="H8875" s="362"/>
      <c r="I8875" s="362"/>
      <c r="J8875" s="362"/>
    </row>
    <row r="8876" spans="1:10" x14ac:dyDescent="0.25">
      <c r="A8876" s="362"/>
      <c r="B8876" s="609">
        <v>44706</v>
      </c>
      <c r="C8876" s="362" t="s">
        <v>88</v>
      </c>
      <c r="D8876" s="560">
        <v>318511869</v>
      </c>
      <c r="E8876" s="560"/>
      <c r="F8876" s="560">
        <v>318511900</v>
      </c>
      <c r="G8876" s="560">
        <f t="shared" si="178"/>
        <v>-31</v>
      </c>
      <c r="H8876" s="362"/>
      <c r="I8876" s="362"/>
      <c r="J8876" s="362"/>
    </row>
    <row r="8877" spans="1:10" x14ac:dyDescent="0.25">
      <c r="A8877" s="362"/>
      <c r="B8877" s="609">
        <v>44706</v>
      </c>
      <c r="C8877" s="362" t="s">
        <v>82</v>
      </c>
      <c r="D8877" s="560">
        <v>75937223</v>
      </c>
      <c r="E8877" s="560"/>
      <c r="F8877" s="560">
        <v>75937300</v>
      </c>
      <c r="G8877" s="560">
        <f t="shared" si="178"/>
        <v>-77</v>
      </c>
      <c r="H8877" s="362"/>
      <c r="I8877" s="362"/>
      <c r="J8877" s="362"/>
    </row>
    <row r="8878" spans="1:10" x14ac:dyDescent="0.25">
      <c r="A8878" s="362"/>
      <c r="B8878" s="609">
        <v>44706</v>
      </c>
      <c r="C8878" s="362" t="s">
        <v>80</v>
      </c>
      <c r="D8878" s="560">
        <v>451026000</v>
      </c>
      <c r="E8878" s="560"/>
      <c r="F8878" s="560">
        <v>451026000</v>
      </c>
      <c r="G8878" s="560">
        <f t="shared" si="178"/>
        <v>0</v>
      </c>
      <c r="H8878" s="362"/>
      <c r="I8878" s="362"/>
      <c r="J8878" s="362"/>
    </row>
    <row r="8879" spans="1:10" x14ac:dyDescent="0.25">
      <c r="A8879" s="362"/>
      <c r="B8879" s="609">
        <v>44706</v>
      </c>
      <c r="C8879" s="362" t="s">
        <v>83</v>
      </c>
      <c r="D8879" s="560">
        <v>183119000</v>
      </c>
      <c r="E8879" s="560"/>
      <c r="F8879" s="560">
        <v>183119000</v>
      </c>
      <c r="G8879" s="560">
        <f t="shared" si="178"/>
        <v>0</v>
      </c>
      <c r="H8879" s="362"/>
      <c r="I8879" s="362"/>
      <c r="J8879" s="362"/>
    </row>
    <row r="8880" spans="1:10" x14ac:dyDescent="0.25">
      <c r="A8880" s="362"/>
      <c r="B8880" s="609">
        <v>44706</v>
      </c>
      <c r="C8880" s="362" t="s">
        <v>78</v>
      </c>
      <c r="D8880" s="560">
        <v>132384702</v>
      </c>
      <c r="E8880" s="560"/>
      <c r="F8880" s="560">
        <v>132384800</v>
      </c>
      <c r="G8880" s="560">
        <f t="shared" si="178"/>
        <v>-98</v>
      </c>
      <c r="H8880" s="362"/>
      <c r="I8880" s="362"/>
      <c r="J8880" s="362"/>
    </row>
    <row r="8881" spans="1:10" x14ac:dyDescent="0.25">
      <c r="A8881" s="362"/>
      <c r="B8881" s="609">
        <v>44706</v>
      </c>
      <c r="C8881" s="362" t="s">
        <v>141</v>
      </c>
      <c r="D8881" s="560">
        <v>159826448</v>
      </c>
      <c r="E8881" s="560"/>
      <c r="F8881" s="560">
        <v>159826500</v>
      </c>
      <c r="G8881" s="560">
        <f t="shared" si="178"/>
        <v>-52</v>
      </c>
      <c r="H8881" s="362"/>
      <c r="I8881" s="362"/>
      <c r="J8881" s="362"/>
    </row>
    <row r="8882" spans="1:10" x14ac:dyDescent="0.25">
      <c r="A8882" s="362"/>
      <c r="B8882" s="609">
        <v>44706</v>
      </c>
      <c r="C8882" s="362" t="s">
        <v>89</v>
      </c>
      <c r="D8882" s="560">
        <v>210206500</v>
      </c>
      <c r="E8882" s="560"/>
      <c r="F8882" s="560">
        <v>210206600</v>
      </c>
      <c r="G8882" s="560">
        <f t="shared" si="178"/>
        <v>-100</v>
      </c>
      <c r="H8882" s="362"/>
      <c r="I8882" s="362"/>
      <c r="J8882" s="362"/>
    </row>
    <row r="8883" spans="1:10" x14ac:dyDescent="0.25">
      <c r="A8883" s="362"/>
      <c r="B8883" s="609">
        <v>44706</v>
      </c>
      <c r="C8883" s="362" t="s">
        <v>81</v>
      </c>
      <c r="D8883" s="560">
        <v>140231359</v>
      </c>
      <c r="E8883" s="560"/>
      <c r="F8883" s="560">
        <v>140231400</v>
      </c>
      <c r="G8883" s="560">
        <f t="shared" si="178"/>
        <v>-41</v>
      </c>
      <c r="H8883" s="362"/>
      <c r="I8883" s="362"/>
      <c r="J8883" s="362"/>
    </row>
    <row r="8884" spans="1:10" x14ac:dyDescent="0.25">
      <c r="A8884" s="362"/>
      <c r="B8884" s="609">
        <v>44706</v>
      </c>
      <c r="C8884" s="362" t="s">
        <v>84</v>
      </c>
      <c r="D8884" s="560">
        <v>365306881</v>
      </c>
      <c r="E8884" s="560"/>
      <c r="F8884" s="560">
        <v>365306900</v>
      </c>
      <c r="G8884" s="560">
        <f t="shared" si="178"/>
        <v>-19</v>
      </c>
      <c r="H8884" s="362"/>
      <c r="I8884" s="362"/>
      <c r="J8884" s="362"/>
    </row>
    <row r="8885" spans="1:10" x14ac:dyDescent="0.25">
      <c r="A8885" s="362"/>
      <c r="B8885" s="609">
        <v>44706</v>
      </c>
      <c r="C8885" s="362" t="s">
        <v>4751</v>
      </c>
      <c r="D8885" s="560">
        <v>207536300</v>
      </c>
      <c r="E8885" s="560"/>
      <c r="F8885" s="560">
        <v>207536300</v>
      </c>
      <c r="G8885" s="560">
        <f t="shared" si="178"/>
        <v>0</v>
      </c>
      <c r="H8885" s="362"/>
      <c r="I8885" s="362"/>
      <c r="J8885" s="362"/>
    </row>
    <row r="8886" spans="1:10" x14ac:dyDescent="0.25">
      <c r="A8886" s="362"/>
      <c r="B8886" s="609">
        <v>44706</v>
      </c>
      <c r="C8886" s="362" t="s">
        <v>166</v>
      </c>
      <c r="D8886" s="560">
        <v>140253943</v>
      </c>
      <c r="E8886" s="560"/>
      <c r="F8886" s="560">
        <v>140391300</v>
      </c>
      <c r="G8886" s="560">
        <f t="shared" si="178"/>
        <v>-137357</v>
      </c>
      <c r="H8886" s="362"/>
      <c r="I8886" s="362"/>
      <c r="J8886" s="362"/>
    </row>
    <row r="8887" spans="1:10" x14ac:dyDescent="0.25">
      <c r="A8887" s="362"/>
      <c r="B8887" s="609">
        <v>44706</v>
      </c>
      <c r="C8887" s="362" t="s">
        <v>3435</v>
      </c>
      <c r="D8887" s="560">
        <v>72863710</v>
      </c>
      <c r="E8887" s="560"/>
      <c r="F8887" s="560">
        <v>72863800</v>
      </c>
      <c r="G8887" s="560">
        <f t="shared" si="178"/>
        <v>-90</v>
      </c>
      <c r="H8887" s="362"/>
      <c r="I8887" s="362"/>
      <c r="J8887" s="362"/>
    </row>
    <row r="8888" spans="1:10" x14ac:dyDescent="0.25">
      <c r="A8888" s="362"/>
      <c r="B8888" s="609">
        <v>44706</v>
      </c>
      <c r="C8888" s="370" t="s">
        <v>85</v>
      </c>
      <c r="D8888" s="560">
        <v>64288600</v>
      </c>
      <c r="E8888" s="560"/>
      <c r="F8888" s="560">
        <v>64288600</v>
      </c>
      <c r="G8888" s="560">
        <f t="shared" si="178"/>
        <v>0</v>
      </c>
      <c r="H8888" s="362"/>
      <c r="I8888" s="362"/>
      <c r="J8888" s="362"/>
    </row>
    <row r="8889" spans="1:10" x14ac:dyDescent="0.25">
      <c r="A8889" s="530"/>
      <c r="B8889" s="530"/>
      <c r="C8889" s="530"/>
      <c r="D8889" s="562">
        <f>SUM(D8874:D8888)</f>
        <v>2998151602</v>
      </c>
      <c r="E8889" s="562">
        <f>SUM(E8874:E8888)</f>
        <v>0</v>
      </c>
      <c r="F8889" s="562">
        <f>SUM(F8874:F8888)</f>
        <v>2998289800</v>
      </c>
      <c r="G8889" s="562">
        <f>SUM(G8874:G8888)</f>
        <v>-138198</v>
      </c>
      <c r="H8889" s="530"/>
      <c r="I8889" s="530"/>
      <c r="J8889" s="530"/>
    </row>
    <row r="8890" spans="1:10" x14ac:dyDescent="0.25">
      <c r="A8890" s="362"/>
      <c r="B8890" s="609">
        <v>44707</v>
      </c>
      <c r="C8890" s="362" t="s">
        <v>86</v>
      </c>
      <c r="D8890" s="560">
        <v>241107601</v>
      </c>
      <c r="E8890" s="560"/>
      <c r="F8890" s="560">
        <v>241107600</v>
      </c>
      <c r="G8890" s="560">
        <f t="shared" si="178"/>
        <v>1</v>
      </c>
      <c r="H8890" s="362"/>
      <c r="I8890" s="362"/>
      <c r="J8890" s="362"/>
    </row>
    <row r="8891" spans="1:10" x14ac:dyDescent="0.25">
      <c r="A8891" s="362"/>
      <c r="B8891" s="609">
        <v>44707</v>
      </c>
      <c r="C8891" s="362" t="s">
        <v>87</v>
      </c>
      <c r="D8891" s="560">
        <v>119234749</v>
      </c>
      <c r="E8891" s="560"/>
      <c r="F8891" s="560">
        <v>119234800</v>
      </c>
      <c r="G8891" s="560">
        <f t="shared" si="178"/>
        <v>-51</v>
      </c>
      <c r="H8891" s="362"/>
      <c r="I8891" s="362"/>
      <c r="J8891" s="362"/>
    </row>
    <row r="8892" spans="1:10" x14ac:dyDescent="0.25">
      <c r="A8892" s="362"/>
      <c r="B8892" s="609">
        <v>44707</v>
      </c>
      <c r="C8892" s="362" t="s">
        <v>88</v>
      </c>
      <c r="D8892" s="560">
        <v>342345095</v>
      </c>
      <c r="E8892" s="560"/>
      <c r="F8892" s="560">
        <v>342345100</v>
      </c>
      <c r="G8892" s="560">
        <f t="shared" si="178"/>
        <v>-5</v>
      </c>
      <c r="H8892" s="362"/>
      <c r="I8892" s="362"/>
      <c r="J8892" s="362"/>
    </row>
    <row r="8893" spans="1:10" x14ac:dyDescent="0.25">
      <c r="A8893" s="362"/>
      <c r="B8893" s="609">
        <v>44707</v>
      </c>
      <c r="C8893" s="362" t="s">
        <v>82</v>
      </c>
      <c r="D8893" s="560">
        <v>186622165</v>
      </c>
      <c r="E8893" s="560"/>
      <c r="F8893" s="560">
        <v>186622300</v>
      </c>
      <c r="G8893" s="560">
        <f t="shared" si="178"/>
        <v>-135</v>
      </c>
      <c r="H8893" s="362"/>
      <c r="I8893" s="362"/>
      <c r="J8893" s="362"/>
    </row>
    <row r="8894" spans="1:10" x14ac:dyDescent="0.25">
      <c r="A8894" s="362"/>
      <c r="B8894" s="609">
        <v>44707</v>
      </c>
      <c r="C8894" s="362" t="s">
        <v>80</v>
      </c>
      <c r="D8894" s="560">
        <v>356361100</v>
      </c>
      <c r="E8894" s="560"/>
      <c r="F8894" s="560">
        <v>356361100</v>
      </c>
      <c r="G8894" s="560">
        <f t="shared" si="178"/>
        <v>0</v>
      </c>
      <c r="H8894" s="362"/>
      <c r="I8894" s="362"/>
      <c r="J8894" s="362"/>
    </row>
    <row r="8895" spans="1:10" x14ac:dyDescent="0.25">
      <c r="A8895" s="362"/>
      <c r="B8895" s="609">
        <v>44707</v>
      </c>
      <c r="C8895" s="362" t="s">
        <v>83</v>
      </c>
      <c r="D8895" s="560">
        <v>188305798</v>
      </c>
      <c r="E8895" s="560"/>
      <c r="F8895" s="560">
        <v>188305800</v>
      </c>
      <c r="G8895" s="560">
        <f t="shared" si="178"/>
        <v>-2</v>
      </c>
      <c r="H8895" s="362"/>
      <c r="I8895" s="362"/>
      <c r="J8895" s="362"/>
    </row>
    <row r="8896" spans="1:10" x14ac:dyDescent="0.25">
      <c r="A8896" s="362"/>
      <c r="B8896" s="609">
        <v>44707</v>
      </c>
      <c r="C8896" s="362" t="s">
        <v>78</v>
      </c>
      <c r="D8896" s="560">
        <v>139672461</v>
      </c>
      <c r="E8896" s="560"/>
      <c r="F8896" s="560">
        <v>139672500</v>
      </c>
      <c r="G8896" s="560">
        <f t="shared" si="178"/>
        <v>-39</v>
      </c>
      <c r="H8896" s="362"/>
      <c r="I8896" s="362"/>
      <c r="J8896" s="362"/>
    </row>
    <row r="8897" spans="1:10" x14ac:dyDescent="0.25">
      <c r="A8897" s="362"/>
      <c r="B8897" s="609">
        <v>44707</v>
      </c>
      <c r="C8897" s="362" t="s">
        <v>141</v>
      </c>
      <c r="D8897" s="560">
        <v>97751416</v>
      </c>
      <c r="E8897" s="560"/>
      <c r="F8897" s="560">
        <v>97751500</v>
      </c>
      <c r="G8897" s="560">
        <f t="shared" si="178"/>
        <v>-84</v>
      </c>
      <c r="H8897" s="362"/>
      <c r="I8897" s="362"/>
      <c r="J8897" s="362"/>
    </row>
    <row r="8898" spans="1:10" x14ac:dyDescent="0.25">
      <c r="A8898" s="362"/>
      <c r="B8898" s="609">
        <v>44707</v>
      </c>
      <c r="C8898" s="362" t="s">
        <v>89</v>
      </c>
      <c r="D8898" s="560">
        <v>166135500</v>
      </c>
      <c r="E8898" s="560"/>
      <c r="F8898" s="560">
        <v>166135500</v>
      </c>
      <c r="G8898" s="560">
        <f t="shared" si="178"/>
        <v>0</v>
      </c>
      <c r="H8898" s="362"/>
      <c r="I8898" s="362"/>
      <c r="J8898" s="362"/>
    </row>
    <row r="8899" spans="1:10" x14ac:dyDescent="0.25">
      <c r="A8899" s="362"/>
      <c r="B8899" s="609">
        <v>44707</v>
      </c>
      <c r="C8899" s="362" t="s">
        <v>81</v>
      </c>
      <c r="D8899" s="560">
        <v>96238694</v>
      </c>
      <c r="E8899" s="560"/>
      <c r="F8899" s="560">
        <v>96238700</v>
      </c>
      <c r="G8899" s="560">
        <f t="shared" si="178"/>
        <v>-6</v>
      </c>
      <c r="H8899" s="362"/>
      <c r="I8899" s="362"/>
      <c r="J8899" s="362"/>
    </row>
    <row r="8900" spans="1:10" x14ac:dyDescent="0.25">
      <c r="A8900" s="362"/>
      <c r="B8900" s="609">
        <v>44707</v>
      </c>
      <c r="C8900" s="362" t="s">
        <v>84</v>
      </c>
      <c r="D8900" s="560">
        <v>285152164</v>
      </c>
      <c r="E8900" s="560"/>
      <c r="F8900" s="560">
        <v>285152100</v>
      </c>
      <c r="G8900" s="560">
        <f t="shared" si="178"/>
        <v>64</v>
      </c>
      <c r="H8900" s="362"/>
      <c r="I8900" s="362"/>
      <c r="J8900" s="362"/>
    </row>
    <row r="8901" spans="1:10" x14ac:dyDescent="0.25">
      <c r="A8901" s="362"/>
      <c r="B8901" s="609">
        <v>44707</v>
      </c>
      <c r="C8901" s="362" t="s">
        <v>4751</v>
      </c>
      <c r="D8901" s="560">
        <v>299101700</v>
      </c>
      <c r="E8901" s="560"/>
      <c r="F8901" s="560">
        <v>299101600</v>
      </c>
      <c r="G8901" s="560">
        <f t="shared" si="178"/>
        <v>100</v>
      </c>
      <c r="H8901" s="362"/>
      <c r="I8901" s="362"/>
      <c r="J8901" s="362"/>
    </row>
    <row r="8902" spans="1:10" x14ac:dyDescent="0.25">
      <c r="A8902" s="362"/>
      <c r="B8902" s="609">
        <v>44707</v>
      </c>
      <c r="C8902" s="362" t="s">
        <v>166</v>
      </c>
      <c r="D8902" s="560">
        <v>135544075</v>
      </c>
      <c r="E8902" s="560"/>
      <c r="F8902" s="560">
        <v>135544000</v>
      </c>
      <c r="G8902" s="560">
        <f t="shared" si="178"/>
        <v>75</v>
      </c>
      <c r="H8902" s="362"/>
      <c r="I8902" s="362"/>
      <c r="J8902" s="362"/>
    </row>
    <row r="8903" spans="1:10" x14ac:dyDescent="0.25">
      <c r="A8903" s="362"/>
      <c r="B8903" s="609">
        <v>44707</v>
      </c>
      <c r="C8903" s="362" t="s">
        <v>3435</v>
      </c>
      <c r="D8903" s="560">
        <v>121972418</v>
      </c>
      <c r="E8903" s="560"/>
      <c r="F8903" s="560">
        <v>121972500</v>
      </c>
      <c r="G8903" s="560">
        <f t="shared" si="178"/>
        <v>-82</v>
      </c>
      <c r="H8903" s="362"/>
      <c r="I8903" s="362"/>
      <c r="J8903" s="362"/>
    </row>
    <row r="8904" spans="1:10" x14ac:dyDescent="0.25">
      <c r="A8904" s="362"/>
      <c r="B8904" s="609">
        <v>44707</v>
      </c>
      <c r="C8904" s="370" t="s">
        <v>85</v>
      </c>
      <c r="D8904" s="560">
        <v>54354000</v>
      </c>
      <c r="E8904" s="560"/>
      <c r="F8904" s="560">
        <v>54354000</v>
      </c>
      <c r="G8904" s="560">
        <f t="shared" si="178"/>
        <v>0</v>
      </c>
      <c r="H8904" s="362"/>
      <c r="I8904" s="362"/>
      <c r="J8904" s="362"/>
    </row>
    <row r="8905" spans="1:10" x14ac:dyDescent="0.25">
      <c r="A8905" s="530"/>
      <c r="B8905" s="530"/>
      <c r="C8905" s="530"/>
      <c r="D8905" s="562">
        <f>SUM(D8890:D8904)</f>
        <v>2829898936</v>
      </c>
      <c r="E8905" s="562">
        <f>SUM(E8890:E8904)</f>
        <v>0</v>
      </c>
      <c r="F8905" s="562">
        <f>SUM(F8890:F8904)</f>
        <v>2829899100</v>
      </c>
      <c r="G8905" s="562">
        <f>SUM(G8890:G8904)</f>
        <v>-164</v>
      </c>
      <c r="H8905" s="530"/>
      <c r="I8905" s="530"/>
      <c r="J8905" s="530"/>
    </row>
    <row r="8906" spans="1:10" x14ac:dyDescent="0.25">
      <c r="A8906" s="362"/>
      <c r="B8906" s="609">
        <v>44708</v>
      </c>
      <c r="C8906" s="362" t="s">
        <v>86</v>
      </c>
      <c r="D8906" s="560">
        <v>174219739</v>
      </c>
      <c r="E8906" s="560"/>
      <c r="F8906" s="560">
        <v>174219800</v>
      </c>
      <c r="G8906" s="560">
        <f t="shared" si="178"/>
        <v>-61</v>
      </c>
      <c r="H8906" s="362"/>
      <c r="I8906" s="362"/>
      <c r="J8906" s="362"/>
    </row>
    <row r="8907" spans="1:10" x14ac:dyDescent="0.25">
      <c r="A8907" s="362"/>
      <c r="B8907" s="609">
        <v>44708</v>
      </c>
      <c r="C8907" s="362" t="s">
        <v>87</v>
      </c>
      <c r="D8907" s="560">
        <v>301949865</v>
      </c>
      <c r="E8907" s="560"/>
      <c r="F8907" s="560">
        <v>301950000</v>
      </c>
      <c r="G8907" s="560">
        <f t="shared" si="178"/>
        <v>-135</v>
      </c>
      <c r="H8907" s="362"/>
      <c r="I8907" s="362"/>
      <c r="J8907" s="362"/>
    </row>
    <row r="8908" spans="1:10" x14ac:dyDescent="0.25">
      <c r="A8908" s="362"/>
      <c r="B8908" s="609">
        <v>44708</v>
      </c>
      <c r="C8908" s="362" t="s">
        <v>88</v>
      </c>
      <c r="D8908" s="560">
        <v>232371187</v>
      </c>
      <c r="E8908" s="560"/>
      <c r="F8908" s="560">
        <v>232371200</v>
      </c>
      <c r="G8908" s="560">
        <f t="shared" ref="G8908:G8971" si="179">D8908+E8908-F8908</f>
        <v>-13</v>
      </c>
      <c r="H8908" s="362"/>
      <c r="I8908" s="362"/>
      <c r="J8908" s="362"/>
    </row>
    <row r="8909" spans="1:10" x14ac:dyDescent="0.25">
      <c r="A8909" s="362"/>
      <c r="B8909" s="609">
        <v>44708</v>
      </c>
      <c r="C8909" s="362" t="s">
        <v>82</v>
      </c>
      <c r="D8909" s="560">
        <v>161013914</v>
      </c>
      <c r="E8909" s="560"/>
      <c r="F8909" s="560">
        <v>161014000</v>
      </c>
      <c r="G8909" s="560">
        <f t="shared" si="179"/>
        <v>-86</v>
      </c>
      <c r="H8909" s="362"/>
      <c r="I8909" s="362"/>
      <c r="J8909" s="362"/>
    </row>
    <row r="8910" spans="1:10" x14ac:dyDescent="0.25">
      <c r="A8910" s="362"/>
      <c r="B8910" s="609">
        <v>44708</v>
      </c>
      <c r="C8910" s="362" t="s">
        <v>80</v>
      </c>
      <c r="D8910" s="560">
        <v>474012400</v>
      </c>
      <c r="E8910" s="560"/>
      <c r="F8910" s="560">
        <v>474012400</v>
      </c>
      <c r="G8910" s="560">
        <f t="shared" si="179"/>
        <v>0</v>
      </c>
      <c r="H8910" s="362"/>
      <c r="I8910" s="362"/>
      <c r="J8910" s="362"/>
    </row>
    <row r="8911" spans="1:10" x14ac:dyDescent="0.25">
      <c r="A8911" s="362"/>
      <c r="B8911" s="609">
        <v>44708</v>
      </c>
      <c r="C8911" s="362" t="s">
        <v>83</v>
      </c>
      <c r="D8911" s="560">
        <v>480320679</v>
      </c>
      <c r="E8911" s="560"/>
      <c r="F8911" s="560">
        <v>480320900</v>
      </c>
      <c r="G8911" s="560">
        <f t="shared" si="179"/>
        <v>-221</v>
      </c>
      <c r="H8911" s="362"/>
      <c r="I8911" s="362"/>
      <c r="J8911" s="362"/>
    </row>
    <row r="8912" spans="1:10" x14ac:dyDescent="0.25">
      <c r="A8912" s="362"/>
      <c r="B8912" s="609">
        <v>44708</v>
      </c>
      <c r="C8912" s="362" t="s">
        <v>78</v>
      </c>
      <c r="D8912" s="560">
        <v>220005384</v>
      </c>
      <c r="E8912" s="560"/>
      <c r="F8912" s="560">
        <v>220005400</v>
      </c>
      <c r="G8912" s="560">
        <f t="shared" si="179"/>
        <v>-16</v>
      </c>
      <c r="H8912" s="362"/>
      <c r="I8912" s="362"/>
      <c r="J8912" s="362"/>
    </row>
    <row r="8913" spans="1:10" x14ac:dyDescent="0.25">
      <c r="A8913" s="362"/>
      <c r="B8913" s="609">
        <v>44708</v>
      </c>
      <c r="C8913" s="362" t="s">
        <v>141</v>
      </c>
      <c r="D8913" s="560">
        <v>118082043</v>
      </c>
      <c r="E8913" s="560"/>
      <c r="F8913" s="560">
        <v>118082100</v>
      </c>
      <c r="G8913" s="560">
        <f t="shared" si="179"/>
        <v>-57</v>
      </c>
      <c r="H8913" s="362"/>
      <c r="I8913" s="362"/>
      <c r="J8913" s="362"/>
    </row>
    <row r="8914" spans="1:10" x14ac:dyDescent="0.25">
      <c r="A8914" s="362"/>
      <c r="B8914" s="609">
        <v>44708</v>
      </c>
      <c r="C8914" s="362" t="s">
        <v>89</v>
      </c>
      <c r="D8914" s="560">
        <v>237079700</v>
      </c>
      <c r="E8914" s="560"/>
      <c r="F8914" s="560">
        <v>237079800</v>
      </c>
      <c r="G8914" s="560">
        <f t="shared" si="179"/>
        <v>-100</v>
      </c>
      <c r="H8914" s="362"/>
      <c r="I8914" s="362"/>
      <c r="J8914" s="362"/>
    </row>
    <row r="8915" spans="1:10" x14ac:dyDescent="0.25">
      <c r="A8915" s="362"/>
      <c r="B8915" s="609">
        <v>44708</v>
      </c>
      <c r="C8915" s="362" t="s">
        <v>81</v>
      </c>
      <c r="D8915" s="560">
        <v>106134620</v>
      </c>
      <c r="E8915" s="560"/>
      <c r="F8915" s="560">
        <v>106134700</v>
      </c>
      <c r="G8915" s="560">
        <f t="shared" si="179"/>
        <v>-80</v>
      </c>
      <c r="H8915" s="362"/>
      <c r="I8915" s="362"/>
      <c r="J8915" s="362"/>
    </row>
    <row r="8916" spans="1:10" x14ac:dyDescent="0.25">
      <c r="A8916" s="362"/>
      <c r="B8916" s="609">
        <v>44708</v>
      </c>
      <c r="C8916" s="362" t="s">
        <v>84</v>
      </c>
      <c r="D8916" s="560">
        <v>275646717</v>
      </c>
      <c r="E8916" s="560"/>
      <c r="F8916" s="560">
        <v>275646900</v>
      </c>
      <c r="G8916" s="560">
        <f t="shared" si="179"/>
        <v>-183</v>
      </c>
      <c r="H8916" s="362"/>
      <c r="I8916" s="362"/>
      <c r="J8916" s="362"/>
    </row>
    <row r="8917" spans="1:10" x14ac:dyDescent="0.25">
      <c r="A8917" s="362"/>
      <c r="B8917" s="609">
        <v>44708</v>
      </c>
      <c r="C8917" s="362" t="s">
        <v>4751</v>
      </c>
      <c r="D8917" s="560">
        <v>159582900</v>
      </c>
      <c r="E8917" s="560"/>
      <c r="F8917" s="560">
        <v>159582900</v>
      </c>
      <c r="G8917" s="560">
        <f t="shared" si="179"/>
        <v>0</v>
      </c>
      <c r="H8917" s="362"/>
      <c r="I8917" s="362"/>
      <c r="J8917" s="362"/>
    </row>
    <row r="8918" spans="1:10" x14ac:dyDescent="0.25">
      <c r="A8918" s="362"/>
      <c r="B8918" s="609">
        <v>44708</v>
      </c>
      <c r="C8918" s="362" t="s">
        <v>166</v>
      </c>
      <c r="D8918" s="560">
        <v>48459376</v>
      </c>
      <c r="E8918" s="560"/>
      <c r="F8918" s="560">
        <v>48459500</v>
      </c>
      <c r="G8918" s="560">
        <f t="shared" si="179"/>
        <v>-124</v>
      </c>
      <c r="H8918" s="362"/>
      <c r="I8918" s="362"/>
      <c r="J8918" s="362"/>
    </row>
    <row r="8919" spans="1:10" x14ac:dyDescent="0.25">
      <c r="A8919" s="362"/>
      <c r="B8919" s="609">
        <v>44708</v>
      </c>
      <c r="C8919" s="362" t="s">
        <v>3435</v>
      </c>
      <c r="D8919" s="560">
        <v>21291434</v>
      </c>
      <c r="E8919" s="560"/>
      <c r="F8919" s="560">
        <v>21291500</v>
      </c>
      <c r="G8919" s="560">
        <f t="shared" si="179"/>
        <v>-66</v>
      </c>
      <c r="H8919" s="362"/>
      <c r="I8919" s="362"/>
      <c r="J8919" s="362"/>
    </row>
    <row r="8920" spans="1:10" x14ac:dyDescent="0.25">
      <c r="A8920" s="362"/>
      <c r="B8920" s="609">
        <v>44708</v>
      </c>
      <c r="C8920" s="370" t="s">
        <v>85</v>
      </c>
      <c r="D8920" s="560">
        <v>33570900</v>
      </c>
      <c r="E8920" s="560"/>
      <c r="F8920" s="560">
        <v>33570900</v>
      </c>
      <c r="G8920" s="560">
        <f t="shared" si="179"/>
        <v>0</v>
      </c>
      <c r="H8920" s="362"/>
      <c r="I8920" s="362"/>
      <c r="J8920" s="362"/>
    </row>
    <row r="8921" spans="1:10" x14ac:dyDescent="0.25">
      <c r="A8921" s="530"/>
      <c r="B8921" s="530"/>
      <c r="C8921" s="530"/>
      <c r="D8921" s="562">
        <f>SUM(D8906:D8920)</f>
        <v>3043740858</v>
      </c>
      <c r="E8921" s="562">
        <f>SUM(E8906:E8920)</f>
        <v>0</v>
      </c>
      <c r="F8921" s="562">
        <f>SUM(F8906:F8920)</f>
        <v>3043742000</v>
      </c>
      <c r="G8921" s="562">
        <f>SUM(G8906:G8920)</f>
        <v>-1142</v>
      </c>
      <c r="H8921" s="530"/>
      <c r="I8921" s="530"/>
      <c r="J8921" s="530"/>
    </row>
    <row r="8922" spans="1:10" x14ac:dyDescent="0.25">
      <c r="A8922" s="362"/>
      <c r="B8922" s="609">
        <v>44709</v>
      </c>
      <c r="C8922" s="362" t="s">
        <v>86</v>
      </c>
      <c r="D8922" s="560">
        <v>58507946</v>
      </c>
      <c r="E8922" s="560"/>
      <c r="F8922" s="560"/>
      <c r="G8922" s="560">
        <f t="shared" si="179"/>
        <v>58507946</v>
      </c>
      <c r="H8922" s="362"/>
      <c r="I8922" s="362"/>
      <c r="J8922" s="362"/>
    </row>
    <row r="8923" spans="1:10" x14ac:dyDescent="0.25">
      <c r="A8923" s="362"/>
      <c r="B8923" s="609">
        <v>44709</v>
      </c>
      <c r="C8923" s="362" t="s">
        <v>87</v>
      </c>
      <c r="D8923" s="560">
        <v>226370402</v>
      </c>
      <c r="E8923" s="560"/>
      <c r="F8923" s="560"/>
      <c r="G8923" s="560">
        <f t="shared" si="179"/>
        <v>226370402</v>
      </c>
      <c r="H8923" s="362"/>
      <c r="I8923" s="362"/>
      <c r="J8923" s="362"/>
    </row>
    <row r="8924" spans="1:10" x14ac:dyDescent="0.25">
      <c r="A8924" s="362"/>
      <c r="B8924" s="609">
        <v>44709</v>
      </c>
      <c r="C8924" s="362" t="s">
        <v>88</v>
      </c>
      <c r="D8924" s="560">
        <v>128359553</v>
      </c>
      <c r="E8924" s="560"/>
      <c r="F8924" s="560"/>
      <c r="G8924" s="560">
        <f t="shared" si="179"/>
        <v>128359553</v>
      </c>
      <c r="H8924" s="362"/>
      <c r="I8924" s="362"/>
      <c r="J8924" s="362"/>
    </row>
    <row r="8925" spans="1:10" x14ac:dyDescent="0.25">
      <c r="A8925" s="362"/>
      <c r="B8925" s="609">
        <v>44709</v>
      </c>
      <c r="C8925" s="362" t="s">
        <v>82</v>
      </c>
      <c r="D8925" s="560">
        <v>162717196</v>
      </c>
      <c r="E8925" s="560"/>
      <c r="F8925" s="560"/>
      <c r="G8925" s="560">
        <f t="shared" si="179"/>
        <v>162717196</v>
      </c>
      <c r="H8925" s="362"/>
      <c r="I8925" s="362"/>
      <c r="J8925" s="362"/>
    </row>
    <row r="8926" spans="1:10" x14ac:dyDescent="0.25">
      <c r="A8926" s="362"/>
      <c r="B8926" s="609">
        <v>44709</v>
      </c>
      <c r="C8926" s="362" t="s">
        <v>80</v>
      </c>
      <c r="D8926" s="560">
        <v>357354400</v>
      </c>
      <c r="E8926" s="560"/>
      <c r="F8926" s="560"/>
      <c r="G8926" s="560">
        <f t="shared" si="179"/>
        <v>357354400</v>
      </c>
      <c r="H8926" s="362"/>
      <c r="I8926" s="362"/>
      <c r="J8926" s="362"/>
    </row>
    <row r="8927" spans="1:10" x14ac:dyDescent="0.25">
      <c r="A8927" s="362"/>
      <c r="B8927" s="609">
        <v>44709</v>
      </c>
      <c r="C8927" s="362" t="s">
        <v>83</v>
      </c>
      <c r="D8927" s="560">
        <v>246738000</v>
      </c>
      <c r="E8927" s="560"/>
      <c r="F8927" s="560"/>
      <c r="G8927" s="560">
        <f t="shared" si="179"/>
        <v>246738000</v>
      </c>
      <c r="H8927" s="362"/>
      <c r="I8927" s="362"/>
      <c r="J8927" s="362"/>
    </row>
    <row r="8928" spans="1:10" x14ac:dyDescent="0.25">
      <c r="A8928" s="362"/>
      <c r="B8928" s="609">
        <v>44709</v>
      </c>
      <c r="C8928" s="362" t="s">
        <v>78</v>
      </c>
      <c r="D8928" s="560">
        <v>166738226</v>
      </c>
      <c r="E8928" s="560"/>
      <c r="F8928" s="560"/>
      <c r="G8928" s="560">
        <f t="shared" si="179"/>
        <v>166738226</v>
      </c>
      <c r="H8928" s="362"/>
      <c r="I8928" s="362"/>
      <c r="J8928" s="362"/>
    </row>
    <row r="8929" spans="1:10" x14ac:dyDescent="0.25">
      <c r="A8929" s="362"/>
      <c r="B8929" s="609">
        <v>44709</v>
      </c>
      <c r="C8929" s="362" t="s">
        <v>141</v>
      </c>
      <c r="D8929" s="560">
        <v>66052042</v>
      </c>
      <c r="E8929" s="560"/>
      <c r="F8929" s="560"/>
      <c r="G8929" s="560">
        <f t="shared" si="179"/>
        <v>66052042</v>
      </c>
      <c r="H8929" s="362"/>
      <c r="I8929" s="362"/>
      <c r="J8929" s="362"/>
    </row>
    <row r="8930" spans="1:10" x14ac:dyDescent="0.25">
      <c r="A8930" s="362"/>
      <c r="B8930" s="609">
        <v>44709</v>
      </c>
      <c r="C8930" s="362" t="s">
        <v>89</v>
      </c>
      <c r="D8930" s="560">
        <v>149726000</v>
      </c>
      <c r="E8930" s="560"/>
      <c r="F8930" s="560"/>
      <c r="G8930" s="560">
        <f t="shared" si="179"/>
        <v>149726000</v>
      </c>
      <c r="H8930" s="362"/>
      <c r="I8930" s="362"/>
      <c r="J8930" s="362"/>
    </row>
    <row r="8931" spans="1:10" x14ac:dyDescent="0.25">
      <c r="A8931" s="362"/>
      <c r="B8931" s="609">
        <v>44709</v>
      </c>
      <c r="C8931" s="362" t="s">
        <v>81</v>
      </c>
      <c r="D8931" s="560">
        <v>236592893</v>
      </c>
      <c r="E8931" s="560"/>
      <c r="F8931" s="560"/>
      <c r="G8931" s="560">
        <f t="shared" si="179"/>
        <v>236592893</v>
      </c>
      <c r="H8931" s="362"/>
      <c r="I8931" s="362"/>
      <c r="J8931" s="362"/>
    </row>
    <row r="8932" spans="1:10" x14ac:dyDescent="0.25">
      <c r="A8932" s="362"/>
      <c r="B8932" s="609">
        <v>44709</v>
      </c>
      <c r="C8932" s="362" t="s">
        <v>84</v>
      </c>
      <c r="D8932" s="560">
        <v>175885971</v>
      </c>
      <c r="E8932" s="560"/>
      <c r="F8932" s="560"/>
      <c r="G8932" s="560">
        <f t="shared" si="179"/>
        <v>175885971</v>
      </c>
      <c r="H8932" s="362"/>
      <c r="I8932" s="362"/>
      <c r="J8932" s="362"/>
    </row>
    <row r="8933" spans="1:10" x14ac:dyDescent="0.25">
      <c r="A8933" s="362"/>
      <c r="B8933" s="609">
        <v>44709</v>
      </c>
      <c r="C8933" s="362" t="s">
        <v>4751</v>
      </c>
      <c r="D8933" s="560">
        <v>201927800</v>
      </c>
      <c r="E8933" s="560"/>
      <c r="F8933" s="560"/>
      <c r="G8933" s="560">
        <f t="shared" si="179"/>
        <v>201927800</v>
      </c>
      <c r="H8933" s="362"/>
      <c r="I8933" s="362"/>
      <c r="J8933" s="362"/>
    </row>
    <row r="8934" spans="1:10" x14ac:dyDescent="0.25">
      <c r="A8934" s="362"/>
      <c r="B8934" s="609">
        <v>44709</v>
      </c>
      <c r="C8934" s="362" t="s">
        <v>166</v>
      </c>
      <c r="D8934" s="560"/>
      <c r="E8934" s="560"/>
      <c r="F8934" s="560"/>
      <c r="G8934" s="560">
        <f t="shared" si="179"/>
        <v>0</v>
      </c>
      <c r="H8934" s="362"/>
      <c r="I8934" s="362"/>
      <c r="J8934" s="362"/>
    </row>
    <row r="8935" spans="1:10" x14ac:dyDescent="0.25">
      <c r="A8935" s="362"/>
      <c r="B8935" s="609">
        <v>44709</v>
      </c>
      <c r="C8935" s="362" t="s">
        <v>3435</v>
      </c>
      <c r="D8935" s="560"/>
      <c r="E8935" s="560"/>
      <c r="F8935" s="560"/>
      <c r="G8935" s="560">
        <f t="shared" si="179"/>
        <v>0</v>
      </c>
      <c r="H8935" s="362"/>
      <c r="I8935" s="362"/>
      <c r="J8935" s="362"/>
    </row>
    <row r="8936" spans="1:10" x14ac:dyDescent="0.25">
      <c r="A8936" s="362"/>
      <c r="B8936" s="609">
        <v>44709</v>
      </c>
      <c r="C8936" s="370" t="s">
        <v>85</v>
      </c>
      <c r="D8936" s="362">
        <v>59771400</v>
      </c>
      <c r="E8936" s="362"/>
      <c r="F8936" s="362"/>
      <c r="G8936" s="560">
        <f t="shared" si="179"/>
        <v>59771400</v>
      </c>
      <c r="H8936" s="362"/>
      <c r="I8936" s="362"/>
      <c r="J8936" s="362"/>
    </row>
    <row r="8937" spans="1:10" x14ac:dyDescent="0.25">
      <c r="A8937" s="530"/>
      <c r="B8937" s="530"/>
      <c r="C8937" s="530"/>
      <c r="D8937" s="630">
        <f>SUM(D8922:D8936)</f>
        <v>2236741829</v>
      </c>
      <c r="E8937" s="630">
        <f>SUM(E8922:E8936)</f>
        <v>0</v>
      </c>
      <c r="F8937" s="630">
        <f>SUM(F8922:F8936)</f>
        <v>0</v>
      </c>
      <c r="G8937" s="630">
        <f>SUM(G8922:G8936)</f>
        <v>2236741829</v>
      </c>
      <c r="H8937" s="530"/>
      <c r="I8937" s="530"/>
      <c r="J8937" s="530"/>
    </row>
    <row r="8938" spans="1:10" x14ac:dyDescent="0.25">
      <c r="A8938" s="362"/>
      <c r="B8938" s="609">
        <v>44711</v>
      </c>
      <c r="C8938" s="362" t="s">
        <v>86</v>
      </c>
      <c r="D8938" s="560">
        <v>129972514</v>
      </c>
      <c r="E8938" s="560"/>
      <c r="F8938" s="560"/>
      <c r="G8938" s="560">
        <f t="shared" si="179"/>
        <v>129972514</v>
      </c>
      <c r="H8938" s="362"/>
      <c r="I8938" s="362"/>
      <c r="J8938" s="362"/>
    </row>
    <row r="8939" spans="1:10" x14ac:dyDescent="0.25">
      <c r="A8939" s="362"/>
      <c r="B8939" s="609">
        <v>44711</v>
      </c>
      <c r="C8939" s="362" t="s">
        <v>87</v>
      </c>
      <c r="D8939" s="560">
        <v>390006732</v>
      </c>
      <c r="E8939" s="560"/>
      <c r="F8939" s="560"/>
      <c r="G8939" s="560">
        <f t="shared" si="179"/>
        <v>390006732</v>
      </c>
      <c r="H8939" s="362"/>
      <c r="I8939" s="362"/>
      <c r="J8939" s="362"/>
    </row>
    <row r="8940" spans="1:10" x14ac:dyDescent="0.25">
      <c r="A8940" s="362"/>
      <c r="B8940" s="609">
        <v>44711</v>
      </c>
      <c r="C8940" s="362" t="s">
        <v>88</v>
      </c>
      <c r="D8940" s="560">
        <v>272431612</v>
      </c>
      <c r="E8940" s="560"/>
      <c r="F8940" s="560"/>
      <c r="G8940" s="560">
        <f t="shared" si="179"/>
        <v>272431612</v>
      </c>
      <c r="H8940" s="362"/>
      <c r="I8940" s="362"/>
      <c r="J8940" s="362"/>
    </row>
    <row r="8941" spans="1:10" x14ac:dyDescent="0.25">
      <c r="A8941" s="362"/>
      <c r="B8941" s="609">
        <v>44711</v>
      </c>
      <c r="C8941" s="362" t="s">
        <v>82</v>
      </c>
      <c r="D8941" s="560">
        <v>86127870</v>
      </c>
      <c r="E8941" s="560"/>
      <c r="F8941" s="560"/>
      <c r="G8941" s="560">
        <f t="shared" si="179"/>
        <v>86127870</v>
      </c>
      <c r="H8941" s="362"/>
      <c r="I8941" s="362"/>
      <c r="J8941" s="362"/>
    </row>
    <row r="8942" spans="1:10" x14ac:dyDescent="0.25">
      <c r="A8942" s="362"/>
      <c r="B8942" s="609">
        <v>44711</v>
      </c>
      <c r="C8942" s="362" t="s">
        <v>80</v>
      </c>
      <c r="D8942" s="560">
        <v>310894400</v>
      </c>
      <c r="E8942" s="560"/>
      <c r="F8942" s="560"/>
      <c r="G8942" s="560">
        <f t="shared" si="179"/>
        <v>310894400</v>
      </c>
      <c r="H8942" s="362"/>
      <c r="I8942" s="362"/>
      <c r="J8942" s="362"/>
    </row>
    <row r="8943" spans="1:10" x14ac:dyDescent="0.25">
      <c r="A8943" s="362"/>
      <c r="B8943" s="609">
        <v>44711</v>
      </c>
      <c r="C8943" s="362" t="s">
        <v>83</v>
      </c>
      <c r="D8943" s="560">
        <v>320781780</v>
      </c>
      <c r="E8943" s="560"/>
      <c r="F8943" s="560"/>
      <c r="G8943" s="560">
        <f t="shared" si="179"/>
        <v>320781780</v>
      </c>
      <c r="H8943" s="362"/>
      <c r="I8943" s="362"/>
      <c r="J8943" s="362"/>
    </row>
    <row r="8944" spans="1:10" x14ac:dyDescent="0.25">
      <c r="A8944" s="362"/>
      <c r="B8944" s="609">
        <v>44711</v>
      </c>
      <c r="C8944" s="362" t="s">
        <v>78</v>
      </c>
      <c r="D8944" s="560">
        <v>103110021</v>
      </c>
      <c r="E8944" s="560"/>
      <c r="F8944" s="560"/>
      <c r="G8944" s="560">
        <f t="shared" si="179"/>
        <v>103110021</v>
      </c>
      <c r="H8944" s="362"/>
      <c r="I8944" s="362"/>
      <c r="J8944" s="362"/>
    </row>
    <row r="8945" spans="1:10" x14ac:dyDescent="0.25">
      <c r="A8945" s="362"/>
      <c r="B8945" s="609">
        <v>44711</v>
      </c>
      <c r="C8945" s="362" t="s">
        <v>141</v>
      </c>
      <c r="D8945" s="560">
        <v>90849549</v>
      </c>
      <c r="E8945" s="560"/>
      <c r="F8945" s="560"/>
      <c r="G8945" s="560">
        <f t="shared" si="179"/>
        <v>90849549</v>
      </c>
      <c r="H8945" s="362"/>
      <c r="I8945" s="362"/>
      <c r="J8945" s="362"/>
    </row>
    <row r="8946" spans="1:10" x14ac:dyDescent="0.25">
      <c r="A8946" s="362"/>
      <c r="B8946" s="609">
        <v>44711</v>
      </c>
      <c r="C8946" s="362" t="s">
        <v>89</v>
      </c>
      <c r="D8946" s="560">
        <v>201851900</v>
      </c>
      <c r="E8946" s="560"/>
      <c r="F8946" s="560"/>
      <c r="G8946" s="560">
        <f t="shared" si="179"/>
        <v>201851900</v>
      </c>
      <c r="H8946" s="362"/>
      <c r="I8946" s="362"/>
      <c r="J8946" s="362"/>
    </row>
    <row r="8947" spans="1:10" x14ac:dyDescent="0.25">
      <c r="A8947" s="362"/>
      <c r="B8947" s="609">
        <v>44711</v>
      </c>
      <c r="C8947" s="362" t="s">
        <v>81</v>
      </c>
      <c r="D8947" s="560">
        <v>147211537</v>
      </c>
      <c r="E8947" s="560"/>
      <c r="F8947" s="560"/>
      <c r="G8947" s="560">
        <f t="shared" si="179"/>
        <v>147211537</v>
      </c>
      <c r="H8947" s="362"/>
      <c r="I8947" s="362"/>
      <c r="J8947" s="362"/>
    </row>
    <row r="8948" spans="1:10" x14ac:dyDescent="0.25">
      <c r="A8948" s="362"/>
      <c r="B8948" s="609">
        <v>44711</v>
      </c>
      <c r="C8948" s="362" t="s">
        <v>84</v>
      </c>
      <c r="D8948" s="560">
        <v>541504871</v>
      </c>
      <c r="E8948" s="560"/>
      <c r="F8948" s="560"/>
      <c r="G8948" s="560">
        <f t="shared" si="179"/>
        <v>541504871</v>
      </c>
      <c r="H8948" s="362"/>
      <c r="I8948" s="362"/>
      <c r="J8948" s="362"/>
    </row>
    <row r="8949" spans="1:10" x14ac:dyDescent="0.25">
      <c r="A8949" s="362"/>
      <c r="B8949" s="609">
        <v>44711</v>
      </c>
      <c r="C8949" s="362" t="s">
        <v>4751</v>
      </c>
      <c r="D8949" s="560">
        <v>222713000</v>
      </c>
      <c r="E8949" s="560"/>
      <c r="F8949" s="560"/>
      <c r="G8949" s="560">
        <f t="shared" si="179"/>
        <v>222713000</v>
      </c>
      <c r="H8949" s="362"/>
      <c r="I8949" s="362"/>
      <c r="J8949" s="362"/>
    </row>
    <row r="8950" spans="1:10" x14ac:dyDescent="0.25">
      <c r="A8950" s="362"/>
      <c r="B8950" s="609">
        <v>44711</v>
      </c>
      <c r="C8950" s="362" t="s">
        <v>166</v>
      </c>
      <c r="D8950" s="560">
        <v>132829068</v>
      </c>
      <c r="E8950" s="560"/>
      <c r="F8950" s="560"/>
      <c r="G8950" s="560">
        <f t="shared" si="179"/>
        <v>132829068</v>
      </c>
      <c r="H8950" s="362"/>
      <c r="I8950" s="362"/>
      <c r="J8950" s="362"/>
    </row>
    <row r="8951" spans="1:10" x14ac:dyDescent="0.25">
      <c r="A8951" s="362"/>
      <c r="B8951" s="609">
        <v>44711</v>
      </c>
      <c r="C8951" s="362" t="s">
        <v>3435</v>
      </c>
      <c r="D8951" s="560">
        <v>50426774</v>
      </c>
      <c r="E8951" s="560"/>
      <c r="F8951" s="560"/>
      <c r="G8951" s="560">
        <f t="shared" si="179"/>
        <v>50426774</v>
      </c>
      <c r="H8951" s="362"/>
      <c r="I8951" s="362"/>
      <c r="J8951" s="362"/>
    </row>
    <row r="8952" spans="1:10" x14ac:dyDescent="0.25">
      <c r="A8952" s="362"/>
      <c r="B8952" s="609">
        <v>44711</v>
      </c>
      <c r="C8952" s="370" t="s">
        <v>85</v>
      </c>
      <c r="D8952" s="560">
        <v>85337000</v>
      </c>
      <c r="E8952" s="560"/>
      <c r="F8952" s="560"/>
      <c r="G8952" s="560">
        <f t="shared" si="179"/>
        <v>85337000</v>
      </c>
      <c r="H8952" s="362"/>
      <c r="I8952" s="362"/>
      <c r="J8952" s="362"/>
    </row>
    <row r="8953" spans="1:10" x14ac:dyDescent="0.25">
      <c r="A8953" s="530"/>
      <c r="B8953" s="530"/>
      <c r="C8953" s="530"/>
      <c r="D8953" s="562">
        <f>SUM(D8938:D8952)</f>
        <v>3086048628</v>
      </c>
      <c r="E8953" s="562">
        <f>SUM(E8938:E8952)</f>
        <v>0</v>
      </c>
      <c r="F8953" s="562">
        <f>SUM(F8938:F8952)</f>
        <v>0</v>
      </c>
      <c r="G8953" s="562">
        <f>SUM(G8938:G8952)</f>
        <v>3086048628</v>
      </c>
      <c r="H8953" s="530"/>
      <c r="I8953" s="530"/>
      <c r="J8953" s="530"/>
    </row>
    <row r="8954" spans="1:10" s="1373" customFormat="1" x14ac:dyDescent="0.25">
      <c r="A8954" s="1372"/>
      <c r="B8954" s="1374">
        <v>44712</v>
      </c>
      <c r="C8954" s="362" t="s">
        <v>86</v>
      </c>
      <c r="D8954" s="575">
        <v>134579985</v>
      </c>
      <c r="E8954" s="575"/>
      <c r="F8954" s="575"/>
      <c r="G8954" s="560">
        <f t="shared" si="179"/>
        <v>134579985</v>
      </c>
      <c r="H8954" s="1372"/>
      <c r="I8954" s="1372"/>
      <c r="J8954" s="1372"/>
    </row>
    <row r="8955" spans="1:10" s="1373" customFormat="1" x14ac:dyDescent="0.25">
      <c r="A8955" s="1372"/>
      <c r="B8955" s="1374">
        <v>44712</v>
      </c>
      <c r="C8955" s="362" t="s">
        <v>87</v>
      </c>
      <c r="D8955" s="575">
        <v>214913502</v>
      </c>
      <c r="E8955" s="575"/>
      <c r="F8955" s="575"/>
      <c r="G8955" s="560">
        <f t="shared" si="179"/>
        <v>214913502</v>
      </c>
      <c r="H8955" s="1372"/>
      <c r="I8955" s="1372"/>
      <c r="J8955" s="1372"/>
    </row>
    <row r="8956" spans="1:10" s="1373" customFormat="1" x14ac:dyDescent="0.25">
      <c r="A8956" s="1372"/>
      <c r="B8956" s="1374">
        <v>44712</v>
      </c>
      <c r="C8956" s="362" t="s">
        <v>88</v>
      </c>
      <c r="D8956" s="575">
        <v>274157164</v>
      </c>
      <c r="E8956" s="575"/>
      <c r="F8956" s="575"/>
      <c r="G8956" s="560">
        <f t="shared" si="179"/>
        <v>274157164</v>
      </c>
      <c r="H8956" s="1372"/>
      <c r="I8956" s="1372"/>
      <c r="J8956" s="1372"/>
    </row>
    <row r="8957" spans="1:10" s="1373" customFormat="1" x14ac:dyDescent="0.25">
      <c r="A8957" s="1372"/>
      <c r="B8957" s="1374">
        <v>44712</v>
      </c>
      <c r="C8957" s="362" t="s">
        <v>82</v>
      </c>
      <c r="D8957" s="575">
        <v>52127212</v>
      </c>
      <c r="E8957" s="575"/>
      <c r="F8957" s="575"/>
      <c r="G8957" s="560">
        <f t="shared" si="179"/>
        <v>52127212</v>
      </c>
      <c r="H8957" s="1372"/>
      <c r="I8957" s="1372"/>
      <c r="J8957" s="1372"/>
    </row>
    <row r="8958" spans="1:10" s="1373" customFormat="1" x14ac:dyDescent="0.25">
      <c r="A8958" s="1372"/>
      <c r="B8958" s="1374">
        <v>44712</v>
      </c>
      <c r="C8958" s="362" t="s">
        <v>80</v>
      </c>
      <c r="D8958" s="575">
        <v>487578800</v>
      </c>
      <c r="E8958" s="575"/>
      <c r="F8958" s="575"/>
      <c r="G8958" s="560">
        <f t="shared" si="179"/>
        <v>487578800</v>
      </c>
      <c r="H8958" s="1372"/>
      <c r="I8958" s="1372"/>
      <c r="J8958" s="1372"/>
    </row>
    <row r="8959" spans="1:10" s="1373" customFormat="1" x14ac:dyDescent="0.25">
      <c r="A8959" s="1372"/>
      <c r="B8959" s="1374">
        <v>44712</v>
      </c>
      <c r="C8959" s="362" t="s">
        <v>83</v>
      </c>
      <c r="D8959" s="575">
        <v>268675500</v>
      </c>
      <c r="E8959" s="575"/>
      <c r="F8959" s="575"/>
      <c r="G8959" s="560">
        <f t="shared" si="179"/>
        <v>268675500</v>
      </c>
      <c r="H8959" s="1372"/>
      <c r="I8959" s="1372"/>
      <c r="J8959" s="1372"/>
    </row>
    <row r="8960" spans="1:10" s="1373" customFormat="1" x14ac:dyDescent="0.25">
      <c r="A8960" s="1372"/>
      <c r="B8960" s="1374">
        <v>44712</v>
      </c>
      <c r="C8960" s="362" t="s">
        <v>78</v>
      </c>
      <c r="D8960" s="575">
        <v>122244727</v>
      </c>
      <c r="E8960" s="575"/>
      <c r="F8960" s="575"/>
      <c r="G8960" s="560">
        <f t="shared" si="179"/>
        <v>122244727</v>
      </c>
      <c r="H8960" s="1372"/>
      <c r="I8960" s="1372"/>
      <c r="J8960" s="1372"/>
    </row>
    <row r="8961" spans="1:10" s="1373" customFormat="1" x14ac:dyDescent="0.25">
      <c r="A8961" s="1372"/>
      <c r="B8961" s="1374">
        <v>44712</v>
      </c>
      <c r="C8961" s="362" t="s">
        <v>141</v>
      </c>
      <c r="D8961" s="575">
        <v>115171444</v>
      </c>
      <c r="E8961" s="575"/>
      <c r="F8961" s="575"/>
      <c r="G8961" s="560">
        <f t="shared" si="179"/>
        <v>115171444</v>
      </c>
      <c r="H8961" s="1372"/>
      <c r="I8961" s="1372"/>
      <c r="J8961" s="1372"/>
    </row>
    <row r="8962" spans="1:10" s="1373" customFormat="1" x14ac:dyDescent="0.25">
      <c r="A8962" s="1372"/>
      <c r="B8962" s="1374">
        <v>44712</v>
      </c>
      <c r="C8962" s="362" t="s">
        <v>89</v>
      </c>
      <c r="D8962" s="575">
        <v>275268000</v>
      </c>
      <c r="E8962" s="575"/>
      <c r="F8962" s="575"/>
      <c r="G8962" s="560">
        <f t="shared" si="179"/>
        <v>275268000</v>
      </c>
      <c r="H8962" s="1372"/>
      <c r="I8962" s="1372"/>
      <c r="J8962" s="1372"/>
    </row>
    <row r="8963" spans="1:10" s="1373" customFormat="1" x14ac:dyDescent="0.25">
      <c r="A8963" s="1372"/>
      <c r="B8963" s="1374">
        <v>44712</v>
      </c>
      <c r="C8963" s="362" t="s">
        <v>81</v>
      </c>
      <c r="D8963" s="575">
        <v>133793409</v>
      </c>
      <c r="E8963" s="575"/>
      <c r="F8963" s="575"/>
      <c r="G8963" s="560">
        <f t="shared" si="179"/>
        <v>133793409</v>
      </c>
      <c r="H8963" s="1372"/>
      <c r="I8963" s="1372"/>
      <c r="J8963" s="1372"/>
    </row>
    <row r="8964" spans="1:10" s="1373" customFormat="1" x14ac:dyDescent="0.25">
      <c r="A8964" s="1372"/>
      <c r="B8964" s="1374">
        <v>44712</v>
      </c>
      <c r="C8964" s="362" t="s">
        <v>84</v>
      </c>
      <c r="D8964" s="575">
        <v>397916694</v>
      </c>
      <c r="E8964" s="575"/>
      <c r="F8964" s="575"/>
      <c r="G8964" s="560">
        <f t="shared" si="179"/>
        <v>397916694</v>
      </c>
      <c r="H8964" s="1372"/>
      <c r="I8964" s="1372"/>
      <c r="J8964" s="1372"/>
    </row>
    <row r="8965" spans="1:10" s="1373" customFormat="1" x14ac:dyDescent="0.25">
      <c r="A8965" s="1372"/>
      <c r="B8965" s="1374">
        <v>44712</v>
      </c>
      <c r="C8965" s="362" t="s">
        <v>4751</v>
      </c>
      <c r="D8965" s="575">
        <v>265485300</v>
      </c>
      <c r="E8965" s="575"/>
      <c r="F8965" s="575"/>
      <c r="G8965" s="560">
        <f t="shared" si="179"/>
        <v>265485300</v>
      </c>
      <c r="H8965" s="1372"/>
      <c r="I8965" s="1372"/>
      <c r="J8965" s="1372"/>
    </row>
    <row r="8966" spans="1:10" s="1373" customFormat="1" x14ac:dyDescent="0.25">
      <c r="A8966" s="1372"/>
      <c r="B8966" s="1374">
        <v>44712</v>
      </c>
      <c r="C8966" s="362" t="s">
        <v>166</v>
      </c>
      <c r="D8966" s="575">
        <v>148481446</v>
      </c>
      <c r="E8966" s="575"/>
      <c r="F8966" s="575"/>
      <c r="G8966" s="560">
        <f t="shared" si="179"/>
        <v>148481446</v>
      </c>
      <c r="H8966" s="1372"/>
      <c r="I8966" s="1372"/>
      <c r="J8966" s="1372"/>
    </row>
    <row r="8967" spans="1:10" s="1373" customFormat="1" x14ac:dyDescent="0.25">
      <c r="A8967" s="1372"/>
      <c r="B8967" s="1374">
        <v>44712</v>
      </c>
      <c r="C8967" s="362" t="s">
        <v>3435</v>
      </c>
      <c r="D8967" s="575">
        <v>142403719</v>
      </c>
      <c r="E8967" s="575"/>
      <c r="F8967" s="575"/>
      <c r="G8967" s="560">
        <f t="shared" si="179"/>
        <v>142403719</v>
      </c>
      <c r="H8967" s="1372"/>
      <c r="I8967" s="1372"/>
      <c r="J8967" s="1372"/>
    </row>
    <row r="8968" spans="1:10" s="1373" customFormat="1" x14ac:dyDescent="0.25">
      <c r="A8968" s="1372"/>
      <c r="B8968" s="1374">
        <v>44712</v>
      </c>
      <c r="C8968" s="370" t="s">
        <v>85</v>
      </c>
      <c r="D8968" s="575">
        <v>59553500</v>
      </c>
      <c r="E8968" s="575"/>
      <c r="F8968" s="575"/>
      <c r="G8968" s="560">
        <f t="shared" si="179"/>
        <v>59553500</v>
      </c>
      <c r="H8968" s="1372"/>
      <c r="I8968" s="1372"/>
      <c r="J8968" s="1372"/>
    </row>
    <row r="8969" spans="1:10" s="1373" customFormat="1" x14ac:dyDescent="0.25">
      <c r="A8969" s="896"/>
      <c r="B8969" s="896"/>
      <c r="C8969" s="896"/>
      <c r="D8969" s="897">
        <f>SUM(D8954:D8968)</f>
        <v>3092350402</v>
      </c>
      <c r="E8969" s="897">
        <f>SUM(E8954:E8968)</f>
        <v>0</v>
      </c>
      <c r="F8969" s="897">
        <f>SUM(F8954:F8968)</f>
        <v>0</v>
      </c>
      <c r="G8969" s="897">
        <f>SUM(G8954:G8968)</f>
        <v>3092350402</v>
      </c>
      <c r="H8969" s="896"/>
      <c r="I8969" s="896"/>
      <c r="J8969" s="896"/>
    </row>
    <row r="8970" spans="1:10" x14ac:dyDescent="0.25">
      <c r="A8970" s="362"/>
      <c r="B8970" s="609">
        <v>44713</v>
      </c>
      <c r="C8970" s="362" t="s">
        <v>86</v>
      </c>
      <c r="D8970" s="560">
        <v>97990415</v>
      </c>
      <c r="E8970" s="560"/>
      <c r="F8970" s="560"/>
      <c r="G8970" s="560">
        <f t="shared" si="179"/>
        <v>97990415</v>
      </c>
      <c r="H8970" s="362"/>
      <c r="I8970" s="362"/>
      <c r="J8970" s="362"/>
    </row>
    <row r="8971" spans="1:10" x14ac:dyDescent="0.25">
      <c r="A8971" s="362"/>
      <c r="B8971" s="609">
        <v>44713</v>
      </c>
      <c r="C8971" s="362" t="s">
        <v>87</v>
      </c>
      <c r="D8971" s="560">
        <v>148583493</v>
      </c>
      <c r="E8971" s="560"/>
      <c r="F8971" s="560"/>
      <c r="G8971" s="560">
        <f t="shared" si="179"/>
        <v>148583493</v>
      </c>
      <c r="H8971" s="362"/>
      <c r="I8971" s="362"/>
      <c r="J8971" s="362"/>
    </row>
    <row r="8972" spans="1:10" x14ac:dyDescent="0.25">
      <c r="A8972" s="362"/>
      <c r="B8972" s="609">
        <v>44713</v>
      </c>
      <c r="C8972" s="362" t="s">
        <v>88</v>
      </c>
      <c r="D8972" s="560">
        <v>151377955</v>
      </c>
      <c r="E8972" s="560"/>
      <c r="F8972" s="560"/>
      <c r="G8972" s="560">
        <f t="shared" ref="G8972:G9016" si="180">D8972+E8972-F8972</f>
        <v>151377955</v>
      </c>
      <c r="H8972" s="362"/>
      <c r="I8972" s="362"/>
      <c r="J8972" s="362"/>
    </row>
    <row r="8973" spans="1:10" x14ac:dyDescent="0.25">
      <c r="A8973" s="362"/>
      <c r="B8973" s="609">
        <v>44713</v>
      </c>
      <c r="C8973" s="362" t="s">
        <v>82</v>
      </c>
      <c r="D8973" s="560">
        <v>63816961</v>
      </c>
      <c r="E8973" s="560"/>
      <c r="F8973" s="560"/>
      <c r="G8973" s="560">
        <f t="shared" si="180"/>
        <v>63816961</v>
      </c>
      <c r="H8973" s="362"/>
      <c r="I8973" s="362"/>
      <c r="J8973" s="362"/>
    </row>
    <row r="8974" spans="1:10" x14ac:dyDescent="0.25">
      <c r="A8974" s="362"/>
      <c r="B8974" s="609">
        <v>44713</v>
      </c>
      <c r="C8974" s="362" t="s">
        <v>80</v>
      </c>
      <c r="D8974" s="560">
        <v>294985700</v>
      </c>
      <c r="E8974" s="560"/>
      <c r="F8974" s="560"/>
      <c r="G8974" s="560">
        <f t="shared" si="180"/>
        <v>294985700</v>
      </c>
      <c r="H8974" s="362"/>
      <c r="I8974" s="362"/>
      <c r="J8974" s="362"/>
    </row>
    <row r="8975" spans="1:10" x14ac:dyDescent="0.25">
      <c r="A8975" s="362"/>
      <c r="B8975" s="609">
        <v>44713</v>
      </c>
      <c r="C8975" s="362" t="s">
        <v>83</v>
      </c>
      <c r="D8975" s="560">
        <v>192591906</v>
      </c>
      <c r="E8975" s="560"/>
      <c r="F8975" s="560"/>
      <c r="G8975" s="560">
        <f t="shared" si="180"/>
        <v>192591906</v>
      </c>
      <c r="H8975" s="362"/>
      <c r="I8975" s="362"/>
      <c r="J8975" s="362"/>
    </row>
    <row r="8976" spans="1:10" x14ac:dyDescent="0.25">
      <c r="A8976" s="362"/>
      <c r="B8976" s="609">
        <v>44713</v>
      </c>
      <c r="C8976" s="362" t="s">
        <v>78</v>
      </c>
      <c r="D8976" s="560">
        <v>173877037</v>
      </c>
      <c r="E8976" s="560"/>
      <c r="F8976" s="560"/>
      <c r="G8976" s="560">
        <f t="shared" si="180"/>
        <v>173877037</v>
      </c>
      <c r="H8976" s="362"/>
      <c r="I8976" s="362"/>
      <c r="J8976" s="362"/>
    </row>
    <row r="8977" spans="1:10" x14ac:dyDescent="0.25">
      <c r="A8977" s="362"/>
      <c r="B8977" s="609">
        <v>44713</v>
      </c>
      <c r="C8977" s="362" t="s">
        <v>141</v>
      </c>
      <c r="D8977" s="560">
        <v>171947158</v>
      </c>
      <c r="E8977" s="560"/>
      <c r="F8977" s="560"/>
      <c r="G8977" s="560">
        <f t="shared" si="180"/>
        <v>171947158</v>
      </c>
      <c r="H8977" s="362"/>
      <c r="I8977" s="362"/>
      <c r="J8977" s="362"/>
    </row>
    <row r="8978" spans="1:10" x14ac:dyDescent="0.25">
      <c r="A8978" s="362"/>
      <c r="B8978" s="609">
        <v>44713</v>
      </c>
      <c r="C8978" s="362" t="s">
        <v>89</v>
      </c>
      <c r="D8978" s="560">
        <v>230673400</v>
      </c>
      <c r="E8978" s="560"/>
      <c r="F8978" s="560"/>
      <c r="G8978" s="560">
        <f t="shared" si="180"/>
        <v>230673400</v>
      </c>
      <c r="H8978" s="362"/>
      <c r="I8978" s="362"/>
      <c r="J8978" s="362"/>
    </row>
    <row r="8979" spans="1:10" x14ac:dyDescent="0.25">
      <c r="A8979" s="362"/>
      <c r="B8979" s="609">
        <v>44713</v>
      </c>
      <c r="C8979" s="362" t="s">
        <v>81</v>
      </c>
      <c r="D8979" s="560">
        <v>72968826</v>
      </c>
      <c r="E8979" s="560"/>
      <c r="F8979" s="560"/>
      <c r="G8979" s="560">
        <f t="shared" si="180"/>
        <v>72968826</v>
      </c>
      <c r="H8979" s="362"/>
      <c r="I8979" s="362"/>
      <c r="J8979" s="362"/>
    </row>
    <row r="8980" spans="1:10" x14ac:dyDescent="0.25">
      <c r="A8980" s="362"/>
      <c r="B8980" s="609">
        <v>44713</v>
      </c>
      <c r="C8980" s="362" t="s">
        <v>84</v>
      </c>
      <c r="D8980" s="560">
        <v>434423152</v>
      </c>
      <c r="E8980" s="560"/>
      <c r="F8980" s="560"/>
      <c r="G8980" s="560">
        <f t="shared" si="180"/>
        <v>434423152</v>
      </c>
      <c r="H8980" s="362"/>
      <c r="I8980" s="362"/>
      <c r="J8980" s="362"/>
    </row>
    <row r="8981" spans="1:10" x14ac:dyDescent="0.25">
      <c r="A8981" s="362"/>
      <c r="B8981" s="609">
        <v>44713</v>
      </c>
      <c r="C8981" s="362" t="s">
        <v>4751</v>
      </c>
      <c r="D8981" s="560">
        <v>220834000</v>
      </c>
      <c r="E8981" s="560"/>
      <c r="F8981" s="560"/>
      <c r="G8981" s="560">
        <f t="shared" si="180"/>
        <v>220834000</v>
      </c>
      <c r="H8981" s="362"/>
      <c r="I8981" s="362"/>
      <c r="J8981" s="362"/>
    </row>
    <row r="8982" spans="1:10" x14ac:dyDescent="0.25">
      <c r="A8982" s="362"/>
      <c r="B8982" s="609">
        <v>44713</v>
      </c>
      <c r="C8982" s="362" t="s">
        <v>166</v>
      </c>
      <c r="D8982" s="560">
        <v>73189935</v>
      </c>
      <c r="E8982" s="560"/>
      <c r="F8982" s="560"/>
      <c r="G8982" s="560">
        <f t="shared" si="180"/>
        <v>73189935</v>
      </c>
      <c r="H8982" s="362"/>
      <c r="I8982" s="362"/>
      <c r="J8982" s="362"/>
    </row>
    <row r="8983" spans="1:10" x14ac:dyDescent="0.25">
      <c r="A8983" s="362"/>
      <c r="B8983" s="609">
        <v>44713</v>
      </c>
      <c r="C8983" s="362" t="s">
        <v>3435</v>
      </c>
      <c r="D8983" s="560">
        <v>39497140</v>
      </c>
      <c r="E8983" s="560"/>
      <c r="F8983" s="560"/>
      <c r="G8983" s="560">
        <f t="shared" si="180"/>
        <v>39497140</v>
      </c>
      <c r="H8983" s="362"/>
      <c r="I8983" s="362"/>
      <c r="J8983" s="362"/>
    </row>
    <row r="8984" spans="1:10" x14ac:dyDescent="0.25">
      <c r="A8984" s="362"/>
      <c r="B8984" s="609">
        <v>44713</v>
      </c>
      <c r="C8984" s="370" t="s">
        <v>85</v>
      </c>
      <c r="D8984" s="560">
        <v>76394000</v>
      </c>
      <c r="E8984" s="560"/>
      <c r="F8984" s="560"/>
      <c r="G8984" s="560">
        <f t="shared" si="180"/>
        <v>76394000</v>
      </c>
      <c r="H8984" s="362"/>
      <c r="I8984" s="362"/>
      <c r="J8984" s="362"/>
    </row>
    <row r="8985" spans="1:10" x14ac:dyDescent="0.25">
      <c r="A8985" s="530"/>
      <c r="B8985" s="530"/>
      <c r="C8985" s="530"/>
      <c r="D8985" s="562"/>
      <c r="E8985" s="562"/>
      <c r="F8985" s="562"/>
      <c r="G8985" s="562"/>
      <c r="H8985" s="530"/>
      <c r="I8985" s="530"/>
      <c r="J8985" s="530"/>
    </row>
    <row r="8986" spans="1:10" x14ac:dyDescent="0.25">
      <c r="A8986" s="362"/>
      <c r="B8986" s="609">
        <v>44714</v>
      </c>
      <c r="C8986" s="362" t="s">
        <v>86</v>
      </c>
      <c r="D8986" s="560">
        <v>134101812</v>
      </c>
      <c r="E8986" s="560"/>
      <c r="F8986" s="560">
        <v>134101900</v>
      </c>
      <c r="G8986" s="560">
        <f t="shared" si="180"/>
        <v>-88</v>
      </c>
      <c r="H8986" s="362"/>
      <c r="I8986" s="362"/>
      <c r="J8986" s="362"/>
    </row>
    <row r="8987" spans="1:10" x14ac:dyDescent="0.25">
      <c r="A8987" s="362"/>
      <c r="B8987" s="609">
        <v>44714</v>
      </c>
      <c r="C8987" s="362" t="s">
        <v>87</v>
      </c>
      <c r="D8987" s="560">
        <v>157899298</v>
      </c>
      <c r="E8987" s="560"/>
      <c r="F8987" s="560">
        <v>157899400</v>
      </c>
      <c r="G8987" s="560">
        <f t="shared" si="180"/>
        <v>-102</v>
      </c>
      <c r="H8987" s="362"/>
      <c r="I8987" s="362"/>
      <c r="J8987" s="362"/>
    </row>
    <row r="8988" spans="1:10" x14ac:dyDescent="0.25">
      <c r="A8988" s="362"/>
      <c r="B8988" s="609">
        <v>44714</v>
      </c>
      <c r="C8988" s="362" t="s">
        <v>88</v>
      </c>
      <c r="D8988" s="560">
        <v>210521859</v>
      </c>
      <c r="E8988" s="560"/>
      <c r="F8988" s="560">
        <v>210521900</v>
      </c>
      <c r="G8988" s="560">
        <f t="shared" si="180"/>
        <v>-41</v>
      </c>
      <c r="H8988" s="362"/>
      <c r="I8988" s="362"/>
      <c r="J8988" s="362"/>
    </row>
    <row r="8989" spans="1:10" x14ac:dyDescent="0.25">
      <c r="A8989" s="362"/>
      <c r="B8989" s="609">
        <v>44714</v>
      </c>
      <c r="C8989" s="362" t="s">
        <v>82</v>
      </c>
      <c r="D8989" s="560">
        <v>123562668</v>
      </c>
      <c r="E8989" s="560"/>
      <c r="F8989" s="560">
        <v>123562700</v>
      </c>
      <c r="G8989" s="560">
        <f t="shared" si="180"/>
        <v>-32</v>
      </c>
      <c r="H8989" s="362"/>
      <c r="I8989" s="362"/>
      <c r="J8989" s="362"/>
    </row>
    <row r="8990" spans="1:10" x14ac:dyDescent="0.25">
      <c r="A8990" s="362"/>
      <c r="B8990" s="609">
        <v>44714</v>
      </c>
      <c r="C8990" s="362" t="s">
        <v>80</v>
      </c>
      <c r="D8990" s="560">
        <v>387956600</v>
      </c>
      <c r="E8990" s="560"/>
      <c r="F8990" s="560">
        <v>387956600</v>
      </c>
      <c r="G8990" s="560">
        <f t="shared" si="180"/>
        <v>0</v>
      </c>
      <c r="H8990" s="362"/>
      <c r="I8990" s="362"/>
      <c r="J8990" s="362"/>
    </row>
    <row r="8991" spans="1:10" x14ac:dyDescent="0.25">
      <c r="A8991" s="362"/>
      <c r="B8991" s="609">
        <v>44714</v>
      </c>
      <c r="C8991" s="362" t="s">
        <v>83</v>
      </c>
      <c r="D8991" s="560">
        <v>156210092</v>
      </c>
      <c r="E8991" s="560"/>
      <c r="F8991" s="560">
        <v>156210000</v>
      </c>
      <c r="G8991" s="560">
        <f t="shared" si="180"/>
        <v>92</v>
      </c>
      <c r="H8991" s="362"/>
      <c r="I8991" s="362"/>
      <c r="J8991" s="362"/>
    </row>
    <row r="8992" spans="1:10" x14ac:dyDescent="0.25">
      <c r="A8992" s="362"/>
      <c r="B8992" s="609">
        <v>44714</v>
      </c>
      <c r="C8992" s="362" t="s">
        <v>78</v>
      </c>
      <c r="D8992" s="560">
        <v>150189168</v>
      </c>
      <c r="E8992" s="560"/>
      <c r="F8992" s="560">
        <v>150189200</v>
      </c>
      <c r="G8992" s="560">
        <f t="shared" si="180"/>
        <v>-32</v>
      </c>
      <c r="H8992" s="362"/>
      <c r="I8992" s="362"/>
      <c r="J8992" s="362"/>
    </row>
    <row r="8993" spans="1:10" x14ac:dyDescent="0.25">
      <c r="A8993" s="362"/>
      <c r="B8993" s="609">
        <v>44714</v>
      </c>
      <c r="C8993" s="362" t="s">
        <v>141</v>
      </c>
      <c r="D8993" s="560">
        <v>155149058</v>
      </c>
      <c r="E8993" s="560"/>
      <c r="F8993" s="560">
        <v>155149100</v>
      </c>
      <c r="G8993" s="560">
        <f t="shared" si="180"/>
        <v>-42</v>
      </c>
      <c r="H8993" s="362"/>
      <c r="I8993" s="362"/>
      <c r="J8993" s="362"/>
    </row>
    <row r="8994" spans="1:10" x14ac:dyDescent="0.25">
      <c r="A8994" s="362"/>
      <c r="B8994" s="609">
        <v>44714</v>
      </c>
      <c r="C8994" s="362" t="s">
        <v>89</v>
      </c>
      <c r="D8994" s="560">
        <v>183176500</v>
      </c>
      <c r="E8994" s="560"/>
      <c r="F8994" s="560">
        <v>183176500</v>
      </c>
      <c r="G8994" s="560">
        <f t="shared" si="180"/>
        <v>0</v>
      </c>
      <c r="H8994" s="362"/>
      <c r="I8994" s="362"/>
      <c r="J8994" s="362"/>
    </row>
    <row r="8995" spans="1:10" x14ac:dyDescent="0.25">
      <c r="A8995" s="362"/>
      <c r="B8995" s="609">
        <v>44714</v>
      </c>
      <c r="C8995" s="362" t="s">
        <v>81</v>
      </c>
      <c r="D8995" s="560">
        <v>187534631</v>
      </c>
      <c r="E8995" s="560"/>
      <c r="F8995" s="560">
        <v>187534700</v>
      </c>
      <c r="G8995" s="560">
        <f t="shared" si="180"/>
        <v>-69</v>
      </c>
      <c r="H8995" s="362"/>
      <c r="I8995" s="362"/>
      <c r="J8995" s="362"/>
    </row>
    <row r="8996" spans="1:10" x14ac:dyDescent="0.25">
      <c r="A8996" s="362"/>
      <c r="B8996" s="609">
        <v>44714</v>
      </c>
      <c r="C8996" s="362" t="s">
        <v>84</v>
      </c>
      <c r="D8996" s="560">
        <v>326271181</v>
      </c>
      <c r="E8996" s="560"/>
      <c r="F8996" s="560">
        <v>326271000</v>
      </c>
      <c r="G8996" s="560">
        <f t="shared" si="180"/>
        <v>181</v>
      </c>
      <c r="H8996" s="362"/>
      <c r="I8996" s="362"/>
      <c r="J8996" s="362"/>
    </row>
    <row r="8997" spans="1:10" x14ac:dyDescent="0.25">
      <c r="A8997" s="362"/>
      <c r="B8997" s="609">
        <v>44714</v>
      </c>
      <c r="C8997" s="362" t="s">
        <v>4751</v>
      </c>
      <c r="D8997" s="560">
        <v>309921200</v>
      </c>
      <c r="E8997" s="560"/>
      <c r="F8997" s="560">
        <v>309921200</v>
      </c>
      <c r="G8997" s="560">
        <f t="shared" si="180"/>
        <v>0</v>
      </c>
      <c r="H8997" s="362"/>
      <c r="I8997" s="362"/>
      <c r="J8997" s="362"/>
    </row>
    <row r="8998" spans="1:10" x14ac:dyDescent="0.25">
      <c r="A8998" s="362"/>
      <c r="B8998" s="609">
        <v>44714</v>
      </c>
      <c r="C8998" s="362" t="s">
        <v>166</v>
      </c>
      <c r="D8998" s="560">
        <v>160467821</v>
      </c>
      <c r="E8998" s="560"/>
      <c r="F8998" s="560">
        <v>160467900</v>
      </c>
      <c r="G8998" s="560">
        <f t="shared" si="180"/>
        <v>-79</v>
      </c>
      <c r="H8998" s="362"/>
      <c r="I8998" s="362"/>
      <c r="J8998" s="362"/>
    </row>
    <row r="8999" spans="1:10" x14ac:dyDescent="0.25">
      <c r="A8999" s="362"/>
      <c r="B8999" s="609">
        <v>44714</v>
      </c>
      <c r="C8999" s="362" t="s">
        <v>3435</v>
      </c>
      <c r="D8999" s="560">
        <v>83087992</v>
      </c>
      <c r="E8999" s="560"/>
      <c r="F8999" s="560">
        <v>83088000</v>
      </c>
      <c r="G8999" s="560">
        <f t="shared" si="180"/>
        <v>-8</v>
      </c>
      <c r="H8999" s="362"/>
      <c r="I8999" s="362"/>
      <c r="J8999" s="362"/>
    </row>
    <row r="9000" spans="1:10" x14ac:dyDescent="0.25">
      <c r="A9000" s="362"/>
      <c r="B9000" s="609">
        <v>44714</v>
      </c>
      <c r="C9000" s="370" t="s">
        <v>85</v>
      </c>
      <c r="D9000" s="560">
        <v>48974200</v>
      </c>
      <c r="E9000" s="560"/>
      <c r="F9000" s="560">
        <v>48974200</v>
      </c>
      <c r="G9000" s="560">
        <f t="shared" si="180"/>
        <v>0</v>
      </c>
      <c r="H9000" s="362"/>
      <c r="I9000" s="362"/>
      <c r="J9000" s="362"/>
    </row>
    <row r="9001" spans="1:10" x14ac:dyDescent="0.25">
      <c r="A9001" s="530"/>
      <c r="B9001" s="530"/>
      <c r="C9001" s="530"/>
      <c r="D9001" s="562">
        <f>SUM(D8986:D9000)</f>
        <v>2775024080</v>
      </c>
      <c r="E9001" s="562">
        <f>SUM(E8986:E9000)</f>
        <v>0</v>
      </c>
      <c r="F9001" s="562">
        <f>SUM(F8986:F9000)</f>
        <v>2775024300</v>
      </c>
      <c r="G9001" s="562">
        <f>SUM(G8986:G9000)</f>
        <v>-220</v>
      </c>
      <c r="H9001" s="530"/>
      <c r="I9001" s="530"/>
      <c r="J9001" s="530"/>
    </row>
    <row r="9002" spans="1:10" x14ac:dyDescent="0.25">
      <c r="A9002" s="362"/>
      <c r="B9002" s="609">
        <v>44715</v>
      </c>
      <c r="C9002" s="362" t="s">
        <v>86</v>
      </c>
      <c r="D9002" s="560">
        <v>83204787</v>
      </c>
      <c r="E9002" s="560"/>
      <c r="F9002" s="560">
        <v>83204800</v>
      </c>
      <c r="G9002" s="560">
        <f t="shared" si="180"/>
        <v>-13</v>
      </c>
      <c r="H9002" s="362"/>
      <c r="I9002" s="362"/>
      <c r="J9002" s="362"/>
    </row>
    <row r="9003" spans="1:10" x14ac:dyDescent="0.25">
      <c r="A9003" s="362"/>
      <c r="B9003" s="609">
        <v>44715</v>
      </c>
      <c r="C9003" s="362" t="s">
        <v>87</v>
      </c>
      <c r="D9003" s="560">
        <v>299149581</v>
      </c>
      <c r="E9003" s="560"/>
      <c r="F9003" s="560">
        <v>299150200</v>
      </c>
      <c r="G9003" s="560">
        <f t="shared" si="180"/>
        <v>-619</v>
      </c>
      <c r="H9003" s="362"/>
      <c r="I9003" s="362"/>
      <c r="J9003" s="362"/>
    </row>
    <row r="9004" spans="1:10" x14ac:dyDescent="0.25">
      <c r="A9004" s="362"/>
      <c r="B9004" s="609">
        <v>44715</v>
      </c>
      <c r="C9004" s="362" t="s">
        <v>88</v>
      </c>
      <c r="D9004" s="560">
        <v>152235346</v>
      </c>
      <c r="E9004" s="560"/>
      <c r="F9004" s="560">
        <v>152235400</v>
      </c>
      <c r="G9004" s="560">
        <f t="shared" si="180"/>
        <v>-54</v>
      </c>
      <c r="H9004" s="362"/>
      <c r="I9004" s="362"/>
      <c r="J9004" s="362"/>
    </row>
    <row r="9005" spans="1:10" x14ac:dyDescent="0.25">
      <c r="A9005" s="362"/>
      <c r="B9005" s="609">
        <v>44715</v>
      </c>
      <c r="C9005" s="362" t="s">
        <v>82</v>
      </c>
      <c r="D9005" s="560">
        <v>151647076</v>
      </c>
      <c r="E9005" s="560"/>
      <c r="F9005" s="560">
        <v>150488300</v>
      </c>
      <c r="G9005" s="560">
        <f t="shared" si="180"/>
        <v>1158776</v>
      </c>
      <c r="H9005" s="362"/>
      <c r="I9005" s="362"/>
      <c r="J9005" s="362"/>
    </row>
    <row r="9006" spans="1:10" x14ac:dyDescent="0.25">
      <c r="A9006" s="362"/>
      <c r="B9006" s="609">
        <v>44715</v>
      </c>
      <c r="C9006" s="362" t="s">
        <v>80</v>
      </c>
      <c r="D9006" s="560">
        <v>282058075</v>
      </c>
      <c r="E9006" s="560"/>
      <c r="F9006" s="560">
        <v>282057300</v>
      </c>
      <c r="G9006" s="560">
        <f t="shared" si="180"/>
        <v>775</v>
      </c>
      <c r="H9006" s="362"/>
      <c r="I9006" s="362"/>
      <c r="J9006" s="362"/>
    </row>
    <row r="9007" spans="1:10" x14ac:dyDescent="0.25">
      <c r="A9007" s="362"/>
      <c r="B9007" s="609">
        <v>44715</v>
      </c>
      <c r="C9007" s="362" t="s">
        <v>83</v>
      </c>
      <c r="D9007" s="560">
        <v>306859561</v>
      </c>
      <c r="E9007" s="560"/>
      <c r="F9007" s="560">
        <v>306859600</v>
      </c>
      <c r="G9007" s="560">
        <f t="shared" si="180"/>
        <v>-39</v>
      </c>
      <c r="H9007" s="362"/>
      <c r="I9007" s="362"/>
      <c r="J9007" s="362"/>
    </row>
    <row r="9008" spans="1:10" x14ac:dyDescent="0.25">
      <c r="A9008" s="362"/>
      <c r="B9008" s="609">
        <v>44715</v>
      </c>
      <c r="C9008" s="362" t="s">
        <v>78</v>
      </c>
      <c r="D9008" s="560">
        <v>132233883</v>
      </c>
      <c r="E9008" s="560"/>
      <c r="F9008" s="560">
        <v>132233900</v>
      </c>
      <c r="G9008" s="560">
        <f t="shared" si="180"/>
        <v>-17</v>
      </c>
      <c r="H9008" s="362"/>
      <c r="I9008" s="362"/>
      <c r="J9008" s="362"/>
    </row>
    <row r="9009" spans="1:10" x14ac:dyDescent="0.25">
      <c r="A9009" s="362"/>
      <c r="B9009" s="609">
        <v>44715</v>
      </c>
      <c r="C9009" s="362" t="s">
        <v>141</v>
      </c>
      <c r="D9009" s="560">
        <v>109554722</v>
      </c>
      <c r="E9009" s="560"/>
      <c r="F9009" s="560">
        <v>109554800</v>
      </c>
      <c r="G9009" s="560">
        <f t="shared" si="180"/>
        <v>-78</v>
      </c>
      <c r="H9009" s="362"/>
      <c r="I9009" s="362"/>
      <c r="J9009" s="362"/>
    </row>
    <row r="9010" spans="1:10" x14ac:dyDescent="0.25">
      <c r="A9010" s="362"/>
      <c r="B9010" s="609">
        <v>44715</v>
      </c>
      <c r="C9010" s="362" t="s">
        <v>89</v>
      </c>
      <c r="D9010" s="560">
        <v>231780500</v>
      </c>
      <c r="E9010" s="560"/>
      <c r="F9010" s="560">
        <v>231780600</v>
      </c>
      <c r="G9010" s="560">
        <f t="shared" si="180"/>
        <v>-100</v>
      </c>
      <c r="H9010" s="362"/>
      <c r="I9010" s="362"/>
      <c r="J9010" s="362"/>
    </row>
    <row r="9011" spans="1:10" x14ac:dyDescent="0.25">
      <c r="A9011" s="362"/>
      <c r="B9011" s="609">
        <v>44715</v>
      </c>
      <c r="C9011" s="362" t="s">
        <v>81</v>
      </c>
      <c r="D9011" s="560">
        <v>133852640</v>
      </c>
      <c r="E9011" s="560"/>
      <c r="F9011" s="560">
        <v>133852700</v>
      </c>
      <c r="G9011" s="560">
        <f t="shared" si="180"/>
        <v>-60</v>
      </c>
      <c r="H9011" s="362"/>
      <c r="I9011" s="362"/>
      <c r="J9011" s="362"/>
    </row>
    <row r="9012" spans="1:10" x14ac:dyDescent="0.25">
      <c r="A9012" s="362"/>
      <c r="B9012" s="609">
        <v>44715</v>
      </c>
      <c r="C9012" s="362" t="s">
        <v>84</v>
      </c>
      <c r="D9012" s="560">
        <v>345783661</v>
      </c>
      <c r="E9012" s="560"/>
      <c r="F9012" s="560">
        <v>345783600</v>
      </c>
      <c r="G9012" s="560">
        <f t="shared" si="180"/>
        <v>61</v>
      </c>
      <c r="H9012" s="362"/>
      <c r="I9012" s="362"/>
      <c r="J9012" s="362"/>
    </row>
    <row r="9013" spans="1:10" x14ac:dyDescent="0.25">
      <c r="A9013" s="362"/>
      <c r="B9013" s="609">
        <v>44715</v>
      </c>
      <c r="C9013" s="362" t="s">
        <v>4751</v>
      </c>
      <c r="D9013" s="560">
        <v>231391300</v>
      </c>
      <c r="E9013" s="560"/>
      <c r="F9013" s="560">
        <v>231391300</v>
      </c>
      <c r="G9013" s="560">
        <f t="shared" si="180"/>
        <v>0</v>
      </c>
      <c r="H9013" s="362"/>
      <c r="I9013" s="362"/>
      <c r="J9013" s="362"/>
    </row>
    <row r="9014" spans="1:10" x14ac:dyDescent="0.25">
      <c r="A9014" s="362"/>
      <c r="B9014" s="609">
        <v>44715</v>
      </c>
      <c r="C9014" s="362" t="s">
        <v>166</v>
      </c>
      <c r="D9014" s="560">
        <v>55683078</v>
      </c>
      <c r="E9014" s="560"/>
      <c r="F9014" s="560">
        <v>55683200</v>
      </c>
      <c r="G9014" s="560">
        <f t="shared" si="180"/>
        <v>-122</v>
      </c>
      <c r="H9014" s="362"/>
      <c r="I9014" s="362"/>
      <c r="J9014" s="362"/>
    </row>
    <row r="9015" spans="1:10" x14ac:dyDescent="0.25">
      <c r="A9015" s="362"/>
      <c r="B9015" s="609">
        <v>44715</v>
      </c>
      <c r="C9015" s="362" t="s">
        <v>3435</v>
      </c>
      <c r="D9015" s="560">
        <v>92346632</v>
      </c>
      <c r="E9015" s="560"/>
      <c r="F9015" s="560">
        <v>92346700</v>
      </c>
      <c r="G9015" s="560">
        <f t="shared" si="180"/>
        <v>-68</v>
      </c>
      <c r="H9015" s="362"/>
      <c r="I9015" s="362"/>
      <c r="J9015" s="362"/>
    </row>
    <row r="9016" spans="1:10" x14ac:dyDescent="0.25">
      <c r="A9016" s="362"/>
      <c r="B9016" s="609">
        <v>44715</v>
      </c>
      <c r="C9016" s="370" t="s">
        <v>85</v>
      </c>
      <c r="D9016" s="560">
        <v>45068700</v>
      </c>
      <c r="E9016" s="560"/>
      <c r="F9016" s="560">
        <v>45068700</v>
      </c>
      <c r="G9016" s="560">
        <f t="shared" si="180"/>
        <v>0</v>
      </c>
      <c r="H9016" s="362"/>
      <c r="I9016" s="362"/>
      <c r="J9016" s="362"/>
    </row>
    <row r="9017" spans="1:10" x14ac:dyDescent="0.25">
      <c r="A9017" s="530"/>
      <c r="B9017" s="530"/>
      <c r="C9017" s="530"/>
      <c r="D9017" s="562">
        <f>SUM(D9002:D9016)</f>
        <v>2652849542</v>
      </c>
      <c r="E9017" s="562">
        <f>SUM(E9002:E9016)</f>
        <v>0</v>
      </c>
      <c r="F9017" s="562">
        <f>SUM(F9002:F9016)</f>
        <v>2651691100</v>
      </c>
      <c r="G9017" s="562">
        <f>SUM(G9002:G9016)</f>
        <v>1158442</v>
      </c>
      <c r="H9017" s="530"/>
      <c r="I9017" s="530"/>
      <c r="J9017" s="530"/>
    </row>
    <row r="9018" spans="1:10" x14ac:dyDescent="0.25">
      <c r="A9018" s="362"/>
      <c r="B9018" s="609">
        <v>44716</v>
      </c>
      <c r="C9018" s="362" t="s">
        <v>86</v>
      </c>
      <c r="D9018" s="560">
        <v>106979928</v>
      </c>
      <c r="E9018" s="560"/>
      <c r="F9018" s="560">
        <v>106980000</v>
      </c>
      <c r="G9018" s="560">
        <f>D9018-F9018</f>
        <v>-72</v>
      </c>
      <c r="H9018" s="362"/>
      <c r="I9018" s="362"/>
      <c r="J9018" s="362"/>
    </row>
    <row r="9019" spans="1:10" x14ac:dyDescent="0.25">
      <c r="A9019" s="362"/>
      <c r="B9019" s="609">
        <v>44716</v>
      </c>
      <c r="C9019" s="362" t="s">
        <v>87</v>
      </c>
      <c r="D9019" s="560">
        <v>251201322</v>
      </c>
      <c r="E9019" s="560"/>
      <c r="F9019" s="560">
        <v>251201400</v>
      </c>
      <c r="G9019" s="560">
        <f t="shared" ref="G9019:G9083" si="181">D9019-F9019</f>
        <v>-78</v>
      </c>
      <c r="H9019" s="362"/>
      <c r="I9019" s="362"/>
      <c r="J9019" s="362"/>
    </row>
    <row r="9020" spans="1:10" x14ac:dyDescent="0.25">
      <c r="A9020" s="362"/>
      <c r="B9020" s="609">
        <v>44716</v>
      </c>
      <c r="C9020" s="362" t="s">
        <v>88</v>
      </c>
      <c r="D9020" s="560">
        <v>152152923</v>
      </c>
      <c r="E9020" s="560"/>
      <c r="F9020" s="560">
        <v>152153000</v>
      </c>
      <c r="G9020" s="560">
        <f t="shared" si="181"/>
        <v>-77</v>
      </c>
      <c r="H9020" s="362"/>
      <c r="I9020" s="362"/>
      <c r="J9020" s="362"/>
    </row>
    <row r="9021" spans="1:10" x14ac:dyDescent="0.25">
      <c r="A9021" s="362"/>
      <c r="B9021" s="609">
        <v>44716</v>
      </c>
      <c r="C9021" s="362" t="s">
        <v>82</v>
      </c>
      <c r="D9021" s="560"/>
      <c r="E9021" s="560"/>
      <c r="F9021" s="560">
        <v>97252600</v>
      </c>
      <c r="G9021" s="560">
        <f t="shared" si="181"/>
        <v>-97252600</v>
      </c>
      <c r="H9021" s="362"/>
      <c r="I9021" s="362"/>
      <c r="J9021" s="362"/>
    </row>
    <row r="9022" spans="1:10" x14ac:dyDescent="0.25">
      <c r="A9022" s="362"/>
      <c r="B9022" s="609">
        <v>44716</v>
      </c>
      <c r="C9022" s="362" t="s">
        <v>80</v>
      </c>
      <c r="D9022" s="560">
        <v>358285569</v>
      </c>
      <c r="E9022" s="560"/>
      <c r="F9022" s="560">
        <v>358286200</v>
      </c>
      <c r="G9022" s="560">
        <f t="shared" si="181"/>
        <v>-631</v>
      </c>
      <c r="H9022" s="362"/>
      <c r="I9022" s="362"/>
      <c r="J9022" s="362"/>
    </row>
    <row r="9023" spans="1:10" x14ac:dyDescent="0.25">
      <c r="A9023" s="362"/>
      <c r="B9023" s="609">
        <v>44716</v>
      </c>
      <c r="C9023" s="362" t="s">
        <v>83</v>
      </c>
      <c r="D9023" s="560">
        <v>241865890</v>
      </c>
      <c r="E9023" s="560"/>
      <c r="F9023" s="560">
        <v>241865900</v>
      </c>
      <c r="G9023" s="560">
        <f t="shared" si="181"/>
        <v>-10</v>
      </c>
      <c r="H9023" s="362"/>
      <c r="I9023" s="362"/>
      <c r="J9023" s="362"/>
    </row>
    <row r="9024" spans="1:10" x14ac:dyDescent="0.25">
      <c r="A9024" s="362"/>
      <c r="B9024" s="609">
        <v>44716</v>
      </c>
      <c r="C9024" s="362" t="s">
        <v>78</v>
      </c>
      <c r="D9024" s="560">
        <v>305442686</v>
      </c>
      <c r="E9024" s="560"/>
      <c r="F9024" s="560">
        <v>305442700</v>
      </c>
      <c r="G9024" s="560">
        <f t="shared" si="181"/>
        <v>-14</v>
      </c>
      <c r="H9024" s="362"/>
      <c r="I9024" s="362"/>
      <c r="J9024" s="362"/>
    </row>
    <row r="9025" spans="1:10" x14ac:dyDescent="0.25">
      <c r="A9025" s="362"/>
      <c r="B9025" s="609">
        <v>44716</v>
      </c>
      <c r="C9025" s="362" t="s">
        <v>141</v>
      </c>
      <c r="D9025" s="560">
        <v>65427920</v>
      </c>
      <c r="E9025" s="560"/>
      <c r="F9025" s="560">
        <v>65428000</v>
      </c>
      <c r="G9025" s="560">
        <f t="shared" si="181"/>
        <v>-80</v>
      </c>
      <c r="H9025" s="362"/>
      <c r="I9025" s="362"/>
      <c r="J9025" s="362"/>
    </row>
    <row r="9026" spans="1:10" x14ac:dyDescent="0.25">
      <c r="A9026" s="362"/>
      <c r="B9026" s="609">
        <v>44716</v>
      </c>
      <c r="C9026" s="362" t="s">
        <v>89</v>
      </c>
      <c r="D9026" s="560">
        <v>226449700</v>
      </c>
      <c r="E9026" s="560"/>
      <c r="F9026" s="560">
        <v>226449700</v>
      </c>
      <c r="G9026" s="560">
        <f t="shared" si="181"/>
        <v>0</v>
      </c>
      <c r="H9026" s="362"/>
      <c r="I9026" s="362"/>
      <c r="J9026" s="362"/>
    </row>
    <row r="9027" spans="1:10" x14ac:dyDescent="0.25">
      <c r="A9027" s="362"/>
      <c r="B9027" s="609">
        <v>44716</v>
      </c>
      <c r="C9027" s="362" t="s">
        <v>81</v>
      </c>
      <c r="D9027" s="560">
        <v>193758528</v>
      </c>
      <c r="E9027" s="560"/>
      <c r="F9027" s="560">
        <f>92420100+101338500</f>
        <v>193758600</v>
      </c>
      <c r="G9027" s="560">
        <f t="shared" si="181"/>
        <v>-72</v>
      </c>
      <c r="H9027" s="362"/>
      <c r="I9027" s="362"/>
      <c r="J9027" s="362"/>
    </row>
    <row r="9028" spans="1:10" x14ac:dyDescent="0.25">
      <c r="A9028" s="362"/>
      <c r="B9028" s="609">
        <v>44716</v>
      </c>
      <c r="C9028" s="362" t="s">
        <v>84</v>
      </c>
      <c r="D9028" s="560">
        <v>305928855</v>
      </c>
      <c r="E9028" s="560"/>
      <c r="F9028" s="560">
        <v>305929000</v>
      </c>
      <c r="G9028" s="560">
        <f t="shared" si="181"/>
        <v>-145</v>
      </c>
      <c r="H9028" s="362"/>
      <c r="I9028" s="362"/>
      <c r="J9028" s="362"/>
    </row>
    <row r="9029" spans="1:10" x14ac:dyDescent="0.25">
      <c r="A9029" s="362"/>
      <c r="B9029" s="609">
        <v>44716</v>
      </c>
      <c r="C9029" s="362" t="s">
        <v>4751</v>
      </c>
      <c r="D9029" s="560">
        <v>249597300</v>
      </c>
      <c r="E9029" s="560"/>
      <c r="F9029" s="560">
        <v>249597300</v>
      </c>
      <c r="G9029" s="560">
        <f t="shared" si="181"/>
        <v>0</v>
      </c>
      <c r="H9029" s="362"/>
      <c r="I9029" s="362"/>
      <c r="J9029" s="362"/>
    </row>
    <row r="9030" spans="1:10" x14ac:dyDescent="0.25">
      <c r="A9030" s="362"/>
      <c r="B9030" s="609">
        <v>44716</v>
      </c>
      <c r="C9030" s="362" t="s">
        <v>166</v>
      </c>
      <c r="D9030" s="560"/>
      <c r="E9030" s="560"/>
      <c r="F9030" s="560"/>
      <c r="G9030" s="560">
        <f t="shared" si="181"/>
        <v>0</v>
      </c>
      <c r="H9030" s="362"/>
      <c r="I9030" s="362"/>
      <c r="J9030" s="362"/>
    </row>
    <row r="9031" spans="1:10" x14ac:dyDescent="0.25">
      <c r="A9031" s="362"/>
      <c r="B9031" s="609">
        <v>44716</v>
      </c>
      <c r="C9031" s="362" t="s">
        <v>3435</v>
      </c>
      <c r="D9031" s="560"/>
      <c r="E9031" s="560"/>
      <c r="F9031" s="560"/>
      <c r="G9031" s="560">
        <f t="shared" si="181"/>
        <v>0</v>
      </c>
      <c r="H9031" s="362"/>
      <c r="I9031" s="362"/>
      <c r="J9031" s="362"/>
    </row>
    <row r="9032" spans="1:10" x14ac:dyDescent="0.25">
      <c r="A9032" s="362"/>
      <c r="B9032" s="609">
        <v>44716</v>
      </c>
      <c r="C9032" s="370" t="s">
        <v>85</v>
      </c>
      <c r="D9032" s="560">
        <v>32204400</v>
      </c>
      <c r="E9032" s="560"/>
      <c r="F9032" s="560">
        <v>32204400</v>
      </c>
      <c r="G9032" s="560">
        <f t="shared" si="181"/>
        <v>0</v>
      </c>
      <c r="H9032" s="362"/>
      <c r="I9032" s="362"/>
      <c r="J9032" s="362"/>
    </row>
    <row r="9033" spans="1:10" x14ac:dyDescent="0.25">
      <c r="A9033" s="530"/>
      <c r="B9033" s="530"/>
      <c r="C9033" s="530"/>
      <c r="D9033" s="562"/>
      <c r="E9033" s="562"/>
      <c r="F9033" s="562"/>
      <c r="G9033" s="562"/>
      <c r="H9033" s="530"/>
      <c r="I9033" s="530"/>
      <c r="J9033" s="530"/>
    </row>
    <row r="9034" spans="1:10" x14ac:dyDescent="0.25">
      <c r="A9034" s="362"/>
      <c r="B9034" s="609">
        <v>44718</v>
      </c>
      <c r="C9034" s="362" t="s">
        <v>86</v>
      </c>
      <c r="D9034" s="560">
        <v>152045587</v>
      </c>
      <c r="E9034" s="560"/>
      <c r="F9034" s="560">
        <v>152045600</v>
      </c>
      <c r="G9034" s="560">
        <f t="shared" si="181"/>
        <v>-13</v>
      </c>
      <c r="H9034" s="362"/>
      <c r="I9034" s="362"/>
      <c r="J9034" s="362"/>
    </row>
    <row r="9035" spans="1:10" x14ac:dyDescent="0.25">
      <c r="A9035" s="362"/>
      <c r="B9035" s="609">
        <v>44718</v>
      </c>
      <c r="C9035" s="362" t="s">
        <v>87</v>
      </c>
      <c r="D9035" s="560">
        <v>103364777</v>
      </c>
      <c r="E9035" s="560"/>
      <c r="F9035" s="560">
        <v>103364800</v>
      </c>
      <c r="G9035" s="560">
        <f t="shared" si="181"/>
        <v>-23</v>
      </c>
      <c r="H9035" s="362"/>
      <c r="I9035" s="362"/>
      <c r="J9035" s="362"/>
    </row>
    <row r="9036" spans="1:10" x14ac:dyDescent="0.25">
      <c r="A9036" s="362"/>
      <c r="B9036" s="609">
        <v>44718</v>
      </c>
      <c r="C9036" s="362" t="s">
        <v>88</v>
      </c>
      <c r="D9036" s="560">
        <v>290606061</v>
      </c>
      <c r="E9036" s="560"/>
      <c r="F9036" s="560">
        <v>290606100</v>
      </c>
      <c r="G9036" s="560">
        <f t="shared" si="181"/>
        <v>-39</v>
      </c>
      <c r="H9036" s="362"/>
      <c r="I9036" s="362"/>
      <c r="J9036" s="362"/>
    </row>
    <row r="9037" spans="1:10" x14ac:dyDescent="0.25">
      <c r="A9037" s="362"/>
      <c r="B9037" s="609">
        <v>44718</v>
      </c>
      <c r="C9037" s="362" t="s">
        <v>82</v>
      </c>
      <c r="D9037" s="560"/>
      <c r="E9037" s="560"/>
      <c r="F9037" s="560">
        <v>77514800</v>
      </c>
      <c r="G9037" s="560">
        <f t="shared" si="181"/>
        <v>-77514800</v>
      </c>
      <c r="H9037" s="362"/>
      <c r="I9037" s="362"/>
      <c r="J9037" s="362"/>
    </row>
    <row r="9038" spans="1:10" x14ac:dyDescent="0.25">
      <c r="A9038" s="362"/>
      <c r="B9038" s="609">
        <v>44718</v>
      </c>
      <c r="C9038" s="362" t="s">
        <v>80</v>
      </c>
      <c r="D9038" s="560">
        <v>289871813</v>
      </c>
      <c r="E9038" s="560"/>
      <c r="F9038" s="560">
        <v>289877700</v>
      </c>
      <c r="G9038" s="560">
        <f t="shared" si="181"/>
        <v>-5887</v>
      </c>
      <c r="H9038" s="362"/>
      <c r="I9038" s="362"/>
      <c r="J9038" s="362"/>
    </row>
    <row r="9039" spans="1:10" x14ac:dyDescent="0.25">
      <c r="A9039" s="362"/>
      <c r="B9039" s="609">
        <v>44718</v>
      </c>
      <c r="C9039" s="362" t="s">
        <v>83</v>
      </c>
      <c r="D9039" s="560">
        <v>196577900</v>
      </c>
      <c r="E9039" s="560"/>
      <c r="F9039" s="560">
        <v>196577900</v>
      </c>
      <c r="G9039" s="560">
        <f t="shared" si="181"/>
        <v>0</v>
      </c>
      <c r="H9039" s="362"/>
      <c r="I9039" s="362"/>
      <c r="J9039" s="362"/>
    </row>
    <row r="9040" spans="1:10" x14ac:dyDescent="0.25">
      <c r="A9040" s="362"/>
      <c r="B9040" s="609">
        <v>44718</v>
      </c>
      <c r="C9040" s="362" t="s">
        <v>78</v>
      </c>
      <c r="D9040" s="560">
        <v>99654611</v>
      </c>
      <c r="E9040" s="560"/>
      <c r="F9040" s="560">
        <v>99654700</v>
      </c>
      <c r="G9040" s="560">
        <f t="shared" si="181"/>
        <v>-89</v>
      </c>
      <c r="H9040" s="362"/>
      <c r="I9040" s="362"/>
      <c r="J9040" s="362"/>
    </row>
    <row r="9041" spans="1:10" x14ac:dyDescent="0.25">
      <c r="A9041" s="362"/>
      <c r="B9041" s="609">
        <v>44718</v>
      </c>
      <c r="C9041" s="362" t="s">
        <v>141</v>
      </c>
      <c r="D9041" s="560">
        <v>165703542</v>
      </c>
      <c r="E9041" s="560"/>
      <c r="F9041" s="560">
        <v>165703600</v>
      </c>
      <c r="G9041" s="560">
        <f t="shared" si="181"/>
        <v>-58</v>
      </c>
      <c r="H9041" s="362"/>
      <c r="I9041" s="362"/>
      <c r="J9041" s="362"/>
    </row>
    <row r="9042" spans="1:10" x14ac:dyDescent="0.25">
      <c r="A9042" s="362"/>
      <c r="B9042" s="609">
        <v>44718</v>
      </c>
      <c r="C9042" s="362" t="s">
        <v>89</v>
      </c>
      <c r="D9042" s="560">
        <v>166508400</v>
      </c>
      <c r="E9042" s="560"/>
      <c r="F9042" s="560">
        <v>166508300</v>
      </c>
      <c r="G9042" s="560">
        <f t="shared" si="181"/>
        <v>100</v>
      </c>
      <c r="H9042" s="362"/>
      <c r="I9042" s="362"/>
      <c r="J9042" s="362"/>
    </row>
    <row r="9043" spans="1:10" x14ac:dyDescent="0.25">
      <c r="A9043" s="362"/>
      <c r="B9043" s="609">
        <v>44718</v>
      </c>
      <c r="C9043" s="362" t="s">
        <v>81</v>
      </c>
      <c r="D9043" s="560">
        <v>169444333</v>
      </c>
      <c r="E9043" s="560"/>
      <c r="F9043" s="560">
        <v>169444400</v>
      </c>
      <c r="G9043" s="560">
        <f t="shared" si="181"/>
        <v>-67</v>
      </c>
      <c r="H9043" s="362"/>
      <c r="I9043" s="362"/>
      <c r="J9043" s="362"/>
    </row>
    <row r="9044" spans="1:10" x14ac:dyDescent="0.25">
      <c r="A9044" s="362"/>
      <c r="B9044" s="609">
        <v>44718</v>
      </c>
      <c r="C9044" s="362" t="s">
        <v>84</v>
      </c>
      <c r="D9044" s="560">
        <v>325414394</v>
      </c>
      <c r="E9044" s="560"/>
      <c r="F9044" s="560">
        <v>325414200</v>
      </c>
      <c r="G9044" s="560">
        <f t="shared" si="181"/>
        <v>194</v>
      </c>
      <c r="H9044" s="362"/>
      <c r="I9044" s="362"/>
      <c r="J9044" s="362"/>
    </row>
    <row r="9045" spans="1:10" x14ac:dyDescent="0.25">
      <c r="A9045" s="362"/>
      <c r="B9045" s="609">
        <v>44718</v>
      </c>
      <c r="C9045" s="362" t="s">
        <v>4751</v>
      </c>
      <c r="D9045" s="560">
        <v>219333500</v>
      </c>
      <c r="E9045" s="560"/>
      <c r="F9045" s="560">
        <v>219333500</v>
      </c>
      <c r="G9045" s="560">
        <f t="shared" si="181"/>
        <v>0</v>
      </c>
      <c r="H9045" s="362"/>
      <c r="I9045" s="362"/>
      <c r="J9045" s="362"/>
    </row>
    <row r="9046" spans="1:10" x14ac:dyDescent="0.25">
      <c r="A9046" s="362"/>
      <c r="B9046" s="609">
        <v>44718</v>
      </c>
      <c r="C9046" s="362" t="s">
        <v>166</v>
      </c>
      <c r="D9046" s="560">
        <v>77357592</v>
      </c>
      <c r="E9046" s="560"/>
      <c r="F9046" s="560">
        <v>77357600</v>
      </c>
      <c r="G9046" s="560">
        <f t="shared" si="181"/>
        <v>-8</v>
      </c>
      <c r="H9046" s="362"/>
      <c r="I9046" s="362"/>
      <c r="J9046" s="362"/>
    </row>
    <row r="9047" spans="1:10" x14ac:dyDescent="0.25">
      <c r="A9047" s="362"/>
      <c r="B9047" s="609">
        <v>44718</v>
      </c>
      <c r="C9047" s="362" t="s">
        <v>3435</v>
      </c>
      <c r="D9047" s="560">
        <v>71931062</v>
      </c>
      <c r="E9047" s="560"/>
      <c r="F9047" s="560">
        <v>71931100</v>
      </c>
      <c r="G9047" s="560">
        <f t="shared" si="181"/>
        <v>-38</v>
      </c>
      <c r="H9047" s="362"/>
      <c r="I9047" s="362"/>
      <c r="J9047" s="362"/>
    </row>
    <row r="9048" spans="1:10" x14ac:dyDescent="0.25">
      <c r="A9048" s="370"/>
      <c r="B9048" s="609">
        <v>44718</v>
      </c>
      <c r="C9048" s="370" t="s">
        <v>85</v>
      </c>
      <c r="D9048" s="563">
        <v>62526800</v>
      </c>
      <c r="E9048" s="563"/>
      <c r="F9048" s="563">
        <v>62526800</v>
      </c>
      <c r="G9048" s="560">
        <f t="shared" si="181"/>
        <v>0</v>
      </c>
      <c r="H9048" s="370"/>
      <c r="I9048" s="370"/>
      <c r="J9048" s="370"/>
    </row>
    <row r="9049" spans="1:10" x14ac:dyDescent="0.25">
      <c r="A9049" s="530"/>
      <c r="B9049" s="530"/>
      <c r="C9049" s="530"/>
      <c r="D9049" s="562">
        <f>SUM(D9034:D9048)</f>
        <v>2390340372</v>
      </c>
      <c r="E9049" s="562">
        <f>SUM(E9034:E9048)</f>
        <v>0</v>
      </c>
      <c r="F9049" s="562">
        <f>SUM(F9034:F9048)</f>
        <v>2467861100</v>
      </c>
      <c r="G9049" s="562">
        <f>SUM(G9034:G9048)</f>
        <v>-77520728</v>
      </c>
      <c r="H9049" s="530"/>
      <c r="I9049" s="530"/>
      <c r="J9049" s="530"/>
    </row>
    <row r="9050" spans="1:10" x14ac:dyDescent="0.25">
      <c r="A9050" s="362"/>
      <c r="B9050" s="609">
        <v>44719</v>
      </c>
      <c r="C9050" s="362" t="s">
        <v>86</v>
      </c>
      <c r="D9050" s="560">
        <v>159762665</v>
      </c>
      <c r="E9050" s="560"/>
      <c r="F9050" s="560">
        <v>159763200</v>
      </c>
      <c r="G9050" s="560">
        <f t="shared" si="181"/>
        <v>-535</v>
      </c>
      <c r="H9050" s="362"/>
      <c r="I9050" s="362"/>
      <c r="J9050" s="362"/>
    </row>
    <row r="9051" spans="1:10" x14ac:dyDescent="0.25">
      <c r="A9051" s="362"/>
      <c r="B9051" s="609">
        <v>44719</v>
      </c>
      <c r="C9051" s="362" t="s">
        <v>87</v>
      </c>
      <c r="D9051" s="560">
        <v>125570920</v>
      </c>
      <c r="E9051" s="560"/>
      <c r="F9051" s="560">
        <v>125571000</v>
      </c>
      <c r="G9051" s="560">
        <f t="shared" si="181"/>
        <v>-80</v>
      </c>
      <c r="H9051" s="362"/>
      <c r="I9051" s="362"/>
      <c r="J9051" s="362"/>
    </row>
    <row r="9052" spans="1:10" x14ac:dyDescent="0.25">
      <c r="A9052" s="362"/>
      <c r="B9052" s="609">
        <v>44719</v>
      </c>
      <c r="C9052" s="362" t="s">
        <v>88</v>
      </c>
      <c r="D9052" s="560">
        <v>274654043</v>
      </c>
      <c r="E9052" s="560"/>
      <c r="F9052" s="560">
        <v>274654100</v>
      </c>
      <c r="G9052" s="560">
        <f t="shared" si="181"/>
        <v>-57</v>
      </c>
      <c r="H9052" s="362"/>
      <c r="I9052" s="362"/>
      <c r="J9052" s="362"/>
    </row>
    <row r="9053" spans="1:10" x14ac:dyDescent="0.25">
      <c r="A9053" s="362"/>
      <c r="B9053" s="609">
        <v>44719</v>
      </c>
      <c r="C9053" s="362" t="s">
        <v>82</v>
      </c>
      <c r="D9053" s="560"/>
      <c r="E9053" s="560"/>
      <c r="F9053" s="560">
        <v>86317700</v>
      </c>
      <c r="G9053" s="560">
        <f t="shared" si="181"/>
        <v>-86317700</v>
      </c>
      <c r="H9053" s="362"/>
      <c r="I9053" s="362"/>
      <c r="J9053" s="362"/>
    </row>
    <row r="9054" spans="1:10" x14ac:dyDescent="0.25">
      <c r="A9054" s="362"/>
      <c r="B9054" s="609">
        <v>44719</v>
      </c>
      <c r="C9054" s="362" t="s">
        <v>80</v>
      </c>
      <c r="D9054" s="560">
        <v>217802100</v>
      </c>
      <c r="E9054" s="560"/>
      <c r="F9054" s="560">
        <v>217802100</v>
      </c>
      <c r="G9054" s="560">
        <f t="shared" si="181"/>
        <v>0</v>
      </c>
      <c r="H9054" s="362"/>
      <c r="I9054" s="362"/>
      <c r="J9054" s="362"/>
    </row>
    <row r="9055" spans="1:10" x14ac:dyDescent="0.25">
      <c r="A9055" s="362"/>
      <c r="B9055" s="609">
        <v>44719</v>
      </c>
      <c r="C9055" s="362" t="s">
        <v>83</v>
      </c>
      <c r="D9055" s="560">
        <v>371731487</v>
      </c>
      <c r="E9055" s="560"/>
      <c r="F9055" s="560">
        <v>371732100</v>
      </c>
      <c r="G9055" s="560">
        <f t="shared" si="181"/>
        <v>-613</v>
      </c>
      <c r="H9055" s="362"/>
      <c r="I9055" s="362"/>
      <c r="J9055" s="362"/>
    </row>
    <row r="9056" spans="1:10" x14ac:dyDescent="0.25">
      <c r="A9056" s="362"/>
      <c r="B9056" s="609">
        <v>44719</v>
      </c>
      <c r="C9056" s="362" t="s">
        <v>78</v>
      </c>
      <c r="D9056" s="560">
        <v>138465957</v>
      </c>
      <c r="E9056" s="560"/>
      <c r="F9056" s="560">
        <v>138466000</v>
      </c>
      <c r="G9056" s="560">
        <f t="shared" si="181"/>
        <v>-43</v>
      </c>
      <c r="H9056" s="362"/>
      <c r="I9056" s="362"/>
      <c r="J9056" s="362"/>
    </row>
    <row r="9057" spans="1:10" x14ac:dyDescent="0.25">
      <c r="A9057" s="362"/>
      <c r="B9057" s="609">
        <v>44719</v>
      </c>
      <c r="C9057" s="362" t="s">
        <v>141</v>
      </c>
      <c r="D9057" s="560">
        <v>62739701</v>
      </c>
      <c r="E9057" s="560"/>
      <c r="F9057" s="560">
        <v>70770300</v>
      </c>
      <c r="G9057" s="560">
        <f t="shared" si="181"/>
        <v>-8030599</v>
      </c>
      <c r="H9057" s="362"/>
      <c r="I9057" s="362"/>
      <c r="J9057" s="362"/>
    </row>
    <row r="9058" spans="1:10" x14ac:dyDescent="0.25">
      <c r="A9058" s="362"/>
      <c r="B9058" s="609">
        <v>44719</v>
      </c>
      <c r="C9058" s="362" t="s">
        <v>89</v>
      </c>
      <c r="D9058" s="560">
        <v>130403200</v>
      </c>
      <c r="E9058" s="560"/>
      <c r="F9058" s="560">
        <v>130403200</v>
      </c>
      <c r="G9058" s="560">
        <f t="shared" si="181"/>
        <v>0</v>
      </c>
      <c r="H9058" s="362"/>
      <c r="I9058" s="362"/>
      <c r="J9058" s="362"/>
    </row>
    <row r="9059" spans="1:10" x14ac:dyDescent="0.25">
      <c r="A9059" s="362"/>
      <c r="B9059" s="609">
        <v>44719</v>
      </c>
      <c r="C9059" s="362" t="s">
        <v>81</v>
      </c>
      <c r="D9059" s="560">
        <v>170158573</v>
      </c>
      <c r="E9059" s="560"/>
      <c r="F9059" s="560">
        <v>170158600</v>
      </c>
      <c r="G9059" s="560">
        <f t="shared" si="181"/>
        <v>-27</v>
      </c>
      <c r="H9059" s="362"/>
      <c r="I9059" s="362"/>
      <c r="J9059" s="362"/>
    </row>
    <row r="9060" spans="1:10" x14ac:dyDescent="0.25">
      <c r="A9060" s="362"/>
      <c r="B9060" s="609">
        <v>44719</v>
      </c>
      <c r="C9060" s="362" t="s">
        <v>84</v>
      </c>
      <c r="D9060" s="560">
        <v>251366045</v>
      </c>
      <c r="E9060" s="560"/>
      <c r="F9060" s="560">
        <v>251366100</v>
      </c>
      <c r="G9060" s="560">
        <f t="shared" si="181"/>
        <v>-55</v>
      </c>
      <c r="H9060" s="362"/>
      <c r="I9060" s="362"/>
      <c r="J9060" s="362"/>
    </row>
    <row r="9061" spans="1:10" x14ac:dyDescent="0.25">
      <c r="A9061" s="362"/>
      <c r="B9061" s="609">
        <v>44719</v>
      </c>
      <c r="C9061" s="362" t="s">
        <v>4751</v>
      </c>
      <c r="D9061" s="560">
        <v>235846100</v>
      </c>
      <c r="E9061" s="560"/>
      <c r="F9061" s="560">
        <v>235846100</v>
      </c>
      <c r="G9061" s="560">
        <f t="shared" si="181"/>
        <v>0</v>
      </c>
      <c r="H9061" s="362"/>
      <c r="I9061" s="362"/>
      <c r="J9061" s="362"/>
    </row>
    <row r="9062" spans="1:10" x14ac:dyDescent="0.25">
      <c r="A9062" s="362"/>
      <c r="B9062" s="609">
        <v>44719</v>
      </c>
      <c r="C9062" s="362" t="s">
        <v>166</v>
      </c>
      <c r="D9062" s="560">
        <v>113368849</v>
      </c>
      <c r="E9062" s="560"/>
      <c r="F9062" s="560">
        <v>113369000</v>
      </c>
      <c r="G9062" s="560">
        <f t="shared" si="181"/>
        <v>-151</v>
      </c>
      <c r="H9062" s="362"/>
      <c r="I9062" s="362"/>
      <c r="J9062" s="362"/>
    </row>
    <row r="9063" spans="1:10" x14ac:dyDescent="0.25">
      <c r="A9063" s="362"/>
      <c r="B9063" s="609">
        <v>44719</v>
      </c>
      <c r="C9063" s="362" t="s">
        <v>3435</v>
      </c>
      <c r="D9063" s="560">
        <v>91825861</v>
      </c>
      <c r="E9063" s="560"/>
      <c r="F9063" s="560">
        <v>91825900</v>
      </c>
      <c r="G9063" s="560">
        <f t="shared" si="181"/>
        <v>-39</v>
      </c>
      <c r="H9063" s="362"/>
      <c r="I9063" s="362"/>
      <c r="J9063" s="362"/>
    </row>
    <row r="9064" spans="1:10" x14ac:dyDescent="0.25">
      <c r="A9064" s="362"/>
      <c r="B9064" s="609">
        <v>44719</v>
      </c>
      <c r="C9064" s="370" t="s">
        <v>85</v>
      </c>
      <c r="D9064" s="560">
        <v>56773000</v>
      </c>
      <c r="E9064" s="560"/>
      <c r="F9064" s="560">
        <v>56773000</v>
      </c>
      <c r="G9064" s="560">
        <f t="shared" si="181"/>
        <v>0</v>
      </c>
      <c r="H9064" s="362"/>
      <c r="I9064" s="362"/>
      <c r="J9064" s="362"/>
    </row>
    <row r="9065" spans="1:10" x14ac:dyDescent="0.25">
      <c r="A9065" s="530"/>
      <c r="B9065" s="530"/>
      <c r="C9065" s="530"/>
      <c r="D9065" s="562">
        <f>SUM(D9050:D9064)</f>
        <v>2400468501</v>
      </c>
      <c r="E9065" s="562">
        <f>SUM(E9050:E9064)</f>
        <v>0</v>
      </c>
      <c r="F9065" s="562"/>
      <c r="G9065" s="562">
        <f>SUM(G9050:G9064)</f>
        <v>-94349899</v>
      </c>
      <c r="H9065" s="530"/>
      <c r="I9065" s="530"/>
      <c r="J9065" s="530"/>
    </row>
    <row r="9066" spans="1:10" x14ac:dyDescent="0.25">
      <c r="A9066" s="362"/>
      <c r="B9066" s="609">
        <v>44720</v>
      </c>
      <c r="C9066" s="362" t="s">
        <v>86</v>
      </c>
      <c r="D9066" s="560">
        <v>152339416</v>
      </c>
      <c r="E9066" s="560"/>
      <c r="F9066" s="560">
        <v>152339500</v>
      </c>
      <c r="G9066" s="560">
        <f t="shared" si="181"/>
        <v>-84</v>
      </c>
      <c r="H9066" s="362"/>
      <c r="I9066" s="362"/>
      <c r="J9066" s="362"/>
    </row>
    <row r="9067" spans="1:10" x14ac:dyDescent="0.25">
      <c r="A9067" s="362"/>
      <c r="B9067" s="609">
        <v>44720</v>
      </c>
      <c r="C9067" s="362" t="s">
        <v>87</v>
      </c>
      <c r="D9067" s="560">
        <v>119476220</v>
      </c>
      <c r="E9067" s="560"/>
      <c r="F9067" s="560">
        <v>119476100</v>
      </c>
      <c r="G9067" s="560">
        <f t="shared" si="181"/>
        <v>120</v>
      </c>
      <c r="H9067" s="362"/>
      <c r="I9067" s="362"/>
      <c r="J9067" s="362"/>
    </row>
    <row r="9068" spans="1:10" x14ac:dyDescent="0.25">
      <c r="A9068" s="362"/>
      <c r="B9068" s="609">
        <v>44720</v>
      </c>
      <c r="C9068" s="362" t="s">
        <v>88</v>
      </c>
      <c r="D9068" s="560">
        <v>243039727</v>
      </c>
      <c r="E9068" s="560"/>
      <c r="F9068" s="560">
        <v>243039800</v>
      </c>
      <c r="G9068" s="560">
        <f t="shared" si="181"/>
        <v>-73</v>
      </c>
      <c r="H9068" s="362"/>
      <c r="I9068" s="362"/>
      <c r="J9068" s="362"/>
    </row>
    <row r="9069" spans="1:10" x14ac:dyDescent="0.25">
      <c r="A9069" s="362"/>
      <c r="B9069" s="609">
        <v>44720</v>
      </c>
      <c r="C9069" s="362" t="s">
        <v>82</v>
      </c>
      <c r="D9069" s="560"/>
      <c r="E9069" s="560"/>
      <c r="F9069" s="560">
        <v>86126400</v>
      </c>
      <c r="G9069" s="560">
        <f t="shared" si="181"/>
        <v>-86126400</v>
      </c>
      <c r="H9069" s="362"/>
      <c r="I9069" s="362"/>
      <c r="J9069" s="362"/>
    </row>
    <row r="9070" spans="1:10" x14ac:dyDescent="0.25">
      <c r="A9070" s="362"/>
      <c r="B9070" s="609">
        <v>44720</v>
      </c>
      <c r="C9070" s="362" t="s">
        <v>80</v>
      </c>
      <c r="D9070" s="560">
        <v>303826020</v>
      </c>
      <c r="E9070" s="560"/>
      <c r="F9070" s="560">
        <v>303826100</v>
      </c>
      <c r="G9070" s="560">
        <f t="shared" si="181"/>
        <v>-80</v>
      </c>
      <c r="H9070" s="362"/>
      <c r="I9070" s="362"/>
      <c r="J9070" s="362"/>
    </row>
    <row r="9071" spans="1:10" x14ac:dyDescent="0.25">
      <c r="A9071" s="362"/>
      <c r="B9071" s="609">
        <v>44720</v>
      </c>
      <c r="C9071" s="362" t="s">
        <v>83</v>
      </c>
      <c r="D9071" s="560">
        <v>202541900</v>
      </c>
      <c r="E9071" s="560"/>
      <c r="F9071" s="560">
        <v>202541900</v>
      </c>
      <c r="G9071" s="560">
        <f t="shared" si="181"/>
        <v>0</v>
      </c>
      <c r="H9071" s="362"/>
      <c r="I9071" s="362"/>
      <c r="J9071" s="362"/>
    </row>
    <row r="9072" spans="1:10" x14ac:dyDescent="0.25">
      <c r="A9072" s="362"/>
      <c r="B9072" s="609">
        <v>44720</v>
      </c>
      <c r="C9072" s="362" t="s">
        <v>78</v>
      </c>
      <c r="D9072" s="560">
        <v>185807285</v>
      </c>
      <c r="E9072" s="560"/>
      <c r="F9072" s="560">
        <v>185807300</v>
      </c>
      <c r="G9072" s="560">
        <f t="shared" si="181"/>
        <v>-15</v>
      </c>
      <c r="H9072" s="362"/>
      <c r="I9072" s="362"/>
      <c r="J9072" s="362"/>
    </row>
    <row r="9073" spans="1:10" x14ac:dyDescent="0.25">
      <c r="A9073" s="362"/>
      <c r="B9073" s="609">
        <v>44720</v>
      </c>
      <c r="C9073" s="362" t="s">
        <v>141</v>
      </c>
      <c r="D9073" s="560">
        <v>157937582</v>
      </c>
      <c r="E9073" s="560"/>
      <c r="F9073" s="560">
        <v>157937600</v>
      </c>
      <c r="G9073" s="560">
        <f t="shared" si="181"/>
        <v>-18</v>
      </c>
      <c r="H9073" s="362"/>
      <c r="I9073" s="362"/>
      <c r="J9073" s="362"/>
    </row>
    <row r="9074" spans="1:10" x14ac:dyDescent="0.25">
      <c r="A9074" s="362"/>
      <c r="B9074" s="609">
        <v>44720</v>
      </c>
      <c r="C9074" s="362" t="s">
        <v>89</v>
      </c>
      <c r="D9074" s="560">
        <v>172335700</v>
      </c>
      <c r="E9074" s="560"/>
      <c r="F9074" s="560">
        <v>172335800</v>
      </c>
      <c r="G9074" s="560">
        <f t="shared" si="181"/>
        <v>-100</v>
      </c>
      <c r="H9074" s="362"/>
      <c r="I9074" s="362"/>
      <c r="J9074" s="362"/>
    </row>
    <row r="9075" spans="1:10" x14ac:dyDescent="0.25">
      <c r="A9075" s="362"/>
      <c r="B9075" s="609">
        <v>44720</v>
      </c>
      <c r="C9075" s="362" t="s">
        <v>81</v>
      </c>
      <c r="D9075" s="560">
        <v>232754229</v>
      </c>
      <c r="E9075" s="560"/>
      <c r="F9075" s="560">
        <v>232754300</v>
      </c>
      <c r="G9075" s="560">
        <f t="shared" si="181"/>
        <v>-71</v>
      </c>
      <c r="H9075" s="362"/>
      <c r="I9075" s="362"/>
      <c r="J9075" s="362"/>
    </row>
    <row r="9076" spans="1:10" x14ac:dyDescent="0.25">
      <c r="A9076" s="362"/>
      <c r="B9076" s="609">
        <v>44720</v>
      </c>
      <c r="C9076" s="362" t="s">
        <v>84</v>
      </c>
      <c r="D9076" s="560">
        <v>281826779</v>
      </c>
      <c r="E9076" s="560"/>
      <c r="F9076" s="560">
        <v>281826800</v>
      </c>
      <c r="G9076" s="560">
        <f t="shared" si="181"/>
        <v>-21</v>
      </c>
      <c r="H9076" s="362"/>
      <c r="I9076" s="362"/>
      <c r="J9076" s="362"/>
    </row>
    <row r="9077" spans="1:10" x14ac:dyDescent="0.25">
      <c r="A9077" s="362"/>
      <c r="B9077" s="609">
        <v>44720</v>
      </c>
      <c r="C9077" s="362" t="s">
        <v>4751</v>
      </c>
      <c r="D9077" s="560">
        <v>131289200</v>
      </c>
      <c r="E9077" s="560"/>
      <c r="F9077" s="560">
        <v>131289200</v>
      </c>
      <c r="G9077" s="560">
        <f t="shared" si="181"/>
        <v>0</v>
      </c>
      <c r="H9077" s="362"/>
      <c r="I9077" s="362"/>
      <c r="J9077" s="362"/>
    </row>
    <row r="9078" spans="1:10" x14ac:dyDescent="0.25">
      <c r="A9078" s="362"/>
      <c r="B9078" s="609">
        <v>44720</v>
      </c>
      <c r="C9078" s="362" t="s">
        <v>166</v>
      </c>
      <c r="D9078" s="560">
        <v>117005924</v>
      </c>
      <c r="E9078" s="560"/>
      <c r="F9078" s="560">
        <v>117006000</v>
      </c>
      <c r="G9078" s="560">
        <f t="shared" si="181"/>
        <v>-76</v>
      </c>
      <c r="H9078" s="362"/>
      <c r="I9078" s="362"/>
      <c r="J9078" s="362"/>
    </row>
    <row r="9079" spans="1:10" x14ac:dyDescent="0.25">
      <c r="A9079" s="362"/>
      <c r="B9079" s="609">
        <v>44720</v>
      </c>
      <c r="C9079" s="362" t="s">
        <v>3435</v>
      </c>
      <c r="D9079" s="560">
        <v>70857391</v>
      </c>
      <c r="E9079" s="560"/>
      <c r="F9079" s="560">
        <v>70857400</v>
      </c>
      <c r="G9079" s="560">
        <f t="shared" si="181"/>
        <v>-9</v>
      </c>
      <c r="H9079" s="362"/>
      <c r="I9079" s="362"/>
      <c r="J9079" s="362"/>
    </row>
    <row r="9080" spans="1:10" x14ac:dyDescent="0.25">
      <c r="A9080" s="362"/>
      <c r="B9080" s="609">
        <v>44720</v>
      </c>
      <c r="C9080" s="370" t="s">
        <v>85</v>
      </c>
      <c r="D9080" s="560">
        <v>56056900</v>
      </c>
      <c r="E9080" s="560"/>
      <c r="F9080" s="560">
        <v>56056900</v>
      </c>
      <c r="G9080" s="560">
        <f t="shared" si="181"/>
        <v>0</v>
      </c>
      <c r="H9080" s="362"/>
      <c r="I9080" s="362"/>
      <c r="J9080" s="362"/>
    </row>
    <row r="9081" spans="1:10" x14ac:dyDescent="0.25">
      <c r="A9081" s="530"/>
      <c r="B9081" s="530"/>
      <c r="C9081" s="530"/>
      <c r="D9081" s="562">
        <f>SUM(D9066:D9080)</f>
        <v>2427094273</v>
      </c>
      <c r="E9081" s="562">
        <f>SUM(E9066:E9080)</f>
        <v>0</v>
      </c>
      <c r="F9081" s="562">
        <f>SUM(F9066:F9080)</f>
        <v>2513221100</v>
      </c>
      <c r="G9081" s="562">
        <f>SUM(G9066:G9080)</f>
        <v>-86126827</v>
      </c>
      <c r="H9081" s="530"/>
      <c r="I9081" s="530"/>
      <c r="J9081" s="530"/>
    </row>
    <row r="9082" spans="1:10" x14ac:dyDescent="0.25">
      <c r="A9082" s="362"/>
      <c r="B9082" s="609">
        <v>44721</v>
      </c>
      <c r="C9082" s="362" t="s">
        <v>86</v>
      </c>
      <c r="D9082" s="560">
        <v>191533054</v>
      </c>
      <c r="E9082" s="560"/>
      <c r="F9082" s="560">
        <v>191533000</v>
      </c>
      <c r="G9082" s="560">
        <f t="shared" si="181"/>
        <v>54</v>
      </c>
      <c r="H9082" s="362"/>
      <c r="I9082" s="362"/>
      <c r="J9082" s="362"/>
    </row>
    <row r="9083" spans="1:10" x14ac:dyDescent="0.25">
      <c r="A9083" s="362"/>
      <c r="B9083" s="609">
        <v>44721</v>
      </c>
      <c r="C9083" s="362" t="s">
        <v>87</v>
      </c>
      <c r="D9083" s="560">
        <v>161931875</v>
      </c>
      <c r="E9083" s="560"/>
      <c r="F9083" s="560">
        <v>161932100</v>
      </c>
      <c r="G9083" s="560">
        <f t="shared" si="181"/>
        <v>-225</v>
      </c>
      <c r="H9083" s="362"/>
      <c r="I9083" s="362"/>
      <c r="J9083" s="362"/>
    </row>
    <row r="9084" spans="1:10" x14ac:dyDescent="0.25">
      <c r="A9084" s="362"/>
      <c r="B9084" s="609">
        <v>44721</v>
      </c>
      <c r="C9084" s="362" t="s">
        <v>88</v>
      </c>
      <c r="D9084" s="560">
        <v>204298839</v>
      </c>
      <c r="E9084" s="560"/>
      <c r="F9084" s="560">
        <v>204298900</v>
      </c>
      <c r="G9084" s="560">
        <f t="shared" ref="G9084:G9147" si="182">D9084-F9084</f>
        <v>-61</v>
      </c>
      <c r="H9084" s="362"/>
      <c r="I9084" s="362"/>
      <c r="J9084" s="362"/>
    </row>
    <row r="9085" spans="1:10" x14ac:dyDescent="0.25">
      <c r="A9085" s="362"/>
      <c r="B9085" s="609">
        <v>44721</v>
      </c>
      <c r="C9085" s="362" t="s">
        <v>82</v>
      </c>
      <c r="D9085" s="560"/>
      <c r="E9085" s="560"/>
      <c r="F9085" s="560">
        <v>106889400</v>
      </c>
      <c r="G9085" s="560">
        <f t="shared" si="182"/>
        <v>-106889400</v>
      </c>
      <c r="H9085" s="362"/>
      <c r="I9085" s="362"/>
      <c r="J9085" s="362"/>
    </row>
    <row r="9086" spans="1:10" x14ac:dyDescent="0.25">
      <c r="A9086" s="362"/>
      <c r="B9086" s="609">
        <v>44721</v>
      </c>
      <c r="C9086" s="362" t="s">
        <v>80</v>
      </c>
      <c r="D9086" s="560">
        <v>431624303</v>
      </c>
      <c r="E9086" s="560"/>
      <c r="F9086" s="560">
        <v>431624400</v>
      </c>
      <c r="G9086" s="560">
        <f t="shared" si="182"/>
        <v>-97</v>
      </c>
      <c r="H9086" s="362"/>
      <c r="I9086" s="362"/>
      <c r="J9086" s="362"/>
    </row>
    <row r="9087" spans="1:10" x14ac:dyDescent="0.25">
      <c r="A9087" s="362"/>
      <c r="B9087" s="609">
        <v>44721</v>
      </c>
      <c r="C9087" s="362" t="s">
        <v>83</v>
      </c>
      <c r="D9087" s="560">
        <v>154947900</v>
      </c>
      <c r="E9087" s="560"/>
      <c r="F9087" s="560">
        <v>154947900</v>
      </c>
      <c r="G9087" s="560">
        <f t="shared" si="182"/>
        <v>0</v>
      </c>
      <c r="H9087" s="362"/>
      <c r="I9087" s="362"/>
      <c r="J9087" s="362"/>
    </row>
    <row r="9088" spans="1:10" x14ac:dyDescent="0.25">
      <c r="A9088" s="362"/>
      <c r="B9088" s="609">
        <v>44721</v>
      </c>
      <c r="C9088" s="362" t="s">
        <v>78</v>
      </c>
      <c r="D9088" s="560">
        <v>150735000</v>
      </c>
      <c r="E9088" s="560"/>
      <c r="F9088" s="560">
        <v>150735000</v>
      </c>
      <c r="G9088" s="560">
        <f t="shared" si="182"/>
        <v>0</v>
      </c>
      <c r="H9088" s="362"/>
      <c r="I9088" s="362"/>
      <c r="J9088" s="362"/>
    </row>
    <row r="9089" spans="1:10" x14ac:dyDescent="0.25">
      <c r="A9089" s="362"/>
      <c r="B9089" s="609">
        <v>44721</v>
      </c>
      <c r="C9089" s="362" t="s">
        <v>141</v>
      </c>
      <c r="D9089" s="560">
        <v>164666900</v>
      </c>
      <c r="E9089" s="560"/>
      <c r="F9089" s="560">
        <v>164666900</v>
      </c>
      <c r="G9089" s="560">
        <f t="shared" si="182"/>
        <v>0</v>
      </c>
      <c r="H9089" s="362"/>
      <c r="I9089" s="362"/>
      <c r="J9089" s="362"/>
    </row>
    <row r="9090" spans="1:10" x14ac:dyDescent="0.25">
      <c r="A9090" s="362"/>
      <c r="B9090" s="609">
        <v>44721</v>
      </c>
      <c r="C9090" s="362" t="s">
        <v>89</v>
      </c>
      <c r="D9090" s="560">
        <v>166294600</v>
      </c>
      <c r="E9090" s="560"/>
      <c r="F9090" s="560">
        <v>166294600</v>
      </c>
      <c r="G9090" s="560">
        <f t="shared" si="182"/>
        <v>0</v>
      </c>
      <c r="H9090" s="362"/>
      <c r="I9090" s="362"/>
      <c r="J9090" s="362"/>
    </row>
    <row r="9091" spans="1:10" x14ac:dyDescent="0.25">
      <c r="A9091" s="362"/>
      <c r="B9091" s="609">
        <v>44721</v>
      </c>
      <c r="C9091" s="362" t="s">
        <v>81</v>
      </c>
      <c r="D9091" s="560">
        <v>143867664</v>
      </c>
      <c r="E9091" s="560"/>
      <c r="F9091" s="560">
        <v>143867700</v>
      </c>
      <c r="G9091" s="560">
        <f t="shared" si="182"/>
        <v>-36</v>
      </c>
      <c r="H9091" s="362"/>
      <c r="I9091" s="362"/>
      <c r="J9091" s="362"/>
    </row>
    <row r="9092" spans="1:10" x14ac:dyDescent="0.25">
      <c r="A9092" s="362"/>
      <c r="B9092" s="609">
        <v>44721</v>
      </c>
      <c r="C9092" s="362" t="s">
        <v>84</v>
      </c>
      <c r="D9092" s="560">
        <v>278904375</v>
      </c>
      <c r="E9092" s="560"/>
      <c r="F9092" s="560">
        <v>278904300</v>
      </c>
      <c r="G9092" s="560">
        <f t="shared" si="182"/>
        <v>75</v>
      </c>
      <c r="H9092" s="362"/>
      <c r="I9092" s="362"/>
      <c r="J9092" s="362"/>
    </row>
    <row r="9093" spans="1:10" x14ac:dyDescent="0.25">
      <c r="A9093" s="362"/>
      <c r="B9093" s="609">
        <v>44721</v>
      </c>
      <c r="C9093" s="362" t="s">
        <v>4751</v>
      </c>
      <c r="D9093" s="560">
        <v>196512400</v>
      </c>
      <c r="E9093" s="560"/>
      <c r="F9093" s="560">
        <v>196512400</v>
      </c>
      <c r="G9093" s="560">
        <f t="shared" si="182"/>
        <v>0</v>
      </c>
      <c r="H9093" s="362"/>
      <c r="I9093" s="362"/>
      <c r="J9093" s="362"/>
    </row>
    <row r="9094" spans="1:10" x14ac:dyDescent="0.25">
      <c r="A9094" s="362"/>
      <c r="B9094" s="609">
        <v>44721</v>
      </c>
      <c r="C9094" s="362" t="s">
        <v>166</v>
      </c>
      <c r="D9094" s="560">
        <v>133281633</v>
      </c>
      <c r="E9094" s="560"/>
      <c r="F9094" s="560">
        <v>133281600</v>
      </c>
      <c r="G9094" s="560">
        <f t="shared" si="182"/>
        <v>33</v>
      </c>
      <c r="H9094" s="362"/>
      <c r="I9094" s="362"/>
      <c r="J9094" s="362"/>
    </row>
    <row r="9095" spans="1:10" x14ac:dyDescent="0.25">
      <c r="A9095" s="362"/>
      <c r="B9095" s="609">
        <v>44721</v>
      </c>
      <c r="C9095" s="362" t="s">
        <v>3435</v>
      </c>
      <c r="D9095" s="560">
        <v>119272349</v>
      </c>
      <c r="E9095" s="560"/>
      <c r="F9095" s="560">
        <v>119272400</v>
      </c>
      <c r="G9095" s="560">
        <f t="shared" si="182"/>
        <v>-51</v>
      </c>
      <c r="H9095" s="362"/>
      <c r="I9095" s="362"/>
      <c r="J9095" s="362"/>
    </row>
    <row r="9096" spans="1:10" x14ac:dyDescent="0.25">
      <c r="A9096" s="362"/>
      <c r="B9096" s="609">
        <v>44721</v>
      </c>
      <c r="C9096" s="370" t="s">
        <v>85</v>
      </c>
      <c r="D9096" s="560">
        <v>34091000</v>
      </c>
      <c r="E9096" s="560"/>
      <c r="F9096" s="560">
        <v>34091000</v>
      </c>
      <c r="G9096" s="560">
        <f t="shared" si="182"/>
        <v>0</v>
      </c>
      <c r="H9096" s="362"/>
      <c r="I9096" s="362"/>
      <c r="J9096" s="362"/>
    </row>
    <row r="9097" spans="1:10" x14ac:dyDescent="0.25">
      <c r="A9097" s="530"/>
      <c r="B9097" s="530"/>
      <c r="C9097" s="530"/>
      <c r="D9097" s="562">
        <f>SUM(D9082:D9096)</f>
        <v>2531961892</v>
      </c>
      <c r="E9097" s="562">
        <f>SUM(E9082:E9096)</f>
        <v>0</v>
      </c>
      <c r="F9097" s="562">
        <f>SUM(F9082:F9096)</f>
        <v>2638851600</v>
      </c>
      <c r="G9097" s="562">
        <f>SUM(G9082:G9096)</f>
        <v>-106889708</v>
      </c>
      <c r="H9097" s="530"/>
      <c r="I9097" s="530"/>
      <c r="J9097" s="530"/>
    </row>
    <row r="9098" spans="1:10" x14ac:dyDescent="0.25">
      <c r="A9098" s="362"/>
      <c r="B9098" s="609">
        <v>44722</v>
      </c>
      <c r="C9098" s="362" t="s">
        <v>86</v>
      </c>
      <c r="D9098" s="560">
        <v>104144082</v>
      </c>
      <c r="E9098" s="560"/>
      <c r="F9098" s="560">
        <v>104144000</v>
      </c>
      <c r="G9098" s="560">
        <f t="shared" si="182"/>
        <v>82</v>
      </c>
      <c r="H9098" s="362"/>
      <c r="I9098" s="362"/>
      <c r="J9098" s="362"/>
    </row>
    <row r="9099" spans="1:10" x14ac:dyDescent="0.25">
      <c r="A9099" s="362"/>
      <c r="B9099" s="609">
        <v>44722</v>
      </c>
      <c r="C9099" s="362" t="s">
        <v>87</v>
      </c>
      <c r="D9099" s="560">
        <v>323067473</v>
      </c>
      <c r="E9099" s="560"/>
      <c r="F9099" s="560">
        <v>323067500</v>
      </c>
      <c r="G9099" s="560">
        <f t="shared" si="182"/>
        <v>-27</v>
      </c>
      <c r="H9099" s="362"/>
      <c r="I9099" s="362"/>
      <c r="J9099" s="362"/>
    </row>
    <row r="9100" spans="1:10" x14ac:dyDescent="0.25">
      <c r="A9100" s="362"/>
      <c r="B9100" s="609">
        <v>44722</v>
      </c>
      <c r="C9100" s="362" t="s">
        <v>88</v>
      </c>
      <c r="D9100" s="560">
        <v>143162582</v>
      </c>
      <c r="E9100" s="560"/>
      <c r="F9100" s="560">
        <v>143162600</v>
      </c>
      <c r="G9100" s="560">
        <f t="shared" si="182"/>
        <v>-18</v>
      </c>
      <c r="H9100" s="362"/>
      <c r="I9100" s="362"/>
      <c r="J9100" s="362"/>
    </row>
    <row r="9101" spans="1:10" x14ac:dyDescent="0.25">
      <c r="A9101" s="362"/>
      <c r="B9101" s="609">
        <v>44722</v>
      </c>
      <c r="C9101" s="362" t="s">
        <v>82</v>
      </c>
      <c r="D9101" s="560"/>
      <c r="E9101" s="560"/>
      <c r="F9101" s="560">
        <v>159282200</v>
      </c>
      <c r="G9101" s="560">
        <f t="shared" si="182"/>
        <v>-159282200</v>
      </c>
      <c r="H9101" s="362"/>
      <c r="I9101" s="362"/>
      <c r="J9101" s="362"/>
    </row>
    <row r="9102" spans="1:10" x14ac:dyDescent="0.25">
      <c r="A9102" s="362"/>
      <c r="B9102" s="609">
        <v>44722</v>
      </c>
      <c r="C9102" s="362" t="s">
        <v>80</v>
      </c>
      <c r="D9102" s="560">
        <v>399439726</v>
      </c>
      <c r="E9102" s="560"/>
      <c r="F9102" s="560">
        <v>399439900</v>
      </c>
      <c r="G9102" s="560">
        <f t="shared" si="182"/>
        <v>-174</v>
      </c>
      <c r="H9102" s="362"/>
      <c r="I9102" s="362"/>
      <c r="J9102" s="362"/>
    </row>
    <row r="9103" spans="1:10" x14ac:dyDescent="0.25">
      <c r="A9103" s="362"/>
      <c r="B9103" s="609">
        <v>44722</v>
      </c>
      <c r="C9103" s="362" t="s">
        <v>83</v>
      </c>
      <c r="D9103" s="560">
        <v>161435253</v>
      </c>
      <c r="E9103" s="560"/>
      <c r="F9103" s="560">
        <v>161435200</v>
      </c>
      <c r="G9103" s="560">
        <f t="shared" si="182"/>
        <v>53</v>
      </c>
      <c r="H9103" s="362"/>
      <c r="I9103" s="362"/>
      <c r="J9103" s="362"/>
    </row>
    <row r="9104" spans="1:10" x14ac:dyDescent="0.25">
      <c r="A9104" s="362"/>
      <c r="B9104" s="609">
        <v>44722</v>
      </c>
      <c r="C9104" s="362" t="s">
        <v>78</v>
      </c>
      <c r="D9104" s="560">
        <v>234416900</v>
      </c>
      <c r="E9104" s="560"/>
      <c r="F9104" s="560">
        <v>234416900</v>
      </c>
      <c r="G9104" s="560">
        <f t="shared" si="182"/>
        <v>0</v>
      </c>
      <c r="H9104" s="362"/>
      <c r="I9104" s="362"/>
      <c r="J9104" s="362"/>
    </row>
    <row r="9105" spans="1:10" x14ac:dyDescent="0.25">
      <c r="A9105" s="362"/>
      <c r="B9105" s="609">
        <v>44722</v>
      </c>
      <c r="C9105" s="362" t="s">
        <v>141</v>
      </c>
      <c r="D9105" s="560">
        <v>110364162</v>
      </c>
      <c r="E9105" s="560"/>
      <c r="F9105" s="560">
        <v>110364200</v>
      </c>
      <c r="G9105" s="560">
        <f t="shared" si="182"/>
        <v>-38</v>
      </c>
      <c r="H9105" s="362"/>
      <c r="I9105" s="362"/>
      <c r="J9105" s="362"/>
    </row>
    <row r="9106" spans="1:10" x14ac:dyDescent="0.25">
      <c r="A9106" s="362"/>
      <c r="B9106" s="609">
        <v>44722</v>
      </c>
      <c r="C9106" s="362" t="s">
        <v>89</v>
      </c>
      <c r="D9106" s="560">
        <v>261099000</v>
      </c>
      <c r="E9106" s="560"/>
      <c r="F9106" s="560">
        <v>261099000</v>
      </c>
      <c r="G9106" s="560">
        <f t="shared" si="182"/>
        <v>0</v>
      </c>
      <c r="H9106" s="362"/>
      <c r="I9106" s="362"/>
      <c r="J9106" s="362"/>
    </row>
    <row r="9107" spans="1:10" x14ac:dyDescent="0.25">
      <c r="A9107" s="362"/>
      <c r="B9107" s="609">
        <v>44722</v>
      </c>
      <c r="C9107" s="362" t="s">
        <v>81</v>
      </c>
      <c r="D9107" s="560">
        <v>112191714</v>
      </c>
      <c r="E9107" s="560"/>
      <c r="F9107" s="560">
        <v>112191800</v>
      </c>
      <c r="G9107" s="560">
        <f t="shared" si="182"/>
        <v>-86</v>
      </c>
      <c r="H9107" s="362"/>
      <c r="I9107" s="362"/>
      <c r="J9107" s="362"/>
    </row>
    <row r="9108" spans="1:10" x14ac:dyDescent="0.25">
      <c r="A9108" s="362"/>
      <c r="B9108" s="609">
        <v>44722</v>
      </c>
      <c r="C9108" s="362" t="s">
        <v>84</v>
      </c>
      <c r="D9108" s="560">
        <v>294267261</v>
      </c>
      <c r="E9108" s="560"/>
      <c r="F9108" s="560">
        <v>294267000</v>
      </c>
      <c r="G9108" s="560">
        <f t="shared" si="182"/>
        <v>261</v>
      </c>
      <c r="H9108" s="362"/>
      <c r="I9108" s="362"/>
      <c r="J9108" s="362"/>
    </row>
    <row r="9109" spans="1:10" x14ac:dyDescent="0.25">
      <c r="A9109" s="362"/>
      <c r="B9109" s="609">
        <v>44722</v>
      </c>
      <c r="C9109" s="362" t="s">
        <v>4751</v>
      </c>
      <c r="D9109" s="560">
        <v>121650400</v>
      </c>
      <c r="E9109" s="560"/>
      <c r="F9109" s="560">
        <v>121650400</v>
      </c>
      <c r="G9109" s="560">
        <f t="shared" si="182"/>
        <v>0</v>
      </c>
      <c r="H9109" s="362"/>
      <c r="I9109" s="362"/>
      <c r="J9109" s="362"/>
    </row>
    <row r="9110" spans="1:10" x14ac:dyDescent="0.25">
      <c r="A9110" s="362"/>
      <c r="B9110" s="609">
        <v>44722</v>
      </c>
      <c r="C9110" s="362" t="s">
        <v>166</v>
      </c>
      <c r="D9110" s="560">
        <v>40193513</v>
      </c>
      <c r="E9110" s="560"/>
      <c r="F9110" s="560">
        <v>40193500</v>
      </c>
      <c r="G9110" s="560">
        <f t="shared" si="182"/>
        <v>13</v>
      </c>
      <c r="H9110" s="362"/>
      <c r="I9110" s="362"/>
      <c r="J9110" s="362"/>
    </row>
    <row r="9111" spans="1:10" x14ac:dyDescent="0.25">
      <c r="A9111" s="362"/>
      <c r="B9111" s="609">
        <v>44722</v>
      </c>
      <c r="C9111" s="362" t="s">
        <v>3435</v>
      </c>
      <c r="D9111" s="560">
        <v>12386766</v>
      </c>
      <c r="E9111" s="560"/>
      <c r="F9111" s="560">
        <v>12386800</v>
      </c>
      <c r="G9111" s="560">
        <f t="shared" si="182"/>
        <v>-34</v>
      </c>
      <c r="H9111" s="362"/>
      <c r="I9111" s="362"/>
      <c r="J9111" s="362"/>
    </row>
    <row r="9112" spans="1:10" x14ac:dyDescent="0.25">
      <c r="A9112" s="362"/>
      <c r="B9112" s="609">
        <v>44722</v>
      </c>
      <c r="C9112" s="370" t="s">
        <v>85</v>
      </c>
      <c r="D9112" s="560">
        <v>27153400</v>
      </c>
      <c r="E9112" s="560"/>
      <c r="F9112" s="560">
        <v>27153400</v>
      </c>
      <c r="G9112" s="560">
        <f t="shared" si="182"/>
        <v>0</v>
      </c>
      <c r="H9112" s="362"/>
      <c r="I9112" s="362"/>
      <c r="J9112" s="362"/>
    </row>
    <row r="9113" spans="1:10" x14ac:dyDescent="0.25">
      <c r="A9113" s="530"/>
      <c r="B9113" s="530"/>
      <c r="C9113" s="530"/>
      <c r="D9113" s="562">
        <f>SUM(D9098:D9112)</f>
        <v>2344972232</v>
      </c>
      <c r="E9113" s="562">
        <f>SUM(E9098:E9112)</f>
        <v>0</v>
      </c>
      <c r="F9113" s="562">
        <f>SUM(F9098:F9112)</f>
        <v>2504254400</v>
      </c>
      <c r="G9113" s="562">
        <f>SUM(G9098:G9112)</f>
        <v>-159282168</v>
      </c>
      <c r="H9113" s="530"/>
      <c r="I9113" s="530"/>
      <c r="J9113" s="530"/>
    </row>
    <row r="9114" spans="1:10" x14ac:dyDescent="0.25">
      <c r="A9114" s="362"/>
      <c r="B9114" s="609">
        <v>44723</v>
      </c>
      <c r="C9114" s="362" t="s">
        <v>86</v>
      </c>
      <c r="D9114" s="560">
        <v>172077096</v>
      </c>
      <c r="E9114" s="560"/>
      <c r="F9114" s="560">
        <v>172077100</v>
      </c>
      <c r="G9114" s="560">
        <f t="shared" si="182"/>
        <v>-4</v>
      </c>
      <c r="H9114" s="362"/>
      <c r="I9114" s="362"/>
      <c r="J9114" s="362"/>
    </row>
    <row r="9115" spans="1:10" x14ac:dyDescent="0.25">
      <c r="A9115" s="362"/>
      <c r="B9115" s="609">
        <v>44723</v>
      </c>
      <c r="C9115" s="362" t="s">
        <v>87</v>
      </c>
      <c r="D9115" s="560">
        <v>224908039</v>
      </c>
      <c r="E9115" s="560"/>
      <c r="F9115" s="560">
        <v>224908200</v>
      </c>
      <c r="G9115" s="560">
        <f t="shared" si="182"/>
        <v>-161</v>
      </c>
      <c r="H9115" s="362"/>
      <c r="I9115" s="362"/>
      <c r="J9115" s="362"/>
    </row>
    <row r="9116" spans="1:10" x14ac:dyDescent="0.25">
      <c r="A9116" s="362"/>
      <c r="B9116" s="609">
        <v>44723</v>
      </c>
      <c r="C9116" s="362" t="s">
        <v>88</v>
      </c>
      <c r="D9116" s="560">
        <v>106318768</v>
      </c>
      <c r="E9116" s="560"/>
      <c r="F9116" s="560">
        <v>106318800</v>
      </c>
      <c r="G9116" s="560">
        <f t="shared" si="182"/>
        <v>-32</v>
      </c>
      <c r="H9116" s="362"/>
      <c r="I9116" s="362"/>
      <c r="J9116" s="362"/>
    </row>
    <row r="9117" spans="1:10" x14ac:dyDescent="0.25">
      <c r="A9117" s="362"/>
      <c r="B9117" s="609">
        <v>44723</v>
      </c>
      <c r="C9117" s="362" t="s">
        <v>82</v>
      </c>
      <c r="D9117" s="560">
        <v>71242200</v>
      </c>
      <c r="E9117" s="560"/>
      <c r="F9117" s="560">
        <v>71242400</v>
      </c>
      <c r="G9117" s="560">
        <f t="shared" si="182"/>
        <v>-200</v>
      </c>
      <c r="H9117" s="362"/>
      <c r="I9117" s="362"/>
      <c r="J9117" s="362"/>
    </row>
    <row r="9118" spans="1:10" x14ac:dyDescent="0.25">
      <c r="A9118" s="362"/>
      <c r="B9118" s="609">
        <v>44723</v>
      </c>
      <c r="C9118" s="362" t="s">
        <v>80</v>
      </c>
      <c r="D9118" s="560">
        <v>322116800</v>
      </c>
      <c r="E9118" s="560"/>
      <c r="F9118" s="560">
        <v>322116800</v>
      </c>
      <c r="G9118" s="560">
        <f t="shared" si="182"/>
        <v>0</v>
      </c>
      <c r="H9118" s="362"/>
      <c r="I9118" s="362"/>
      <c r="J9118" s="362"/>
    </row>
    <row r="9119" spans="1:10" x14ac:dyDescent="0.25">
      <c r="A9119" s="362"/>
      <c r="B9119" s="609">
        <v>44723</v>
      </c>
      <c r="C9119" s="362" t="s">
        <v>83</v>
      </c>
      <c r="D9119" s="560">
        <v>211978448</v>
      </c>
      <c r="E9119" s="560"/>
      <c r="F9119" s="560">
        <v>211978400</v>
      </c>
      <c r="G9119" s="560">
        <f t="shared" si="182"/>
        <v>48</v>
      </c>
      <c r="H9119" s="362"/>
      <c r="I9119" s="362"/>
      <c r="J9119" s="362"/>
    </row>
    <row r="9120" spans="1:10" x14ac:dyDescent="0.25">
      <c r="A9120" s="362"/>
      <c r="B9120" s="609">
        <v>44723</v>
      </c>
      <c r="C9120" s="362" t="s">
        <v>78</v>
      </c>
      <c r="D9120" s="560">
        <v>230171500</v>
      </c>
      <c r="E9120" s="560"/>
      <c r="F9120" s="560">
        <v>230171600</v>
      </c>
      <c r="G9120" s="560">
        <f t="shared" si="182"/>
        <v>-100</v>
      </c>
      <c r="H9120" s="362"/>
      <c r="I9120" s="362"/>
      <c r="J9120" s="362"/>
    </row>
    <row r="9121" spans="1:10" x14ac:dyDescent="0.25">
      <c r="A9121" s="362"/>
      <c r="B9121" s="609">
        <v>44723</v>
      </c>
      <c r="C9121" s="362" t="s">
        <v>141</v>
      </c>
      <c r="D9121" s="560">
        <v>45447157</v>
      </c>
      <c r="E9121" s="560"/>
      <c r="F9121" s="560">
        <v>45447200</v>
      </c>
      <c r="G9121" s="560">
        <f t="shared" si="182"/>
        <v>-43</v>
      </c>
      <c r="H9121" s="362"/>
      <c r="I9121" s="362"/>
      <c r="J9121" s="362"/>
    </row>
    <row r="9122" spans="1:10" x14ac:dyDescent="0.25">
      <c r="A9122" s="362"/>
      <c r="B9122" s="609">
        <v>44723</v>
      </c>
      <c r="C9122" s="362" t="s">
        <v>89</v>
      </c>
      <c r="D9122" s="560">
        <v>101471500</v>
      </c>
      <c r="E9122" s="560"/>
      <c r="F9122" s="560">
        <v>101471600</v>
      </c>
      <c r="G9122" s="560">
        <f t="shared" si="182"/>
        <v>-100</v>
      </c>
      <c r="H9122" s="362"/>
      <c r="I9122" s="362"/>
      <c r="J9122" s="362"/>
    </row>
    <row r="9123" spans="1:10" x14ac:dyDescent="0.25">
      <c r="A9123" s="362"/>
      <c r="B9123" s="609">
        <v>44723</v>
      </c>
      <c r="C9123" s="362" t="s">
        <v>81</v>
      </c>
      <c r="D9123" s="560">
        <v>207457289</v>
      </c>
      <c r="E9123" s="560"/>
      <c r="F9123" s="560">
        <f>159211800+48245500</f>
        <v>207457300</v>
      </c>
      <c r="G9123" s="560">
        <f t="shared" si="182"/>
        <v>-11</v>
      </c>
      <c r="H9123" s="362"/>
      <c r="I9123" s="362"/>
      <c r="J9123" s="362"/>
    </row>
    <row r="9124" spans="1:10" x14ac:dyDescent="0.25">
      <c r="A9124" s="362"/>
      <c r="B9124" s="609">
        <v>44723</v>
      </c>
      <c r="C9124" s="362" t="s">
        <v>84</v>
      </c>
      <c r="D9124" s="560">
        <v>198568105</v>
      </c>
      <c r="E9124" s="560"/>
      <c r="F9124" s="560">
        <v>198568300</v>
      </c>
      <c r="G9124" s="560">
        <f t="shared" si="182"/>
        <v>-195</v>
      </c>
      <c r="H9124" s="362"/>
      <c r="I9124" s="362"/>
      <c r="J9124" s="362"/>
    </row>
    <row r="9125" spans="1:10" x14ac:dyDescent="0.25">
      <c r="A9125" s="362"/>
      <c r="B9125" s="609">
        <v>44723</v>
      </c>
      <c r="C9125" s="362" t="s">
        <v>4751</v>
      </c>
      <c r="D9125" s="560">
        <v>243971200</v>
      </c>
      <c r="E9125" s="560"/>
      <c r="F9125" s="560">
        <v>243971200</v>
      </c>
      <c r="G9125" s="560">
        <f t="shared" si="182"/>
        <v>0</v>
      </c>
      <c r="H9125" s="362"/>
      <c r="I9125" s="362"/>
      <c r="J9125" s="362"/>
    </row>
    <row r="9126" spans="1:10" x14ac:dyDescent="0.25">
      <c r="A9126" s="362"/>
      <c r="B9126" s="609">
        <v>44723</v>
      </c>
      <c r="C9126" s="362" t="s">
        <v>166</v>
      </c>
      <c r="D9126" s="362"/>
      <c r="E9126" s="362"/>
      <c r="F9126" s="362"/>
      <c r="G9126" s="560">
        <f t="shared" si="182"/>
        <v>0</v>
      </c>
      <c r="H9126" s="362"/>
      <c r="I9126" s="362"/>
      <c r="J9126" s="362"/>
    </row>
    <row r="9127" spans="1:10" x14ac:dyDescent="0.25">
      <c r="A9127" s="362"/>
      <c r="B9127" s="609">
        <v>44723</v>
      </c>
      <c r="C9127" s="362" t="s">
        <v>3435</v>
      </c>
      <c r="D9127" s="362"/>
      <c r="E9127" s="362"/>
      <c r="F9127" s="362"/>
      <c r="G9127" s="560">
        <f t="shared" si="182"/>
        <v>0</v>
      </c>
      <c r="H9127" s="362"/>
      <c r="I9127" s="362"/>
      <c r="J9127" s="362"/>
    </row>
    <row r="9128" spans="1:10" x14ac:dyDescent="0.25">
      <c r="A9128" s="362"/>
      <c r="B9128" s="609">
        <v>44723</v>
      </c>
      <c r="C9128" s="370" t="s">
        <v>85</v>
      </c>
      <c r="D9128" s="362">
        <v>40154500</v>
      </c>
      <c r="E9128" s="362"/>
      <c r="F9128" s="362">
        <v>40154500</v>
      </c>
      <c r="G9128" s="560">
        <f t="shared" si="182"/>
        <v>0</v>
      </c>
      <c r="H9128" s="362"/>
      <c r="I9128" s="362"/>
      <c r="J9128" s="362"/>
    </row>
    <row r="9129" spans="1:10" x14ac:dyDescent="0.25">
      <c r="A9129" s="530"/>
      <c r="B9129" s="530"/>
      <c r="C9129" s="530"/>
      <c r="D9129" s="630">
        <f>SUM(D9114:D9128)</f>
        <v>2175882602</v>
      </c>
      <c r="E9129" s="630">
        <f>SUM(E9114:E9128)</f>
        <v>0</v>
      </c>
      <c r="F9129" s="630">
        <f>SUM(F9114:F9128)</f>
        <v>2175883400</v>
      </c>
      <c r="G9129" s="630">
        <f>SUM(G9114:G9128)</f>
        <v>-798</v>
      </c>
      <c r="H9129" s="530"/>
      <c r="I9129" s="530"/>
      <c r="J9129" s="530"/>
    </row>
    <row r="9130" spans="1:10" x14ac:dyDescent="0.25">
      <c r="A9130" s="362"/>
      <c r="B9130" s="609">
        <v>44725</v>
      </c>
      <c r="C9130" s="362" t="s">
        <v>86</v>
      </c>
      <c r="D9130" s="560">
        <v>91456092</v>
      </c>
      <c r="E9130" s="560"/>
      <c r="F9130" s="560">
        <v>91456000</v>
      </c>
      <c r="G9130" s="560">
        <f t="shared" si="182"/>
        <v>92</v>
      </c>
      <c r="H9130" s="362"/>
      <c r="I9130" s="362"/>
      <c r="J9130" s="362"/>
    </row>
    <row r="9131" spans="1:10" x14ac:dyDescent="0.25">
      <c r="A9131" s="362"/>
      <c r="B9131" s="609">
        <v>44725</v>
      </c>
      <c r="C9131" s="362" t="s">
        <v>87</v>
      </c>
      <c r="D9131" s="560">
        <v>197704451</v>
      </c>
      <c r="E9131" s="560"/>
      <c r="F9131" s="560">
        <v>197704700</v>
      </c>
      <c r="G9131" s="560">
        <f t="shared" si="182"/>
        <v>-249</v>
      </c>
      <c r="H9131" s="362"/>
      <c r="I9131" s="362"/>
      <c r="J9131" s="362"/>
    </row>
    <row r="9132" spans="1:10" x14ac:dyDescent="0.25">
      <c r="A9132" s="362"/>
      <c r="B9132" s="609">
        <v>44725</v>
      </c>
      <c r="C9132" s="362" t="s">
        <v>88</v>
      </c>
      <c r="D9132" s="560">
        <v>235521706</v>
      </c>
      <c r="E9132" s="560"/>
      <c r="F9132" s="560">
        <v>235521800</v>
      </c>
      <c r="G9132" s="560">
        <f t="shared" si="182"/>
        <v>-94</v>
      </c>
      <c r="H9132" s="362"/>
      <c r="I9132" s="362"/>
      <c r="J9132" s="362"/>
    </row>
    <row r="9133" spans="1:10" x14ac:dyDescent="0.25">
      <c r="A9133" s="362"/>
      <c r="B9133" s="609">
        <v>44725</v>
      </c>
      <c r="C9133" s="362" t="s">
        <v>82</v>
      </c>
      <c r="D9133" s="560">
        <v>77962000</v>
      </c>
      <c r="E9133" s="560"/>
      <c r="F9133" s="560">
        <v>77962000</v>
      </c>
      <c r="G9133" s="560">
        <f t="shared" si="182"/>
        <v>0</v>
      </c>
      <c r="H9133" s="362"/>
      <c r="I9133" s="362"/>
      <c r="J9133" s="362"/>
    </row>
    <row r="9134" spans="1:10" x14ac:dyDescent="0.25">
      <c r="A9134" s="362"/>
      <c r="B9134" s="609">
        <v>44725</v>
      </c>
      <c r="C9134" s="362" t="s">
        <v>80</v>
      </c>
      <c r="D9134" s="560">
        <v>281607800</v>
      </c>
      <c r="E9134" s="560"/>
      <c r="F9134" s="560">
        <v>281607800</v>
      </c>
      <c r="G9134" s="560">
        <f t="shared" si="182"/>
        <v>0</v>
      </c>
      <c r="H9134" s="362"/>
      <c r="I9134" s="362"/>
      <c r="J9134" s="362"/>
    </row>
    <row r="9135" spans="1:10" x14ac:dyDescent="0.25">
      <c r="A9135" s="362"/>
      <c r="B9135" s="609">
        <v>44725</v>
      </c>
      <c r="C9135" s="362" t="s">
        <v>83</v>
      </c>
      <c r="D9135" s="560">
        <v>198837331</v>
      </c>
      <c r="E9135" s="560"/>
      <c r="F9135" s="560">
        <v>198837400</v>
      </c>
      <c r="G9135" s="560">
        <f t="shared" si="182"/>
        <v>-69</v>
      </c>
      <c r="H9135" s="362"/>
      <c r="I9135" s="362"/>
      <c r="J9135" s="362"/>
    </row>
    <row r="9136" spans="1:10" x14ac:dyDescent="0.25">
      <c r="A9136" s="362"/>
      <c r="B9136" s="609">
        <v>44725</v>
      </c>
      <c r="C9136" s="362" t="s">
        <v>78</v>
      </c>
      <c r="D9136" s="560">
        <v>110107363</v>
      </c>
      <c r="E9136" s="560"/>
      <c r="F9136" s="560">
        <v>110107400</v>
      </c>
      <c r="G9136" s="560">
        <f t="shared" si="182"/>
        <v>-37</v>
      </c>
      <c r="H9136" s="362"/>
      <c r="I9136" s="362"/>
      <c r="J9136" s="362"/>
    </row>
    <row r="9137" spans="1:10" x14ac:dyDescent="0.25">
      <c r="A9137" s="362"/>
      <c r="B9137" s="609">
        <v>44725</v>
      </c>
      <c r="C9137" s="362" t="s">
        <v>141</v>
      </c>
      <c r="D9137" s="560">
        <v>65061671</v>
      </c>
      <c r="E9137" s="560"/>
      <c r="F9137" s="560">
        <v>65061700</v>
      </c>
      <c r="G9137" s="560">
        <f t="shared" si="182"/>
        <v>-29</v>
      </c>
      <c r="H9137" s="362"/>
      <c r="I9137" s="362"/>
      <c r="J9137" s="362"/>
    </row>
    <row r="9138" spans="1:10" x14ac:dyDescent="0.25">
      <c r="A9138" s="362"/>
      <c r="B9138" s="609">
        <v>44725</v>
      </c>
      <c r="C9138" s="362" t="s">
        <v>89</v>
      </c>
      <c r="D9138" s="560">
        <v>197580200</v>
      </c>
      <c r="E9138" s="560"/>
      <c r="F9138" s="560">
        <v>197580300</v>
      </c>
      <c r="G9138" s="560">
        <f t="shared" si="182"/>
        <v>-100</v>
      </c>
      <c r="H9138" s="362"/>
      <c r="I9138" s="362"/>
      <c r="J9138" s="362"/>
    </row>
    <row r="9139" spans="1:10" x14ac:dyDescent="0.25">
      <c r="A9139" s="362"/>
      <c r="B9139" s="609">
        <v>44725</v>
      </c>
      <c r="C9139" s="362" t="s">
        <v>81</v>
      </c>
      <c r="D9139" s="560">
        <v>87015053</v>
      </c>
      <c r="E9139" s="560"/>
      <c r="F9139" s="560">
        <v>87015100</v>
      </c>
      <c r="G9139" s="560">
        <f t="shared" si="182"/>
        <v>-47</v>
      </c>
      <c r="H9139" s="362"/>
      <c r="I9139" s="362"/>
      <c r="J9139" s="362"/>
    </row>
    <row r="9140" spans="1:10" x14ac:dyDescent="0.25">
      <c r="A9140" s="362"/>
      <c r="B9140" s="609">
        <v>44725</v>
      </c>
      <c r="C9140" s="362" t="s">
        <v>84</v>
      </c>
      <c r="D9140" s="560">
        <v>441508797</v>
      </c>
      <c r="E9140" s="560"/>
      <c r="F9140" s="560">
        <v>441508800</v>
      </c>
      <c r="G9140" s="560">
        <f t="shared" si="182"/>
        <v>-3</v>
      </c>
      <c r="H9140" s="362"/>
      <c r="I9140" s="362"/>
      <c r="J9140" s="362"/>
    </row>
    <row r="9141" spans="1:10" x14ac:dyDescent="0.25">
      <c r="A9141" s="362"/>
      <c r="B9141" s="609">
        <v>44725</v>
      </c>
      <c r="C9141" s="362" t="s">
        <v>4751</v>
      </c>
      <c r="D9141" s="560">
        <v>237811500</v>
      </c>
      <c r="E9141" s="560"/>
      <c r="F9141" s="560">
        <v>237811500</v>
      </c>
      <c r="G9141" s="560">
        <f t="shared" si="182"/>
        <v>0</v>
      </c>
      <c r="H9141" s="362"/>
      <c r="I9141" s="362"/>
      <c r="J9141" s="362"/>
    </row>
    <row r="9142" spans="1:10" x14ac:dyDescent="0.25">
      <c r="A9142" s="362"/>
      <c r="B9142" s="609">
        <v>44725</v>
      </c>
      <c r="C9142" s="362" t="s">
        <v>166</v>
      </c>
      <c r="D9142" s="560">
        <v>82079814</v>
      </c>
      <c r="E9142" s="560"/>
      <c r="F9142" s="560">
        <v>82079800</v>
      </c>
      <c r="G9142" s="560">
        <f t="shared" si="182"/>
        <v>14</v>
      </c>
      <c r="H9142" s="362"/>
      <c r="I9142" s="362"/>
      <c r="J9142" s="362"/>
    </row>
    <row r="9143" spans="1:10" x14ac:dyDescent="0.25">
      <c r="A9143" s="362"/>
      <c r="B9143" s="609">
        <v>44725</v>
      </c>
      <c r="C9143" s="362" t="s">
        <v>3435</v>
      </c>
      <c r="D9143" s="560">
        <v>29258879</v>
      </c>
      <c r="E9143" s="560"/>
      <c r="F9143" s="560">
        <v>29258900</v>
      </c>
      <c r="G9143" s="560">
        <f t="shared" si="182"/>
        <v>-21</v>
      </c>
      <c r="H9143" s="362"/>
      <c r="I9143" s="362"/>
      <c r="J9143" s="362"/>
    </row>
    <row r="9144" spans="1:10" x14ac:dyDescent="0.25">
      <c r="A9144" s="362"/>
      <c r="B9144" s="609">
        <v>44725</v>
      </c>
      <c r="C9144" s="370" t="s">
        <v>85</v>
      </c>
      <c r="D9144" s="560">
        <v>59053700</v>
      </c>
      <c r="E9144" s="560"/>
      <c r="F9144" s="560">
        <v>59053700</v>
      </c>
      <c r="G9144" s="560">
        <f t="shared" si="182"/>
        <v>0</v>
      </c>
      <c r="H9144" s="362"/>
      <c r="I9144" s="362"/>
      <c r="J9144" s="362"/>
    </row>
    <row r="9145" spans="1:10" x14ac:dyDescent="0.25">
      <c r="A9145" s="530"/>
      <c r="B9145" s="530"/>
      <c r="C9145" s="530"/>
      <c r="D9145" s="562">
        <f>SUM(D9130:D9144)</f>
        <v>2392566357</v>
      </c>
      <c r="E9145" s="562">
        <f>SUM(E9130:E9144)</f>
        <v>0</v>
      </c>
      <c r="F9145" s="562">
        <f>SUM(F9130:F9144)</f>
        <v>2392566900</v>
      </c>
      <c r="G9145" s="562">
        <f>SUM(G9130:G9144)</f>
        <v>-543</v>
      </c>
      <c r="H9145" s="530"/>
      <c r="I9145" s="530"/>
      <c r="J9145" s="530"/>
    </row>
    <row r="9146" spans="1:10" x14ac:dyDescent="0.25">
      <c r="A9146" s="362"/>
      <c r="B9146" s="609">
        <v>44726</v>
      </c>
      <c r="C9146" s="362" t="s">
        <v>86</v>
      </c>
      <c r="D9146" s="560">
        <v>96011057</v>
      </c>
      <c r="E9146" s="560"/>
      <c r="F9146" s="560">
        <v>96011000</v>
      </c>
      <c r="G9146" s="560">
        <f t="shared" si="182"/>
        <v>57</v>
      </c>
      <c r="H9146" s="362"/>
      <c r="I9146" s="362"/>
      <c r="J9146" s="362"/>
    </row>
    <row r="9147" spans="1:10" x14ac:dyDescent="0.25">
      <c r="A9147" s="362"/>
      <c r="B9147" s="609">
        <v>44726</v>
      </c>
      <c r="C9147" s="362" t="s">
        <v>87</v>
      </c>
      <c r="D9147" s="560">
        <v>132577816</v>
      </c>
      <c r="E9147" s="560"/>
      <c r="F9147" s="560">
        <v>132578000</v>
      </c>
      <c r="G9147" s="560">
        <f t="shared" si="182"/>
        <v>-184</v>
      </c>
      <c r="H9147" s="362"/>
      <c r="I9147" s="362"/>
      <c r="J9147" s="362"/>
    </row>
    <row r="9148" spans="1:10" x14ac:dyDescent="0.25">
      <c r="A9148" s="362"/>
      <c r="B9148" s="609">
        <v>44726</v>
      </c>
      <c r="C9148" s="362" t="s">
        <v>88</v>
      </c>
      <c r="D9148" s="560">
        <v>329917330</v>
      </c>
      <c r="E9148" s="560"/>
      <c r="F9148" s="560">
        <v>329917400</v>
      </c>
      <c r="G9148" s="560">
        <f t="shared" ref="G9148:G9211" si="183">D9148-F9148</f>
        <v>-70</v>
      </c>
      <c r="H9148" s="362"/>
      <c r="I9148" s="362"/>
      <c r="J9148" s="362"/>
    </row>
    <row r="9149" spans="1:10" x14ac:dyDescent="0.25">
      <c r="A9149" s="362"/>
      <c r="B9149" s="609">
        <v>44726</v>
      </c>
      <c r="C9149" s="362" t="s">
        <v>82</v>
      </c>
      <c r="D9149" s="560">
        <v>77771000</v>
      </c>
      <c r="E9149" s="560"/>
      <c r="F9149" s="560">
        <v>77781000</v>
      </c>
      <c r="G9149" s="560">
        <f t="shared" si="183"/>
        <v>-10000</v>
      </c>
      <c r="H9149" s="362"/>
      <c r="I9149" s="362"/>
      <c r="J9149" s="362"/>
    </row>
    <row r="9150" spans="1:10" x14ac:dyDescent="0.25">
      <c r="A9150" s="362"/>
      <c r="B9150" s="609">
        <v>44726</v>
      </c>
      <c r="C9150" s="362" t="s">
        <v>80</v>
      </c>
      <c r="D9150" s="560">
        <v>405149800</v>
      </c>
      <c r="E9150" s="560"/>
      <c r="F9150" s="560">
        <v>405149800</v>
      </c>
      <c r="G9150" s="560">
        <f t="shared" si="183"/>
        <v>0</v>
      </c>
      <c r="H9150" s="362"/>
      <c r="I9150" s="362"/>
      <c r="J9150" s="362"/>
    </row>
    <row r="9151" spans="1:10" x14ac:dyDescent="0.25">
      <c r="A9151" s="362"/>
      <c r="B9151" s="609">
        <v>44726</v>
      </c>
      <c r="C9151" s="362" t="s">
        <v>83</v>
      </c>
      <c r="D9151" s="560">
        <v>206465265</v>
      </c>
      <c r="E9151" s="560"/>
      <c r="F9151" s="560">
        <v>206465300</v>
      </c>
      <c r="G9151" s="560">
        <f t="shared" si="183"/>
        <v>-35</v>
      </c>
      <c r="H9151" s="362"/>
      <c r="I9151" s="362"/>
      <c r="J9151" s="362"/>
    </row>
    <row r="9152" spans="1:10" x14ac:dyDescent="0.25">
      <c r="A9152" s="362"/>
      <c r="B9152" s="609">
        <v>44726</v>
      </c>
      <c r="C9152" s="362" t="s">
        <v>78</v>
      </c>
      <c r="D9152" s="560">
        <v>110577620</v>
      </c>
      <c r="E9152" s="560"/>
      <c r="F9152" s="560">
        <v>110577700</v>
      </c>
      <c r="G9152" s="560">
        <f t="shared" si="183"/>
        <v>-80</v>
      </c>
      <c r="H9152" s="362"/>
      <c r="I9152" s="362"/>
      <c r="J9152" s="362"/>
    </row>
    <row r="9153" spans="1:10" x14ac:dyDescent="0.25">
      <c r="A9153" s="362"/>
      <c r="B9153" s="609">
        <v>44726</v>
      </c>
      <c r="C9153" s="362" t="s">
        <v>141</v>
      </c>
      <c r="D9153" s="560">
        <v>128474616</v>
      </c>
      <c r="E9153" s="560"/>
      <c r="F9153" s="560">
        <v>128474700</v>
      </c>
      <c r="G9153" s="560">
        <f t="shared" si="183"/>
        <v>-84</v>
      </c>
      <c r="H9153" s="362"/>
      <c r="I9153" s="362"/>
      <c r="J9153" s="362"/>
    </row>
    <row r="9154" spans="1:10" x14ac:dyDescent="0.25">
      <c r="A9154" s="362"/>
      <c r="B9154" s="609">
        <v>44726</v>
      </c>
      <c r="C9154" s="362" t="s">
        <v>89</v>
      </c>
      <c r="D9154" s="560">
        <v>203099900</v>
      </c>
      <c r="E9154" s="560"/>
      <c r="F9154" s="560">
        <v>203099800</v>
      </c>
      <c r="G9154" s="560">
        <f t="shared" si="183"/>
        <v>100</v>
      </c>
      <c r="H9154" s="362"/>
      <c r="I9154" s="362"/>
      <c r="J9154" s="362"/>
    </row>
    <row r="9155" spans="1:10" x14ac:dyDescent="0.25">
      <c r="A9155" s="362"/>
      <c r="B9155" s="609">
        <v>44726</v>
      </c>
      <c r="C9155" s="362" t="s">
        <v>81</v>
      </c>
      <c r="D9155" s="560">
        <v>74764760</v>
      </c>
      <c r="E9155" s="560"/>
      <c r="F9155" s="560">
        <v>74764800</v>
      </c>
      <c r="G9155" s="560">
        <f t="shared" si="183"/>
        <v>-40</v>
      </c>
      <c r="H9155" s="362"/>
      <c r="I9155" s="362"/>
      <c r="J9155" s="362"/>
    </row>
    <row r="9156" spans="1:10" x14ac:dyDescent="0.25">
      <c r="A9156" s="362"/>
      <c r="B9156" s="609">
        <v>44726</v>
      </c>
      <c r="C9156" s="362" t="s">
        <v>84</v>
      </c>
      <c r="D9156" s="560">
        <v>463705863</v>
      </c>
      <c r="E9156" s="560"/>
      <c r="F9156" s="560">
        <v>463706000</v>
      </c>
      <c r="G9156" s="560">
        <f t="shared" si="183"/>
        <v>-137</v>
      </c>
      <c r="H9156" s="362"/>
      <c r="I9156" s="362"/>
      <c r="J9156" s="362"/>
    </row>
    <row r="9157" spans="1:10" x14ac:dyDescent="0.25">
      <c r="A9157" s="362"/>
      <c r="B9157" s="609">
        <v>44726</v>
      </c>
      <c r="C9157" s="362" t="s">
        <v>4751</v>
      </c>
      <c r="D9157" s="560">
        <v>217150400</v>
      </c>
      <c r="E9157" s="560"/>
      <c r="F9157" s="560">
        <v>217150400</v>
      </c>
      <c r="G9157" s="560">
        <f t="shared" si="183"/>
        <v>0</v>
      </c>
      <c r="H9157" s="362"/>
      <c r="I9157" s="362"/>
      <c r="J9157" s="362"/>
    </row>
    <row r="9158" spans="1:10" x14ac:dyDescent="0.25">
      <c r="A9158" s="362"/>
      <c r="B9158" s="609">
        <v>44726</v>
      </c>
      <c r="C9158" s="362" t="s">
        <v>166</v>
      </c>
      <c r="D9158" s="560">
        <v>114789142</v>
      </c>
      <c r="E9158" s="560"/>
      <c r="F9158" s="560">
        <v>114789500</v>
      </c>
      <c r="G9158" s="560">
        <f t="shared" si="183"/>
        <v>-358</v>
      </c>
      <c r="H9158" s="362"/>
      <c r="I9158" s="362"/>
      <c r="J9158" s="362"/>
    </row>
    <row r="9159" spans="1:10" x14ac:dyDescent="0.25">
      <c r="A9159" s="362"/>
      <c r="B9159" s="609">
        <v>44726</v>
      </c>
      <c r="C9159" s="362" t="s">
        <v>3435</v>
      </c>
      <c r="D9159" s="560">
        <v>46622950</v>
      </c>
      <c r="E9159" s="560"/>
      <c r="F9159" s="560">
        <v>46623000</v>
      </c>
      <c r="G9159" s="560">
        <f t="shared" si="183"/>
        <v>-50</v>
      </c>
      <c r="H9159" s="362"/>
      <c r="I9159" s="362"/>
      <c r="J9159" s="362"/>
    </row>
    <row r="9160" spans="1:10" x14ac:dyDescent="0.25">
      <c r="A9160" s="362"/>
      <c r="B9160" s="609">
        <v>44726</v>
      </c>
      <c r="C9160" s="370" t="s">
        <v>85</v>
      </c>
      <c r="D9160" s="560">
        <v>48151600</v>
      </c>
      <c r="E9160" s="560"/>
      <c r="F9160" s="560">
        <v>48151600</v>
      </c>
      <c r="G9160" s="560">
        <f t="shared" si="183"/>
        <v>0</v>
      </c>
      <c r="H9160" s="362"/>
      <c r="I9160" s="362"/>
      <c r="J9160" s="362"/>
    </row>
    <row r="9161" spans="1:10" x14ac:dyDescent="0.25">
      <c r="A9161" s="530"/>
      <c r="B9161" s="530"/>
      <c r="C9161" s="530"/>
      <c r="D9161" s="562">
        <f>SUM(D9146:D9160)</f>
        <v>2655229119</v>
      </c>
      <c r="E9161" s="562">
        <f>SUM(E9146:E9160)</f>
        <v>0</v>
      </c>
      <c r="F9161" s="562">
        <f>SUM(F9146:F9160)</f>
        <v>2655240000</v>
      </c>
      <c r="G9161" s="562">
        <f>SUM(G9146:G9160)</f>
        <v>-10881</v>
      </c>
      <c r="H9161" s="530"/>
      <c r="I9161" s="530"/>
      <c r="J9161" s="530"/>
    </row>
    <row r="9162" spans="1:10" x14ac:dyDescent="0.25">
      <c r="A9162" s="362"/>
      <c r="B9162" s="609">
        <v>44727</v>
      </c>
      <c r="C9162" s="362" t="s">
        <v>86</v>
      </c>
      <c r="D9162" s="560">
        <v>224827643</v>
      </c>
      <c r="E9162" s="560"/>
      <c r="F9162" s="560">
        <v>224827700</v>
      </c>
      <c r="G9162" s="560">
        <f t="shared" si="183"/>
        <v>-57</v>
      </c>
      <c r="H9162" s="362"/>
      <c r="I9162" s="362"/>
      <c r="J9162" s="362"/>
    </row>
    <row r="9163" spans="1:10" x14ac:dyDescent="0.25">
      <c r="A9163" s="362"/>
      <c r="B9163" s="609">
        <v>44727</v>
      </c>
      <c r="C9163" s="362" t="s">
        <v>87</v>
      </c>
      <c r="D9163" s="560">
        <v>111803607</v>
      </c>
      <c r="E9163" s="560"/>
      <c r="F9163" s="560">
        <v>111803700</v>
      </c>
      <c r="G9163" s="560">
        <f t="shared" si="183"/>
        <v>-93</v>
      </c>
      <c r="H9163" s="362"/>
      <c r="I9163" s="362"/>
      <c r="J9163" s="362"/>
    </row>
    <row r="9164" spans="1:10" x14ac:dyDescent="0.25">
      <c r="A9164" s="362"/>
      <c r="B9164" s="609">
        <v>44727</v>
      </c>
      <c r="C9164" s="362" t="s">
        <v>88</v>
      </c>
      <c r="D9164" s="560">
        <v>239103912</v>
      </c>
      <c r="E9164" s="560"/>
      <c r="F9164" s="560">
        <v>239104000</v>
      </c>
      <c r="G9164" s="560">
        <f t="shared" si="183"/>
        <v>-88</v>
      </c>
      <c r="H9164" s="362"/>
      <c r="I9164" s="362"/>
      <c r="J9164" s="362"/>
    </row>
    <row r="9165" spans="1:10" x14ac:dyDescent="0.25">
      <c r="A9165" s="362"/>
      <c r="B9165" s="609">
        <v>44727</v>
      </c>
      <c r="C9165" s="362" t="s">
        <v>82</v>
      </c>
      <c r="D9165" s="560">
        <v>87564300</v>
      </c>
      <c r="E9165" s="560"/>
      <c r="F9165" s="560">
        <v>87564300</v>
      </c>
      <c r="G9165" s="560">
        <f t="shared" si="183"/>
        <v>0</v>
      </c>
      <c r="H9165" s="362"/>
      <c r="I9165" s="362"/>
      <c r="J9165" s="362"/>
    </row>
    <row r="9166" spans="1:10" x14ac:dyDescent="0.25">
      <c r="A9166" s="362"/>
      <c r="B9166" s="609">
        <v>44727</v>
      </c>
      <c r="C9166" s="362" t="s">
        <v>80</v>
      </c>
      <c r="D9166" s="560">
        <v>446031685</v>
      </c>
      <c r="E9166" s="560"/>
      <c r="F9166" s="560">
        <v>446034600</v>
      </c>
      <c r="G9166" s="560">
        <f t="shared" si="183"/>
        <v>-2915</v>
      </c>
      <c r="H9166" s="362"/>
      <c r="I9166" s="362"/>
      <c r="J9166" s="362"/>
    </row>
    <row r="9167" spans="1:10" x14ac:dyDescent="0.25">
      <c r="A9167" s="362"/>
      <c r="B9167" s="609">
        <v>44727</v>
      </c>
      <c r="C9167" s="362" t="s">
        <v>83</v>
      </c>
      <c r="D9167" s="560">
        <v>370344541</v>
      </c>
      <c r="E9167" s="560"/>
      <c r="F9167" s="560">
        <v>370344500</v>
      </c>
      <c r="G9167" s="560">
        <f t="shared" si="183"/>
        <v>41</v>
      </c>
      <c r="H9167" s="362"/>
      <c r="I9167" s="362"/>
      <c r="J9167" s="362"/>
    </row>
    <row r="9168" spans="1:10" x14ac:dyDescent="0.25">
      <c r="A9168" s="362"/>
      <c r="B9168" s="609">
        <v>44727</v>
      </c>
      <c r="C9168" s="362" t="s">
        <v>78</v>
      </c>
      <c r="D9168" s="560">
        <v>194017913</v>
      </c>
      <c r="E9168" s="560"/>
      <c r="F9168" s="560">
        <v>194018000</v>
      </c>
      <c r="G9168" s="560">
        <f t="shared" si="183"/>
        <v>-87</v>
      </c>
      <c r="H9168" s="362"/>
      <c r="I9168" s="362"/>
      <c r="J9168" s="362"/>
    </row>
    <row r="9169" spans="1:10" x14ac:dyDescent="0.25">
      <c r="A9169" s="362"/>
      <c r="B9169" s="609">
        <v>44727</v>
      </c>
      <c r="C9169" s="362" t="s">
        <v>141</v>
      </c>
      <c r="D9169" s="560">
        <v>124445223</v>
      </c>
      <c r="E9169" s="560"/>
      <c r="F9169" s="560">
        <v>124445300</v>
      </c>
      <c r="G9169" s="560">
        <f t="shared" si="183"/>
        <v>-77</v>
      </c>
      <c r="H9169" s="362"/>
      <c r="I9169" s="362"/>
      <c r="J9169" s="362"/>
    </row>
    <row r="9170" spans="1:10" x14ac:dyDescent="0.25">
      <c r="A9170" s="362"/>
      <c r="B9170" s="609">
        <v>44727</v>
      </c>
      <c r="C9170" s="362" t="s">
        <v>89</v>
      </c>
      <c r="D9170" s="560">
        <v>220702600</v>
      </c>
      <c r="E9170" s="560"/>
      <c r="F9170" s="560">
        <v>220702600</v>
      </c>
      <c r="G9170" s="560">
        <f t="shared" si="183"/>
        <v>0</v>
      </c>
      <c r="H9170" s="362"/>
      <c r="I9170" s="362"/>
      <c r="J9170" s="362"/>
    </row>
    <row r="9171" spans="1:10" x14ac:dyDescent="0.25">
      <c r="A9171" s="362"/>
      <c r="B9171" s="609">
        <v>44727</v>
      </c>
      <c r="C9171" s="362" t="s">
        <v>81</v>
      </c>
      <c r="D9171" s="560">
        <v>138749890</v>
      </c>
      <c r="E9171" s="560"/>
      <c r="F9171" s="560">
        <v>138749900</v>
      </c>
      <c r="G9171" s="560">
        <f t="shared" si="183"/>
        <v>-10</v>
      </c>
      <c r="H9171" s="362"/>
      <c r="I9171" s="362"/>
      <c r="J9171" s="362"/>
    </row>
    <row r="9172" spans="1:10" x14ac:dyDescent="0.25">
      <c r="A9172" s="362"/>
      <c r="B9172" s="609">
        <v>44727</v>
      </c>
      <c r="C9172" s="362" t="s">
        <v>84</v>
      </c>
      <c r="D9172" s="560">
        <v>270112574</v>
      </c>
      <c r="E9172" s="560"/>
      <c r="F9172" s="560">
        <v>270112500</v>
      </c>
      <c r="G9172" s="560">
        <f t="shared" si="183"/>
        <v>74</v>
      </c>
      <c r="H9172" s="362"/>
      <c r="I9172" s="362"/>
      <c r="J9172" s="362"/>
    </row>
    <row r="9173" spans="1:10" x14ac:dyDescent="0.25">
      <c r="A9173" s="362"/>
      <c r="B9173" s="609">
        <v>44727</v>
      </c>
      <c r="C9173" s="362" t="s">
        <v>4751</v>
      </c>
      <c r="D9173" s="560">
        <v>199690500</v>
      </c>
      <c r="E9173" s="560"/>
      <c r="F9173" s="560">
        <v>199690500</v>
      </c>
      <c r="G9173" s="560">
        <f t="shared" si="183"/>
        <v>0</v>
      </c>
      <c r="H9173" s="362"/>
      <c r="I9173" s="362"/>
      <c r="J9173" s="362"/>
    </row>
    <row r="9174" spans="1:10" x14ac:dyDescent="0.25">
      <c r="A9174" s="362"/>
      <c r="B9174" s="609">
        <v>44727</v>
      </c>
      <c r="C9174" s="362" t="s">
        <v>166</v>
      </c>
      <c r="D9174" s="560">
        <v>71363219</v>
      </c>
      <c r="E9174" s="560"/>
      <c r="F9174" s="560">
        <v>71363300</v>
      </c>
      <c r="G9174" s="560">
        <f t="shared" si="183"/>
        <v>-81</v>
      </c>
      <c r="H9174" s="362"/>
      <c r="I9174" s="362"/>
      <c r="J9174" s="362"/>
    </row>
    <row r="9175" spans="1:10" x14ac:dyDescent="0.25">
      <c r="A9175" s="362"/>
      <c r="B9175" s="609">
        <v>44727</v>
      </c>
      <c r="C9175" s="362" t="s">
        <v>3435</v>
      </c>
      <c r="D9175" s="560">
        <v>39251161</v>
      </c>
      <c r="E9175" s="560"/>
      <c r="F9175" s="560">
        <v>39251200</v>
      </c>
      <c r="G9175" s="560">
        <f t="shared" si="183"/>
        <v>-39</v>
      </c>
      <c r="H9175" s="362"/>
      <c r="I9175" s="362"/>
      <c r="J9175" s="362"/>
    </row>
    <row r="9176" spans="1:10" x14ac:dyDescent="0.25">
      <c r="A9176" s="362"/>
      <c r="B9176" s="609">
        <v>44727</v>
      </c>
      <c r="C9176" s="370" t="s">
        <v>85</v>
      </c>
      <c r="D9176" s="560">
        <v>59821600</v>
      </c>
      <c r="E9176" s="560"/>
      <c r="F9176" s="560">
        <v>59821600</v>
      </c>
      <c r="G9176" s="560">
        <f t="shared" si="183"/>
        <v>0</v>
      </c>
      <c r="H9176" s="362"/>
      <c r="I9176" s="362"/>
      <c r="J9176" s="362"/>
    </row>
    <row r="9177" spans="1:10" x14ac:dyDescent="0.25">
      <c r="A9177" s="530"/>
      <c r="B9177" s="530"/>
      <c r="C9177" s="530"/>
      <c r="D9177" s="562">
        <f>SUM(D9162:D9176)</f>
        <v>2797830368</v>
      </c>
      <c r="E9177" s="562">
        <f>SUM(E9162:E9176)</f>
        <v>0</v>
      </c>
      <c r="F9177" s="562">
        <f>SUM(F9162:F9176)</f>
        <v>2797833700</v>
      </c>
      <c r="G9177" s="562">
        <f>SUM(G9162:G9176)</f>
        <v>-3332</v>
      </c>
      <c r="H9177" s="530"/>
      <c r="I9177" s="530"/>
      <c r="J9177" s="530"/>
    </row>
    <row r="9178" spans="1:10" x14ac:dyDescent="0.25">
      <c r="A9178" s="362"/>
      <c r="B9178" s="609">
        <v>44728</v>
      </c>
      <c r="C9178" s="362" t="s">
        <v>86</v>
      </c>
      <c r="D9178" s="560">
        <v>164982982</v>
      </c>
      <c r="E9178" s="560"/>
      <c r="F9178" s="560">
        <v>164983000</v>
      </c>
      <c r="G9178" s="560">
        <f t="shared" si="183"/>
        <v>-18</v>
      </c>
      <c r="H9178" s="362"/>
      <c r="I9178" s="362"/>
      <c r="J9178" s="362"/>
    </row>
    <row r="9179" spans="1:10" x14ac:dyDescent="0.25">
      <c r="A9179" s="362"/>
      <c r="B9179" s="609">
        <v>44728</v>
      </c>
      <c r="C9179" s="362" t="s">
        <v>87</v>
      </c>
      <c r="D9179" s="560">
        <v>108173759</v>
      </c>
      <c r="E9179" s="560"/>
      <c r="F9179" s="560">
        <v>108173300</v>
      </c>
      <c r="G9179" s="560">
        <f t="shared" si="183"/>
        <v>459</v>
      </c>
      <c r="H9179" s="362"/>
      <c r="I9179" s="362"/>
      <c r="J9179" s="362"/>
    </row>
    <row r="9180" spans="1:10" x14ac:dyDescent="0.25">
      <c r="A9180" s="362"/>
      <c r="B9180" s="609">
        <v>44728</v>
      </c>
      <c r="C9180" s="362" t="s">
        <v>88</v>
      </c>
      <c r="D9180" s="560">
        <v>200589092</v>
      </c>
      <c r="E9180" s="560"/>
      <c r="F9180" s="560">
        <v>200589100</v>
      </c>
      <c r="G9180" s="560">
        <f t="shared" si="183"/>
        <v>-8</v>
      </c>
      <c r="H9180" s="362"/>
      <c r="I9180" s="362"/>
      <c r="J9180" s="362"/>
    </row>
    <row r="9181" spans="1:10" x14ac:dyDescent="0.25">
      <c r="A9181" s="362"/>
      <c r="B9181" s="609">
        <v>44728</v>
      </c>
      <c r="C9181" s="362" t="s">
        <v>82</v>
      </c>
      <c r="D9181" s="560">
        <v>235072000</v>
      </c>
      <c r="E9181" s="560"/>
      <c r="F9181" s="560">
        <v>235072000</v>
      </c>
      <c r="G9181" s="560">
        <f t="shared" si="183"/>
        <v>0</v>
      </c>
      <c r="H9181" s="362"/>
      <c r="I9181" s="362"/>
      <c r="J9181" s="362"/>
    </row>
    <row r="9182" spans="1:10" x14ac:dyDescent="0.25">
      <c r="A9182" s="362"/>
      <c r="B9182" s="609">
        <v>44728</v>
      </c>
      <c r="C9182" s="362" t="s">
        <v>80</v>
      </c>
      <c r="D9182" s="560">
        <v>375457588</v>
      </c>
      <c r="E9182" s="560"/>
      <c r="F9182" s="560">
        <v>375457700</v>
      </c>
      <c r="G9182" s="560">
        <f t="shared" si="183"/>
        <v>-112</v>
      </c>
      <c r="H9182" s="362"/>
      <c r="I9182" s="362"/>
      <c r="J9182" s="362"/>
    </row>
    <row r="9183" spans="1:10" x14ac:dyDescent="0.25">
      <c r="A9183" s="362"/>
      <c r="B9183" s="609">
        <v>44728</v>
      </c>
      <c r="C9183" s="362" t="s">
        <v>83</v>
      </c>
      <c r="D9183" s="560">
        <v>138547587</v>
      </c>
      <c r="E9183" s="560"/>
      <c r="F9183" s="560">
        <v>138547500</v>
      </c>
      <c r="G9183" s="560">
        <f t="shared" si="183"/>
        <v>87</v>
      </c>
      <c r="H9183" s="362"/>
      <c r="I9183" s="362"/>
      <c r="J9183" s="362"/>
    </row>
    <row r="9184" spans="1:10" x14ac:dyDescent="0.25">
      <c r="A9184" s="362"/>
      <c r="B9184" s="609">
        <v>44728</v>
      </c>
      <c r="C9184" s="362" t="s">
        <v>78</v>
      </c>
      <c r="D9184" s="560">
        <v>185817688</v>
      </c>
      <c r="E9184" s="560"/>
      <c r="F9184" s="560">
        <v>185817700</v>
      </c>
      <c r="G9184" s="560">
        <f t="shared" si="183"/>
        <v>-12</v>
      </c>
      <c r="H9184" s="362"/>
      <c r="I9184" s="362"/>
      <c r="J9184" s="362"/>
    </row>
    <row r="9185" spans="1:10" x14ac:dyDescent="0.25">
      <c r="A9185" s="362"/>
      <c r="B9185" s="609">
        <v>44728</v>
      </c>
      <c r="C9185" s="362" t="s">
        <v>141</v>
      </c>
      <c r="D9185" s="560">
        <v>85138046</v>
      </c>
      <c r="E9185" s="560"/>
      <c r="F9185" s="560">
        <v>85138100</v>
      </c>
      <c r="G9185" s="560">
        <f t="shared" si="183"/>
        <v>-54</v>
      </c>
      <c r="H9185" s="362"/>
      <c r="I9185" s="362"/>
      <c r="J9185" s="362"/>
    </row>
    <row r="9186" spans="1:10" x14ac:dyDescent="0.25">
      <c r="A9186" s="362"/>
      <c r="B9186" s="609">
        <v>44728</v>
      </c>
      <c r="C9186" s="362" t="s">
        <v>89</v>
      </c>
      <c r="D9186" s="560">
        <v>236374800</v>
      </c>
      <c r="E9186" s="560"/>
      <c r="F9186" s="560">
        <v>236374900</v>
      </c>
      <c r="G9186" s="560">
        <f t="shared" si="183"/>
        <v>-100</v>
      </c>
      <c r="H9186" s="362"/>
      <c r="I9186" s="362"/>
      <c r="J9186" s="362"/>
    </row>
    <row r="9187" spans="1:10" x14ac:dyDescent="0.25">
      <c r="A9187" s="362"/>
      <c r="B9187" s="609">
        <v>44728</v>
      </c>
      <c r="C9187" s="362" t="s">
        <v>81</v>
      </c>
      <c r="D9187" s="560">
        <v>240293099</v>
      </c>
      <c r="E9187" s="560"/>
      <c r="F9187" s="560">
        <v>240293100</v>
      </c>
      <c r="G9187" s="560">
        <f t="shared" si="183"/>
        <v>-1</v>
      </c>
      <c r="H9187" s="362"/>
      <c r="I9187" s="362"/>
      <c r="J9187" s="362"/>
    </row>
    <row r="9188" spans="1:10" x14ac:dyDescent="0.25">
      <c r="A9188" s="362"/>
      <c r="B9188" s="609">
        <v>44728</v>
      </c>
      <c r="C9188" s="362" t="s">
        <v>84</v>
      </c>
      <c r="D9188" s="560">
        <v>422878948</v>
      </c>
      <c r="E9188" s="560"/>
      <c r="F9188" s="560">
        <v>422879500</v>
      </c>
      <c r="G9188" s="560">
        <f t="shared" si="183"/>
        <v>-552</v>
      </c>
      <c r="H9188" s="362"/>
      <c r="I9188" s="362"/>
      <c r="J9188" s="362"/>
    </row>
    <row r="9189" spans="1:10" x14ac:dyDescent="0.25">
      <c r="A9189" s="362"/>
      <c r="B9189" s="609">
        <v>44728</v>
      </c>
      <c r="C9189" s="362" t="s">
        <v>4751</v>
      </c>
      <c r="D9189" s="560">
        <v>317111700</v>
      </c>
      <c r="E9189" s="560"/>
      <c r="F9189" s="560">
        <v>317111600</v>
      </c>
      <c r="G9189" s="560">
        <f t="shared" si="183"/>
        <v>100</v>
      </c>
      <c r="H9189" s="362"/>
      <c r="I9189" s="362"/>
      <c r="J9189" s="362"/>
    </row>
    <row r="9190" spans="1:10" x14ac:dyDescent="0.25">
      <c r="A9190" s="362"/>
      <c r="B9190" s="609">
        <v>44728</v>
      </c>
      <c r="C9190" s="362" t="s">
        <v>166</v>
      </c>
      <c r="D9190" s="560">
        <v>121591093</v>
      </c>
      <c r="E9190" s="560"/>
      <c r="F9190" s="560">
        <v>121591000</v>
      </c>
      <c r="G9190" s="560">
        <f t="shared" si="183"/>
        <v>93</v>
      </c>
      <c r="H9190" s="362"/>
      <c r="I9190" s="362"/>
      <c r="J9190" s="362"/>
    </row>
    <row r="9191" spans="1:10" x14ac:dyDescent="0.25">
      <c r="A9191" s="362"/>
      <c r="B9191" s="609">
        <v>44728</v>
      </c>
      <c r="C9191" s="362" t="s">
        <v>3435</v>
      </c>
      <c r="D9191" s="560">
        <v>119952062</v>
      </c>
      <c r="E9191" s="560"/>
      <c r="F9191" s="560">
        <v>119952100</v>
      </c>
      <c r="G9191" s="560">
        <f t="shared" si="183"/>
        <v>-38</v>
      </c>
      <c r="H9191" s="362"/>
      <c r="I9191" s="362"/>
      <c r="J9191" s="362"/>
    </row>
    <row r="9192" spans="1:10" x14ac:dyDescent="0.25">
      <c r="A9192" s="362"/>
      <c r="B9192" s="609">
        <v>44728</v>
      </c>
      <c r="C9192" s="370" t="s">
        <v>85</v>
      </c>
      <c r="D9192" s="560">
        <v>43371200</v>
      </c>
      <c r="E9192" s="560"/>
      <c r="F9192" s="560">
        <v>43371200</v>
      </c>
      <c r="G9192" s="560">
        <f t="shared" si="183"/>
        <v>0</v>
      </c>
      <c r="H9192" s="362"/>
      <c r="I9192" s="362"/>
      <c r="J9192" s="362"/>
    </row>
    <row r="9193" spans="1:10" x14ac:dyDescent="0.25">
      <c r="A9193" s="530"/>
      <c r="B9193" s="530"/>
      <c r="C9193" s="530"/>
      <c r="D9193" s="562">
        <f>SUM(D9178:D9192)</f>
        <v>2995351644</v>
      </c>
      <c r="E9193" s="562">
        <f>SUM(E9178:E9192)</f>
        <v>0</v>
      </c>
      <c r="F9193" s="562">
        <f>SUM(F9178:F9192)</f>
        <v>2995351800</v>
      </c>
      <c r="G9193" s="562">
        <f>SUM(G9178:G9192)</f>
        <v>-156</v>
      </c>
      <c r="H9193" s="530"/>
      <c r="I9193" s="530"/>
      <c r="J9193" s="530"/>
    </row>
    <row r="9194" spans="1:10" x14ac:dyDescent="0.25">
      <c r="A9194" s="362"/>
      <c r="B9194" s="609">
        <v>44729</v>
      </c>
      <c r="C9194" s="362" t="s">
        <v>86</v>
      </c>
      <c r="D9194" s="560">
        <v>76934728</v>
      </c>
      <c r="E9194" s="560"/>
      <c r="F9194" s="560">
        <v>76934800</v>
      </c>
      <c r="G9194" s="560">
        <f t="shared" si="183"/>
        <v>-72</v>
      </c>
      <c r="H9194" s="362"/>
      <c r="I9194" s="362"/>
      <c r="J9194" s="362"/>
    </row>
    <row r="9195" spans="1:10" x14ac:dyDescent="0.25">
      <c r="A9195" s="362"/>
      <c r="B9195" s="609">
        <v>44729</v>
      </c>
      <c r="C9195" s="362" t="s">
        <v>87</v>
      </c>
      <c r="D9195" s="560">
        <v>181760111</v>
      </c>
      <c r="E9195" s="560"/>
      <c r="F9195" s="560">
        <v>181760200</v>
      </c>
      <c r="G9195" s="560">
        <f t="shared" si="183"/>
        <v>-89</v>
      </c>
      <c r="H9195" s="362"/>
      <c r="I9195" s="362"/>
      <c r="J9195" s="362"/>
    </row>
    <row r="9196" spans="1:10" x14ac:dyDescent="0.25">
      <c r="A9196" s="362"/>
      <c r="B9196" s="609">
        <v>44729</v>
      </c>
      <c r="C9196" s="362" t="s">
        <v>88</v>
      </c>
      <c r="D9196" s="560">
        <v>150173439</v>
      </c>
      <c r="E9196" s="560"/>
      <c r="F9196" s="560">
        <v>150173500</v>
      </c>
      <c r="G9196" s="560">
        <f t="shared" si="183"/>
        <v>-61</v>
      </c>
      <c r="H9196" s="362"/>
      <c r="I9196" s="362"/>
      <c r="J9196" s="362"/>
    </row>
    <row r="9197" spans="1:10" x14ac:dyDescent="0.25">
      <c r="A9197" s="362"/>
      <c r="B9197" s="609">
        <v>44729</v>
      </c>
      <c r="C9197" s="362" t="s">
        <v>82</v>
      </c>
      <c r="D9197" s="560">
        <v>99348300</v>
      </c>
      <c r="E9197" s="560"/>
      <c r="F9197" s="560">
        <v>99348400</v>
      </c>
      <c r="G9197" s="560">
        <f t="shared" si="183"/>
        <v>-100</v>
      </c>
      <c r="H9197" s="362"/>
      <c r="I9197" s="362"/>
      <c r="J9197" s="362"/>
    </row>
    <row r="9198" spans="1:10" x14ac:dyDescent="0.25">
      <c r="A9198" s="362"/>
      <c r="B9198" s="609">
        <v>44729</v>
      </c>
      <c r="C9198" s="362" t="s">
        <v>80</v>
      </c>
      <c r="D9198" s="560">
        <v>396161100</v>
      </c>
      <c r="E9198" s="560"/>
      <c r="F9198" s="560">
        <v>396161100</v>
      </c>
      <c r="G9198" s="560">
        <f t="shared" si="183"/>
        <v>0</v>
      </c>
      <c r="H9198" s="362"/>
      <c r="I9198" s="362"/>
      <c r="J9198" s="362"/>
    </row>
    <row r="9199" spans="1:10" x14ac:dyDescent="0.25">
      <c r="A9199" s="362"/>
      <c r="B9199" s="609">
        <v>44729</v>
      </c>
      <c r="C9199" s="362" t="s">
        <v>83</v>
      </c>
      <c r="D9199" s="560">
        <v>340216800</v>
      </c>
      <c r="E9199" s="560"/>
      <c r="F9199" s="560">
        <v>340216800</v>
      </c>
      <c r="G9199" s="560">
        <f t="shared" si="183"/>
        <v>0</v>
      </c>
      <c r="H9199" s="362"/>
      <c r="I9199" s="362"/>
      <c r="J9199" s="362"/>
    </row>
    <row r="9200" spans="1:10" x14ac:dyDescent="0.25">
      <c r="A9200" s="362"/>
      <c r="B9200" s="609">
        <v>44729</v>
      </c>
      <c r="C9200" s="362" t="s">
        <v>78</v>
      </c>
      <c r="D9200" s="560">
        <v>105899346</v>
      </c>
      <c r="E9200" s="560"/>
      <c r="F9200" s="560">
        <v>105899400</v>
      </c>
      <c r="G9200" s="560">
        <f t="shared" si="183"/>
        <v>-54</v>
      </c>
      <c r="H9200" s="362"/>
      <c r="I9200" s="362"/>
      <c r="J9200" s="362"/>
    </row>
    <row r="9201" spans="1:10" x14ac:dyDescent="0.25">
      <c r="A9201" s="362"/>
      <c r="B9201" s="609">
        <v>44729</v>
      </c>
      <c r="C9201" s="362" t="s">
        <v>141</v>
      </c>
      <c r="D9201" s="560">
        <v>78356231</v>
      </c>
      <c r="E9201" s="560"/>
      <c r="F9201" s="560">
        <v>78356300</v>
      </c>
      <c r="G9201" s="560">
        <f t="shared" si="183"/>
        <v>-69</v>
      </c>
      <c r="H9201" s="362"/>
      <c r="I9201" s="362"/>
      <c r="J9201" s="362"/>
    </row>
    <row r="9202" spans="1:10" x14ac:dyDescent="0.25">
      <c r="A9202" s="362"/>
      <c r="B9202" s="609">
        <v>44729</v>
      </c>
      <c r="C9202" s="362" t="s">
        <v>89</v>
      </c>
      <c r="D9202" s="560">
        <v>254720000</v>
      </c>
      <c r="E9202" s="560"/>
      <c r="F9202" s="560">
        <v>254720000</v>
      </c>
      <c r="G9202" s="560">
        <f t="shared" si="183"/>
        <v>0</v>
      </c>
      <c r="H9202" s="362"/>
      <c r="I9202" s="362"/>
      <c r="J9202" s="362"/>
    </row>
    <row r="9203" spans="1:10" x14ac:dyDescent="0.25">
      <c r="A9203" s="362"/>
      <c r="B9203" s="609">
        <v>44729</v>
      </c>
      <c r="C9203" s="362" t="s">
        <v>81</v>
      </c>
      <c r="D9203" s="560">
        <v>128402404</v>
      </c>
      <c r="E9203" s="560"/>
      <c r="F9203" s="560">
        <v>128402400</v>
      </c>
      <c r="G9203" s="560">
        <f t="shared" si="183"/>
        <v>4</v>
      </c>
      <c r="H9203" s="362"/>
      <c r="I9203" s="362"/>
      <c r="J9203" s="362"/>
    </row>
    <row r="9204" spans="1:10" x14ac:dyDescent="0.25">
      <c r="A9204" s="362"/>
      <c r="B9204" s="609">
        <v>44729</v>
      </c>
      <c r="C9204" s="362" t="s">
        <v>84</v>
      </c>
      <c r="D9204" s="560">
        <v>315714800</v>
      </c>
      <c r="E9204" s="560"/>
      <c r="F9204" s="560">
        <v>315714800</v>
      </c>
      <c r="G9204" s="560">
        <f t="shared" si="183"/>
        <v>0</v>
      </c>
      <c r="H9204" s="362"/>
      <c r="I9204" s="362"/>
      <c r="J9204" s="362"/>
    </row>
    <row r="9205" spans="1:10" x14ac:dyDescent="0.25">
      <c r="A9205" s="362"/>
      <c r="B9205" s="609">
        <v>44729</v>
      </c>
      <c r="C9205" s="362" t="s">
        <v>4751</v>
      </c>
      <c r="D9205" s="560">
        <v>192220100</v>
      </c>
      <c r="E9205" s="560"/>
      <c r="F9205" s="560">
        <v>192220100</v>
      </c>
      <c r="G9205" s="560">
        <f t="shared" si="183"/>
        <v>0</v>
      </c>
      <c r="H9205" s="362"/>
      <c r="I9205" s="362"/>
      <c r="J9205" s="362"/>
    </row>
    <row r="9206" spans="1:10" x14ac:dyDescent="0.25">
      <c r="A9206" s="362"/>
      <c r="B9206" s="609">
        <v>44729</v>
      </c>
      <c r="C9206" s="362" t="s">
        <v>166</v>
      </c>
      <c r="D9206" s="560">
        <v>42769195</v>
      </c>
      <c r="E9206" s="560"/>
      <c r="F9206" s="560">
        <v>42769200</v>
      </c>
      <c r="G9206" s="560">
        <f t="shared" si="183"/>
        <v>-5</v>
      </c>
      <c r="H9206" s="362"/>
      <c r="I9206" s="362"/>
      <c r="J9206" s="362"/>
    </row>
    <row r="9207" spans="1:10" x14ac:dyDescent="0.25">
      <c r="A9207" s="362"/>
      <c r="B9207" s="609">
        <v>44729</v>
      </c>
      <c r="C9207" s="362" t="s">
        <v>3435</v>
      </c>
      <c r="D9207" s="560">
        <v>97407540</v>
      </c>
      <c r="E9207" s="560"/>
      <c r="F9207" s="560">
        <v>97407600</v>
      </c>
      <c r="G9207" s="560">
        <f t="shared" si="183"/>
        <v>-60</v>
      </c>
      <c r="H9207" s="362"/>
      <c r="I9207" s="362"/>
      <c r="J9207" s="362"/>
    </row>
    <row r="9208" spans="1:10" x14ac:dyDescent="0.25">
      <c r="A9208" s="362"/>
      <c r="B9208" s="609">
        <v>44729</v>
      </c>
      <c r="C9208" s="370" t="s">
        <v>85</v>
      </c>
      <c r="D9208" s="560">
        <v>34272800</v>
      </c>
      <c r="E9208" s="560"/>
      <c r="F9208" s="560">
        <v>34272800</v>
      </c>
      <c r="G9208" s="560">
        <f t="shared" si="183"/>
        <v>0</v>
      </c>
      <c r="H9208" s="362"/>
      <c r="I9208" s="362"/>
      <c r="J9208" s="362"/>
    </row>
    <row r="9209" spans="1:10" x14ac:dyDescent="0.25">
      <c r="A9209" s="530"/>
      <c r="B9209" s="530"/>
      <c r="C9209" s="530"/>
      <c r="D9209" s="562">
        <f>SUM(D9194:D9208)</f>
        <v>2494356894</v>
      </c>
      <c r="E9209" s="562">
        <f>SUM(E9194:E9208)</f>
        <v>0</v>
      </c>
      <c r="F9209" s="562">
        <f>SUM(F9194:F9208)</f>
        <v>2494357400</v>
      </c>
      <c r="G9209" s="562">
        <f>SUM(G9194:G9208)</f>
        <v>-506</v>
      </c>
      <c r="H9209" s="530"/>
      <c r="I9209" s="530"/>
      <c r="J9209" s="530"/>
    </row>
    <row r="9210" spans="1:10" x14ac:dyDescent="0.25">
      <c r="A9210" s="362"/>
      <c r="B9210" s="609">
        <v>44730</v>
      </c>
      <c r="C9210" s="362" t="s">
        <v>86</v>
      </c>
      <c r="D9210" s="560">
        <v>98546641</v>
      </c>
      <c r="E9210" s="560"/>
      <c r="F9210" s="560"/>
      <c r="G9210" s="560">
        <f t="shared" si="183"/>
        <v>98546641</v>
      </c>
      <c r="H9210" s="362"/>
      <c r="I9210" s="362"/>
      <c r="J9210" s="362"/>
    </row>
    <row r="9211" spans="1:10" x14ac:dyDescent="0.25">
      <c r="A9211" s="362"/>
      <c r="B9211" s="609">
        <v>44730</v>
      </c>
      <c r="C9211" s="362" t="s">
        <v>87</v>
      </c>
      <c r="D9211" s="560">
        <v>194938879</v>
      </c>
      <c r="E9211" s="560"/>
      <c r="F9211" s="560"/>
      <c r="G9211" s="560">
        <f t="shared" si="183"/>
        <v>194938879</v>
      </c>
      <c r="H9211" s="362"/>
      <c r="I9211" s="362"/>
      <c r="J9211" s="362"/>
    </row>
    <row r="9212" spans="1:10" x14ac:dyDescent="0.25">
      <c r="A9212" s="362"/>
      <c r="B9212" s="609">
        <v>44730</v>
      </c>
      <c r="C9212" s="362" t="s">
        <v>88</v>
      </c>
      <c r="D9212" s="560">
        <v>123358794</v>
      </c>
      <c r="E9212" s="560"/>
      <c r="F9212" s="560"/>
      <c r="G9212" s="560">
        <f t="shared" ref="G9212:G9275" si="184">D9212-F9212</f>
        <v>123358794</v>
      </c>
      <c r="H9212" s="362"/>
      <c r="I9212" s="362"/>
      <c r="J9212" s="362"/>
    </row>
    <row r="9213" spans="1:10" x14ac:dyDescent="0.25">
      <c r="A9213" s="362"/>
      <c r="B9213" s="609">
        <v>44730</v>
      </c>
      <c r="C9213" s="362" t="s">
        <v>82</v>
      </c>
      <c r="D9213" s="560">
        <v>115528700</v>
      </c>
      <c r="E9213" s="560"/>
      <c r="F9213" s="560"/>
      <c r="G9213" s="560">
        <f t="shared" si="184"/>
        <v>115528700</v>
      </c>
      <c r="H9213" s="362"/>
      <c r="I9213" s="362"/>
      <c r="J9213" s="362"/>
    </row>
    <row r="9214" spans="1:10" x14ac:dyDescent="0.25">
      <c r="A9214" s="362"/>
      <c r="B9214" s="609">
        <v>44730</v>
      </c>
      <c r="C9214" s="362" t="s">
        <v>80</v>
      </c>
      <c r="D9214" s="560">
        <v>475843500</v>
      </c>
      <c r="E9214" s="560"/>
      <c r="F9214" s="560"/>
      <c r="G9214" s="560">
        <f t="shared" si="184"/>
        <v>475843500</v>
      </c>
      <c r="H9214" s="362"/>
      <c r="I9214" s="362"/>
      <c r="J9214" s="362"/>
    </row>
    <row r="9215" spans="1:10" x14ac:dyDescent="0.25">
      <c r="A9215" s="362"/>
      <c r="B9215" s="609">
        <v>44730</v>
      </c>
      <c r="C9215" s="362" t="s">
        <v>83</v>
      </c>
      <c r="D9215" s="560">
        <v>111845800</v>
      </c>
      <c r="E9215" s="560"/>
      <c r="F9215" s="560"/>
      <c r="G9215" s="560">
        <f t="shared" si="184"/>
        <v>111845800</v>
      </c>
      <c r="H9215" s="362"/>
      <c r="I9215" s="362"/>
      <c r="J9215" s="362"/>
    </row>
    <row r="9216" spans="1:10" x14ac:dyDescent="0.25">
      <c r="A9216" s="362"/>
      <c r="B9216" s="609">
        <v>44730</v>
      </c>
      <c r="C9216" s="362" t="s">
        <v>78</v>
      </c>
      <c r="D9216" s="560">
        <v>161713000</v>
      </c>
      <c r="E9216" s="560"/>
      <c r="F9216" s="560"/>
      <c r="G9216" s="560">
        <f t="shared" si="184"/>
        <v>161713000</v>
      </c>
      <c r="H9216" s="362"/>
      <c r="I9216" s="362"/>
      <c r="J9216" s="362"/>
    </row>
    <row r="9217" spans="1:10" x14ac:dyDescent="0.25">
      <c r="A9217" s="362"/>
      <c r="B9217" s="609">
        <v>44730</v>
      </c>
      <c r="C9217" s="362" t="s">
        <v>141</v>
      </c>
      <c r="D9217" s="560">
        <v>40894979</v>
      </c>
      <c r="E9217" s="560"/>
      <c r="F9217" s="560"/>
      <c r="G9217" s="560">
        <f t="shared" si="184"/>
        <v>40894979</v>
      </c>
      <c r="H9217" s="362"/>
      <c r="I9217" s="362"/>
      <c r="J9217" s="362"/>
    </row>
    <row r="9218" spans="1:10" x14ac:dyDescent="0.25">
      <c r="A9218" s="362"/>
      <c r="B9218" s="609">
        <v>44730</v>
      </c>
      <c r="C9218" s="362" t="s">
        <v>89</v>
      </c>
      <c r="D9218" s="560">
        <v>191393700</v>
      </c>
      <c r="E9218" s="560"/>
      <c r="F9218" s="560"/>
      <c r="G9218" s="560">
        <f t="shared" si="184"/>
        <v>191393700</v>
      </c>
      <c r="H9218" s="362"/>
      <c r="I9218" s="362"/>
      <c r="J9218" s="362"/>
    </row>
    <row r="9219" spans="1:10" x14ac:dyDescent="0.25">
      <c r="A9219" s="362"/>
      <c r="B9219" s="609">
        <v>44730</v>
      </c>
      <c r="C9219" s="362" t="s">
        <v>81</v>
      </c>
      <c r="D9219" s="560">
        <v>167894109</v>
      </c>
      <c r="E9219" s="560"/>
      <c r="F9219" s="560"/>
      <c r="G9219" s="560">
        <f t="shared" si="184"/>
        <v>167894109</v>
      </c>
      <c r="H9219" s="362"/>
      <c r="I9219" s="362"/>
      <c r="J9219" s="362"/>
    </row>
    <row r="9220" spans="1:10" x14ac:dyDescent="0.25">
      <c r="A9220" s="362"/>
      <c r="B9220" s="609">
        <v>44730</v>
      </c>
      <c r="C9220" s="362" t="s">
        <v>84</v>
      </c>
      <c r="D9220" s="560">
        <v>238229200</v>
      </c>
      <c r="E9220" s="560"/>
      <c r="F9220" s="560"/>
      <c r="G9220" s="560">
        <f t="shared" si="184"/>
        <v>238229200</v>
      </c>
      <c r="H9220" s="362"/>
      <c r="I9220" s="362"/>
      <c r="J9220" s="362"/>
    </row>
    <row r="9221" spans="1:10" x14ac:dyDescent="0.25">
      <c r="A9221" s="362"/>
      <c r="B9221" s="609">
        <v>44730</v>
      </c>
      <c r="C9221" s="362" t="s">
        <v>4751</v>
      </c>
      <c r="D9221" s="560">
        <v>247410500</v>
      </c>
      <c r="E9221" s="560"/>
      <c r="F9221" s="560"/>
      <c r="G9221" s="560">
        <f t="shared" si="184"/>
        <v>247410500</v>
      </c>
      <c r="H9221" s="362"/>
      <c r="I9221" s="362"/>
      <c r="J9221" s="362"/>
    </row>
    <row r="9222" spans="1:10" x14ac:dyDescent="0.25">
      <c r="A9222" s="362"/>
      <c r="B9222" s="609">
        <v>44730</v>
      </c>
      <c r="C9222" s="362" t="s">
        <v>166</v>
      </c>
      <c r="D9222" s="560"/>
      <c r="E9222" s="560"/>
      <c r="F9222" s="560"/>
      <c r="G9222" s="560">
        <f t="shared" si="184"/>
        <v>0</v>
      </c>
      <c r="H9222" s="362"/>
      <c r="I9222" s="362"/>
      <c r="J9222" s="362"/>
    </row>
    <row r="9223" spans="1:10" x14ac:dyDescent="0.25">
      <c r="A9223" s="362"/>
      <c r="B9223" s="609">
        <v>44730</v>
      </c>
      <c r="C9223" s="362" t="s">
        <v>3435</v>
      </c>
      <c r="D9223" s="560"/>
      <c r="E9223" s="560"/>
      <c r="F9223" s="560"/>
      <c r="G9223" s="560">
        <f t="shared" si="184"/>
        <v>0</v>
      </c>
      <c r="H9223" s="362"/>
      <c r="I9223" s="362"/>
      <c r="J9223" s="362"/>
    </row>
    <row r="9224" spans="1:10" x14ac:dyDescent="0.25">
      <c r="A9224" s="362"/>
      <c r="B9224" s="609">
        <v>44730</v>
      </c>
      <c r="C9224" s="370" t="s">
        <v>85</v>
      </c>
      <c r="D9224" s="560">
        <v>24040200</v>
      </c>
      <c r="E9224" s="560"/>
      <c r="F9224" s="560"/>
      <c r="G9224" s="560">
        <f t="shared" si="184"/>
        <v>24040200</v>
      </c>
      <c r="H9224" s="362"/>
      <c r="I9224" s="362"/>
      <c r="J9224" s="362"/>
    </row>
    <row r="9225" spans="1:10" x14ac:dyDescent="0.25">
      <c r="A9225" s="530"/>
      <c r="B9225" s="530"/>
      <c r="C9225" s="530"/>
      <c r="D9225" s="562">
        <f>SUM(D9210:D9224)</f>
        <v>2191638002</v>
      </c>
      <c r="E9225" s="562">
        <f>SUM(E9210:E9224)</f>
        <v>0</v>
      </c>
      <c r="F9225" s="562">
        <f>SUM(F9210:F9224)</f>
        <v>0</v>
      </c>
      <c r="G9225" s="562">
        <f>SUM(G9210:G9224)</f>
        <v>2191638002</v>
      </c>
      <c r="H9225" s="530"/>
      <c r="I9225" s="530"/>
      <c r="J9225" s="530"/>
    </row>
    <row r="9226" spans="1:10" x14ac:dyDescent="0.25">
      <c r="A9226" s="362"/>
      <c r="B9226" s="609">
        <v>44732</v>
      </c>
      <c r="C9226" s="362" t="s">
        <v>86</v>
      </c>
      <c r="D9226" s="560">
        <v>181876432</v>
      </c>
      <c r="E9226" s="560"/>
      <c r="F9226" s="560">
        <v>181876500</v>
      </c>
      <c r="G9226" s="560">
        <f t="shared" si="184"/>
        <v>-68</v>
      </c>
      <c r="H9226" s="362"/>
      <c r="I9226" s="362"/>
      <c r="J9226" s="362"/>
    </row>
    <row r="9227" spans="1:10" x14ac:dyDescent="0.25">
      <c r="A9227" s="362"/>
      <c r="B9227" s="609">
        <v>44732</v>
      </c>
      <c r="C9227" s="362" t="s">
        <v>87</v>
      </c>
      <c r="D9227" s="560">
        <v>138060401</v>
      </c>
      <c r="E9227" s="560"/>
      <c r="F9227" s="560">
        <v>138060300</v>
      </c>
      <c r="G9227" s="560">
        <f t="shared" si="184"/>
        <v>101</v>
      </c>
      <c r="H9227" s="362"/>
      <c r="I9227" s="362"/>
      <c r="J9227" s="362"/>
    </row>
    <row r="9228" spans="1:10" x14ac:dyDescent="0.25">
      <c r="A9228" s="362"/>
      <c r="B9228" s="609">
        <v>44732</v>
      </c>
      <c r="C9228" s="362" t="s">
        <v>88</v>
      </c>
      <c r="D9228" s="560">
        <v>207661151</v>
      </c>
      <c r="E9228" s="560"/>
      <c r="F9228" s="560">
        <v>207670500</v>
      </c>
      <c r="G9228" s="560">
        <f t="shared" si="184"/>
        <v>-9349</v>
      </c>
      <c r="H9228" s="362"/>
      <c r="I9228" s="362"/>
      <c r="J9228" s="362"/>
    </row>
    <row r="9229" spans="1:10" x14ac:dyDescent="0.25">
      <c r="A9229" s="362"/>
      <c r="B9229" s="609">
        <v>44732</v>
      </c>
      <c r="C9229" s="362" t="s">
        <v>82</v>
      </c>
      <c r="D9229" s="560">
        <v>85121900</v>
      </c>
      <c r="E9229" s="560"/>
      <c r="F9229" s="560">
        <v>85121900</v>
      </c>
      <c r="G9229" s="560">
        <f t="shared" si="184"/>
        <v>0</v>
      </c>
      <c r="H9229" s="362"/>
      <c r="I9229" s="362"/>
      <c r="J9229" s="362"/>
    </row>
    <row r="9230" spans="1:10" x14ac:dyDescent="0.25">
      <c r="A9230" s="362"/>
      <c r="B9230" s="609">
        <v>44732</v>
      </c>
      <c r="C9230" s="362" t="s">
        <v>80</v>
      </c>
      <c r="D9230" s="560">
        <v>266251438</v>
      </c>
      <c r="E9230" s="560"/>
      <c r="F9230" s="560">
        <v>266251400</v>
      </c>
      <c r="G9230" s="560">
        <f t="shared" si="184"/>
        <v>38</v>
      </c>
      <c r="H9230" s="362"/>
      <c r="I9230" s="362"/>
      <c r="J9230" s="362"/>
    </row>
    <row r="9231" spans="1:10" x14ac:dyDescent="0.25">
      <c r="A9231" s="362"/>
      <c r="B9231" s="609">
        <v>44732</v>
      </c>
      <c r="C9231" s="362" t="s">
        <v>83</v>
      </c>
      <c r="D9231" s="560">
        <v>233575000</v>
      </c>
      <c r="E9231" s="560"/>
      <c r="F9231" s="560">
        <v>233575000</v>
      </c>
      <c r="G9231" s="560">
        <f t="shared" si="184"/>
        <v>0</v>
      </c>
      <c r="H9231" s="362"/>
      <c r="I9231" s="362"/>
      <c r="J9231" s="362"/>
    </row>
    <row r="9232" spans="1:10" x14ac:dyDescent="0.25">
      <c r="A9232" s="362"/>
      <c r="B9232" s="609">
        <v>44732</v>
      </c>
      <c r="C9232" s="362" t="s">
        <v>78</v>
      </c>
      <c r="D9232" s="560">
        <v>166953424</v>
      </c>
      <c r="E9232" s="560"/>
      <c r="F9232" s="560">
        <v>166953500</v>
      </c>
      <c r="G9232" s="560">
        <f t="shared" si="184"/>
        <v>-76</v>
      </c>
      <c r="H9232" s="362"/>
      <c r="I9232" s="362"/>
      <c r="J9232" s="362"/>
    </row>
    <row r="9233" spans="1:10" x14ac:dyDescent="0.25">
      <c r="A9233" s="362"/>
      <c r="B9233" s="609">
        <v>44732</v>
      </c>
      <c r="C9233" s="362" t="s">
        <v>141</v>
      </c>
      <c r="D9233" s="560">
        <v>168044755</v>
      </c>
      <c r="E9233" s="560"/>
      <c r="F9233" s="560">
        <v>168044800</v>
      </c>
      <c r="G9233" s="560">
        <f t="shared" si="184"/>
        <v>-45</v>
      </c>
      <c r="H9233" s="362"/>
      <c r="I9233" s="362"/>
      <c r="J9233" s="362"/>
    </row>
    <row r="9234" spans="1:10" x14ac:dyDescent="0.25">
      <c r="A9234" s="362"/>
      <c r="B9234" s="609">
        <v>44732</v>
      </c>
      <c r="C9234" s="362" t="s">
        <v>89</v>
      </c>
      <c r="D9234" s="560">
        <v>175612400</v>
      </c>
      <c r="E9234" s="560"/>
      <c r="F9234" s="560">
        <v>175723300</v>
      </c>
      <c r="G9234" s="560">
        <f t="shared" si="184"/>
        <v>-110900</v>
      </c>
      <c r="H9234" s="362"/>
      <c r="I9234" s="362"/>
      <c r="J9234" s="362"/>
    </row>
    <row r="9235" spans="1:10" x14ac:dyDescent="0.25">
      <c r="A9235" s="362"/>
      <c r="B9235" s="609">
        <v>44732</v>
      </c>
      <c r="C9235" s="362" t="s">
        <v>81</v>
      </c>
      <c r="D9235" s="560">
        <v>177693247</v>
      </c>
      <c r="E9235" s="560"/>
      <c r="F9235" s="560">
        <v>177693300</v>
      </c>
      <c r="G9235" s="560">
        <f t="shared" si="184"/>
        <v>-53</v>
      </c>
      <c r="H9235" s="362"/>
      <c r="I9235" s="362"/>
      <c r="J9235" s="362"/>
    </row>
    <row r="9236" spans="1:10" x14ac:dyDescent="0.25">
      <c r="A9236" s="362"/>
      <c r="B9236" s="609">
        <v>44732</v>
      </c>
      <c r="C9236" s="362" t="s">
        <v>84</v>
      </c>
      <c r="D9236" s="560">
        <v>357850358</v>
      </c>
      <c r="E9236" s="560"/>
      <c r="F9236" s="560">
        <v>357850400</v>
      </c>
      <c r="G9236" s="560">
        <f t="shared" si="184"/>
        <v>-42</v>
      </c>
      <c r="H9236" s="362"/>
      <c r="I9236" s="362"/>
      <c r="J9236" s="362"/>
    </row>
    <row r="9237" spans="1:10" x14ac:dyDescent="0.25">
      <c r="A9237" s="362"/>
      <c r="B9237" s="609">
        <v>44732</v>
      </c>
      <c r="C9237" s="362" t="s">
        <v>4751</v>
      </c>
      <c r="D9237" s="560">
        <v>210628800</v>
      </c>
      <c r="E9237" s="560"/>
      <c r="F9237" s="560">
        <v>210628800</v>
      </c>
      <c r="G9237" s="560">
        <f t="shared" si="184"/>
        <v>0</v>
      </c>
      <c r="H9237" s="362"/>
      <c r="I9237" s="362"/>
      <c r="J9237" s="362"/>
    </row>
    <row r="9238" spans="1:10" x14ac:dyDescent="0.25">
      <c r="A9238" s="362"/>
      <c r="B9238" s="609">
        <v>44732</v>
      </c>
      <c r="C9238" s="362" t="s">
        <v>166</v>
      </c>
      <c r="D9238" s="560">
        <v>74263921</v>
      </c>
      <c r="E9238" s="560"/>
      <c r="F9238" s="560">
        <v>74264000</v>
      </c>
      <c r="G9238" s="560">
        <f t="shared" si="184"/>
        <v>-79</v>
      </c>
      <c r="H9238" s="362"/>
      <c r="I9238" s="362"/>
      <c r="J9238" s="362"/>
    </row>
    <row r="9239" spans="1:10" x14ac:dyDescent="0.25">
      <c r="A9239" s="362"/>
      <c r="B9239" s="609">
        <v>44732</v>
      </c>
      <c r="C9239" s="362" t="s">
        <v>3435</v>
      </c>
      <c r="D9239" s="560">
        <v>84015392</v>
      </c>
      <c r="E9239" s="560"/>
      <c r="F9239" s="560">
        <v>84015400</v>
      </c>
      <c r="G9239" s="560">
        <f t="shared" si="184"/>
        <v>-8</v>
      </c>
      <c r="H9239" s="362"/>
      <c r="I9239" s="362"/>
      <c r="J9239" s="362"/>
    </row>
    <row r="9240" spans="1:10" x14ac:dyDescent="0.25">
      <c r="A9240" s="362"/>
      <c r="B9240" s="609">
        <v>44732</v>
      </c>
      <c r="C9240" s="370" t="s">
        <v>85</v>
      </c>
      <c r="D9240" s="560">
        <v>67184600</v>
      </c>
      <c r="E9240" s="560"/>
      <c r="F9240" s="560">
        <v>67184600</v>
      </c>
      <c r="G9240" s="560">
        <f t="shared" si="184"/>
        <v>0</v>
      </c>
      <c r="H9240" s="362"/>
      <c r="I9240" s="362"/>
      <c r="J9240" s="362"/>
    </row>
    <row r="9241" spans="1:10" x14ac:dyDescent="0.25">
      <c r="A9241" s="530"/>
      <c r="B9241" s="530"/>
      <c r="C9241" s="530"/>
      <c r="D9241" s="562">
        <f>SUM(D9226:D9240)</f>
        <v>2594793219</v>
      </c>
      <c r="E9241" s="562">
        <f>SUM(E9226:E9240)</f>
        <v>0</v>
      </c>
      <c r="F9241" s="562">
        <f>SUM(F9226:F9240)</f>
        <v>2594913700</v>
      </c>
      <c r="G9241" s="562">
        <f>SUM(G9226:G9240)</f>
        <v>-120481</v>
      </c>
      <c r="H9241" s="530"/>
      <c r="I9241" s="530"/>
      <c r="J9241" s="530"/>
    </row>
    <row r="9242" spans="1:10" x14ac:dyDescent="0.25">
      <c r="A9242" s="362"/>
      <c r="B9242" s="609">
        <v>44733</v>
      </c>
      <c r="C9242" s="362" t="s">
        <v>86</v>
      </c>
      <c r="D9242" s="560">
        <v>122731425</v>
      </c>
      <c r="E9242" s="560"/>
      <c r="F9242" s="560">
        <v>122731500</v>
      </c>
      <c r="G9242" s="560">
        <f t="shared" si="184"/>
        <v>-75</v>
      </c>
      <c r="H9242" s="362"/>
      <c r="I9242" s="362"/>
      <c r="J9242" s="362"/>
    </row>
    <row r="9243" spans="1:10" x14ac:dyDescent="0.25">
      <c r="A9243" s="362"/>
      <c r="B9243" s="609">
        <v>44733</v>
      </c>
      <c r="C9243" s="362" t="s">
        <v>87</v>
      </c>
      <c r="D9243" s="560">
        <v>133758007</v>
      </c>
      <c r="E9243" s="560"/>
      <c r="F9243" s="560">
        <v>133758100</v>
      </c>
      <c r="G9243" s="560">
        <f t="shared" si="184"/>
        <v>-93</v>
      </c>
      <c r="H9243" s="362"/>
      <c r="I9243" s="362"/>
      <c r="J9243" s="362"/>
    </row>
    <row r="9244" spans="1:10" x14ac:dyDescent="0.25">
      <c r="A9244" s="362"/>
      <c r="B9244" s="609">
        <v>44733</v>
      </c>
      <c r="C9244" s="362" t="s">
        <v>88</v>
      </c>
      <c r="D9244" s="560">
        <v>318938993</v>
      </c>
      <c r="E9244" s="560"/>
      <c r="F9244" s="560">
        <v>318939000</v>
      </c>
      <c r="G9244" s="560">
        <f t="shared" si="184"/>
        <v>-7</v>
      </c>
      <c r="H9244" s="362"/>
      <c r="I9244" s="362"/>
      <c r="J9244" s="362"/>
    </row>
    <row r="9245" spans="1:10" x14ac:dyDescent="0.25">
      <c r="A9245" s="362"/>
      <c r="B9245" s="609">
        <v>44733</v>
      </c>
      <c r="C9245" s="362" t="s">
        <v>82</v>
      </c>
      <c r="D9245" s="560">
        <v>58996100</v>
      </c>
      <c r="E9245" s="560"/>
      <c r="F9245" s="560">
        <v>58996100</v>
      </c>
      <c r="G9245" s="560">
        <f t="shared" si="184"/>
        <v>0</v>
      </c>
      <c r="H9245" s="362"/>
      <c r="I9245" s="362"/>
      <c r="J9245" s="362"/>
    </row>
    <row r="9246" spans="1:10" x14ac:dyDescent="0.25">
      <c r="A9246" s="362"/>
      <c r="B9246" s="609">
        <v>44733</v>
      </c>
      <c r="C9246" s="362" t="s">
        <v>80</v>
      </c>
      <c r="D9246" s="560">
        <v>272289426</v>
      </c>
      <c r="E9246" s="560"/>
      <c r="F9246" s="560">
        <v>272287100</v>
      </c>
      <c r="G9246" s="560">
        <f t="shared" si="184"/>
        <v>2326</v>
      </c>
      <c r="H9246" s="362"/>
      <c r="I9246" s="362"/>
      <c r="J9246" s="362"/>
    </row>
    <row r="9247" spans="1:10" x14ac:dyDescent="0.25">
      <c r="A9247" s="362"/>
      <c r="B9247" s="609">
        <v>44733</v>
      </c>
      <c r="C9247" s="362" t="s">
        <v>83</v>
      </c>
      <c r="D9247" s="560">
        <v>212295118</v>
      </c>
      <c r="E9247" s="560"/>
      <c r="F9247" s="560">
        <v>212295200</v>
      </c>
      <c r="G9247" s="560">
        <f t="shared" si="184"/>
        <v>-82</v>
      </c>
      <c r="H9247" s="362"/>
      <c r="I9247" s="362"/>
      <c r="J9247" s="362"/>
    </row>
    <row r="9248" spans="1:10" x14ac:dyDescent="0.25">
      <c r="A9248" s="362"/>
      <c r="B9248" s="609">
        <v>44733</v>
      </c>
      <c r="C9248" s="362" t="s">
        <v>78</v>
      </c>
      <c r="D9248" s="560">
        <v>144948235</v>
      </c>
      <c r="E9248" s="560"/>
      <c r="F9248" s="560">
        <v>144948300</v>
      </c>
      <c r="G9248" s="560">
        <f t="shared" si="184"/>
        <v>-65</v>
      </c>
      <c r="H9248" s="362"/>
      <c r="I9248" s="362"/>
      <c r="J9248" s="362"/>
    </row>
    <row r="9249" spans="1:10" x14ac:dyDescent="0.25">
      <c r="A9249" s="362"/>
      <c r="B9249" s="609">
        <v>44733</v>
      </c>
      <c r="C9249" s="362" t="s">
        <v>141</v>
      </c>
      <c r="D9249" s="560">
        <v>77104730</v>
      </c>
      <c r="E9249" s="560"/>
      <c r="F9249" s="560">
        <v>77104800</v>
      </c>
      <c r="G9249" s="560">
        <f t="shared" si="184"/>
        <v>-70</v>
      </c>
      <c r="H9249" s="362"/>
      <c r="I9249" s="362"/>
      <c r="J9249" s="362"/>
    </row>
    <row r="9250" spans="1:10" x14ac:dyDescent="0.25">
      <c r="A9250" s="362"/>
      <c r="B9250" s="609">
        <v>44733</v>
      </c>
      <c r="C9250" s="362" t="s">
        <v>89</v>
      </c>
      <c r="D9250" s="560">
        <v>107104600</v>
      </c>
      <c r="E9250" s="560"/>
      <c r="F9250" s="560">
        <v>107104600</v>
      </c>
      <c r="G9250" s="560">
        <f t="shared" si="184"/>
        <v>0</v>
      </c>
      <c r="H9250" s="362"/>
      <c r="I9250" s="362"/>
      <c r="J9250" s="362"/>
    </row>
    <row r="9251" spans="1:10" x14ac:dyDescent="0.25">
      <c r="A9251" s="362"/>
      <c r="B9251" s="609">
        <v>44733</v>
      </c>
      <c r="C9251" s="362" t="s">
        <v>81</v>
      </c>
      <c r="D9251" s="560">
        <v>139556897</v>
      </c>
      <c r="E9251" s="560"/>
      <c r="F9251" s="560">
        <v>139556900</v>
      </c>
      <c r="G9251" s="560">
        <f t="shared" si="184"/>
        <v>-3</v>
      </c>
      <c r="H9251" s="362"/>
      <c r="I9251" s="362"/>
      <c r="J9251" s="362"/>
    </row>
    <row r="9252" spans="1:10" x14ac:dyDescent="0.25">
      <c r="A9252" s="362"/>
      <c r="B9252" s="609">
        <v>44733</v>
      </c>
      <c r="C9252" s="362" t="s">
        <v>84</v>
      </c>
      <c r="D9252" s="560">
        <v>240671727</v>
      </c>
      <c r="E9252" s="560"/>
      <c r="F9252" s="560">
        <v>240671700</v>
      </c>
      <c r="G9252" s="560">
        <f t="shared" si="184"/>
        <v>27</v>
      </c>
      <c r="H9252" s="362"/>
      <c r="I9252" s="362"/>
      <c r="J9252" s="362"/>
    </row>
    <row r="9253" spans="1:10" x14ac:dyDescent="0.25">
      <c r="A9253" s="362"/>
      <c r="B9253" s="609">
        <v>44733</v>
      </c>
      <c r="C9253" s="362" t="s">
        <v>4751</v>
      </c>
      <c r="D9253" s="560">
        <v>232755300</v>
      </c>
      <c r="E9253" s="560"/>
      <c r="F9253" s="560">
        <v>232755300</v>
      </c>
      <c r="G9253" s="560">
        <f t="shared" si="184"/>
        <v>0</v>
      </c>
      <c r="H9253" s="362"/>
      <c r="I9253" s="362"/>
      <c r="J9253" s="362"/>
    </row>
    <row r="9254" spans="1:10" x14ac:dyDescent="0.25">
      <c r="A9254" s="362"/>
      <c r="B9254" s="609">
        <v>44733</v>
      </c>
      <c r="C9254" s="362" t="s">
        <v>166</v>
      </c>
      <c r="D9254" s="560">
        <v>96477440</v>
      </c>
      <c r="E9254" s="560"/>
      <c r="F9254" s="560">
        <v>96477500</v>
      </c>
      <c r="G9254" s="560">
        <f t="shared" si="184"/>
        <v>-60</v>
      </c>
      <c r="H9254" s="362"/>
      <c r="I9254" s="362"/>
      <c r="J9254" s="362"/>
    </row>
    <row r="9255" spans="1:10" x14ac:dyDescent="0.25">
      <c r="A9255" s="362"/>
      <c r="B9255" s="609">
        <v>44733</v>
      </c>
      <c r="C9255" s="362" t="s">
        <v>3435</v>
      </c>
      <c r="D9255" s="560">
        <v>94641545</v>
      </c>
      <c r="E9255" s="560"/>
      <c r="F9255" s="560">
        <v>94641600</v>
      </c>
      <c r="G9255" s="560">
        <f t="shared" si="184"/>
        <v>-55</v>
      </c>
      <c r="H9255" s="362"/>
      <c r="I9255" s="362"/>
      <c r="J9255" s="362"/>
    </row>
    <row r="9256" spans="1:10" x14ac:dyDescent="0.25">
      <c r="A9256" s="362"/>
      <c r="B9256" s="609">
        <v>44733</v>
      </c>
      <c r="C9256" s="370" t="s">
        <v>85</v>
      </c>
      <c r="D9256" s="560">
        <v>47315900</v>
      </c>
      <c r="E9256" s="560"/>
      <c r="F9256" s="560">
        <v>47315900</v>
      </c>
      <c r="G9256" s="560">
        <f t="shared" si="184"/>
        <v>0</v>
      </c>
      <c r="H9256" s="362"/>
      <c r="I9256" s="362"/>
      <c r="J9256" s="362"/>
    </row>
    <row r="9257" spans="1:10" x14ac:dyDescent="0.25">
      <c r="A9257" s="530"/>
      <c r="B9257" s="530"/>
      <c r="C9257" s="530"/>
      <c r="D9257" s="562">
        <f>SUM(D9242:D9256)</f>
        <v>2299585443</v>
      </c>
      <c r="E9257" s="562">
        <f>SUM(E9242:E9256)</f>
        <v>0</v>
      </c>
      <c r="F9257" s="562">
        <f>SUM(F9242:F9256)</f>
        <v>2299583600</v>
      </c>
      <c r="G9257" s="562">
        <f>SUM(G9242:G9256)</f>
        <v>1843</v>
      </c>
      <c r="H9257" s="530"/>
      <c r="I9257" s="530"/>
      <c r="J9257" s="530"/>
    </row>
    <row r="9258" spans="1:10" x14ac:dyDescent="0.25">
      <c r="A9258" s="362"/>
      <c r="B9258" s="609">
        <v>44734</v>
      </c>
      <c r="C9258" s="362" t="s">
        <v>86</v>
      </c>
      <c r="D9258" s="560">
        <v>183121957</v>
      </c>
      <c r="E9258" s="560"/>
      <c r="F9258" s="560">
        <v>183122000</v>
      </c>
      <c r="G9258" s="560">
        <f t="shared" si="184"/>
        <v>-43</v>
      </c>
      <c r="H9258" s="362"/>
      <c r="I9258" s="362"/>
      <c r="J9258" s="362"/>
    </row>
    <row r="9259" spans="1:10" x14ac:dyDescent="0.25">
      <c r="A9259" s="362"/>
      <c r="B9259" s="609">
        <v>44734</v>
      </c>
      <c r="C9259" s="362" t="s">
        <v>87</v>
      </c>
      <c r="D9259" s="560">
        <v>179587581</v>
      </c>
      <c r="E9259" s="560"/>
      <c r="F9259" s="560">
        <v>179587600</v>
      </c>
      <c r="G9259" s="560">
        <f t="shared" si="184"/>
        <v>-19</v>
      </c>
      <c r="H9259" s="362"/>
      <c r="I9259" s="362"/>
      <c r="J9259" s="362"/>
    </row>
    <row r="9260" spans="1:10" x14ac:dyDescent="0.25">
      <c r="A9260" s="362"/>
      <c r="B9260" s="609">
        <v>44734</v>
      </c>
      <c r="C9260" s="362" t="s">
        <v>88</v>
      </c>
      <c r="D9260" s="560">
        <v>210639188</v>
      </c>
      <c r="E9260" s="560"/>
      <c r="F9260" s="560">
        <v>210639200</v>
      </c>
      <c r="G9260" s="560">
        <f t="shared" si="184"/>
        <v>-12</v>
      </c>
      <c r="H9260" s="362"/>
      <c r="I9260" s="362"/>
      <c r="J9260" s="362"/>
    </row>
    <row r="9261" spans="1:10" x14ac:dyDescent="0.25">
      <c r="A9261" s="362"/>
      <c r="B9261" s="609">
        <v>44734</v>
      </c>
      <c r="C9261" s="362" t="s">
        <v>82</v>
      </c>
      <c r="D9261" s="560">
        <v>86255400</v>
      </c>
      <c r="E9261" s="560"/>
      <c r="F9261" s="560">
        <v>86255400</v>
      </c>
      <c r="G9261" s="560">
        <f t="shared" si="184"/>
        <v>0</v>
      </c>
      <c r="H9261" s="362"/>
      <c r="I9261" s="362"/>
      <c r="J9261" s="362"/>
    </row>
    <row r="9262" spans="1:10" x14ac:dyDescent="0.25">
      <c r="A9262" s="362"/>
      <c r="B9262" s="609">
        <v>44734</v>
      </c>
      <c r="C9262" s="362" t="s">
        <v>80</v>
      </c>
      <c r="D9262" s="560">
        <v>534058103</v>
      </c>
      <c r="E9262" s="560"/>
      <c r="F9262" s="560">
        <v>534058700</v>
      </c>
      <c r="G9262" s="560">
        <f t="shared" si="184"/>
        <v>-597</v>
      </c>
      <c r="H9262" s="362"/>
      <c r="I9262" s="362"/>
      <c r="J9262" s="362"/>
    </row>
    <row r="9263" spans="1:10" x14ac:dyDescent="0.25">
      <c r="A9263" s="362"/>
      <c r="B9263" s="609">
        <v>44734</v>
      </c>
      <c r="C9263" s="362" t="s">
        <v>83</v>
      </c>
      <c r="D9263" s="560">
        <v>157222600</v>
      </c>
      <c r="E9263" s="560"/>
      <c r="F9263" s="560">
        <v>157222600</v>
      </c>
      <c r="G9263" s="560">
        <f t="shared" si="184"/>
        <v>0</v>
      </c>
      <c r="H9263" s="362"/>
      <c r="I9263" s="362"/>
      <c r="J9263" s="362"/>
    </row>
    <row r="9264" spans="1:10" x14ac:dyDescent="0.25">
      <c r="A9264" s="362"/>
      <c r="B9264" s="609">
        <v>44734</v>
      </c>
      <c r="C9264" s="362" t="s">
        <v>78</v>
      </c>
      <c r="D9264" s="560">
        <v>108635274</v>
      </c>
      <c r="E9264" s="560"/>
      <c r="F9264" s="560">
        <v>108635300</v>
      </c>
      <c r="G9264" s="560">
        <f t="shared" si="184"/>
        <v>-26</v>
      </c>
      <c r="H9264" s="362"/>
      <c r="I9264" s="362"/>
      <c r="J9264" s="362"/>
    </row>
    <row r="9265" spans="1:10" x14ac:dyDescent="0.25">
      <c r="A9265" s="362"/>
      <c r="B9265" s="609">
        <v>44734</v>
      </c>
      <c r="C9265" s="362" t="s">
        <v>141</v>
      </c>
      <c r="D9265" s="560">
        <v>186922000</v>
      </c>
      <c r="E9265" s="560"/>
      <c r="F9265" s="560">
        <v>186922000</v>
      </c>
      <c r="G9265" s="560">
        <f t="shared" si="184"/>
        <v>0</v>
      </c>
      <c r="H9265" s="362"/>
      <c r="I9265" s="362"/>
      <c r="J9265" s="362"/>
    </row>
    <row r="9266" spans="1:10" x14ac:dyDescent="0.25">
      <c r="A9266" s="362"/>
      <c r="B9266" s="609">
        <v>44734</v>
      </c>
      <c r="C9266" s="362" t="s">
        <v>89</v>
      </c>
      <c r="D9266" s="560">
        <v>166991100</v>
      </c>
      <c r="E9266" s="560"/>
      <c r="F9266" s="560">
        <v>166991100</v>
      </c>
      <c r="G9266" s="560">
        <f t="shared" si="184"/>
        <v>0</v>
      </c>
      <c r="H9266" s="362"/>
      <c r="I9266" s="362"/>
      <c r="J9266" s="362"/>
    </row>
    <row r="9267" spans="1:10" x14ac:dyDescent="0.25">
      <c r="A9267" s="362"/>
      <c r="B9267" s="609">
        <v>44734</v>
      </c>
      <c r="C9267" s="362" t="s">
        <v>81</v>
      </c>
      <c r="D9267" s="560">
        <v>220761721</v>
      </c>
      <c r="E9267" s="560"/>
      <c r="F9267" s="560">
        <v>220761800</v>
      </c>
      <c r="G9267" s="560">
        <f t="shared" si="184"/>
        <v>-79</v>
      </c>
      <c r="H9267" s="362"/>
      <c r="I9267" s="362"/>
      <c r="J9267" s="362"/>
    </row>
    <row r="9268" spans="1:10" x14ac:dyDescent="0.25">
      <c r="A9268" s="362"/>
      <c r="B9268" s="609">
        <v>44734</v>
      </c>
      <c r="C9268" s="362" t="s">
        <v>84</v>
      </c>
      <c r="D9268" s="560">
        <v>335898553</v>
      </c>
      <c r="E9268" s="560"/>
      <c r="F9268" s="560">
        <v>335898600</v>
      </c>
      <c r="G9268" s="560">
        <f t="shared" si="184"/>
        <v>-47</v>
      </c>
      <c r="H9268" s="362"/>
      <c r="I9268" s="362"/>
      <c r="J9268" s="362"/>
    </row>
    <row r="9269" spans="1:10" x14ac:dyDescent="0.25">
      <c r="A9269" s="362"/>
      <c r="B9269" s="609">
        <v>44734</v>
      </c>
      <c r="C9269" s="362" t="s">
        <v>4751</v>
      </c>
      <c r="D9269" s="560">
        <v>191656600</v>
      </c>
      <c r="E9269" s="560"/>
      <c r="F9269" s="560">
        <v>191656600</v>
      </c>
      <c r="G9269" s="560">
        <f t="shared" si="184"/>
        <v>0</v>
      </c>
      <c r="H9269" s="362"/>
      <c r="I9269" s="362"/>
      <c r="J9269" s="362"/>
    </row>
    <row r="9270" spans="1:10" x14ac:dyDescent="0.25">
      <c r="A9270" s="362"/>
      <c r="B9270" s="609">
        <v>44734</v>
      </c>
      <c r="C9270" s="362" t="s">
        <v>166</v>
      </c>
      <c r="D9270" s="560">
        <v>68855833</v>
      </c>
      <c r="E9270" s="560"/>
      <c r="F9270" s="560">
        <v>68855900</v>
      </c>
      <c r="G9270" s="560">
        <f t="shared" si="184"/>
        <v>-67</v>
      </c>
      <c r="H9270" s="362"/>
      <c r="I9270" s="362"/>
      <c r="J9270" s="362"/>
    </row>
    <row r="9271" spans="1:10" x14ac:dyDescent="0.25">
      <c r="A9271" s="362"/>
      <c r="B9271" s="609">
        <v>44734</v>
      </c>
      <c r="C9271" s="362" t="s">
        <v>3435</v>
      </c>
      <c r="D9271" s="560">
        <v>58933337</v>
      </c>
      <c r="E9271" s="560"/>
      <c r="F9271" s="560">
        <v>58933400</v>
      </c>
      <c r="G9271" s="560">
        <f t="shared" si="184"/>
        <v>-63</v>
      </c>
      <c r="H9271" s="362"/>
      <c r="I9271" s="362"/>
      <c r="J9271" s="362"/>
    </row>
    <row r="9272" spans="1:10" x14ac:dyDescent="0.25">
      <c r="A9272" s="362"/>
      <c r="B9272" s="609">
        <v>44734</v>
      </c>
      <c r="C9272" s="370" t="s">
        <v>85</v>
      </c>
      <c r="D9272" s="560">
        <v>54442800</v>
      </c>
      <c r="E9272" s="560"/>
      <c r="F9272" s="560">
        <v>54442800</v>
      </c>
      <c r="G9272" s="560">
        <f t="shared" si="184"/>
        <v>0</v>
      </c>
      <c r="H9272" s="362"/>
      <c r="I9272" s="362"/>
      <c r="J9272" s="362"/>
    </row>
    <row r="9273" spans="1:10" x14ac:dyDescent="0.25">
      <c r="A9273" s="530"/>
      <c r="B9273" s="530"/>
      <c r="C9273" s="530"/>
      <c r="D9273" s="562">
        <f>SUM(D9258:D9272)</f>
        <v>2743982047</v>
      </c>
      <c r="E9273" s="562">
        <f>SUM(E9258:E9272)</f>
        <v>0</v>
      </c>
      <c r="F9273" s="562">
        <f>SUM(F9258:F9272)</f>
        <v>2743983000</v>
      </c>
      <c r="G9273" s="562">
        <f>SUM(G9258:G9272)</f>
        <v>-953</v>
      </c>
      <c r="H9273" s="530"/>
      <c r="I9273" s="530"/>
      <c r="J9273" s="530"/>
    </row>
    <row r="9274" spans="1:10" x14ac:dyDescent="0.25">
      <c r="A9274" s="362"/>
      <c r="B9274" s="609">
        <v>44735</v>
      </c>
      <c r="C9274" s="362" t="s">
        <v>86</v>
      </c>
      <c r="D9274" s="560">
        <v>117204064</v>
      </c>
      <c r="E9274" s="560"/>
      <c r="F9274" s="560">
        <v>117204000</v>
      </c>
      <c r="G9274" s="560">
        <f t="shared" si="184"/>
        <v>64</v>
      </c>
      <c r="H9274" s="362"/>
      <c r="I9274" s="362"/>
      <c r="J9274" s="362"/>
    </row>
    <row r="9275" spans="1:10" x14ac:dyDescent="0.25">
      <c r="A9275" s="362"/>
      <c r="B9275" s="609">
        <v>44735</v>
      </c>
      <c r="C9275" s="362" t="s">
        <v>87</v>
      </c>
      <c r="D9275" s="560">
        <v>136138973</v>
      </c>
      <c r="E9275" s="560"/>
      <c r="F9275" s="560">
        <v>136139300</v>
      </c>
      <c r="G9275" s="560">
        <f t="shared" si="184"/>
        <v>-327</v>
      </c>
      <c r="H9275" s="362"/>
      <c r="I9275" s="362"/>
      <c r="J9275" s="362"/>
    </row>
    <row r="9276" spans="1:10" x14ac:dyDescent="0.25">
      <c r="A9276" s="362"/>
      <c r="B9276" s="609">
        <v>44735</v>
      </c>
      <c r="C9276" s="362" t="s">
        <v>88</v>
      </c>
      <c r="D9276" s="560">
        <v>248327197</v>
      </c>
      <c r="E9276" s="560"/>
      <c r="F9276" s="560">
        <v>248327200</v>
      </c>
      <c r="G9276" s="560">
        <f t="shared" ref="G9276:G9339" si="185">D9276-F9276</f>
        <v>-3</v>
      </c>
      <c r="H9276" s="362"/>
      <c r="I9276" s="362"/>
      <c r="J9276" s="362"/>
    </row>
    <row r="9277" spans="1:10" x14ac:dyDescent="0.25">
      <c r="A9277" s="362"/>
      <c r="B9277" s="609">
        <v>44735</v>
      </c>
      <c r="C9277" s="362" t="s">
        <v>82</v>
      </c>
      <c r="D9277" s="560"/>
      <c r="E9277" s="560"/>
      <c r="F9277" s="560">
        <v>97748900</v>
      </c>
      <c r="G9277" s="560">
        <f t="shared" si="185"/>
        <v>-97748900</v>
      </c>
      <c r="H9277" s="362"/>
      <c r="I9277" s="362"/>
      <c r="J9277" s="362"/>
    </row>
    <row r="9278" spans="1:10" x14ac:dyDescent="0.25">
      <c r="A9278" s="362"/>
      <c r="B9278" s="609">
        <v>44735</v>
      </c>
      <c r="C9278" s="362" t="s">
        <v>80</v>
      </c>
      <c r="D9278" s="560">
        <v>497954322</v>
      </c>
      <c r="E9278" s="560"/>
      <c r="F9278" s="560">
        <v>497951300</v>
      </c>
      <c r="G9278" s="560">
        <f t="shared" si="185"/>
        <v>3022</v>
      </c>
      <c r="H9278" s="362"/>
      <c r="I9278" s="362"/>
      <c r="J9278" s="362"/>
    </row>
    <row r="9279" spans="1:10" x14ac:dyDescent="0.25">
      <c r="A9279" s="362"/>
      <c r="B9279" s="609">
        <v>44735</v>
      </c>
      <c r="C9279" s="362" t="s">
        <v>83</v>
      </c>
      <c r="D9279" s="560">
        <v>164938104</v>
      </c>
      <c r="E9279" s="560"/>
      <c r="F9279" s="560">
        <v>164938100</v>
      </c>
      <c r="G9279" s="560">
        <f t="shared" si="185"/>
        <v>4</v>
      </c>
      <c r="H9279" s="362"/>
      <c r="I9279" s="362"/>
      <c r="J9279" s="362"/>
    </row>
    <row r="9280" spans="1:10" x14ac:dyDescent="0.25">
      <c r="A9280" s="362"/>
      <c r="B9280" s="609">
        <v>44735</v>
      </c>
      <c r="C9280" s="362" t="s">
        <v>78</v>
      </c>
      <c r="D9280" s="560">
        <v>155194550</v>
      </c>
      <c r="E9280" s="560"/>
      <c r="F9280" s="560">
        <v>155194600</v>
      </c>
      <c r="G9280" s="560">
        <f t="shared" si="185"/>
        <v>-50</v>
      </c>
      <c r="H9280" s="362"/>
      <c r="I9280" s="362"/>
      <c r="J9280" s="362"/>
    </row>
    <row r="9281" spans="1:10" x14ac:dyDescent="0.25">
      <c r="A9281" s="362"/>
      <c r="B9281" s="609">
        <v>44735</v>
      </c>
      <c r="C9281" s="362" t="s">
        <v>141</v>
      </c>
      <c r="D9281" s="560">
        <v>156185580</v>
      </c>
      <c r="E9281" s="560"/>
      <c r="F9281" s="560">
        <v>156185600</v>
      </c>
      <c r="G9281" s="560">
        <f t="shared" si="185"/>
        <v>-20</v>
      </c>
      <c r="H9281" s="362"/>
      <c r="I9281" s="362"/>
      <c r="J9281" s="362"/>
    </row>
    <row r="9282" spans="1:10" x14ac:dyDescent="0.25">
      <c r="A9282" s="362"/>
      <c r="B9282" s="609">
        <v>44735</v>
      </c>
      <c r="C9282" s="362" t="s">
        <v>89</v>
      </c>
      <c r="D9282" s="560">
        <v>187956700</v>
      </c>
      <c r="E9282" s="560"/>
      <c r="F9282" s="560">
        <v>187956700</v>
      </c>
      <c r="G9282" s="560">
        <f t="shared" si="185"/>
        <v>0</v>
      </c>
      <c r="H9282" s="362"/>
      <c r="I9282" s="362"/>
      <c r="J9282" s="362"/>
    </row>
    <row r="9283" spans="1:10" x14ac:dyDescent="0.25">
      <c r="A9283" s="362"/>
      <c r="B9283" s="609">
        <v>44735</v>
      </c>
      <c r="C9283" s="362" t="s">
        <v>81</v>
      </c>
      <c r="D9283" s="560">
        <v>83949063</v>
      </c>
      <c r="E9283" s="560"/>
      <c r="F9283" s="560">
        <v>83949100</v>
      </c>
      <c r="G9283" s="560">
        <f t="shared" si="185"/>
        <v>-37</v>
      </c>
      <c r="H9283" s="362"/>
      <c r="I9283" s="362"/>
      <c r="J9283" s="362"/>
    </row>
    <row r="9284" spans="1:10" x14ac:dyDescent="0.25">
      <c r="A9284" s="362"/>
      <c r="B9284" s="609">
        <v>44735</v>
      </c>
      <c r="C9284" s="362" t="s">
        <v>84</v>
      </c>
      <c r="D9284" s="560">
        <v>238229200</v>
      </c>
      <c r="E9284" s="560"/>
      <c r="F9284" s="560">
        <v>238333300</v>
      </c>
      <c r="G9284" s="560">
        <f t="shared" si="185"/>
        <v>-104100</v>
      </c>
      <c r="H9284" s="362"/>
      <c r="I9284" s="362"/>
      <c r="J9284" s="362"/>
    </row>
    <row r="9285" spans="1:10" x14ac:dyDescent="0.25">
      <c r="A9285" s="362"/>
      <c r="B9285" s="609">
        <v>44735</v>
      </c>
      <c r="C9285" s="362" t="s">
        <v>4751</v>
      </c>
      <c r="D9285" s="560">
        <v>233386600</v>
      </c>
      <c r="E9285" s="560"/>
      <c r="F9285" s="560">
        <v>233386600</v>
      </c>
      <c r="G9285" s="560">
        <f t="shared" si="185"/>
        <v>0</v>
      </c>
      <c r="H9285" s="362"/>
      <c r="I9285" s="362"/>
      <c r="J9285" s="362"/>
    </row>
    <row r="9286" spans="1:10" x14ac:dyDescent="0.25">
      <c r="A9286" s="362"/>
      <c r="B9286" s="609">
        <v>44735</v>
      </c>
      <c r="C9286" s="362" t="s">
        <v>166</v>
      </c>
      <c r="D9286" s="560">
        <v>124344197</v>
      </c>
      <c r="E9286" s="560"/>
      <c r="F9286" s="560">
        <v>124344500</v>
      </c>
      <c r="G9286" s="560">
        <f t="shared" si="185"/>
        <v>-303</v>
      </c>
      <c r="H9286" s="362"/>
      <c r="I9286" s="362"/>
      <c r="J9286" s="362"/>
    </row>
    <row r="9287" spans="1:10" x14ac:dyDescent="0.25">
      <c r="A9287" s="362"/>
      <c r="B9287" s="609">
        <v>44735</v>
      </c>
      <c r="C9287" s="362" t="s">
        <v>3435</v>
      </c>
      <c r="D9287" s="560">
        <v>50410469</v>
      </c>
      <c r="E9287" s="560"/>
      <c r="F9287" s="560">
        <v>50410500</v>
      </c>
      <c r="G9287" s="560">
        <f t="shared" si="185"/>
        <v>-31</v>
      </c>
      <c r="H9287" s="362"/>
      <c r="I9287" s="362"/>
      <c r="J9287" s="362"/>
    </row>
    <row r="9288" spans="1:10" x14ac:dyDescent="0.25">
      <c r="A9288" s="362"/>
      <c r="B9288" s="609">
        <v>44735</v>
      </c>
      <c r="C9288" s="370" t="s">
        <v>85</v>
      </c>
      <c r="D9288" s="560">
        <v>29767200</v>
      </c>
      <c r="E9288" s="560"/>
      <c r="F9288" s="560">
        <v>29767200</v>
      </c>
      <c r="G9288" s="560">
        <f t="shared" si="185"/>
        <v>0</v>
      </c>
      <c r="H9288" s="362"/>
      <c r="I9288" s="362"/>
      <c r="J9288" s="362"/>
    </row>
    <row r="9289" spans="1:10" x14ac:dyDescent="0.25">
      <c r="A9289" s="530"/>
      <c r="B9289" s="530"/>
      <c r="C9289" s="530"/>
      <c r="D9289" s="562">
        <f>SUM(D9274:D9288)</f>
        <v>2423986219</v>
      </c>
      <c r="E9289" s="562">
        <f>SUM(E9274:E9288)</f>
        <v>0</v>
      </c>
      <c r="F9289" s="562">
        <f>SUM(F9274:F9288)</f>
        <v>2521836900</v>
      </c>
      <c r="G9289" s="562">
        <f>SUM(G9274:G9288)</f>
        <v>-97850681</v>
      </c>
      <c r="H9289" s="530"/>
      <c r="I9289" s="530"/>
      <c r="J9289" s="530"/>
    </row>
    <row r="9290" spans="1:10" x14ac:dyDescent="0.25">
      <c r="A9290" s="362"/>
      <c r="B9290" s="609">
        <v>44736</v>
      </c>
      <c r="C9290" s="362" t="s">
        <v>86</v>
      </c>
      <c r="D9290" s="560">
        <v>207448654</v>
      </c>
      <c r="E9290" s="560"/>
      <c r="F9290" s="560">
        <v>207448700</v>
      </c>
      <c r="G9290" s="560">
        <f t="shared" si="185"/>
        <v>-46</v>
      </c>
      <c r="H9290" s="362"/>
      <c r="I9290" s="362"/>
      <c r="J9290" s="362"/>
    </row>
    <row r="9291" spans="1:10" x14ac:dyDescent="0.25">
      <c r="A9291" s="362"/>
      <c r="B9291" s="609">
        <v>44736</v>
      </c>
      <c r="C9291" s="362" t="s">
        <v>87</v>
      </c>
      <c r="D9291" s="560">
        <v>276768861</v>
      </c>
      <c r="E9291" s="560"/>
      <c r="F9291" s="560">
        <v>276768900</v>
      </c>
      <c r="G9291" s="560">
        <f t="shared" si="185"/>
        <v>-39</v>
      </c>
      <c r="H9291" s="362"/>
      <c r="I9291" s="362"/>
      <c r="J9291" s="362"/>
    </row>
    <row r="9292" spans="1:10" x14ac:dyDescent="0.25">
      <c r="A9292" s="362"/>
      <c r="B9292" s="609">
        <v>44736</v>
      </c>
      <c r="C9292" s="362" t="s">
        <v>88</v>
      </c>
      <c r="D9292" s="560">
        <v>379139723</v>
      </c>
      <c r="E9292" s="560"/>
      <c r="F9292" s="560">
        <v>379139800</v>
      </c>
      <c r="G9292" s="560">
        <f t="shared" si="185"/>
        <v>-77</v>
      </c>
      <c r="H9292" s="362"/>
      <c r="I9292" s="362"/>
      <c r="J9292" s="362"/>
    </row>
    <row r="9293" spans="1:10" x14ac:dyDescent="0.25">
      <c r="A9293" s="362"/>
      <c r="B9293" s="609">
        <v>44736</v>
      </c>
      <c r="C9293" s="362" t="s">
        <v>82</v>
      </c>
      <c r="D9293" s="560">
        <v>195774700</v>
      </c>
      <c r="E9293" s="560"/>
      <c r="F9293" s="560">
        <v>195774700</v>
      </c>
      <c r="G9293" s="560">
        <f t="shared" si="185"/>
        <v>0</v>
      </c>
      <c r="H9293" s="362"/>
      <c r="I9293" s="362"/>
      <c r="J9293" s="362"/>
    </row>
    <row r="9294" spans="1:10" x14ac:dyDescent="0.25">
      <c r="A9294" s="362"/>
      <c r="B9294" s="609">
        <v>44736</v>
      </c>
      <c r="C9294" s="362" t="s">
        <v>80</v>
      </c>
      <c r="D9294" s="560">
        <v>289090200</v>
      </c>
      <c r="E9294" s="560"/>
      <c r="F9294" s="560">
        <v>289090200</v>
      </c>
      <c r="G9294" s="560">
        <f t="shared" si="185"/>
        <v>0</v>
      </c>
      <c r="H9294" s="362"/>
      <c r="I9294" s="362"/>
      <c r="J9294" s="362"/>
    </row>
    <row r="9295" spans="1:10" x14ac:dyDescent="0.25">
      <c r="A9295" s="362"/>
      <c r="B9295" s="609">
        <v>44736</v>
      </c>
      <c r="C9295" s="362" t="s">
        <v>83</v>
      </c>
      <c r="D9295" s="560">
        <v>202619433</v>
      </c>
      <c r="E9295" s="560"/>
      <c r="F9295" s="560">
        <v>202619500</v>
      </c>
      <c r="G9295" s="560">
        <f t="shared" si="185"/>
        <v>-67</v>
      </c>
      <c r="H9295" s="362"/>
      <c r="I9295" s="362"/>
      <c r="J9295" s="362"/>
    </row>
    <row r="9296" spans="1:10" x14ac:dyDescent="0.25">
      <c r="A9296" s="362"/>
      <c r="B9296" s="609">
        <v>44736</v>
      </c>
      <c r="C9296" s="362" t="s">
        <v>78</v>
      </c>
      <c r="D9296" s="560">
        <v>170558760</v>
      </c>
      <c r="E9296" s="560"/>
      <c r="F9296" s="560">
        <v>170558800</v>
      </c>
      <c r="G9296" s="560">
        <f t="shared" si="185"/>
        <v>-40</v>
      </c>
      <c r="H9296" s="362"/>
      <c r="I9296" s="362"/>
      <c r="J9296" s="362"/>
    </row>
    <row r="9297" spans="1:10" x14ac:dyDescent="0.25">
      <c r="A9297" s="362"/>
      <c r="B9297" s="609">
        <v>44736</v>
      </c>
      <c r="C9297" s="362" t="s">
        <v>141</v>
      </c>
      <c r="D9297" s="560">
        <v>86433293</v>
      </c>
      <c r="E9297" s="560"/>
      <c r="F9297" s="560">
        <v>86433300</v>
      </c>
      <c r="G9297" s="560">
        <f t="shared" si="185"/>
        <v>-7</v>
      </c>
      <c r="H9297" s="362"/>
      <c r="I9297" s="362"/>
      <c r="J9297" s="362"/>
    </row>
    <row r="9298" spans="1:10" x14ac:dyDescent="0.25">
      <c r="A9298" s="362"/>
      <c r="B9298" s="609">
        <v>44736</v>
      </c>
      <c r="C9298" s="362" t="s">
        <v>89</v>
      </c>
      <c r="D9298" s="560">
        <v>258096800</v>
      </c>
      <c r="E9298" s="560"/>
      <c r="F9298" s="560">
        <v>258096800</v>
      </c>
      <c r="G9298" s="560">
        <f t="shared" si="185"/>
        <v>0</v>
      </c>
      <c r="H9298" s="362"/>
      <c r="I9298" s="362"/>
      <c r="J9298" s="362"/>
    </row>
    <row r="9299" spans="1:10" x14ac:dyDescent="0.25">
      <c r="A9299" s="362"/>
      <c r="B9299" s="609">
        <v>44736</v>
      </c>
      <c r="C9299" s="362" t="s">
        <v>81</v>
      </c>
      <c r="D9299" s="560">
        <v>109909304</v>
      </c>
      <c r="E9299" s="560"/>
      <c r="F9299" s="560">
        <v>109909400</v>
      </c>
      <c r="G9299" s="560">
        <f t="shared" si="185"/>
        <v>-96</v>
      </c>
      <c r="H9299" s="362"/>
      <c r="I9299" s="362"/>
      <c r="J9299" s="362"/>
    </row>
    <row r="9300" spans="1:10" x14ac:dyDescent="0.25">
      <c r="A9300" s="362"/>
      <c r="B9300" s="609">
        <v>44736</v>
      </c>
      <c r="C9300" s="362" t="s">
        <v>84</v>
      </c>
      <c r="D9300" s="560">
        <v>291031600</v>
      </c>
      <c r="E9300" s="560"/>
      <c r="F9300" s="560">
        <v>291031600</v>
      </c>
      <c r="G9300" s="560">
        <f t="shared" si="185"/>
        <v>0</v>
      </c>
      <c r="H9300" s="362"/>
      <c r="I9300" s="362"/>
      <c r="J9300" s="362"/>
    </row>
    <row r="9301" spans="1:10" x14ac:dyDescent="0.25">
      <c r="A9301" s="362"/>
      <c r="B9301" s="609">
        <v>44736</v>
      </c>
      <c r="C9301" s="362" t="s">
        <v>4751</v>
      </c>
      <c r="D9301" s="560">
        <v>158371200</v>
      </c>
      <c r="E9301" s="560"/>
      <c r="F9301" s="560">
        <v>158371200</v>
      </c>
      <c r="G9301" s="560">
        <f t="shared" si="185"/>
        <v>0</v>
      </c>
      <c r="H9301" s="362"/>
      <c r="I9301" s="362"/>
      <c r="J9301" s="362"/>
    </row>
    <row r="9302" spans="1:10" x14ac:dyDescent="0.25">
      <c r="A9302" s="362"/>
      <c r="B9302" s="609">
        <v>44736</v>
      </c>
      <c r="C9302" s="362" t="s">
        <v>166</v>
      </c>
      <c r="D9302" s="560">
        <v>39262886</v>
      </c>
      <c r="E9302" s="560"/>
      <c r="F9302" s="560">
        <v>39262900</v>
      </c>
      <c r="G9302" s="560">
        <f t="shared" si="185"/>
        <v>-14</v>
      </c>
      <c r="H9302" s="362"/>
      <c r="I9302" s="362"/>
      <c r="J9302" s="362"/>
    </row>
    <row r="9303" spans="1:10" x14ac:dyDescent="0.25">
      <c r="A9303" s="362"/>
      <c r="B9303" s="609">
        <v>44736</v>
      </c>
      <c r="C9303" s="362" t="s">
        <v>3435</v>
      </c>
      <c r="D9303" s="560">
        <v>39074165</v>
      </c>
      <c r="E9303" s="560"/>
      <c r="F9303" s="560">
        <v>39074200</v>
      </c>
      <c r="G9303" s="560">
        <f t="shared" si="185"/>
        <v>-35</v>
      </c>
      <c r="H9303" s="362"/>
      <c r="I9303" s="362"/>
      <c r="J9303" s="362"/>
    </row>
    <row r="9304" spans="1:10" x14ac:dyDescent="0.25">
      <c r="A9304" s="362"/>
      <c r="B9304" s="609">
        <v>44736</v>
      </c>
      <c r="C9304" s="370" t="s">
        <v>85</v>
      </c>
      <c r="D9304" s="560">
        <v>25333100</v>
      </c>
      <c r="E9304" s="560"/>
      <c r="F9304" s="560">
        <v>25333100</v>
      </c>
      <c r="G9304" s="560">
        <f t="shared" si="185"/>
        <v>0</v>
      </c>
      <c r="H9304" s="362"/>
      <c r="I9304" s="362"/>
      <c r="J9304" s="362"/>
    </row>
    <row r="9305" spans="1:10" x14ac:dyDescent="0.25">
      <c r="A9305" s="530"/>
      <c r="B9305" s="530"/>
      <c r="C9305" s="530"/>
      <c r="D9305" s="562">
        <f>SUM(D9290:D9304)</f>
        <v>2728912679</v>
      </c>
      <c r="E9305" s="562">
        <f>SUM(E9290:E9304)</f>
        <v>0</v>
      </c>
      <c r="F9305" s="562">
        <f>SUM(F9290:F9304)</f>
        <v>2728913100</v>
      </c>
      <c r="G9305" s="562">
        <f>SUM(G9290:G9304)</f>
        <v>-421</v>
      </c>
      <c r="H9305" s="530"/>
      <c r="I9305" s="530"/>
      <c r="J9305" s="530"/>
    </row>
    <row r="9306" spans="1:10" x14ac:dyDescent="0.25">
      <c r="A9306" s="362"/>
      <c r="B9306" s="609">
        <v>44737</v>
      </c>
      <c r="C9306" s="362" t="s">
        <v>86</v>
      </c>
      <c r="D9306" s="560">
        <v>71337691</v>
      </c>
      <c r="E9306" s="560"/>
      <c r="F9306" s="560">
        <v>71337700</v>
      </c>
      <c r="G9306" s="560">
        <f t="shared" si="185"/>
        <v>-9</v>
      </c>
      <c r="H9306" s="362"/>
      <c r="I9306" s="362"/>
      <c r="J9306" s="362"/>
    </row>
    <row r="9307" spans="1:10" x14ac:dyDescent="0.25">
      <c r="A9307" s="362"/>
      <c r="B9307" s="609">
        <v>44737</v>
      </c>
      <c r="C9307" s="362" t="s">
        <v>87</v>
      </c>
      <c r="D9307" s="560">
        <v>135444935</v>
      </c>
      <c r="E9307" s="560"/>
      <c r="F9307" s="560">
        <v>135445000</v>
      </c>
      <c r="G9307" s="560">
        <f t="shared" si="185"/>
        <v>-65</v>
      </c>
      <c r="H9307" s="362"/>
      <c r="I9307" s="362"/>
      <c r="J9307" s="362"/>
    </row>
    <row r="9308" spans="1:10" x14ac:dyDescent="0.25">
      <c r="A9308" s="362"/>
      <c r="B9308" s="609">
        <v>44737</v>
      </c>
      <c r="C9308" s="362" t="s">
        <v>88</v>
      </c>
      <c r="D9308" s="560">
        <v>183304163</v>
      </c>
      <c r="E9308" s="560"/>
      <c r="F9308" s="560">
        <v>183304200</v>
      </c>
      <c r="G9308" s="560">
        <f t="shared" si="185"/>
        <v>-37</v>
      </c>
      <c r="H9308" s="362"/>
      <c r="I9308" s="362"/>
      <c r="J9308" s="362"/>
    </row>
    <row r="9309" spans="1:10" x14ac:dyDescent="0.25">
      <c r="A9309" s="362"/>
      <c r="B9309" s="609">
        <v>44737</v>
      </c>
      <c r="C9309" s="362" t="s">
        <v>82</v>
      </c>
      <c r="D9309" s="560">
        <v>45831300</v>
      </c>
      <c r="E9309" s="560"/>
      <c r="F9309" s="560">
        <v>45831300</v>
      </c>
      <c r="G9309" s="560">
        <f t="shared" si="185"/>
        <v>0</v>
      </c>
      <c r="H9309" s="362"/>
      <c r="I9309" s="362"/>
      <c r="J9309" s="362"/>
    </row>
    <row r="9310" spans="1:10" x14ac:dyDescent="0.25">
      <c r="A9310" s="362"/>
      <c r="B9310" s="609">
        <v>44737</v>
      </c>
      <c r="C9310" s="362" t="s">
        <v>80</v>
      </c>
      <c r="D9310" s="560">
        <v>388663600</v>
      </c>
      <c r="E9310" s="560"/>
      <c r="F9310" s="560">
        <v>388663600</v>
      </c>
      <c r="G9310" s="560">
        <f t="shared" si="185"/>
        <v>0</v>
      </c>
      <c r="H9310" s="362"/>
      <c r="I9310" s="362"/>
      <c r="J9310" s="362"/>
    </row>
    <row r="9311" spans="1:10" x14ac:dyDescent="0.25">
      <c r="A9311" s="362"/>
      <c r="B9311" s="609">
        <v>44737</v>
      </c>
      <c r="C9311" s="362" t="s">
        <v>83</v>
      </c>
      <c r="D9311" s="560">
        <v>158132925</v>
      </c>
      <c r="E9311" s="560"/>
      <c r="F9311" s="560">
        <v>158133000</v>
      </c>
      <c r="G9311" s="560">
        <f t="shared" si="185"/>
        <v>-75</v>
      </c>
      <c r="H9311" s="362"/>
      <c r="I9311" s="362"/>
      <c r="J9311" s="362"/>
    </row>
    <row r="9312" spans="1:10" x14ac:dyDescent="0.25">
      <c r="A9312" s="362"/>
      <c r="B9312" s="609">
        <v>44737</v>
      </c>
      <c r="C9312" s="362" t="s">
        <v>78</v>
      </c>
      <c r="D9312" s="560">
        <v>210443123</v>
      </c>
      <c r="E9312" s="560"/>
      <c r="F9312" s="560">
        <v>210443200</v>
      </c>
      <c r="G9312" s="560">
        <f t="shared" si="185"/>
        <v>-77</v>
      </c>
      <c r="H9312" s="362"/>
      <c r="I9312" s="362"/>
      <c r="J9312" s="362"/>
    </row>
    <row r="9313" spans="1:10" x14ac:dyDescent="0.25">
      <c r="A9313" s="362"/>
      <c r="B9313" s="609">
        <v>44737</v>
      </c>
      <c r="C9313" s="362" t="s">
        <v>141</v>
      </c>
      <c r="D9313" s="560">
        <v>62450611</v>
      </c>
      <c r="E9313" s="560"/>
      <c r="F9313" s="560">
        <v>62450700</v>
      </c>
      <c r="G9313" s="560">
        <f t="shared" si="185"/>
        <v>-89</v>
      </c>
      <c r="H9313" s="362"/>
      <c r="I9313" s="362"/>
      <c r="J9313" s="362"/>
    </row>
    <row r="9314" spans="1:10" x14ac:dyDescent="0.25">
      <c r="A9314" s="362"/>
      <c r="B9314" s="609">
        <v>44737</v>
      </c>
      <c r="C9314" s="362" t="s">
        <v>89</v>
      </c>
      <c r="D9314" s="560">
        <v>221244100</v>
      </c>
      <c r="E9314" s="560"/>
      <c r="F9314" s="560">
        <v>221244100</v>
      </c>
      <c r="G9314" s="560">
        <f t="shared" si="185"/>
        <v>0</v>
      </c>
      <c r="H9314" s="362"/>
      <c r="I9314" s="362"/>
      <c r="J9314" s="362"/>
    </row>
    <row r="9315" spans="1:10" x14ac:dyDescent="0.25">
      <c r="A9315" s="362"/>
      <c r="B9315" s="609">
        <v>44737</v>
      </c>
      <c r="C9315" s="362" t="s">
        <v>81</v>
      </c>
      <c r="D9315" s="560">
        <v>224822475</v>
      </c>
      <c r="E9315" s="560"/>
      <c r="F9315" s="560">
        <v>224822500</v>
      </c>
      <c r="G9315" s="560">
        <f t="shared" si="185"/>
        <v>-25</v>
      </c>
      <c r="H9315" s="362"/>
      <c r="I9315" s="362"/>
      <c r="J9315" s="362"/>
    </row>
    <row r="9316" spans="1:10" x14ac:dyDescent="0.25">
      <c r="A9316" s="362"/>
      <c r="B9316" s="609">
        <v>44737</v>
      </c>
      <c r="C9316" s="362" t="s">
        <v>84</v>
      </c>
      <c r="D9316" s="560">
        <v>247874462</v>
      </c>
      <c r="E9316" s="560"/>
      <c r="F9316" s="560">
        <v>247874500</v>
      </c>
      <c r="G9316" s="560">
        <f t="shared" si="185"/>
        <v>-38</v>
      </c>
      <c r="H9316" s="362"/>
      <c r="I9316" s="362"/>
      <c r="J9316" s="362"/>
    </row>
    <row r="9317" spans="1:10" x14ac:dyDescent="0.25">
      <c r="A9317" s="362"/>
      <c r="B9317" s="609">
        <v>44737</v>
      </c>
      <c r="C9317" s="362" t="s">
        <v>4751</v>
      </c>
      <c r="D9317" s="560">
        <v>250244388</v>
      </c>
      <c r="E9317" s="560"/>
      <c r="F9317" s="560">
        <v>250244500</v>
      </c>
      <c r="G9317" s="560">
        <f t="shared" si="185"/>
        <v>-112</v>
      </c>
      <c r="H9317" s="362"/>
      <c r="I9317" s="362"/>
      <c r="J9317" s="362"/>
    </row>
    <row r="9318" spans="1:10" x14ac:dyDescent="0.25">
      <c r="A9318" s="362"/>
      <c r="B9318" s="609">
        <v>44737</v>
      </c>
      <c r="C9318" s="362" t="s">
        <v>166</v>
      </c>
      <c r="D9318" s="560"/>
      <c r="E9318" s="560"/>
      <c r="F9318" s="560"/>
      <c r="G9318" s="560">
        <f t="shared" si="185"/>
        <v>0</v>
      </c>
      <c r="H9318" s="362"/>
      <c r="I9318" s="362"/>
      <c r="J9318" s="362"/>
    </row>
    <row r="9319" spans="1:10" x14ac:dyDescent="0.25">
      <c r="A9319" s="362"/>
      <c r="B9319" s="609">
        <v>44737</v>
      </c>
      <c r="C9319" s="362" t="s">
        <v>3435</v>
      </c>
      <c r="D9319" s="560"/>
      <c r="E9319" s="560"/>
      <c r="F9319" s="560"/>
      <c r="G9319" s="560">
        <f t="shared" si="185"/>
        <v>0</v>
      </c>
      <c r="H9319" s="362"/>
      <c r="I9319" s="362"/>
      <c r="J9319" s="362"/>
    </row>
    <row r="9320" spans="1:10" x14ac:dyDescent="0.25">
      <c r="A9320" s="362"/>
      <c r="B9320" s="609">
        <v>44737</v>
      </c>
      <c r="C9320" s="370" t="s">
        <v>85</v>
      </c>
      <c r="D9320" s="560">
        <v>35483300</v>
      </c>
      <c r="E9320" s="560"/>
      <c r="F9320" s="560">
        <v>35483300</v>
      </c>
      <c r="G9320" s="560">
        <f t="shared" si="185"/>
        <v>0</v>
      </c>
      <c r="H9320" s="362"/>
      <c r="I9320" s="362"/>
      <c r="J9320" s="362"/>
    </row>
    <row r="9321" spans="1:10" x14ac:dyDescent="0.25">
      <c r="A9321" s="530"/>
      <c r="B9321" s="530"/>
      <c r="C9321" s="530"/>
      <c r="D9321" s="562">
        <f>SUM(D9306:D9320)</f>
        <v>2235277073</v>
      </c>
      <c r="E9321" s="562">
        <f>SUM(E9306:E9320)</f>
        <v>0</v>
      </c>
      <c r="F9321" s="562">
        <f>SUM(F9306:F9320)</f>
        <v>2235277600</v>
      </c>
      <c r="G9321" s="562">
        <f>SUM(G9306:G9320)</f>
        <v>-527</v>
      </c>
      <c r="H9321" s="530"/>
      <c r="I9321" s="530"/>
      <c r="J9321" s="530"/>
    </row>
    <row r="9322" spans="1:10" x14ac:dyDescent="0.25">
      <c r="A9322" s="362"/>
      <c r="B9322" s="609">
        <v>44739</v>
      </c>
      <c r="C9322" s="362" t="s">
        <v>86</v>
      </c>
      <c r="D9322" s="560">
        <v>101725248</v>
      </c>
      <c r="E9322" s="560"/>
      <c r="F9322" s="560">
        <v>101725300</v>
      </c>
      <c r="G9322" s="560">
        <f t="shared" si="185"/>
        <v>-52</v>
      </c>
      <c r="H9322" s="362"/>
      <c r="I9322" s="362"/>
      <c r="J9322" s="362"/>
    </row>
    <row r="9323" spans="1:10" x14ac:dyDescent="0.25">
      <c r="A9323" s="362"/>
      <c r="B9323" s="609">
        <v>44739</v>
      </c>
      <c r="C9323" s="362" t="s">
        <v>87</v>
      </c>
      <c r="D9323" s="560">
        <v>194491934</v>
      </c>
      <c r="E9323" s="560"/>
      <c r="F9323" s="560">
        <v>194492300</v>
      </c>
      <c r="G9323" s="560">
        <f t="shared" si="185"/>
        <v>-366</v>
      </c>
      <c r="H9323" s="362"/>
      <c r="I9323" s="362"/>
      <c r="J9323" s="362"/>
    </row>
    <row r="9324" spans="1:10" x14ac:dyDescent="0.25">
      <c r="A9324" s="362"/>
      <c r="B9324" s="609">
        <v>44739</v>
      </c>
      <c r="C9324" s="362" t="s">
        <v>88</v>
      </c>
      <c r="D9324" s="560">
        <v>271435772</v>
      </c>
      <c r="E9324" s="560"/>
      <c r="F9324" s="560">
        <v>271435800</v>
      </c>
      <c r="G9324" s="560">
        <f t="shared" si="185"/>
        <v>-28</v>
      </c>
      <c r="H9324" s="362"/>
      <c r="I9324" s="362"/>
      <c r="J9324" s="362"/>
    </row>
    <row r="9325" spans="1:10" x14ac:dyDescent="0.25">
      <c r="A9325" s="362"/>
      <c r="B9325" s="609">
        <v>44739</v>
      </c>
      <c r="C9325" s="362" t="s">
        <v>82</v>
      </c>
      <c r="D9325" s="560">
        <v>71955800</v>
      </c>
      <c r="E9325" s="560"/>
      <c r="F9325" s="560">
        <v>71955800</v>
      </c>
      <c r="G9325" s="560">
        <f t="shared" si="185"/>
        <v>0</v>
      </c>
      <c r="H9325" s="362"/>
      <c r="I9325" s="362"/>
      <c r="J9325" s="362"/>
    </row>
    <row r="9326" spans="1:10" x14ac:dyDescent="0.25">
      <c r="A9326" s="362"/>
      <c r="B9326" s="609">
        <v>44739</v>
      </c>
      <c r="C9326" s="362" t="s">
        <v>80</v>
      </c>
      <c r="D9326" s="560">
        <v>315800000</v>
      </c>
      <c r="E9326" s="560"/>
      <c r="F9326" s="560">
        <v>315800000</v>
      </c>
      <c r="G9326" s="560">
        <f t="shared" si="185"/>
        <v>0</v>
      </c>
      <c r="H9326" s="362"/>
      <c r="I9326" s="362"/>
      <c r="J9326" s="362"/>
    </row>
    <row r="9327" spans="1:10" x14ac:dyDescent="0.25">
      <c r="A9327" s="362"/>
      <c r="B9327" s="609">
        <v>44739</v>
      </c>
      <c r="C9327" s="362" t="s">
        <v>83</v>
      </c>
      <c r="D9327" s="560">
        <v>192950500</v>
      </c>
      <c r="E9327" s="560"/>
      <c r="F9327" s="560">
        <v>192950500</v>
      </c>
      <c r="G9327" s="560">
        <f t="shared" si="185"/>
        <v>0</v>
      </c>
      <c r="H9327" s="362"/>
      <c r="I9327" s="362"/>
      <c r="J9327" s="362"/>
    </row>
    <row r="9328" spans="1:10" x14ac:dyDescent="0.25">
      <c r="A9328" s="362"/>
      <c r="B9328" s="609">
        <v>44739</v>
      </c>
      <c r="C9328" s="362" t="s">
        <v>78</v>
      </c>
      <c r="D9328" s="560">
        <v>76859615</v>
      </c>
      <c r="E9328" s="560"/>
      <c r="F9328" s="560">
        <v>76759700</v>
      </c>
      <c r="G9328" s="560">
        <f t="shared" si="185"/>
        <v>99915</v>
      </c>
      <c r="H9328" s="362"/>
      <c r="I9328" s="362"/>
      <c r="J9328" s="362"/>
    </row>
    <row r="9329" spans="1:10" x14ac:dyDescent="0.25">
      <c r="A9329" s="362"/>
      <c r="B9329" s="609">
        <v>44739</v>
      </c>
      <c r="C9329" s="362" t="s">
        <v>141</v>
      </c>
      <c r="D9329" s="560">
        <v>51755750</v>
      </c>
      <c r="E9329" s="560"/>
      <c r="F9329" s="560">
        <v>51755800</v>
      </c>
      <c r="G9329" s="560">
        <f t="shared" si="185"/>
        <v>-50</v>
      </c>
      <c r="H9329" s="362"/>
      <c r="I9329" s="362"/>
      <c r="J9329" s="362"/>
    </row>
    <row r="9330" spans="1:10" x14ac:dyDescent="0.25">
      <c r="A9330" s="362"/>
      <c r="B9330" s="609">
        <v>44739</v>
      </c>
      <c r="C9330" s="362" t="s">
        <v>89</v>
      </c>
      <c r="D9330" s="560">
        <v>144567500</v>
      </c>
      <c r="E9330" s="560"/>
      <c r="F9330" s="560">
        <v>144567500</v>
      </c>
      <c r="G9330" s="560">
        <f t="shared" si="185"/>
        <v>0</v>
      </c>
      <c r="H9330" s="362"/>
      <c r="I9330" s="362"/>
      <c r="J9330" s="362"/>
    </row>
    <row r="9331" spans="1:10" x14ac:dyDescent="0.25">
      <c r="A9331" s="362"/>
      <c r="B9331" s="609">
        <v>44739</v>
      </c>
      <c r="C9331" s="362" t="s">
        <v>81</v>
      </c>
      <c r="D9331" s="560">
        <v>81967645</v>
      </c>
      <c r="E9331" s="560"/>
      <c r="F9331" s="560">
        <v>81967700</v>
      </c>
      <c r="G9331" s="560">
        <f t="shared" si="185"/>
        <v>-55</v>
      </c>
      <c r="H9331" s="362"/>
      <c r="I9331" s="362"/>
      <c r="J9331" s="362"/>
    </row>
    <row r="9332" spans="1:10" x14ac:dyDescent="0.25">
      <c r="A9332" s="362"/>
      <c r="B9332" s="609">
        <v>44739</v>
      </c>
      <c r="C9332" s="362" t="s">
        <v>84</v>
      </c>
      <c r="D9332" s="560">
        <v>326247080</v>
      </c>
      <c r="E9332" s="560"/>
      <c r="F9332" s="560">
        <v>326247600</v>
      </c>
      <c r="G9332" s="560">
        <f t="shared" si="185"/>
        <v>-520</v>
      </c>
      <c r="H9332" s="362"/>
      <c r="I9332" s="362"/>
      <c r="J9332" s="362"/>
    </row>
    <row r="9333" spans="1:10" x14ac:dyDescent="0.25">
      <c r="A9333" s="362"/>
      <c r="B9333" s="609">
        <v>44739</v>
      </c>
      <c r="C9333" s="362" t="s">
        <v>4751</v>
      </c>
      <c r="D9333" s="560">
        <v>215208400</v>
      </c>
      <c r="E9333" s="560"/>
      <c r="F9333" s="560">
        <v>215208400</v>
      </c>
      <c r="G9333" s="560">
        <f t="shared" si="185"/>
        <v>0</v>
      </c>
      <c r="H9333" s="362"/>
      <c r="I9333" s="362"/>
      <c r="J9333" s="362"/>
    </row>
    <row r="9334" spans="1:10" x14ac:dyDescent="0.25">
      <c r="A9334" s="362"/>
      <c r="B9334" s="609">
        <v>44739</v>
      </c>
      <c r="C9334" s="362" t="s">
        <v>166</v>
      </c>
      <c r="D9334" s="560">
        <v>85100825</v>
      </c>
      <c r="E9334" s="560"/>
      <c r="F9334" s="560">
        <v>85100800</v>
      </c>
      <c r="G9334" s="560">
        <f t="shared" si="185"/>
        <v>25</v>
      </c>
      <c r="H9334" s="362"/>
      <c r="I9334" s="362"/>
      <c r="J9334" s="362"/>
    </row>
    <row r="9335" spans="1:10" x14ac:dyDescent="0.25">
      <c r="A9335" s="362"/>
      <c r="B9335" s="609">
        <v>44739</v>
      </c>
      <c r="C9335" s="362" t="s">
        <v>3435</v>
      </c>
      <c r="D9335" s="560">
        <v>31730794</v>
      </c>
      <c r="E9335" s="560"/>
      <c r="F9335" s="560">
        <v>31730800</v>
      </c>
      <c r="G9335" s="560">
        <f t="shared" si="185"/>
        <v>-6</v>
      </c>
      <c r="H9335" s="362"/>
      <c r="I9335" s="362"/>
      <c r="J9335" s="362"/>
    </row>
    <row r="9336" spans="1:10" x14ac:dyDescent="0.25">
      <c r="A9336" s="362"/>
      <c r="B9336" s="609">
        <v>44739</v>
      </c>
      <c r="C9336" s="370" t="s">
        <v>85</v>
      </c>
      <c r="D9336" s="560">
        <v>68716700</v>
      </c>
      <c r="E9336" s="560"/>
      <c r="F9336" s="560">
        <v>68716700</v>
      </c>
      <c r="G9336" s="560">
        <f t="shared" si="185"/>
        <v>0</v>
      </c>
      <c r="H9336" s="362"/>
      <c r="I9336" s="362"/>
      <c r="J9336" s="362"/>
    </row>
    <row r="9337" spans="1:10" x14ac:dyDescent="0.25">
      <c r="A9337" s="530"/>
      <c r="B9337" s="530"/>
      <c r="C9337" s="530"/>
      <c r="D9337" s="562">
        <f>SUM(D9322:D9336)</f>
        <v>2230513563</v>
      </c>
      <c r="E9337" s="562">
        <f>SUM(E9322:E9336)</f>
        <v>0</v>
      </c>
      <c r="F9337" s="562">
        <f>SUM(F9322:F9336)</f>
        <v>2230414700</v>
      </c>
      <c r="G9337" s="562">
        <f>SUM(G9322:G9336)</f>
        <v>98863</v>
      </c>
      <c r="H9337" s="530"/>
      <c r="I9337" s="530"/>
      <c r="J9337" s="530"/>
    </row>
    <row r="9338" spans="1:10" x14ac:dyDescent="0.25">
      <c r="A9338" s="362"/>
      <c r="B9338" s="609">
        <v>44740</v>
      </c>
      <c r="C9338" s="362" t="s">
        <v>86</v>
      </c>
      <c r="D9338" s="560">
        <v>197913718</v>
      </c>
      <c r="E9338" s="560"/>
      <c r="F9338" s="560">
        <v>197913800</v>
      </c>
      <c r="G9338" s="560">
        <f t="shared" si="185"/>
        <v>-82</v>
      </c>
      <c r="H9338" s="362"/>
      <c r="I9338" s="362"/>
      <c r="J9338" s="362"/>
    </row>
    <row r="9339" spans="1:10" x14ac:dyDescent="0.25">
      <c r="A9339" s="362"/>
      <c r="B9339" s="609">
        <v>44740</v>
      </c>
      <c r="C9339" s="362" t="s">
        <v>87</v>
      </c>
      <c r="D9339" s="560">
        <v>144704806</v>
      </c>
      <c r="E9339" s="560"/>
      <c r="F9339" s="560">
        <v>144704900</v>
      </c>
      <c r="G9339" s="560">
        <f t="shared" si="185"/>
        <v>-94</v>
      </c>
      <c r="H9339" s="362"/>
      <c r="I9339" s="362"/>
      <c r="J9339" s="362"/>
    </row>
    <row r="9340" spans="1:10" x14ac:dyDescent="0.25">
      <c r="A9340" s="362"/>
      <c r="B9340" s="609">
        <v>44740</v>
      </c>
      <c r="C9340" s="362" t="s">
        <v>88</v>
      </c>
      <c r="D9340" s="560">
        <v>224631022</v>
      </c>
      <c r="E9340" s="560"/>
      <c r="F9340" s="560">
        <v>224631100</v>
      </c>
      <c r="G9340" s="560">
        <f t="shared" ref="G9340:G9403" si="186">D9340-F9340</f>
        <v>-78</v>
      </c>
      <c r="H9340" s="362"/>
      <c r="I9340" s="362"/>
      <c r="J9340" s="362"/>
    </row>
    <row r="9341" spans="1:10" x14ac:dyDescent="0.25">
      <c r="A9341" s="362"/>
      <c r="B9341" s="609">
        <v>44740</v>
      </c>
      <c r="C9341" s="362" t="s">
        <v>82</v>
      </c>
      <c r="D9341" s="560">
        <v>70670700</v>
      </c>
      <c r="E9341" s="560"/>
      <c r="F9341" s="560">
        <v>70670700</v>
      </c>
      <c r="G9341" s="560">
        <f t="shared" si="186"/>
        <v>0</v>
      </c>
      <c r="H9341" s="362"/>
      <c r="I9341" s="362"/>
      <c r="J9341" s="362"/>
    </row>
    <row r="9342" spans="1:10" x14ac:dyDescent="0.25">
      <c r="A9342" s="362"/>
      <c r="B9342" s="609">
        <v>44740</v>
      </c>
      <c r="C9342" s="362" t="s">
        <v>80</v>
      </c>
      <c r="D9342" s="560">
        <v>362351200</v>
      </c>
      <c r="E9342" s="560"/>
      <c r="F9342" s="560">
        <v>362351200</v>
      </c>
      <c r="G9342" s="560">
        <f t="shared" si="186"/>
        <v>0</v>
      </c>
      <c r="H9342" s="362"/>
      <c r="I9342" s="362"/>
      <c r="J9342" s="362"/>
    </row>
    <row r="9343" spans="1:10" x14ac:dyDescent="0.25">
      <c r="A9343" s="362"/>
      <c r="B9343" s="609">
        <v>44740</v>
      </c>
      <c r="C9343" s="362" t="s">
        <v>83</v>
      </c>
      <c r="D9343" s="560">
        <v>310099381</v>
      </c>
      <c r="E9343" s="560"/>
      <c r="F9343" s="560">
        <v>310099400</v>
      </c>
      <c r="G9343" s="560">
        <f t="shared" si="186"/>
        <v>-19</v>
      </c>
      <c r="H9343" s="362"/>
      <c r="I9343" s="362"/>
      <c r="J9343" s="362"/>
    </row>
    <row r="9344" spans="1:10" x14ac:dyDescent="0.25">
      <c r="A9344" s="362"/>
      <c r="B9344" s="609">
        <v>44740</v>
      </c>
      <c r="C9344" s="362" t="s">
        <v>78</v>
      </c>
      <c r="D9344" s="560">
        <v>118319539</v>
      </c>
      <c r="E9344" s="560"/>
      <c r="F9344" s="560">
        <v>118319600</v>
      </c>
      <c r="G9344" s="560">
        <f t="shared" si="186"/>
        <v>-61</v>
      </c>
      <c r="H9344" s="362"/>
      <c r="I9344" s="362"/>
      <c r="J9344" s="362"/>
    </row>
    <row r="9345" spans="1:10" x14ac:dyDescent="0.25">
      <c r="A9345" s="362"/>
      <c r="B9345" s="609">
        <v>44740</v>
      </c>
      <c r="C9345" s="362" t="s">
        <v>141</v>
      </c>
      <c r="D9345" s="560">
        <v>91216507</v>
      </c>
      <c r="E9345" s="560"/>
      <c r="F9345" s="560">
        <v>91216600</v>
      </c>
      <c r="G9345" s="560">
        <f t="shared" si="186"/>
        <v>-93</v>
      </c>
      <c r="H9345" s="362"/>
      <c r="I9345" s="362"/>
      <c r="J9345" s="362"/>
    </row>
    <row r="9346" spans="1:10" x14ac:dyDescent="0.25">
      <c r="A9346" s="362"/>
      <c r="B9346" s="609">
        <v>44740</v>
      </c>
      <c r="C9346" s="362" t="s">
        <v>89</v>
      </c>
      <c r="D9346" s="560">
        <v>178237400</v>
      </c>
      <c r="E9346" s="560"/>
      <c r="F9346" s="560">
        <v>178237400</v>
      </c>
      <c r="G9346" s="560">
        <f t="shared" si="186"/>
        <v>0</v>
      </c>
      <c r="H9346" s="362"/>
      <c r="I9346" s="362"/>
      <c r="J9346" s="362"/>
    </row>
    <row r="9347" spans="1:10" x14ac:dyDescent="0.25">
      <c r="A9347" s="362"/>
      <c r="B9347" s="609">
        <v>44740</v>
      </c>
      <c r="C9347" s="362" t="s">
        <v>81</v>
      </c>
      <c r="D9347" s="560">
        <v>134709606</v>
      </c>
      <c r="E9347" s="560"/>
      <c r="F9347" s="560">
        <v>134709600</v>
      </c>
      <c r="G9347" s="560">
        <f t="shared" si="186"/>
        <v>6</v>
      </c>
      <c r="H9347" s="362"/>
      <c r="I9347" s="362"/>
      <c r="J9347" s="362"/>
    </row>
    <row r="9348" spans="1:10" x14ac:dyDescent="0.25">
      <c r="A9348" s="362"/>
      <c r="B9348" s="609">
        <v>44740</v>
      </c>
      <c r="C9348" s="362" t="s">
        <v>84</v>
      </c>
      <c r="D9348" s="560">
        <v>414849722</v>
      </c>
      <c r="E9348" s="560"/>
      <c r="F9348" s="560">
        <v>414849700</v>
      </c>
      <c r="G9348" s="560">
        <f t="shared" si="186"/>
        <v>22</v>
      </c>
      <c r="H9348" s="362"/>
      <c r="I9348" s="362"/>
      <c r="J9348" s="362"/>
    </row>
    <row r="9349" spans="1:10" x14ac:dyDescent="0.25">
      <c r="A9349" s="362"/>
      <c r="B9349" s="609">
        <v>44740</v>
      </c>
      <c r="C9349" s="362" t="s">
        <v>4751</v>
      </c>
      <c r="D9349" s="560">
        <v>266258200</v>
      </c>
      <c r="E9349" s="560"/>
      <c r="F9349" s="560">
        <v>266258200</v>
      </c>
      <c r="G9349" s="560">
        <f t="shared" si="186"/>
        <v>0</v>
      </c>
      <c r="H9349" s="362"/>
      <c r="I9349" s="362"/>
      <c r="J9349" s="362"/>
    </row>
    <row r="9350" spans="1:10" x14ac:dyDescent="0.25">
      <c r="A9350" s="362"/>
      <c r="B9350" s="609">
        <v>44740</v>
      </c>
      <c r="C9350" s="362" t="s">
        <v>166</v>
      </c>
      <c r="D9350" s="560">
        <v>93173327</v>
      </c>
      <c r="E9350" s="560"/>
      <c r="F9350" s="560">
        <v>93173500</v>
      </c>
      <c r="G9350" s="560">
        <f t="shared" si="186"/>
        <v>-173</v>
      </c>
      <c r="H9350" s="362"/>
      <c r="I9350" s="362"/>
      <c r="J9350" s="362"/>
    </row>
    <row r="9351" spans="1:10" x14ac:dyDescent="0.25">
      <c r="A9351" s="362"/>
      <c r="B9351" s="609">
        <v>44740</v>
      </c>
      <c r="C9351" s="362" t="s">
        <v>3435</v>
      </c>
      <c r="D9351" s="560">
        <v>75418794</v>
      </c>
      <c r="E9351" s="560"/>
      <c r="F9351" s="560">
        <v>75418800</v>
      </c>
      <c r="G9351" s="560">
        <f t="shared" si="186"/>
        <v>-6</v>
      </c>
      <c r="H9351" s="362"/>
      <c r="I9351" s="362"/>
      <c r="J9351" s="362"/>
    </row>
    <row r="9352" spans="1:10" x14ac:dyDescent="0.25">
      <c r="A9352" s="362"/>
      <c r="B9352" s="609">
        <v>44740</v>
      </c>
      <c r="C9352" s="370" t="s">
        <v>85</v>
      </c>
      <c r="D9352" s="560">
        <v>46433900</v>
      </c>
      <c r="E9352" s="560"/>
      <c r="F9352" s="560">
        <v>46433900</v>
      </c>
      <c r="G9352" s="560">
        <f t="shared" si="186"/>
        <v>0</v>
      </c>
      <c r="H9352" s="362"/>
      <c r="I9352" s="362"/>
      <c r="J9352" s="362"/>
    </row>
    <row r="9353" spans="1:10" x14ac:dyDescent="0.25">
      <c r="A9353" s="530"/>
      <c r="B9353" s="530"/>
      <c r="C9353" s="530"/>
      <c r="D9353" s="562">
        <f>SUM(D9338:D9352)</f>
        <v>2728987822</v>
      </c>
      <c r="E9353" s="562">
        <f>SUM(E9338:E9352)</f>
        <v>0</v>
      </c>
      <c r="F9353" s="562">
        <f>SUM(F9338:F9352)</f>
        <v>2728988400</v>
      </c>
      <c r="G9353" s="562">
        <f>SUM(G9338:G9352)</f>
        <v>-578</v>
      </c>
      <c r="H9353" s="530"/>
      <c r="I9353" s="530"/>
      <c r="J9353" s="530"/>
    </row>
    <row r="9354" spans="1:10" x14ac:dyDescent="0.25">
      <c r="A9354" s="362"/>
      <c r="B9354" s="609">
        <v>44741</v>
      </c>
      <c r="C9354" s="362" t="s">
        <v>86</v>
      </c>
      <c r="D9354" s="560">
        <v>78625793</v>
      </c>
      <c r="E9354" s="560"/>
      <c r="F9354" s="560">
        <v>78625800</v>
      </c>
      <c r="G9354" s="560">
        <f t="shared" si="186"/>
        <v>-7</v>
      </c>
      <c r="H9354" s="362"/>
      <c r="I9354" s="362"/>
      <c r="J9354" s="362"/>
    </row>
    <row r="9355" spans="1:10" x14ac:dyDescent="0.25">
      <c r="A9355" s="362"/>
      <c r="B9355" s="609">
        <v>44741</v>
      </c>
      <c r="C9355" s="362" t="s">
        <v>87</v>
      </c>
      <c r="D9355" s="560">
        <v>232350927</v>
      </c>
      <c r="E9355" s="560"/>
      <c r="F9355" s="560">
        <v>232351000</v>
      </c>
      <c r="G9355" s="560">
        <f t="shared" si="186"/>
        <v>-73</v>
      </c>
      <c r="H9355" s="362"/>
      <c r="I9355" s="362"/>
      <c r="J9355" s="362"/>
    </row>
    <row r="9356" spans="1:10" x14ac:dyDescent="0.25">
      <c r="A9356" s="362"/>
      <c r="B9356" s="609">
        <v>44741</v>
      </c>
      <c r="C9356" s="362" t="s">
        <v>88</v>
      </c>
      <c r="D9356" s="560">
        <v>125699581</v>
      </c>
      <c r="E9356" s="560"/>
      <c r="F9356" s="560">
        <v>125699600</v>
      </c>
      <c r="G9356" s="560">
        <f t="shared" si="186"/>
        <v>-19</v>
      </c>
      <c r="H9356" s="362"/>
      <c r="I9356" s="362"/>
      <c r="J9356" s="362"/>
    </row>
    <row r="9357" spans="1:10" x14ac:dyDescent="0.25">
      <c r="A9357" s="362"/>
      <c r="B9357" s="609">
        <v>44741</v>
      </c>
      <c r="C9357" s="362" t="s">
        <v>82</v>
      </c>
      <c r="D9357" s="560">
        <v>80362800</v>
      </c>
      <c r="E9357" s="560"/>
      <c r="F9357" s="560">
        <v>80362800</v>
      </c>
      <c r="G9357" s="560">
        <f t="shared" si="186"/>
        <v>0</v>
      </c>
      <c r="H9357" s="362"/>
      <c r="I9357" s="362"/>
      <c r="J9357" s="362"/>
    </row>
    <row r="9358" spans="1:10" x14ac:dyDescent="0.25">
      <c r="A9358" s="362"/>
      <c r="B9358" s="609">
        <v>44741</v>
      </c>
      <c r="C9358" s="362" t="s">
        <v>80</v>
      </c>
      <c r="D9358" s="560">
        <v>235736420</v>
      </c>
      <c r="E9358" s="560"/>
      <c r="F9358" s="560">
        <v>235736500</v>
      </c>
      <c r="G9358" s="560">
        <f t="shared" si="186"/>
        <v>-80</v>
      </c>
      <c r="H9358" s="362"/>
      <c r="I9358" s="362"/>
      <c r="J9358" s="362"/>
    </row>
    <row r="9359" spans="1:10" x14ac:dyDescent="0.25">
      <c r="A9359" s="362"/>
      <c r="B9359" s="609">
        <v>44741</v>
      </c>
      <c r="C9359" s="362" t="s">
        <v>83</v>
      </c>
      <c r="D9359" s="560">
        <v>399868000</v>
      </c>
      <c r="E9359" s="560"/>
      <c r="F9359" s="560">
        <v>399868000</v>
      </c>
      <c r="G9359" s="560">
        <f t="shared" si="186"/>
        <v>0</v>
      </c>
      <c r="H9359" s="362"/>
      <c r="I9359" s="362"/>
      <c r="J9359" s="362"/>
    </row>
    <row r="9360" spans="1:10" x14ac:dyDescent="0.25">
      <c r="A9360" s="362"/>
      <c r="B9360" s="609">
        <v>44741</v>
      </c>
      <c r="C9360" s="362" t="s">
        <v>78</v>
      </c>
      <c r="D9360" s="560">
        <v>103212949</v>
      </c>
      <c r="E9360" s="560"/>
      <c r="F9360" s="560">
        <v>103213000</v>
      </c>
      <c r="G9360" s="560">
        <f t="shared" si="186"/>
        <v>-51</v>
      </c>
      <c r="H9360" s="362"/>
      <c r="I9360" s="362"/>
      <c r="J9360" s="362"/>
    </row>
    <row r="9361" spans="1:10" x14ac:dyDescent="0.25">
      <c r="A9361" s="362"/>
      <c r="B9361" s="609">
        <v>44741</v>
      </c>
      <c r="C9361" s="362" t="s">
        <v>141</v>
      </c>
      <c r="D9361" s="560">
        <v>167735676</v>
      </c>
      <c r="E9361" s="560"/>
      <c r="F9361" s="560">
        <v>167735700</v>
      </c>
      <c r="G9361" s="560">
        <f t="shared" si="186"/>
        <v>-24</v>
      </c>
      <c r="H9361" s="362"/>
      <c r="I9361" s="362"/>
      <c r="J9361" s="362"/>
    </row>
    <row r="9362" spans="1:10" x14ac:dyDescent="0.25">
      <c r="A9362" s="362"/>
      <c r="B9362" s="609">
        <v>44741</v>
      </c>
      <c r="C9362" s="362" t="s">
        <v>89</v>
      </c>
      <c r="D9362" s="560">
        <v>151938900</v>
      </c>
      <c r="E9362" s="560"/>
      <c r="F9362" s="560">
        <v>151938900</v>
      </c>
      <c r="G9362" s="560">
        <f t="shared" si="186"/>
        <v>0</v>
      </c>
      <c r="H9362" s="362"/>
      <c r="I9362" s="362"/>
      <c r="J9362" s="362"/>
    </row>
    <row r="9363" spans="1:10" x14ac:dyDescent="0.25">
      <c r="A9363" s="362"/>
      <c r="B9363" s="609">
        <v>44741</v>
      </c>
      <c r="C9363" s="362" t="s">
        <v>81</v>
      </c>
      <c r="D9363" s="560">
        <v>90313591</v>
      </c>
      <c r="E9363" s="560"/>
      <c r="F9363" s="560">
        <v>90313600</v>
      </c>
      <c r="G9363" s="560">
        <f t="shared" si="186"/>
        <v>-9</v>
      </c>
      <c r="H9363" s="362"/>
      <c r="I9363" s="362"/>
      <c r="J9363" s="362"/>
    </row>
    <row r="9364" spans="1:10" x14ac:dyDescent="0.25">
      <c r="A9364" s="362"/>
      <c r="B9364" s="609">
        <v>44741</v>
      </c>
      <c r="C9364" s="362" t="s">
        <v>84</v>
      </c>
      <c r="D9364" s="560">
        <v>394895877</v>
      </c>
      <c r="E9364" s="560"/>
      <c r="F9364" s="560">
        <v>394895900</v>
      </c>
      <c r="G9364" s="560">
        <f t="shared" si="186"/>
        <v>-23</v>
      </c>
      <c r="H9364" s="362"/>
      <c r="I9364" s="362"/>
      <c r="J9364" s="362"/>
    </row>
    <row r="9365" spans="1:10" x14ac:dyDescent="0.25">
      <c r="A9365" s="362"/>
      <c r="B9365" s="609">
        <v>44741</v>
      </c>
      <c r="C9365" s="362" t="s">
        <v>4751</v>
      </c>
      <c r="D9365" s="560">
        <v>169619300</v>
      </c>
      <c r="E9365" s="560"/>
      <c r="F9365" s="560">
        <v>169619300</v>
      </c>
      <c r="G9365" s="560">
        <f t="shared" si="186"/>
        <v>0</v>
      </c>
      <c r="H9365" s="362"/>
      <c r="I9365" s="362"/>
      <c r="J9365" s="362"/>
    </row>
    <row r="9366" spans="1:10" x14ac:dyDescent="0.25">
      <c r="A9366" s="362"/>
      <c r="B9366" s="609">
        <v>44741</v>
      </c>
      <c r="C9366" s="362" t="s">
        <v>166</v>
      </c>
      <c r="D9366" s="560">
        <v>72792099</v>
      </c>
      <c r="E9366" s="560"/>
      <c r="F9366" s="560">
        <v>72792200</v>
      </c>
      <c r="G9366" s="560">
        <f t="shared" si="186"/>
        <v>-101</v>
      </c>
      <c r="H9366" s="362"/>
      <c r="I9366" s="362"/>
      <c r="J9366" s="362"/>
    </row>
    <row r="9367" spans="1:10" x14ac:dyDescent="0.25">
      <c r="A9367" s="362"/>
      <c r="B9367" s="609">
        <v>44741</v>
      </c>
      <c r="C9367" s="362" t="s">
        <v>3435</v>
      </c>
      <c r="D9367" s="560">
        <v>38021810</v>
      </c>
      <c r="E9367" s="560"/>
      <c r="F9367" s="560">
        <v>38021900</v>
      </c>
      <c r="G9367" s="560">
        <f t="shared" si="186"/>
        <v>-90</v>
      </c>
      <c r="H9367" s="362"/>
      <c r="I9367" s="362"/>
      <c r="J9367" s="362"/>
    </row>
    <row r="9368" spans="1:10" x14ac:dyDescent="0.25">
      <c r="A9368" s="362"/>
      <c r="B9368" s="609">
        <v>44741</v>
      </c>
      <c r="C9368" s="370" t="s">
        <v>85</v>
      </c>
      <c r="D9368" s="560">
        <v>61537200</v>
      </c>
      <c r="E9368" s="560"/>
      <c r="F9368" s="560">
        <v>61537200</v>
      </c>
      <c r="G9368" s="560">
        <f t="shared" si="186"/>
        <v>0</v>
      </c>
      <c r="H9368" s="362"/>
      <c r="I9368" s="362"/>
      <c r="J9368" s="362"/>
    </row>
    <row r="9369" spans="1:10" x14ac:dyDescent="0.25">
      <c r="A9369" s="530"/>
      <c r="B9369" s="530"/>
      <c r="C9369" s="530"/>
      <c r="D9369" s="562">
        <f>SUM(D9354:D9368)</f>
        <v>2402710923</v>
      </c>
      <c r="E9369" s="562">
        <f>SUM(E9354:E9368)</f>
        <v>0</v>
      </c>
      <c r="F9369" s="562">
        <f>SUM(F9354:F9368)</f>
        <v>2402711400</v>
      </c>
      <c r="G9369" s="562">
        <f>SUM(G9354:G9368)</f>
        <v>-477</v>
      </c>
      <c r="H9369" s="530"/>
      <c r="I9369" s="530"/>
      <c r="J9369" s="530"/>
    </row>
    <row r="9370" spans="1:10" x14ac:dyDescent="0.25">
      <c r="A9370" s="362"/>
      <c r="B9370" s="609">
        <v>44742</v>
      </c>
      <c r="C9370" s="362" t="s">
        <v>86</v>
      </c>
      <c r="D9370" s="560">
        <v>283734217</v>
      </c>
      <c r="E9370" s="560"/>
      <c r="F9370" s="560">
        <v>283734300</v>
      </c>
      <c r="G9370" s="560">
        <f t="shared" si="186"/>
        <v>-83</v>
      </c>
      <c r="H9370" s="362"/>
      <c r="I9370" s="362"/>
      <c r="J9370" s="362"/>
    </row>
    <row r="9371" spans="1:10" x14ac:dyDescent="0.25">
      <c r="A9371" s="362"/>
      <c r="B9371" s="609">
        <v>44742</v>
      </c>
      <c r="C9371" s="362" t="s">
        <v>87</v>
      </c>
      <c r="D9371" s="560">
        <v>162180324</v>
      </c>
      <c r="E9371" s="560"/>
      <c r="F9371" s="560">
        <v>162180400</v>
      </c>
      <c r="G9371" s="560">
        <f t="shared" si="186"/>
        <v>-76</v>
      </c>
      <c r="H9371" s="362"/>
      <c r="I9371" s="362"/>
      <c r="J9371" s="362"/>
    </row>
    <row r="9372" spans="1:10" x14ac:dyDescent="0.25">
      <c r="A9372" s="362"/>
      <c r="B9372" s="609">
        <v>44742</v>
      </c>
      <c r="C9372" s="362" t="s">
        <v>88</v>
      </c>
      <c r="D9372" s="560">
        <v>130665211</v>
      </c>
      <c r="E9372" s="560"/>
      <c r="F9372" s="560">
        <v>130665300</v>
      </c>
      <c r="G9372" s="560">
        <f t="shared" si="186"/>
        <v>-89</v>
      </c>
      <c r="H9372" s="362"/>
      <c r="I9372" s="362"/>
      <c r="J9372" s="362"/>
    </row>
    <row r="9373" spans="1:10" x14ac:dyDescent="0.25">
      <c r="A9373" s="362"/>
      <c r="B9373" s="609">
        <v>44742</v>
      </c>
      <c r="C9373" s="362" t="s">
        <v>82</v>
      </c>
      <c r="D9373" s="560"/>
      <c r="E9373" s="560"/>
      <c r="F9373" s="560">
        <v>180976400</v>
      </c>
      <c r="G9373" s="560">
        <f t="shared" si="186"/>
        <v>-180976400</v>
      </c>
      <c r="H9373" s="362"/>
      <c r="I9373" s="362"/>
      <c r="J9373" s="362"/>
    </row>
    <row r="9374" spans="1:10" x14ac:dyDescent="0.25">
      <c r="A9374" s="362"/>
      <c r="B9374" s="609">
        <v>44742</v>
      </c>
      <c r="C9374" s="362" t="s">
        <v>80</v>
      </c>
      <c r="D9374" s="560">
        <v>370362335</v>
      </c>
      <c r="E9374" s="560"/>
      <c r="F9374" s="560">
        <v>370362900</v>
      </c>
      <c r="G9374" s="560">
        <f t="shared" si="186"/>
        <v>-565</v>
      </c>
      <c r="H9374" s="362"/>
      <c r="I9374" s="362"/>
      <c r="J9374" s="362"/>
    </row>
    <row r="9375" spans="1:10" x14ac:dyDescent="0.25">
      <c r="A9375" s="362"/>
      <c r="B9375" s="609">
        <v>44742</v>
      </c>
      <c r="C9375" s="362" t="s">
        <v>83</v>
      </c>
      <c r="D9375" s="560">
        <v>225658434</v>
      </c>
      <c r="E9375" s="560"/>
      <c r="F9375" s="560">
        <v>225658400</v>
      </c>
      <c r="G9375" s="560">
        <f t="shared" si="186"/>
        <v>34</v>
      </c>
      <c r="H9375" s="362"/>
      <c r="I9375" s="362"/>
      <c r="J9375" s="362"/>
    </row>
    <row r="9376" spans="1:10" x14ac:dyDescent="0.25">
      <c r="A9376" s="362"/>
      <c r="B9376" s="609">
        <v>44742</v>
      </c>
      <c r="C9376" s="362" t="s">
        <v>78</v>
      </c>
      <c r="D9376" s="560">
        <v>139387107</v>
      </c>
      <c r="E9376" s="560"/>
      <c r="F9376" s="560">
        <v>139387200</v>
      </c>
      <c r="G9376" s="560">
        <f t="shared" si="186"/>
        <v>-93</v>
      </c>
      <c r="H9376" s="362"/>
      <c r="I9376" s="362"/>
      <c r="J9376" s="362"/>
    </row>
    <row r="9377" spans="1:10" x14ac:dyDescent="0.25">
      <c r="A9377" s="362"/>
      <c r="B9377" s="609">
        <v>44742</v>
      </c>
      <c r="C9377" s="362" t="s">
        <v>141</v>
      </c>
      <c r="D9377" s="560">
        <v>97904588</v>
      </c>
      <c r="E9377" s="560"/>
      <c r="F9377" s="560">
        <v>97904600</v>
      </c>
      <c r="G9377" s="560">
        <f t="shared" si="186"/>
        <v>-12</v>
      </c>
      <c r="H9377" s="362"/>
      <c r="I9377" s="362"/>
      <c r="J9377" s="362"/>
    </row>
    <row r="9378" spans="1:10" x14ac:dyDescent="0.25">
      <c r="A9378" s="362"/>
      <c r="B9378" s="609">
        <v>44742</v>
      </c>
      <c r="C9378" s="362" t="s">
        <v>89</v>
      </c>
      <c r="D9378" s="560">
        <v>189609000</v>
      </c>
      <c r="E9378" s="560"/>
      <c r="F9378" s="560">
        <v>189609000</v>
      </c>
      <c r="G9378" s="560">
        <f t="shared" si="186"/>
        <v>0</v>
      </c>
      <c r="H9378" s="362"/>
      <c r="I9378" s="362"/>
      <c r="J9378" s="362"/>
    </row>
    <row r="9379" spans="1:10" x14ac:dyDescent="0.25">
      <c r="A9379" s="362"/>
      <c r="B9379" s="609">
        <v>44742</v>
      </c>
      <c r="C9379" s="362" t="s">
        <v>81</v>
      </c>
      <c r="D9379" s="560">
        <v>280737361</v>
      </c>
      <c r="E9379" s="560"/>
      <c r="F9379" s="560">
        <v>280737400</v>
      </c>
      <c r="G9379" s="560">
        <f t="shared" si="186"/>
        <v>-39</v>
      </c>
      <c r="H9379" s="362"/>
      <c r="I9379" s="362"/>
      <c r="J9379" s="362"/>
    </row>
    <row r="9380" spans="1:10" x14ac:dyDescent="0.25">
      <c r="A9380" s="362"/>
      <c r="B9380" s="609">
        <v>44742</v>
      </c>
      <c r="C9380" s="362" t="s">
        <v>84</v>
      </c>
      <c r="D9380" s="560">
        <v>436236762</v>
      </c>
      <c r="E9380" s="560"/>
      <c r="F9380" s="560">
        <v>436236900</v>
      </c>
      <c r="G9380" s="560">
        <f t="shared" si="186"/>
        <v>-138</v>
      </c>
      <c r="H9380" s="362"/>
      <c r="I9380" s="362"/>
      <c r="J9380" s="362"/>
    </row>
    <row r="9381" spans="1:10" x14ac:dyDescent="0.25">
      <c r="A9381" s="362"/>
      <c r="B9381" s="609">
        <v>44742</v>
      </c>
      <c r="C9381" s="362" t="s">
        <v>4751</v>
      </c>
      <c r="D9381" s="560">
        <v>283602600</v>
      </c>
      <c r="E9381" s="560"/>
      <c r="F9381" s="560">
        <v>283602600</v>
      </c>
      <c r="G9381" s="560">
        <f t="shared" si="186"/>
        <v>0</v>
      </c>
      <c r="H9381" s="362"/>
      <c r="I9381" s="362"/>
      <c r="J9381" s="362"/>
    </row>
    <row r="9382" spans="1:10" x14ac:dyDescent="0.25">
      <c r="A9382" s="362"/>
      <c r="B9382" s="609">
        <v>44742</v>
      </c>
      <c r="C9382" s="362" t="s">
        <v>166</v>
      </c>
      <c r="D9382" s="560">
        <v>98471444</v>
      </c>
      <c r="E9382" s="560"/>
      <c r="F9382" s="560">
        <v>98471500</v>
      </c>
      <c r="G9382" s="560">
        <f t="shared" si="186"/>
        <v>-56</v>
      </c>
      <c r="H9382" s="362"/>
      <c r="I9382" s="362"/>
      <c r="J9382" s="362"/>
    </row>
    <row r="9383" spans="1:10" x14ac:dyDescent="0.25">
      <c r="A9383" s="362"/>
      <c r="B9383" s="609">
        <v>44742</v>
      </c>
      <c r="C9383" s="362" t="s">
        <v>3435</v>
      </c>
      <c r="D9383" s="560">
        <v>69834644</v>
      </c>
      <c r="E9383" s="560"/>
      <c r="F9383" s="560">
        <v>69834700</v>
      </c>
      <c r="G9383" s="560">
        <f t="shared" si="186"/>
        <v>-56</v>
      </c>
      <c r="H9383" s="362"/>
      <c r="I9383" s="362"/>
      <c r="J9383" s="362"/>
    </row>
    <row r="9384" spans="1:10" x14ac:dyDescent="0.25">
      <c r="A9384" s="362"/>
      <c r="B9384" s="609">
        <v>44742</v>
      </c>
      <c r="C9384" s="370" t="s">
        <v>85</v>
      </c>
      <c r="D9384" s="560">
        <v>36645800</v>
      </c>
      <c r="E9384" s="560"/>
      <c r="F9384" s="560">
        <v>36645800</v>
      </c>
      <c r="G9384" s="560">
        <f t="shared" si="186"/>
        <v>0</v>
      </c>
      <c r="H9384" s="362"/>
      <c r="I9384" s="362"/>
      <c r="J9384" s="362"/>
    </row>
    <row r="9385" spans="1:10" x14ac:dyDescent="0.25">
      <c r="A9385" s="530"/>
      <c r="B9385" s="530"/>
      <c r="C9385" s="530"/>
      <c r="D9385" s="562">
        <f>SUM(D9370:D9384)</f>
        <v>2805029827</v>
      </c>
      <c r="E9385" s="562">
        <f>SUM(E9370:E9384)</f>
        <v>0</v>
      </c>
      <c r="F9385" s="562">
        <f>SUM(F9370:F9384)</f>
        <v>2986007400</v>
      </c>
      <c r="G9385" s="562">
        <f>SUM(G9370:G9384)</f>
        <v>-180977573</v>
      </c>
      <c r="H9385" s="530"/>
      <c r="I9385" s="530"/>
      <c r="J9385" s="530"/>
    </row>
    <row r="9386" spans="1:10" x14ac:dyDescent="0.25">
      <c r="A9386" s="362"/>
      <c r="B9386" s="609">
        <v>44743</v>
      </c>
      <c r="C9386" s="362" t="s">
        <v>86</v>
      </c>
      <c r="D9386" s="560">
        <v>77903238</v>
      </c>
      <c r="E9386" s="560"/>
      <c r="F9386" s="560">
        <v>77903300</v>
      </c>
      <c r="G9386" s="560">
        <f t="shared" si="186"/>
        <v>-62</v>
      </c>
      <c r="H9386" s="362"/>
      <c r="I9386" s="362"/>
      <c r="J9386" s="362"/>
    </row>
    <row r="9387" spans="1:10" x14ac:dyDescent="0.25">
      <c r="A9387" s="362"/>
      <c r="B9387" s="609">
        <v>44743</v>
      </c>
      <c r="C9387" s="362" t="s">
        <v>87</v>
      </c>
      <c r="D9387" s="560">
        <v>145487108</v>
      </c>
      <c r="E9387" s="560"/>
      <c r="F9387" s="560">
        <v>145487500</v>
      </c>
      <c r="G9387" s="560">
        <f t="shared" si="186"/>
        <v>-392</v>
      </c>
      <c r="H9387" s="362"/>
      <c r="I9387" s="362"/>
      <c r="J9387" s="362"/>
    </row>
    <row r="9388" spans="1:10" x14ac:dyDescent="0.25">
      <c r="A9388" s="362"/>
      <c r="B9388" s="609">
        <v>44743</v>
      </c>
      <c r="C9388" s="362" t="s">
        <v>88</v>
      </c>
      <c r="D9388" s="560">
        <v>138329534</v>
      </c>
      <c r="E9388" s="560"/>
      <c r="F9388" s="560">
        <v>138329600</v>
      </c>
      <c r="G9388" s="560">
        <f t="shared" si="186"/>
        <v>-66</v>
      </c>
      <c r="H9388" s="362"/>
      <c r="I9388" s="362"/>
      <c r="J9388" s="362"/>
    </row>
    <row r="9389" spans="1:10" x14ac:dyDescent="0.25">
      <c r="A9389" s="362"/>
      <c r="B9389" s="609">
        <v>44743</v>
      </c>
      <c r="C9389" s="362" t="s">
        <v>82</v>
      </c>
      <c r="D9389" s="560">
        <v>106406200</v>
      </c>
      <c r="E9389" s="560"/>
      <c r="F9389" s="560">
        <v>106406200</v>
      </c>
      <c r="G9389" s="560">
        <f t="shared" si="186"/>
        <v>0</v>
      </c>
      <c r="H9389" s="362"/>
      <c r="I9389" s="362"/>
      <c r="J9389" s="362"/>
    </row>
    <row r="9390" spans="1:10" x14ac:dyDescent="0.25">
      <c r="A9390" s="362"/>
      <c r="B9390" s="609">
        <v>44743</v>
      </c>
      <c r="C9390" s="362" t="s">
        <v>80</v>
      </c>
      <c r="D9390" s="560">
        <v>214247600</v>
      </c>
      <c r="E9390" s="560"/>
      <c r="F9390" s="560">
        <v>214247600</v>
      </c>
      <c r="G9390" s="560">
        <f t="shared" si="186"/>
        <v>0</v>
      </c>
      <c r="H9390" s="362"/>
      <c r="I9390" s="362"/>
      <c r="J9390" s="362"/>
    </row>
    <row r="9391" spans="1:10" x14ac:dyDescent="0.25">
      <c r="A9391" s="362"/>
      <c r="B9391" s="609">
        <v>44743</v>
      </c>
      <c r="C9391" s="362" t="s">
        <v>83</v>
      </c>
      <c r="D9391" s="560">
        <v>330436400</v>
      </c>
      <c r="E9391" s="560"/>
      <c r="F9391" s="560">
        <v>330436400</v>
      </c>
      <c r="G9391" s="560">
        <f t="shared" si="186"/>
        <v>0</v>
      </c>
      <c r="H9391" s="362"/>
      <c r="I9391" s="362"/>
      <c r="J9391" s="362"/>
    </row>
    <row r="9392" spans="1:10" x14ac:dyDescent="0.25">
      <c r="A9392" s="362"/>
      <c r="B9392" s="609">
        <v>44743</v>
      </c>
      <c r="C9392" s="362" t="s">
        <v>78</v>
      </c>
      <c r="D9392" s="560">
        <v>100921831</v>
      </c>
      <c r="E9392" s="560"/>
      <c r="F9392" s="560">
        <v>100921900</v>
      </c>
      <c r="G9392" s="560">
        <f t="shared" si="186"/>
        <v>-69</v>
      </c>
      <c r="H9392" s="362"/>
      <c r="I9392" s="362"/>
      <c r="J9392" s="362"/>
    </row>
    <row r="9393" spans="1:10" x14ac:dyDescent="0.25">
      <c r="A9393" s="362"/>
      <c r="B9393" s="609">
        <v>44743</v>
      </c>
      <c r="C9393" s="362" t="s">
        <v>141</v>
      </c>
      <c r="D9393" s="560">
        <v>76181658</v>
      </c>
      <c r="E9393" s="560"/>
      <c r="F9393" s="560">
        <v>76181700</v>
      </c>
      <c r="G9393" s="560">
        <f t="shared" si="186"/>
        <v>-42</v>
      </c>
      <c r="H9393" s="362"/>
      <c r="I9393" s="362"/>
      <c r="J9393" s="362"/>
    </row>
    <row r="9394" spans="1:10" x14ac:dyDescent="0.25">
      <c r="A9394" s="362"/>
      <c r="B9394" s="609">
        <v>44743</v>
      </c>
      <c r="C9394" s="362" t="s">
        <v>89</v>
      </c>
      <c r="D9394" s="560">
        <v>147147500</v>
      </c>
      <c r="E9394" s="560"/>
      <c r="F9394" s="560">
        <v>147147500</v>
      </c>
      <c r="G9394" s="560">
        <f t="shared" si="186"/>
        <v>0</v>
      </c>
      <c r="H9394" s="362"/>
      <c r="I9394" s="362"/>
      <c r="J9394" s="362"/>
    </row>
    <row r="9395" spans="1:10" x14ac:dyDescent="0.25">
      <c r="A9395" s="362"/>
      <c r="B9395" s="609">
        <v>44743</v>
      </c>
      <c r="C9395" s="362" t="s">
        <v>81</v>
      </c>
      <c r="D9395" s="560">
        <v>113462823</v>
      </c>
      <c r="E9395" s="560"/>
      <c r="F9395" s="560">
        <v>113462900</v>
      </c>
      <c r="G9395" s="560">
        <f t="shared" si="186"/>
        <v>-77</v>
      </c>
      <c r="H9395" s="362"/>
      <c r="I9395" s="362"/>
      <c r="J9395" s="362"/>
    </row>
    <row r="9396" spans="1:10" x14ac:dyDescent="0.25">
      <c r="A9396" s="362"/>
      <c r="B9396" s="609">
        <v>44743</v>
      </c>
      <c r="C9396" s="362" t="s">
        <v>84</v>
      </c>
      <c r="D9396" s="560">
        <v>278738031</v>
      </c>
      <c r="E9396" s="560"/>
      <c r="F9396" s="560">
        <v>278738000</v>
      </c>
      <c r="G9396" s="560">
        <f t="shared" si="186"/>
        <v>31</v>
      </c>
      <c r="H9396" s="362"/>
      <c r="I9396" s="362"/>
      <c r="J9396" s="362"/>
    </row>
    <row r="9397" spans="1:10" x14ac:dyDescent="0.25">
      <c r="A9397" s="362"/>
      <c r="B9397" s="609">
        <v>44743</v>
      </c>
      <c r="C9397" s="362" t="s">
        <v>4751</v>
      </c>
      <c r="D9397" s="560"/>
      <c r="E9397" s="560"/>
      <c r="F9397" s="560">
        <v>192201300</v>
      </c>
      <c r="G9397" s="560">
        <f t="shared" si="186"/>
        <v>-192201300</v>
      </c>
      <c r="H9397" s="362"/>
      <c r="I9397" s="362"/>
      <c r="J9397" s="362"/>
    </row>
    <row r="9398" spans="1:10" x14ac:dyDescent="0.25">
      <c r="A9398" s="362"/>
      <c r="B9398" s="609">
        <v>44743</v>
      </c>
      <c r="C9398" s="362" t="s">
        <v>166</v>
      </c>
      <c r="D9398" s="560">
        <v>53224303</v>
      </c>
      <c r="E9398" s="560"/>
      <c r="F9398" s="560">
        <v>53224400</v>
      </c>
      <c r="G9398" s="560">
        <f t="shared" si="186"/>
        <v>-97</v>
      </c>
      <c r="H9398" s="362"/>
      <c r="I9398" s="362"/>
      <c r="J9398" s="362"/>
    </row>
    <row r="9399" spans="1:10" x14ac:dyDescent="0.25">
      <c r="A9399" s="362"/>
      <c r="B9399" s="609">
        <v>44743</v>
      </c>
      <c r="C9399" s="362" t="s">
        <v>3435</v>
      </c>
      <c r="D9399" s="560">
        <v>55413013</v>
      </c>
      <c r="E9399" s="560"/>
      <c r="F9399" s="560">
        <v>55413100</v>
      </c>
      <c r="G9399" s="560">
        <f t="shared" si="186"/>
        <v>-87</v>
      </c>
      <c r="H9399" s="362"/>
      <c r="I9399" s="362"/>
      <c r="J9399" s="362"/>
    </row>
    <row r="9400" spans="1:10" x14ac:dyDescent="0.25">
      <c r="A9400" s="362"/>
      <c r="B9400" s="609">
        <v>44743</v>
      </c>
      <c r="C9400" s="370" t="s">
        <v>85</v>
      </c>
      <c r="D9400" s="560">
        <v>36225500</v>
      </c>
      <c r="E9400" s="560"/>
      <c r="F9400" s="560">
        <v>36225500</v>
      </c>
      <c r="G9400" s="560">
        <f t="shared" si="186"/>
        <v>0</v>
      </c>
      <c r="H9400" s="362"/>
      <c r="I9400" s="362"/>
      <c r="J9400" s="362"/>
    </row>
    <row r="9401" spans="1:10" x14ac:dyDescent="0.25">
      <c r="A9401" s="530"/>
      <c r="B9401" s="530"/>
      <c r="C9401" s="530"/>
      <c r="D9401" s="562">
        <f>SUM(D9386:D9400)</f>
        <v>1874124739</v>
      </c>
      <c r="E9401" s="562">
        <f>SUM(E9386:E9400)</f>
        <v>0</v>
      </c>
      <c r="F9401" s="562">
        <f>SUM(F9386:F9400)</f>
        <v>2066326900</v>
      </c>
      <c r="G9401" s="562">
        <f>SUM(G9386:G9400)</f>
        <v>-192202161</v>
      </c>
      <c r="H9401" s="530"/>
      <c r="I9401" s="530"/>
      <c r="J9401" s="530"/>
    </row>
    <row r="9402" spans="1:10" x14ac:dyDescent="0.25">
      <c r="A9402" s="362"/>
      <c r="B9402" s="609">
        <v>44744</v>
      </c>
      <c r="C9402" s="362" t="s">
        <v>86</v>
      </c>
      <c r="D9402" s="560">
        <v>139777352</v>
      </c>
      <c r="E9402" s="560"/>
      <c r="F9402" s="560">
        <v>139777400</v>
      </c>
      <c r="G9402" s="560">
        <f t="shared" si="186"/>
        <v>-48</v>
      </c>
      <c r="H9402" s="362"/>
      <c r="I9402" s="362"/>
      <c r="J9402" s="362"/>
    </row>
    <row r="9403" spans="1:10" x14ac:dyDescent="0.25">
      <c r="A9403" s="362"/>
      <c r="B9403" s="609">
        <v>44744</v>
      </c>
      <c r="C9403" s="362" t="s">
        <v>87</v>
      </c>
      <c r="D9403" s="560">
        <v>178233049</v>
      </c>
      <c r="E9403" s="560"/>
      <c r="F9403" s="560">
        <v>178233200</v>
      </c>
      <c r="G9403" s="560">
        <f t="shared" si="186"/>
        <v>-151</v>
      </c>
      <c r="H9403" s="362"/>
      <c r="I9403" s="362"/>
      <c r="J9403" s="362"/>
    </row>
    <row r="9404" spans="1:10" x14ac:dyDescent="0.25">
      <c r="A9404" s="362"/>
      <c r="B9404" s="609">
        <v>44744</v>
      </c>
      <c r="C9404" s="362" t="s">
        <v>88</v>
      </c>
      <c r="D9404" s="560">
        <v>118219998</v>
      </c>
      <c r="E9404" s="560"/>
      <c r="F9404" s="560">
        <v>118220000</v>
      </c>
      <c r="G9404" s="560">
        <f t="shared" ref="G9404:G9467" si="187">D9404-F9404</f>
        <v>-2</v>
      </c>
      <c r="H9404" s="362"/>
      <c r="I9404" s="362"/>
      <c r="J9404" s="362"/>
    </row>
    <row r="9405" spans="1:10" x14ac:dyDescent="0.25">
      <c r="A9405" s="362"/>
      <c r="B9405" s="609">
        <v>44744</v>
      </c>
      <c r="C9405" s="362" t="s">
        <v>82</v>
      </c>
      <c r="D9405" s="560">
        <v>78725500</v>
      </c>
      <c r="E9405" s="560"/>
      <c r="F9405" s="560">
        <v>78725500</v>
      </c>
      <c r="G9405" s="560">
        <f t="shared" si="187"/>
        <v>0</v>
      </c>
      <c r="H9405" s="362"/>
      <c r="I9405" s="362"/>
      <c r="J9405" s="362"/>
    </row>
    <row r="9406" spans="1:10" x14ac:dyDescent="0.25">
      <c r="A9406" s="362"/>
      <c r="B9406" s="609">
        <v>44744</v>
      </c>
      <c r="C9406" s="362" t="s">
        <v>80</v>
      </c>
      <c r="D9406" s="560">
        <v>192957000</v>
      </c>
      <c r="E9406" s="560"/>
      <c r="F9406" s="560">
        <v>192957000</v>
      </c>
      <c r="G9406" s="560">
        <f t="shared" si="187"/>
        <v>0</v>
      </c>
      <c r="H9406" s="362"/>
      <c r="I9406" s="362"/>
      <c r="J9406" s="362"/>
    </row>
    <row r="9407" spans="1:10" x14ac:dyDescent="0.25">
      <c r="A9407" s="362"/>
      <c r="B9407" s="609">
        <v>44744</v>
      </c>
      <c r="C9407" s="362" t="s">
        <v>83</v>
      </c>
      <c r="D9407" s="560">
        <v>244716500</v>
      </c>
      <c r="E9407" s="560"/>
      <c r="F9407" s="560">
        <v>244716500</v>
      </c>
      <c r="G9407" s="560">
        <f t="shared" si="187"/>
        <v>0</v>
      </c>
      <c r="H9407" s="362"/>
      <c r="I9407" s="362"/>
      <c r="J9407" s="362"/>
    </row>
    <row r="9408" spans="1:10" x14ac:dyDescent="0.25">
      <c r="A9408" s="362"/>
      <c r="B9408" s="609">
        <v>44744</v>
      </c>
      <c r="C9408" s="362" t="s">
        <v>78</v>
      </c>
      <c r="D9408" s="560">
        <v>167426733</v>
      </c>
      <c r="E9408" s="560"/>
      <c r="F9408" s="560">
        <v>167426800</v>
      </c>
      <c r="G9408" s="560">
        <f t="shared" si="187"/>
        <v>-67</v>
      </c>
      <c r="H9408" s="362"/>
      <c r="I9408" s="362"/>
      <c r="J9408" s="362"/>
    </row>
    <row r="9409" spans="1:10" x14ac:dyDescent="0.25">
      <c r="A9409" s="362"/>
      <c r="B9409" s="609">
        <v>44744</v>
      </c>
      <c r="C9409" s="362" t="s">
        <v>141</v>
      </c>
      <c r="D9409" s="560">
        <v>43909524</v>
      </c>
      <c r="E9409" s="560"/>
      <c r="F9409" s="560">
        <v>43909600</v>
      </c>
      <c r="G9409" s="560">
        <f t="shared" si="187"/>
        <v>-76</v>
      </c>
      <c r="H9409" s="362"/>
      <c r="I9409" s="362"/>
      <c r="J9409" s="362"/>
    </row>
    <row r="9410" spans="1:10" x14ac:dyDescent="0.25">
      <c r="A9410" s="362"/>
      <c r="B9410" s="609">
        <v>44744</v>
      </c>
      <c r="C9410" s="362" t="s">
        <v>89</v>
      </c>
      <c r="D9410" s="560">
        <v>162735300</v>
      </c>
      <c r="E9410" s="560"/>
      <c r="F9410" s="560">
        <v>162735300</v>
      </c>
      <c r="G9410" s="560">
        <f t="shared" si="187"/>
        <v>0</v>
      </c>
      <c r="H9410" s="362"/>
      <c r="I9410" s="362"/>
      <c r="J9410" s="362"/>
    </row>
    <row r="9411" spans="1:10" x14ac:dyDescent="0.25">
      <c r="A9411" s="362"/>
      <c r="B9411" s="609">
        <v>44744</v>
      </c>
      <c r="C9411" s="362" t="s">
        <v>81</v>
      </c>
      <c r="D9411" s="560">
        <v>132282688</v>
      </c>
      <c r="E9411" s="560"/>
      <c r="F9411" s="560">
        <v>132282700</v>
      </c>
      <c r="G9411" s="560">
        <f t="shared" si="187"/>
        <v>-12</v>
      </c>
      <c r="H9411" s="362"/>
      <c r="I9411" s="362"/>
      <c r="J9411" s="362"/>
    </row>
    <row r="9412" spans="1:10" x14ac:dyDescent="0.25">
      <c r="A9412" s="362"/>
      <c r="B9412" s="609">
        <v>44744</v>
      </c>
      <c r="C9412" s="362" t="s">
        <v>84</v>
      </c>
      <c r="D9412" s="560">
        <v>189126901</v>
      </c>
      <c r="E9412" s="560"/>
      <c r="F9412" s="560">
        <v>189126900</v>
      </c>
      <c r="G9412" s="560">
        <f t="shared" si="187"/>
        <v>1</v>
      </c>
      <c r="H9412" s="362"/>
      <c r="I9412" s="362"/>
      <c r="J9412" s="362"/>
    </row>
    <row r="9413" spans="1:10" x14ac:dyDescent="0.25">
      <c r="A9413" s="362"/>
      <c r="B9413" s="609">
        <v>44744</v>
      </c>
      <c r="C9413" s="362" t="s">
        <v>4751</v>
      </c>
      <c r="D9413" s="560"/>
      <c r="E9413" s="560"/>
      <c r="F9413" s="560">
        <v>239901100</v>
      </c>
      <c r="G9413" s="560">
        <f t="shared" si="187"/>
        <v>-239901100</v>
      </c>
      <c r="H9413" s="362"/>
      <c r="I9413" s="362"/>
      <c r="J9413" s="362"/>
    </row>
    <row r="9414" spans="1:10" x14ac:dyDescent="0.25">
      <c r="A9414" s="362"/>
      <c r="B9414" s="609">
        <v>44744</v>
      </c>
      <c r="C9414" s="362" t="s">
        <v>166</v>
      </c>
      <c r="D9414" s="560">
        <v>68802298</v>
      </c>
      <c r="E9414" s="560"/>
      <c r="F9414" s="560"/>
      <c r="G9414" s="560">
        <f t="shared" si="187"/>
        <v>68802298</v>
      </c>
      <c r="H9414" s="362"/>
      <c r="I9414" s="362"/>
      <c r="J9414" s="362"/>
    </row>
    <row r="9415" spans="1:10" x14ac:dyDescent="0.25">
      <c r="A9415" s="362"/>
      <c r="B9415" s="609">
        <v>44744</v>
      </c>
      <c r="C9415" s="362" t="s">
        <v>3435</v>
      </c>
      <c r="D9415" s="560">
        <v>0</v>
      </c>
      <c r="E9415" s="560"/>
      <c r="F9415" s="560"/>
      <c r="G9415" s="560">
        <f t="shared" si="187"/>
        <v>0</v>
      </c>
      <c r="H9415" s="362"/>
      <c r="I9415" s="362"/>
      <c r="J9415" s="362"/>
    </row>
    <row r="9416" spans="1:10" x14ac:dyDescent="0.25">
      <c r="A9416" s="362"/>
      <c r="B9416" s="609">
        <v>44744</v>
      </c>
      <c r="C9416" s="370" t="s">
        <v>85</v>
      </c>
      <c r="D9416" s="560">
        <v>28234200</v>
      </c>
      <c r="E9416" s="560"/>
      <c r="F9416" s="560">
        <v>28234200</v>
      </c>
      <c r="G9416" s="560">
        <f t="shared" si="187"/>
        <v>0</v>
      </c>
      <c r="H9416" s="362"/>
      <c r="I9416" s="362"/>
      <c r="J9416" s="362"/>
    </row>
    <row r="9417" spans="1:10" x14ac:dyDescent="0.25">
      <c r="A9417" s="530"/>
      <c r="B9417" s="530"/>
      <c r="C9417" s="530"/>
      <c r="D9417" s="562">
        <f>SUM(D9402:D9416)</f>
        <v>1745147043</v>
      </c>
      <c r="E9417" s="562">
        <f>SUM(E9402:E9416)</f>
        <v>0</v>
      </c>
      <c r="F9417" s="562">
        <f>SUM(F9402:F9416)</f>
        <v>1916246200</v>
      </c>
      <c r="G9417" s="562">
        <f>SUM(G9402:G9416)</f>
        <v>-171099157</v>
      </c>
      <c r="H9417" s="530"/>
      <c r="I9417" s="530"/>
      <c r="J9417" s="530"/>
    </row>
    <row r="9418" spans="1:10" x14ac:dyDescent="0.25">
      <c r="A9418" s="362"/>
      <c r="B9418" s="609">
        <v>44746</v>
      </c>
      <c r="C9418" s="362" t="s">
        <v>86</v>
      </c>
      <c r="D9418" s="560">
        <v>72151352</v>
      </c>
      <c r="E9418" s="560"/>
      <c r="F9418" s="560">
        <v>72151400</v>
      </c>
      <c r="G9418" s="560">
        <f t="shared" si="187"/>
        <v>-48</v>
      </c>
      <c r="H9418" s="362"/>
      <c r="I9418" s="362"/>
      <c r="J9418" s="362"/>
    </row>
    <row r="9419" spans="1:10" x14ac:dyDescent="0.25">
      <c r="A9419" s="362"/>
      <c r="B9419" s="609">
        <v>44746</v>
      </c>
      <c r="C9419" s="362" t="s">
        <v>87</v>
      </c>
      <c r="D9419" s="560">
        <v>125132289</v>
      </c>
      <c r="E9419" s="560"/>
      <c r="F9419" s="560">
        <v>125133300</v>
      </c>
      <c r="G9419" s="560">
        <f t="shared" si="187"/>
        <v>-1011</v>
      </c>
      <c r="H9419" s="362"/>
      <c r="I9419" s="362"/>
      <c r="J9419" s="362"/>
    </row>
    <row r="9420" spans="1:10" x14ac:dyDescent="0.25">
      <c r="A9420" s="362"/>
      <c r="B9420" s="609">
        <v>44746</v>
      </c>
      <c r="C9420" s="362" t="s">
        <v>88</v>
      </c>
      <c r="D9420" s="560">
        <v>177654075</v>
      </c>
      <c r="E9420" s="560"/>
      <c r="F9420" s="560">
        <v>177654100</v>
      </c>
      <c r="G9420" s="560">
        <f t="shared" si="187"/>
        <v>-25</v>
      </c>
      <c r="H9420" s="362"/>
      <c r="I9420" s="362"/>
      <c r="J9420" s="362"/>
    </row>
    <row r="9421" spans="1:10" x14ac:dyDescent="0.25">
      <c r="A9421" s="362"/>
      <c r="B9421" s="609">
        <v>44746</v>
      </c>
      <c r="C9421" s="362" t="s">
        <v>82</v>
      </c>
      <c r="D9421" s="560">
        <v>64954400</v>
      </c>
      <c r="E9421" s="560"/>
      <c r="F9421" s="560">
        <v>64954400</v>
      </c>
      <c r="G9421" s="560">
        <f t="shared" si="187"/>
        <v>0</v>
      </c>
      <c r="H9421" s="362"/>
      <c r="I9421" s="362"/>
      <c r="J9421" s="362"/>
    </row>
    <row r="9422" spans="1:10" x14ac:dyDescent="0.25">
      <c r="A9422" s="362"/>
      <c r="B9422" s="609">
        <v>44746</v>
      </c>
      <c r="C9422" s="362" t="s">
        <v>80</v>
      </c>
      <c r="D9422" s="560">
        <v>298078300</v>
      </c>
      <c r="E9422" s="560"/>
      <c r="F9422" s="560">
        <v>298078300</v>
      </c>
      <c r="G9422" s="560">
        <f t="shared" si="187"/>
        <v>0</v>
      </c>
      <c r="H9422" s="362"/>
      <c r="I9422" s="362"/>
      <c r="J9422" s="362"/>
    </row>
    <row r="9423" spans="1:10" x14ac:dyDescent="0.25">
      <c r="A9423" s="362"/>
      <c r="B9423" s="609">
        <v>44746</v>
      </c>
      <c r="C9423" s="362" t="s">
        <v>83</v>
      </c>
      <c r="D9423" s="560">
        <v>201764000</v>
      </c>
      <c r="E9423" s="560"/>
      <c r="F9423" s="560">
        <v>201764000</v>
      </c>
      <c r="G9423" s="560">
        <f t="shared" si="187"/>
        <v>0</v>
      </c>
      <c r="H9423" s="362"/>
      <c r="I9423" s="362"/>
      <c r="J9423" s="362"/>
    </row>
    <row r="9424" spans="1:10" x14ac:dyDescent="0.25">
      <c r="A9424" s="362"/>
      <c r="B9424" s="609">
        <v>44746</v>
      </c>
      <c r="C9424" s="362" t="s">
        <v>78</v>
      </c>
      <c r="D9424" s="560">
        <v>182282800</v>
      </c>
      <c r="E9424" s="560"/>
      <c r="F9424" s="560">
        <v>182282800</v>
      </c>
      <c r="G9424" s="560">
        <f t="shared" si="187"/>
        <v>0</v>
      </c>
      <c r="H9424" s="362"/>
      <c r="I9424" s="362"/>
      <c r="J9424" s="362"/>
    </row>
    <row r="9425" spans="1:10" x14ac:dyDescent="0.25">
      <c r="A9425" s="362"/>
      <c r="B9425" s="609">
        <v>44746</v>
      </c>
      <c r="C9425" s="362" t="s">
        <v>141</v>
      </c>
      <c r="D9425" s="560">
        <v>123048430</v>
      </c>
      <c r="E9425" s="560"/>
      <c r="F9425" s="560">
        <v>123048500</v>
      </c>
      <c r="G9425" s="560">
        <f t="shared" si="187"/>
        <v>-70</v>
      </c>
      <c r="H9425" s="362"/>
      <c r="I9425" s="362"/>
      <c r="J9425" s="362"/>
    </row>
    <row r="9426" spans="1:10" x14ac:dyDescent="0.25">
      <c r="A9426" s="362"/>
      <c r="B9426" s="609">
        <v>44746</v>
      </c>
      <c r="C9426" s="362" t="s">
        <v>89</v>
      </c>
      <c r="D9426" s="560">
        <v>149024300</v>
      </c>
      <c r="E9426" s="560"/>
      <c r="F9426" s="560">
        <v>149024400</v>
      </c>
      <c r="G9426" s="560">
        <f t="shared" si="187"/>
        <v>-100</v>
      </c>
      <c r="H9426" s="362"/>
      <c r="I9426" s="362"/>
      <c r="J9426" s="362"/>
    </row>
    <row r="9427" spans="1:10" x14ac:dyDescent="0.25">
      <c r="A9427" s="362"/>
      <c r="B9427" s="609">
        <v>44746</v>
      </c>
      <c r="C9427" s="362" t="s">
        <v>81</v>
      </c>
      <c r="D9427" s="560">
        <v>156186005</v>
      </c>
      <c r="E9427" s="560"/>
      <c r="F9427" s="560">
        <v>156186000</v>
      </c>
      <c r="G9427" s="560">
        <f t="shared" si="187"/>
        <v>5</v>
      </c>
      <c r="H9427" s="362"/>
      <c r="I9427" s="362"/>
      <c r="J9427" s="362"/>
    </row>
    <row r="9428" spans="1:10" x14ac:dyDescent="0.25">
      <c r="A9428" s="362"/>
      <c r="B9428" s="609">
        <v>44746</v>
      </c>
      <c r="C9428" s="362" t="s">
        <v>84</v>
      </c>
      <c r="D9428" s="560">
        <v>476246743</v>
      </c>
      <c r="E9428" s="560"/>
      <c r="F9428" s="560">
        <v>476246800</v>
      </c>
      <c r="G9428" s="560">
        <f t="shared" si="187"/>
        <v>-57</v>
      </c>
      <c r="H9428" s="362"/>
      <c r="I9428" s="362"/>
      <c r="J9428" s="362"/>
    </row>
    <row r="9429" spans="1:10" x14ac:dyDescent="0.25">
      <c r="A9429" s="362"/>
      <c r="B9429" s="609">
        <v>44746</v>
      </c>
      <c r="C9429" s="362" t="s">
        <v>4751</v>
      </c>
      <c r="D9429" s="560">
        <v>221727000</v>
      </c>
      <c r="E9429" s="560"/>
      <c r="F9429" s="560">
        <v>221727000</v>
      </c>
      <c r="G9429" s="560">
        <f t="shared" si="187"/>
        <v>0</v>
      </c>
      <c r="H9429" s="362"/>
      <c r="I9429" s="362"/>
      <c r="J9429" s="362"/>
    </row>
    <row r="9430" spans="1:10" x14ac:dyDescent="0.25">
      <c r="A9430" s="362"/>
      <c r="B9430" s="609">
        <v>44746</v>
      </c>
      <c r="C9430" s="362" t="s">
        <v>166</v>
      </c>
      <c r="D9430" s="560">
        <v>68802298</v>
      </c>
      <c r="E9430" s="560"/>
      <c r="F9430" s="560">
        <v>68802400</v>
      </c>
      <c r="G9430" s="560">
        <f t="shared" si="187"/>
        <v>-102</v>
      </c>
      <c r="H9430" s="362"/>
      <c r="I9430" s="362"/>
      <c r="J9430" s="362"/>
    </row>
    <row r="9431" spans="1:10" x14ac:dyDescent="0.25">
      <c r="A9431" s="362"/>
      <c r="B9431" s="609">
        <v>44746</v>
      </c>
      <c r="C9431" s="362" t="s">
        <v>3435</v>
      </c>
      <c r="D9431" s="560">
        <v>22938294</v>
      </c>
      <c r="E9431" s="560"/>
      <c r="F9431" s="560">
        <v>22938300</v>
      </c>
      <c r="G9431" s="560">
        <f t="shared" si="187"/>
        <v>-6</v>
      </c>
      <c r="H9431" s="362"/>
      <c r="I9431" s="362"/>
      <c r="J9431" s="362"/>
    </row>
    <row r="9432" spans="1:10" x14ac:dyDescent="0.25">
      <c r="A9432" s="362"/>
      <c r="B9432" s="609">
        <v>44746</v>
      </c>
      <c r="C9432" s="370" t="s">
        <v>85</v>
      </c>
      <c r="D9432" s="560">
        <v>63210100</v>
      </c>
      <c r="E9432" s="560"/>
      <c r="F9432" s="560">
        <v>63210100</v>
      </c>
      <c r="G9432" s="560">
        <f t="shared" si="187"/>
        <v>0</v>
      </c>
      <c r="H9432" s="362"/>
      <c r="I9432" s="362"/>
      <c r="J9432" s="362"/>
    </row>
    <row r="9433" spans="1:10" x14ac:dyDescent="0.25">
      <c r="A9433" s="530"/>
      <c r="B9433" s="530"/>
      <c r="C9433" s="530"/>
      <c r="D9433" s="562">
        <f>SUM(D9418:D9432)</f>
        <v>2403200386</v>
      </c>
      <c r="E9433" s="562">
        <f>SUM(E9418:E9432)</f>
        <v>0</v>
      </c>
      <c r="F9433" s="562">
        <f>SUM(F9418:F9432)</f>
        <v>2403201800</v>
      </c>
      <c r="G9433" s="562">
        <f>SUM(G9418:G9432)</f>
        <v>-1414</v>
      </c>
      <c r="H9433" s="530"/>
      <c r="I9433" s="530"/>
      <c r="J9433" s="530"/>
    </row>
    <row r="9434" spans="1:10" x14ac:dyDescent="0.25">
      <c r="A9434" s="362"/>
      <c r="B9434" s="609">
        <v>44747</v>
      </c>
      <c r="C9434" s="362" t="s">
        <v>86</v>
      </c>
      <c r="D9434" s="560">
        <v>110279146</v>
      </c>
      <c r="E9434" s="560"/>
      <c r="F9434" s="560">
        <v>110279200</v>
      </c>
      <c r="G9434" s="560">
        <f t="shared" si="187"/>
        <v>-54</v>
      </c>
      <c r="H9434" s="362"/>
      <c r="I9434" s="362"/>
      <c r="J9434" s="362"/>
    </row>
    <row r="9435" spans="1:10" x14ac:dyDescent="0.25">
      <c r="A9435" s="362"/>
      <c r="B9435" s="609">
        <v>44747</v>
      </c>
      <c r="C9435" s="362" t="s">
        <v>87</v>
      </c>
      <c r="D9435" s="560">
        <v>176319496</v>
      </c>
      <c r="E9435" s="560"/>
      <c r="F9435" s="560">
        <v>176319500</v>
      </c>
      <c r="G9435" s="560">
        <f t="shared" si="187"/>
        <v>-4</v>
      </c>
      <c r="H9435" s="362"/>
      <c r="I9435" s="362"/>
      <c r="J9435" s="362"/>
    </row>
    <row r="9436" spans="1:10" x14ac:dyDescent="0.25">
      <c r="A9436" s="362"/>
      <c r="B9436" s="609">
        <v>44747</v>
      </c>
      <c r="C9436" s="362" t="s">
        <v>88</v>
      </c>
      <c r="D9436" s="560">
        <v>312353006</v>
      </c>
      <c r="E9436" s="560"/>
      <c r="F9436" s="560">
        <v>312353100</v>
      </c>
      <c r="G9436" s="560">
        <f t="shared" si="187"/>
        <v>-94</v>
      </c>
      <c r="H9436" s="362"/>
      <c r="I9436" s="362"/>
      <c r="J9436" s="362"/>
    </row>
    <row r="9437" spans="1:10" x14ac:dyDescent="0.25">
      <c r="A9437" s="362"/>
      <c r="B9437" s="609">
        <v>44747</v>
      </c>
      <c r="C9437" s="362" t="s">
        <v>82</v>
      </c>
      <c r="D9437" s="560">
        <v>130018140</v>
      </c>
      <c r="E9437" s="560"/>
      <c r="F9437" s="560">
        <v>130018200</v>
      </c>
      <c r="G9437" s="560">
        <f t="shared" si="187"/>
        <v>-60</v>
      </c>
      <c r="H9437" s="362"/>
      <c r="I9437" s="362"/>
      <c r="J9437" s="362"/>
    </row>
    <row r="9438" spans="1:10" x14ac:dyDescent="0.25">
      <c r="A9438" s="362"/>
      <c r="B9438" s="609">
        <v>44747</v>
      </c>
      <c r="C9438" s="362" t="s">
        <v>80</v>
      </c>
      <c r="D9438" s="560">
        <v>428356700</v>
      </c>
      <c r="E9438" s="560"/>
      <c r="F9438" s="560">
        <v>428356700</v>
      </c>
      <c r="G9438" s="560">
        <f t="shared" si="187"/>
        <v>0</v>
      </c>
      <c r="H9438" s="362"/>
      <c r="I9438" s="362"/>
      <c r="J9438" s="362"/>
    </row>
    <row r="9439" spans="1:10" x14ac:dyDescent="0.25">
      <c r="A9439" s="362"/>
      <c r="B9439" s="609">
        <v>44747</v>
      </c>
      <c r="C9439" s="362" t="s">
        <v>83</v>
      </c>
      <c r="D9439" s="560">
        <v>239629163</v>
      </c>
      <c r="E9439" s="560"/>
      <c r="F9439" s="560">
        <v>239629200</v>
      </c>
      <c r="G9439" s="560">
        <f t="shared" si="187"/>
        <v>-37</v>
      </c>
      <c r="H9439" s="362"/>
      <c r="I9439" s="362"/>
      <c r="J9439" s="362"/>
    </row>
    <row r="9440" spans="1:10" x14ac:dyDescent="0.25">
      <c r="A9440" s="362"/>
      <c r="B9440" s="609">
        <v>44747</v>
      </c>
      <c r="C9440" s="362" t="s">
        <v>78</v>
      </c>
      <c r="D9440" s="560">
        <v>169356300</v>
      </c>
      <c r="E9440" s="560"/>
      <c r="F9440" s="560">
        <v>169356300</v>
      </c>
      <c r="G9440" s="560">
        <f t="shared" si="187"/>
        <v>0</v>
      </c>
      <c r="H9440" s="362"/>
      <c r="I9440" s="362"/>
      <c r="J9440" s="362"/>
    </row>
    <row r="9441" spans="1:10" x14ac:dyDescent="0.25">
      <c r="A9441" s="362"/>
      <c r="B9441" s="609">
        <v>44747</v>
      </c>
      <c r="C9441" s="362" t="s">
        <v>141</v>
      </c>
      <c r="D9441" s="560">
        <v>65389431</v>
      </c>
      <c r="E9441" s="560"/>
      <c r="F9441" s="560">
        <v>65389500</v>
      </c>
      <c r="G9441" s="560">
        <f t="shared" si="187"/>
        <v>-69</v>
      </c>
      <c r="H9441" s="362"/>
      <c r="I9441" s="362"/>
      <c r="J9441" s="362"/>
    </row>
    <row r="9442" spans="1:10" x14ac:dyDescent="0.25">
      <c r="A9442" s="362"/>
      <c r="B9442" s="609">
        <v>44747</v>
      </c>
      <c r="C9442" s="362" t="s">
        <v>89</v>
      </c>
      <c r="D9442" s="560">
        <v>132132000</v>
      </c>
      <c r="E9442" s="560"/>
      <c r="F9442" s="560">
        <v>132131900</v>
      </c>
      <c r="G9442" s="560">
        <f t="shared" si="187"/>
        <v>100</v>
      </c>
      <c r="H9442" s="362"/>
      <c r="I9442" s="362"/>
      <c r="J9442" s="362"/>
    </row>
    <row r="9443" spans="1:10" x14ac:dyDescent="0.25">
      <c r="A9443" s="362"/>
      <c r="B9443" s="609">
        <v>44747</v>
      </c>
      <c r="C9443" s="362" t="s">
        <v>81</v>
      </c>
      <c r="D9443" s="560">
        <v>187560595</v>
      </c>
      <c r="E9443" s="560"/>
      <c r="F9443" s="560">
        <v>187560800</v>
      </c>
      <c r="G9443" s="560">
        <f t="shared" si="187"/>
        <v>-205</v>
      </c>
      <c r="H9443" s="362"/>
      <c r="I9443" s="362"/>
      <c r="J9443" s="362"/>
    </row>
    <row r="9444" spans="1:10" x14ac:dyDescent="0.25">
      <c r="A9444" s="362"/>
      <c r="B9444" s="609">
        <v>44747</v>
      </c>
      <c r="C9444" s="362" t="s">
        <v>84</v>
      </c>
      <c r="D9444" s="560">
        <v>207209132</v>
      </c>
      <c r="E9444" s="560"/>
      <c r="F9444" s="560">
        <v>207209200</v>
      </c>
      <c r="G9444" s="560">
        <f t="shared" si="187"/>
        <v>-68</v>
      </c>
      <c r="H9444" s="362"/>
      <c r="I9444" s="362"/>
      <c r="J9444" s="362"/>
    </row>
    <row r="9445" spans="1:10" x14ac:dyDescent="0.25">
      <c r="A9445" s="362"/>
      <c r="B9445" s="609">
        <v>44747</v>
      </c>
      <c r="C9445" s="362" t="s">
        <v>4751</v>
      </c>
      <c r="D9445" s="560">
        <v>200348200</v>
      </c>
      <c r="E9445" s="560"/>
      <c r="F9445" s="560">
        <v>200348200</v>
      </c>
      <c r="G9445" s="560">
        <f t="shared" si="187"/>
        <v>0</v>
      </c>
      <c r="H9445" s="362"/>
      <c r="I9445" s="362"/>
      <c r="J9445" s="362"/>
    </row>
    <row r="9446" spans="1:10" x14ac:dyDescent="0.25">
      <c r="A9446" s="362"/>
      <c r="B9446" s="609">
        <v>44747</v>
      </c>
      <c r="C9446" s="362" t="s">
        <v>166</v>
      </c>
      <c r="D9446" s="560">
        <v>92785172</v>
      </c>
      <c r="E9446" s="560"/>
      <c r="F9446" s="560">
        <v>92785500</v>
      </c>
      <c r="G9446" s="560">
        <f t="shared" si="187"/>
        <v>-328</v>
      </c>
      <c r="H9446" s="362"/>
      <c r="I9446" s="362"/>
      <c r="J9446" s="362"/>
    </row>
    <row r="9447" spans="1:10" x14ac:dyDescent="0.25">
      <c r="A9447" s="362"/>
      <c r="B9447" s="609">
        <v>44747</v>
      </c>
      <c r="C9447" s="362" t="s">
        <v>3435</v>
      </c>
      <c r="D9447" s="560">
        <v>92758020</v>
      </c>
      <c r="E9447" s="560"/>
      <c r="F9447" s="560">
        <v>92758100</v>
      </c>
      <c r="G9447" s="560">
        <f t="shared" si="187"/>
        <v>-80</v>
      </c>
      <c r="H9447" s="362"/>
      <c r="I9447" s="362"/>
      <c r="J9447" s="362"/>
    </row>
    <row r="9448" spans="1:10" x14ac:dyDescent="0.25">
      <c r="A9448" s="362"/>
      <c r="B9448" s="609">
        <v>44747</v>
      </c>
      <c r="C9448" s="370" t="s">
        <v>85</v>
      </c>
      <c r="D9448" s="560">
        <v>41012700</v>
      </c>
      <c r="E9448" s="560"/>
      <c r="F9448" s="560">
        <v>41012700</v>
      </c>
      <c r="G9448" s="560">
        <f t="shared" si="187"/>
        <v>0</v>
      </c>
      <c r="H9448" s="362"/>
      <c r="I9448" s="362"/>
      <c r="J9448" s="362"/>
    </row>
    <row r="9449" spans="1:10" x14ac:dyDescent="0.25">
      <c r="A9449" s="530"/>
      <c r="B9449" s="530"/>
      <c r="C9449" s="530"/>
      <c r="D9449" s="562">
        <f>SUM(D9434:D9448)</f>
        <v>2585507201</v>
      </c>
      <c r="E9449" s="562">
        <f>SUM(E9434:E9448)</f>
        <v>0</v>
      </c>
      <c r="F9449" s="562">
        <f>SUM(F9434:F9448)</f>
        <v>2585508100</v>
      </c>
      <c r="G9449" s="562">
        <f>SUM(G9434:G9448)</f>
        <v>-899</v>
      </c>
      <c r="H9449" s="530"/>
      <c r="I9449" s="530"/>
      <c r="J9449" s="530"/>
    </row>
    <row r="9450" spans="1:10" x14ac:dyDescent="0.25">
      <c r="A9450" s="362"/>
      <c r="B9450" s="609">
        <v>44748</v>
      </c>
      <c r="C9450" s="362" t="s">
        <v>86</v>
      </c>
      <c r="D9450" s="560">
        <v>187604345</v>
      </c>
      <c r="E9450" s="560"/>
      <c r="F9450" s="560">
        <v>187604400</v>
      </c>
      <c r="G9450" s="560">
        <f t="shared" si="187"/>
        <v>-55</v>
      </c>
      <c r="H9450" s="362"/>
      <c r="I9450" s="362"/>
      <c r="J9450" s="362"/>
    </row>
    <row r="9451" spans="1:10" x14ac:dyDescent="0.25">
      <c r="A9451" s="362"/>
      <c r="B9451" s="609">
        <v>44748</v>
      </c>
      <c r="C9451" s="362" t="s">
        <v>87</v>
      </c>
      <c r="D9451" s="560">
        <v>93018163</v>
      </c>
      <c r="E9451" s="560"/>
      <c r="F9451" s="560">
        <v>93018100</v>
      </c>
      <c r="G9451" s="560">
        <f t="shared" si="187"/>
        <v>63</v>
      </c>
      <c r="H9451" s="362"/>
      <c r="I9451" s="362"/>
      <c r="J9451" s="362"/>
    </row>
    <row r="9452" spans="1:10" x14ac:dyDescent="0.25">
      <c r="A9452" s="362"/>
      <c r="B9452" s="609">
        <v>44748</v>
      </c>
      <c r="C9452" s="362" t="s">
        <v>88</v>
      </c>
      <c r="D9452" s="560">
        <v>297597830</v>
      </c>
      <c r="E9452" s="560"/>
      <c r="F9452" s="560">
        <v>297597900</v>
      </c>
      <c r="G9452" s="560">
        <f t="shared" si="187"/>
        <v>-70</v>
      </c>
      <c r="H9452" s="362"/>
      <c r="I9452" s="362"/>
      <c r="J9452" s="362"/>
    </row>
    <row r="9453" spans="1:10" x14ac:dyDescent="0.25">
      <c r="A9453" s="362"/>
      <c r="B9453" s="609">
        <v>44748</v>
      </c>
      <c r="C9453" s="362" t="s">
        <v>82</v>
      </c>
      <c r="D9453" s="560">
        <v>101015098</v>
      </c>
      <c r="E9453" s="560"/>
      <c r="F9453" s="560">
        <v>101015200</v>
      </c>
      <c r="G9453" s="560">
        <f t="shared" si="187"/>
        <v>-102</v>
      </c>
      <c r="H9453" s="362"/>
      <c r="I9453" s="362"/>
      <c r="J9453" s="362"/>
    </row>
    <row r="9454" spans="1:10" x14ac:dyDescent="0.25">
      <c r="A9454" s="362"/>
      <c r="B9454" s="609">
        <v>44748</v>
      </c>
      <c r="C9454" s="362" t="s">
        <v>80</v>
      </c>
      <c r="D9454" s="560">
        <v>309608114</v>
      </c>
      <c r="E9454" s="560"/>
      <c r="F9454" s="560">
        <v>309607800</v>
      </c>
      <c r="G9454" s="560">
        <f t="shared" si="187"/>
        <v>314</v>
      </c>
      <c r="H9454" s="362"/>
      <c r="I9454" s="362"/>
      <c r="J9454" s="362"/>
    </row>
    <row r="9455" spans="1:10" x14ac:dyDescent="0.25">
      <c r="A9455" s="362"/>
      <c r="B9455" s="609">
        <v>44748</v>
      </c>
      <c r="C9455" s="362" t="s">
        <v>83</v>
      </c>
      <c r="D9455" s="560">
        <v>137447002</v>
      </c>
      <c r="E9455" s="560"/>
      <c r="F9455" s="560">
        <v>137447000</v>
      </c>
      <c r="G9455" s="560">
        <f t="shared" si="187"/>
        <v>2</v>
      </c>
      <c r="H9455" s="362"/>
      <c r="I9455" s="362"/>
      <c r="J9455" s="362"/>
    </row>
    <row r="9456" spans="1:10" x14ac:dyDescent="0.25">
      <c r="A9456" s="362"/>
      <c r="B9456" s="609">
        <v>44748</v>
      </c>
      <c r="C9456" s="362" t="s">
        <v>78</v>
      </c>
      <c r="D9456" s="560">
        <v>121314500</v>
      </c>
      <c r="E9456" s="560"/>
      <c r="F9456" s="560">
        <v>121314500</v>
      </c>
      <c r="G9456" s="560">
        <f t="shared" si="187"/>
        <v>0</v>
      </c>
      <c r="H9456" s="362"/>
      <c r="I9456" s="362"/>
      <c r="J9456" s="362"/>
    </row>
    <row r="9457" spans="1:10" x14ac:dyDescent="0.25">
      <c r="A9457" s="362"/>
      <c r="B9457" s="609">
        <v>44748</v>
      </c>
      <c r="C9457" s="362" t="s">
        <v>141</v>
      </c>
      <c r="D9457" s="560">
        <v>150597418</v>
      </c>
      <c r="E9457" s="560"/>
      <c r="F9457" s="560">
        <v>150597500</v>
      </c>
      <c r="G9457" s="560">
        <f t="shared" si="187"/>
        <v>-82</v>
      </c>
      <c r="H9457" s="362"/>
      <c r="I9457" s="362"/>
      <c r="J9457" s="362"/>
    </row>
    <row r="9458" spans="1:10" x14ac:dyDescent="0.25">
      <c r="A9458" s="362"/>
      <c r="B9458" s="609">
        <v>44748</v>
      </c>
      <c r="C9458" s="362" t="s">
        <v>89</v>
      </c>
      <c r="D9458" s="560">
        <v>176629700</v>
      </c>
      <c r="E9458" s="560"/>
      <c r="F9458" s="560">
        <v>176629700</v>
      </c>
      <c r="G9458" s="560">
        <f t="shared" si="187"/>
        <v>0</v>
      </c>
      <c r="H9458" s="362"/>
      <c r="I9458" s="362"/>
      <c r="J9458" s="362"/>
    </row>
    <row r="9459" spans="1:10" x14ac:dyDescent="0.25">
      <c r="A9459" s="362"/>
      <c r="B9459" s="609">
        <v>44748</v>
      </c>
      <c r="C9459" s="362" t="s">
        <v>81</v>
      </c>
      <c r="D9459" s="560">
        <v>197127115</v>
      </c>
      <c r="E9459" s="560"/>
      <c r="F9459" s="560">
        <v>197127200</v>
      </c>
      <c r="G9459" s="560">
        <f t="shared" si="187"/>
        <v>-85</v>
      </c>
      <c r="H9459" s="362"/>
      <c r="I9459" s="362"/>
      <c r="J9459" s="362"/>
    </row>
    <row r="9460" spans="1:10" x14ac:dyDescent="0.25">
      <c r="A9460" s="362"/>
      <c r="B9460" s="609">
        <v>44748</v>
      </c>
      <c r="C9460" s="362" t="s">
        <v>84</v>
      </c>
      <c r="D9460" s="560">
        <v>297209139</v>
      </c>
      <c r="E9460" s="560"/>
      <c r="F9460" s="560">
        <v>297209200</v>
      </c>
      <c r="G9460" s="560">
        <f t="shared" si="187"/>
        <v>-61</v>
      </c>
      <c r="H9460" s="362"/>
      <c r="I9460" s="362"/>
      <c r="J9460" s="362"/>
    </row>
    <row r="9461" spans="1:10" x14ac:dyDescent="0.25">
      <c r="A9461" s="362"/>
      <c r="B9461" s="609">
        <v>44748</v>
      </c>
      <c r="C9461" s="362" t="s">
        <v>4751</v>
      </c>
      <c r="D9461" s="560">
        <v>197988300</v>
      </c>
      <c r="E9461" s="560"/>
      <c r="F9461" s="560">
        <v>197988300</v>
      </c>
      <c r="G9461" s="560">
        <f t="shared" si="187"/>
        <v>0</v>
      </c>
      <c r="H9461" s="362"/>
      <c r="I9461" s="362"/>
      <c r="J9461" s="362"/>
    </row>
    <row r="9462" spans="1:10" x14ac:dyDescent="0.25">
      <c r="A9462" s="362"/>
      <c r="B9462" s="609">
        <v>44748</v>
      </c>
      <c r="C9462" s="362" t="s">
        <v>166</v>
      </c>
      <c r="D9462" s="560">
        <v>65619865</v>
      </c>
      <c r="E9462" s="560"/>
      <c r="F9462" s="560">
        <v>65619800</v>
      </c>
      <c r="G9462" s="560">
        <f t="shared" si="187"/>
        <v>65</v>
      </c>
      <c r="H9462" s="362"/>
      <c r="I9462" s="362"/>
      <c r="J9462" s="362"/>
    </row>
    <row r="9463" spans="1:10" x14ac:dyDescent="0.25">
      <c r="A9463" s="362"/>
      <c r="B9463" s="609">
        <v>44748</v>
      </c>
      <c r="C9463" s="362" t="s">
        <v>3435</v>
      </c>
      <c r="D9463" s="560">
        <v>68949280</v>
      </c>
      <c r="E9463" s="560"/>
      <c r="F9463" s="560">
        <v>68949300</v>
      </c>
      <c r="G9463" s="560">
        <f t="shared" si="187"/>
        <v>-20</v>
      </c>
      <c r="H9463" s="362"/>
      <c r="I9463" s="362"/>
      <c r="J9463" s="362"/>
    </row>
    <row r="9464" spans="1:10" x14ac:dyDescent="0.25">
      <c r="A9464" s="362"/>
      <c r="B9464" s="609">
        <v>44748</v>
      </c>
      <c r="C9464" s="370" t="s">
        <v>85</v>
      </c>
      <c r="D9464" s="560">
        <v>58210300</v>
      </c>
      <c r="E9464" s="560"/>
      <c r="F9464" s="560">
        <v>58210300</v>
      </c>
      <c r="G9464" s="560">
        <f t="shared" si="187"/>
        <v>0</v>
      </c>
      <c r="H9464" s="362"/>
      <c r="I9464" s="362"/>
      <c r="J9464" s="362"/>
    </row>
    <row r="9465" spans="1:10" x14ac:dyDescent="0.25">
      <c r="A9465" s="530"/>
      <c r="B9465" s="530"/>
      <c r="C9465" s="530"/>
      <c r="D9465" s="562">
        <f>SUM(D9450:D9464)</f>
        <v>2459936169</v>
      </c>
      <c r="E9465" s="562">
        <f>SUM(E9450:E9464)</f>
        <v>0</v>
      </c>
      <c r="F9465" s="562">
        <f>SUM(F9450:F9464)</f>
        <v>2459936200</v>
      </c>
      <c r="G9465" s="562">
        <f>SUM(G9450:G9464)</f>
        <v>-31</v>
      </c>
      <c r="H9465" s="530"/>
      <c r="I9465" s="530"/>
      <c r="J9465" s="530"/>
    </row>
    <row r="9466" spans="1:10" x14ac:dyDescent="0.25">
      <c r="A9466" s="362"/>
      <c r="B9466" s="609">
        <v>44749</v>
      </c>
      <c r="C9466" s="362" t="s">
        <v>86</v>
      </c>
      <c r="D9466" s="560">
        <v>126068877</v>
      </c>
      <c r="E9466" s="560"/>
      <c r="F9466" s="560">
        <v>126068900</v>
      </c>
      <c r="G9466" s="560">
        <f t="shared" si="187"/>
        <v>-23</v>
      </c>
      <c r="H9466" s="362"/>
      <c r="I9466" s="362"/>
      <c r="J9466" s="362"/>
    </row>
    <row r="9467" spans="1:10" x14ac:dyDescent="0.25">
      <c r="A9467" s="362"/>
      <c r="B9467" s="609">
        <v>44749</v>
      </c>
      <c r="C9467" s="362" t="s">
        <v>87</v>
      </c>
      <c r="D9467" s="560">
        <v>173780511</v>
      </c>
      <c r="E9467" s="560"/>
      <c r="F9467" s="560">
        <v>173780600</v>
      </c>
      <c r="G9467" s="560">
        <f t="shared" si="187"/>
        <v>-89</v>
      </c>
      <c r="H9467" s="362"/>
      <c r="I9467" s="362"/>
      <c r="J9467" s="362"/>
    </row>
    <row r="9468" spans="1:10" x14ac:dyDescent="0.25">
      <c r="A9468" s="362"/>
      <c r="B9468" s="609">
        <v>44749</v>
      </c>
      <c r="C9468" s="362" t="s">
        <v>88</v>
      </c>
      <c r="D9468" s="560">
        <v>203594186</v>
      </c>
      <c r="E9468" s="560"/>
      <c r="F9468" s="560">
        <v>203594200</v>
      </c>
      <c r="G9468" s="560">
        <f t="shared" ref="G9468:G9531" si="188">D9468-F9468</f>
        <v>-14</v>
      </c>
      <c r="H9468" s="362"/>
      <c r="I9468" s="362"/>
      <c r="J9468" s="362"/>
    </row>
    <row r="9469" spans="1:10" x14ac:dyDescent="0.25">
      <c r="A9469" s="362"/>
      <c r="B9469" s="609">
        <v>44749</v>
      </c>
      <c r="C9469" s="362" t="s">
        <v>82</v>
      </c>
      <c r="D9469" s="560">
        <v>138041914</v>
      </c>
      <c r="E9469" s="560"/>
      <c r="F9469" s="560">
        <v>138041700</v>
      </c>
      <c r="G9469" s="560">
        <f t="shared" si="188"/>
        <v>214</v>
      </c>
      <c r="H9469" s="362"/>
      <c r="I9469" s="362"/>
      <c r="J9469" s="362"/>
    </row>
    <row r="9470" spans="1:10" x14ac:dyDescent="0.25">
      <c r="A9470" s="362"/>
      <c r="B9470" s="609">
        <v>44749</v>
      </c>
      <c r="C9470" s="362" t="s">
        <v>80</v>
      </c>
      <c r="D9470" s="560">
        <v>383556400</v>
      </c>
      <c r="E9470" s="560"/>
      <c r="F9470" s="560">
        <v>383556400</v>
      </c>
      <c r="G9470" s="560">
        <f t="shared" si="188"/>
        <v>0</v>
      </c>
      <c r="H9470" s="362"/>
      <c r="I9470" s="362"/>
      <c r="J9470" s="362"/>
    </row>
    <row r="9471" spans="1:10" x14ac:dyDescent="0.25">
      <c r="A9471" s="362"/>
      <c r="B9471" s="609">
        <v>44749</v>
      </c>
      <c r="C9471" s="362" t="s">
        <v>83</v>
      </c>
      <c r="D9471" s="560">
        <v>157389646</v>
      </c>
      <c r="E9471" s="560"/>
      <c r="F9471" s="560">
        <v>169245200</v>
      </c>
      <c r="G9471" s="560">
        <f t="shared" si="188"/>
        <v>-11855554</v>
      </c>
      <c r="H9471" s="362"/>
      <c r="I9471" s="362"/>
      <c r="J9471" s="362"/>
    </row>
    <row r="9472" spans="1:10" x14ac:dyDescent="0.25">
      <c r="A9472" s="362"/>
      <c r="B9472" s="609">
        <v>44749</v>
      </c>
      <c r="C9472" s="362" t="s">
        <v>78</v>
      </c>
      <c r="D9472" s="560">
        <v>115317717</v>
      </c>
      <c r="E9472" s="560"/>
      <c r="F9472" s="560">
        <v>115317800</v>
      </c>
      <c r="G9472" s="560">
        <f t="shared" si="188"/>
        <v>-83</v>
      </c>
      <c r="H9472" s="362"/>
      <c r="I9472" s="362"/>
      <c r="J9472" s="362"/>
    </row>
    <row r="9473" spans="1:10" x14ac:dyDescent="0.25">
      <c r="A9473" s="362"/>
      <c r="B9473" s="609">
        <v>44749</v>
      </c>
      <c r="C9473" s="362" t="s">
        <v>141</v>
      </c>
      <c r="D9473" s="560">
        <v>93986838</v>
      </c>
      <c r="E9473" s="560"/>
      <c r="F9473" s="560">
        <v>93986900</v>
      </c>
      <c r="G9473" s="560">
        <f t="shared" si="188"/>
        <v>-62</v>
      </c>
      <c r="H9473" s="362"/>
      <c r="I9473" s="362"/>
      <c r="J9473" s="362"/>
    </row>
    <row r="9474" spans="1:10" x14ac:dyDescent="0.25">
      <c r="A9474" s="362"/>
      <c r="B9474" s="609">
        <v>44749</v>
      </c>
      <c r="C9474" s="362" t="s">
        <v>89</v>
      </c>
      <c r="D9474" s="560">
        <v>142673800</v>
      </c>
      <c r="E9474" s="560"/>
      <c r="F9474" s="560">
        <v>142673700</v>
      </c>
      <c r="G9474" s="560">
        <f t="shared" si="188"/>
        <v>100</v>
      </c>
      <c r="H9474" s="362"/>
      <c r="I9474" s="362"/>
      <c r="J9474" s="362"/>
    </row>
    <row r="9475" spans="1:10" x14ac:dyDescent="0.25">
      <c r="A9475" s="362"/>
      <c r="B9475" s="609">
        <v>44749</v>
      </c>
      <c r="C9475" s="362" t="s">
        <v>81</v>
      </c>
      <c r="D9475" s="560">
        <v>133800377</v>
      </c>
      <c r="E9475" s="560"/>
      <c r="F9475" s="560">
        <v>133800377</v>
      </c>
      <c r="G9475" s="560">
        <f t="shared" si="188"/>
        <v>0</v>
      </c>
      <c r="H9475" s="362"/>
      <c r="I9475" s="362"/>
      <c r="J9475" s="362"/>
    </row>
    <row r="9476" spans="1:10" x14ac:dyDescent="0.25">
      <c r="A9476" s="362"/>
      <c r="B9476" s="609">
        <v>44749</v>
      </c>
      <c r="C9476" s="362" t="s">
        <v>84</v>
      </c>
      <c r="D9476" s="560">
        <v>239408193</v>
      </c>
      <c r="E9476" s="560"/>
      <c r="F9476" s="560">
        <v>239408200</v>
      </c>
      <c r="G9476" s="560">
        <f t="shared" si="188"/>
        <v>-7</v>
      </c>
      <c r="H9476" s="362"/>
      <c r="I9476" s="362"/>
      <c r="J9476" s="362"/>
    </row>
    <row r="9477" spans="1:10" x14ac:dyDescent="0.25">
      <c r="A9477" s="362"/>
      <c r="B9477" s="609">
        <v>44749</v>
      </c>
      <c r="C9477" s="362" t="s">
        <v>4751</v>
      </c>
      <c r="D9477" s="560">
        <v>221871900</v>
      </c>
      <c r="E9477" s="560"/>
      <c r="F9477" s="560">
        <v>221871900</v>
      </c>
      <c r="G9477" s="560">
        <f t="shared" si="188"/>
        <v>0</v>
      </c>
      <c r="H9477" s="362"/>
      <c r="I9477" s="362"/>
      <c r="J9477" s="362"/>
    </row>
    <row r="9478" spans="1:10" x14ac:dyDescent="0.25">
      <c r="A9478" s="362"/>
      <c r="B9478" s="609">
        <v>44749</v>
      </c>
      <c r="C9478" s="362" t="s">
        <v>166</v>
      </c>
      <c r="D9478" s="560">
        <v>198629779</v>
      </c>
      <c r="E9478" s="560"/>
      <c r="F9478" s="560">
        <v>198629800</v>
      </c>
      <c r="G9478" s="560">
        <f t="shared" si="188"/>
        <v>-21</v>
      </c>
      <c r="H9478" s="362"/>
      <c r="I9478" s="362"/>
      <c r="J9478" s="362"/>
    </row>
    <row r="9479" spans="1:10" x14ac:dyDescent="0.25">
      <c r="A9479" s="362"/>
      <c r="B9479" s="609">
        <v>44749</v>
      </c>
      <c r="C9479" s="362" t="s">
        <v>3435</v>
      </c>
      <c r="D9479" s="560">
        <v>59170090</v>
      </c>
      <c r="E9479" s="560"/>
      <c r="F9479" s="560">
        <v>59170100</v>
      </c>
      <c r="G9479" s="560">
        <f t="shared" si="188"/>
        <v>-10</v>
      </c>
      <c r="H9479" s="362"/>
      <c r="I9479" s="362"/>
      <c r="J9479" s="362"/>
    </row>
    <row r="9480" spans="1:10" x14ac:dyDescent="0.25">
      <c r="A9480" s="362"/>
      <c r="B9480" s="609">
        <v>44749</v>
      </c>
      <c r="C9480" s="370" t="s">
        <v>85</v>
      </c>
      <c r="D9480" s="560">
        <v>30309300</v>
      </c>
      <c r="E9480" s="560"/>
      <c r="F9480" s="560">
        <v>30309300</v>
      </c>
      <c r="G9480" s="560">
        <f t="shared" si="188"/>
        <v>0</v>
      </c>
      <c r="H9480" s="362"/>
      <c r="I9480" s="362"/>
      <c r="J9480" s="362"/>
    </row>
    <row r="9481" spans="1:10" x14ac:dyDescent="0.25">
      <c r="A9481" s="530"/>
      <c r="B9481" s="530"/>
      <c r="C9481" s="530"/>
      <c r="D9481" s="562">
        <f>SUM(D9466:D9480)</f>
        <v>2417599528</v>
      </c>
      <c r="E9481" s="562">
        <f>SUM(E9466:E9480)</f>
        <v>0</v>
      </c>
      <c r="F9481" s="562">
        <f>SUM(F9466:F9480)</f>
        <v>2429455077</v>
      </c>
      <c r="G9481" s="562">
        <f>SUM(G9466:G9480)</f>
        <v>-11855549</v>
      </c>
      <c r="H9481" s="530"/>
      <c r="I9481" s="530"/>
      <c r="J9481" s="530"/>
    </row>
    <row r="9482" spans="1:10" x14ac:dyDescent="0.25">
      <c r="A9482" s="362"/>
      <c r="B9482" s="609">
        <v>44750</v>
      </c>
      <c r="C9482" s="362" t="s">
        <v>86</v>
      </c>
      <c r="D9482" s="560">
        <v>98483858</v>
      </c>
      <c r="E9482" s="560"/>
      <c r="F9482" s="1386">
        <v>98483858</v>
      </c>
      <c r="G9482" s="560">
        <f t="shared" si="188"/>
        <v>0</v>
      </c>
      <c r="H9482" s="362"/>
      <c r="I9482" s="362"/>
      <c r="J9482" s="362"/>
    </row>
    <row r="9483" spans="1:10" x14ac:dyDescent="0.25">
      <c r="A9483" s="362"/>
      <c r="B9483" s="609">
        <v>44750</v>
      </c>
      <c r="C9483" s="362" t="s">
        <v>87</v>
      </c>
      <c r="D9483" s="560">
        <v>260702617</v>
      </c>
      <c r="E9483" s="560"/>
      <c r="F9483" s="560">
        <v>260702800</v>
      </c>
      <c r="G9483" s="560">
        <f t="shared" si="188"/>
        <v>-183</v>
      </c>
      <c r="H9483" s="362"/>
      <c r="I9483" s="362"/>
      <c r="J9483" s="362"/>
    </row>
    <row r="9484" spans="1:10" x14ac:dyDescent="0.25">
      <c r="A9484" s="362"/>
      <c r="B9484" s="609">
        <v>44750</v>
      </c>
      <c r="C9484" s="362" t="s">
        <v>88</v>
      </c>
      <c r="D9484" s="560">
        <v>240058018</v>
      </c>
      <c r="E9484" s="560" t="s">
        <v>18</v>
      </c>
      <c r="F9484" s="560">
        <v>240058100</v>
      </c>
      <c r="G9484" s="560">
        <f t="shared" si="188"/>
        <v>-82</v>
      </c>
      <c r="H9484" s="362"/>
      <c r="I9484" s="362"/>
      <c r="J9484" s="362"/>
    </row>
    <row r="9485" spans="1:10" x14ac:dyDescent="0.25">
      <c r="A9485" s="362"/>
      <c r="B9485" s="609">
        <v>44750</v>
      </c>
      <c r="C9485" s="362" t="s">
        <v>82</v>
      </c>
      <c r="D9485" s="560">
        <v>134714806</v>
      </c>
      <c r="E9485" s="560"/>
      <c r="F9485" s="560">
        <v>134714900</v>
      </c>
      <c r="G9485" s="560">
        <f t="shared" si="188"/>
        <v>-94</v>
      </c>
      <c r="H9485" s="362"/>
      <c r="I9485" s="362"/>
      <c r="J9485" s="362"/>
    </row>
    <row r="9486" spans="1:10" x14ac:dyDescent="0.25">
      <c r="A9486" s="362"/>
      <c r="B9486" s="609">
        <v>44750</v>
      </c>
      <c r="C9486" s="362" t="s">
        <v>80</v>
      </c>
      <c r="D9486" s="560">
        <v>370457146</v>
      </c>
      <c r="E9486" s="560"/>
      <c r="F9486" s="560">
        <v>370369200</v>
      </c>
      <c r="G9486" s="560">
        <f t="shared" si="188"/>
        <v>87946</v>
      </c>
      <c r="H9486" s="362"/>
      <c r="I9486" s="362"/>
      <c r="J9486" s="362"/>
    </row>
    <row r="9487" spans="1:10" x14ac:dyDescent="0.25">
      <c r="A9487" s="362"/>
      <c r="B9487" s="609">
        <v>44750</v>
      </c>
      <c r="C9487" s="362" t="s">
        <v>83</v>
      </c>
      <c r="D9487" s="560">
        <v>232950000</v>
      </c>
      <c r="E9487" s="560"/>
      <c r="F9487" s="560">
        <v>232950000</v>
      </c>
      <c r="G9487" s="560">
        <f t="shared" si="188"/>
        <v>0</v>
      </c>
      <c r="H9487" s="362"/>
      <c r="I9487" s="362"/>
      <c r="J9487" s="362"/>
    </row>
    <row r="9488" spans="1:10" x14ac:dyDescent="0.25">
      <c r="A9488" s="362"/>
      <c r="B9488" s="609">
        <v>44750</v>
      </c>
      <c r="C9488" s="362" t="s">
        <v>78</v>
      </c>
      <c r="D9488" s="560">
        <v>310258398</v>
      </c>
      <c r="E9488" s="560"/>
      <c r="F9488" s="1386">
        <v>310258400</v>
      </c>
      <c r="G9488" s="560">
        <f t="shared" si="188"/>
        <v>-2</v>
      </c>
      <c r="H9488" s="362"/>
      <c r="I9488" s="362"/>
      <c r="J9488" s="362"/>
    </row>
    <row r="9489" spans="1:10" x14ac:dyDescent="0.25">
      <c r="A9489" s="362"/>
      <c r="B9489" s="609">
        <v>44750</v>
      </c>
      <c r="C9489" s="362" t="s">
        <v>141</v>
      </c>
      <c r="D9489" s="560">
        <v>142836360</v>
      </c>
      <c r="E9489" s="560"/>
      <c r="F9489" s="560">
        <v>142836400</v>
      </c>
      <c r="G9489" s="560">
        <f t="shared" si="188"/>
        <v>-40</v>
      </c>
      <c r="H9489" s="362"/>
      <c r="I9489" s="362"/>
      <c r="J9489" s="362"/>
    </row>
    <row r="9490" spans="1:10" x14ac:dyDescent="0.25">
      <c r="A9490" s="362"/>
      <c r="B9490" s="609">
        <v>44750</v>
      </c>
      <c r="C9490" s="362" t="s">
        <v>89</v>
      </c>
      <c r="D9490" s="560">
        <v>277793000</v>
      </c>
      <c r="E9490" s="560"/>
      <c r="F9490" s="560">
        <v>277793000</v>
      </c>
      <c r="G9490" s="560">
        <f t="shared" si="188"/>
        <v>0</v>
      </c>
      <c r="H9490" s="362"/>
      <c r="I9490" s="362"/>
      <c r="J9490" s="362"/>
    </row>
    <row r="9491" spans="1:10" x14ac:dyDescent="0.25">
      <c r="A9491" s="362"/>
      <c r="B9491" s="609">
        <v>44750</v>
      </c>
      <c r="C9491" s="362" t="s">
        <v>81</v>
      </c>
      <c r="D9491" s="560">
        <v>197142152</v>
      </c>
      <c r="E9491" s="560"/>
      <c r="F9491" s="1386">
        <v>197142152</v>
      </c>
      <c r="G9491" s="560">
        <f t="shared" si="188"/>
        <v>0</v>
      </c>
      <c r="H9491" s="362"/>
      <c r="I9491" s="362"/>
      <c r="J9491" s="362"/>
    </row>
    <row r="9492" spans="1:10" x14ac:dyDescent="0.25">
      <c r="A9492" s="362"/>
      <c r="B9492" s="609">
        <v>44750</v>
      </c>
      <c r="C9492" s="362" t="s">
        <v>84</v>
      </c>
      <c r="D9492" s="560">
        <v>369203488</v>
      </c>
      <c r="E9492" s="560"/>
      <c r="F9492" s="560">
        <v>369203000</v>
      </c>
      <c r="G9492" s="560">
        <f t="shared" si="188"/>
        <v>488</v>
      </c>
      <c r="H9492" s="362"/>
      <c r="I9492" s="362"/>
      <c r="J9492" s="362"/>
    </row>
    <row r="9493" spans="1:10" x14ac:dyDescent="0.25">
      <c r="A9493" s="362"/>
      <c r="B9493" s="609">
        <v>44750</v>
      </c>
      <c r="C9493" s="362" t="s">
        <v>4751</v>
      </c>
      <c r="D9493" s="560">
        <v>240918700</v>
      </c>
      <c r="E9493" s="560"/>
      <c r="F9493" s="560">
        <v>240918700</v>
      </c>
      <c r="G9493" s="560">
        <f t="shared" si="188"/>
        <v>0</v>
      </c>
      <c r="H9493" s="362"/>
      <c r="I9493" s="362"/>
      <c r="J9493" s="362"/>
    </row>
    <row r="9494" spans="1:10" x14ac:dyDescent="0.25">
      <c r="A9494" s="362"/>
      <c r="B9494" s="609">
        <v>44750</v>
      </c>
      <c r="C9494" s="362" t="s">
        <v>166</v>
      </c>
      <c r="D9494" s="560"/>
      <c r="E9494" s="560"/>
      <c r="F9494" s="560"/>
      <c r="G9494" s="560">
        <f t="shared" si="188"/>
        <v>0</v>
      </c>
      <c r="H9494" s="362"/>
      <c r="I9494" s="362"/>
      <c r="J9494" s="362"/>
    </row>
    <row r="9495" spans="1:10" x14ac:dyDescent="0.25">
      <c r="A9495" s="362"/>
      <c r="B9495" s="609">
        <v>44750</v>
      </c>
      <c r="C9495" s="362" t="s">
        <v>3435</v>
      </c>
      <c r="D9495" s="560"/>
      <c r="E9495" s="560"/>
      <c r="F9495" s="560"/>
      <c r="G9495" s="560">
        <f t="shared" si="188"/>
        <v>0</v>
      </c>
      <c r="H9495" s="362"/>
      <c r="I9495" s="362"/>
      <c r="J9495" s="362"/>
    </row>
    <row r="9496" spans="1:10" x14ac:dyDescent="0.25">
      <c r="A9496" s="362"/>
      <c r="B9496" s="609">
        <v>44750</v>
      </c>
      <c r="C9496" s="370" t="s">
        <v>85</v>
      </c>
      <c r="D9496" s="560">
        <v>57616500</v>
      </c>
      <c r="E9496" s="560"/>
      <c r="F9496" s="560">
        <v>57616500</v>
      </c>
      <c r="G9496" s="560">
        <f t="shared" si="188"/>
        <v>0</v>
      </c>
      <c r="H9496" s="362"/>
      <c r="I9496" s="362"/>
      <c r="J9496" s="362"/>
    </row>
    <row r="9497" spans="1:10" x14ac:dyDescent="0.25">
      <c r="A9497" s="530"/>
      <c r="B9497" s="530"/>
      <c r="C9497" s="530"/>
      <c r="D9497" s="630">
        <f>SUM(D9482:D9496)</f>
        <v>2933135043</v>
      </c>
      <c r="E9497" s="630">
        <f t="shared" ref="E9497:G9497" si="189">SUM(E9482:E9496)</f>
        <v>0</v>
      </c>
      <c r="F9497" s="630">
        <f t="shared" si="189"/>
        <v>2933047010</v>
      </c>
      <c r="G9497" s="630">
        <f t="shared" si="189"/>
        <v>88033</v>
      </c>
      <c r="H9497" s="530"/>
      <c r="I9497" s="530"/>
      <c r="J9497" s="530"/>
    </row>
    <row r="9498" spans="1:10" x14ac:dyDescent="0.25">
      <c r="A9498" s="362"/>
      <c r="B9498" s="609">
        <v>44753</v>
      </c>
      <c r="C9498" s="362" t="s">
        <v>86</v>
      </c>
      <c r="D9498" s="560">
        <v>162231565</v>
      </c>
      <c r="E9498" s="560"/>
      <c r="F9498" s="560">
        <v>162231900</v>
      </c>
      <c r="G9498" s="560">
        <f t="shared" si="188"/>
        <v>-335</v>
      </c>
      <c r="H9498" s="362"/>
      <c r="I9498" s="362"/>
      <c r="J9498" s="362"/>
    </row>
    <row r="9499" spans="1:10" x14ac:dyDescent="0.25">
      <c r="A9499" s="362"/>
      <c r="B9499" s="609">
        <v>44753</v>
      </c>
      <c r="C9499" s="362" t="s">
        <v>87</v>
      </c>
      <c r="D9499" s="560">
        <v>168616058</v>
      </c>
      <c r="E9499" s="560"/>
      <c r="F9499" s="560">
        <v>168616000</v>
      </c>
      <c r="G9499" s="560">
        <f t="shared" si="188"/>
        <v>58</v>
      </c>
      <c r="H9499" s="362"/>
      <c r="I9499" s="362"/>
      <c r="J9499" s="362"/>
    </row>
    <row r="9500" spans="1:10" x14ac:dyDescent="0.25">
      <c r="A9500" s="362"/>
      <c r="B9500" s="609">
        <v>44753</v>
      </c>
      <c r="C9500" s="362" t="s">
        <v>88</v>
      </c>
      <c r="D9500" s="560">
        <v>283297741</v>
      </c>
      <c r="E9500" s="560"/>
      <c r="F9500" s="560">
        <v>283297800</v>
      </c>
      <c r="G9500" s="560">
        <f t="shared" si="188"/>
        <v>-59</v>
      </c>
      <c r="H9500" s="362"/>
      <c r="I9500" s="362"/>
      <c r="J9500" s="362"/>
    </row>
    <row r="9501" spans="1:10" x14ac:dyDescent="0.25">
      <c r="A9501" s="362"/>
      <c r="B9501" s="609">
        <v>44753</v>
      </c>
      <c r="C9501" s="362" t="s">
        <v>82</v>
      </c>
      <c r="D9501" s="560">
        <v>100782457</v>
      </c>
      <c r="E9501" s="560"/>
      <c r="F9501" s="560">
        <v>100782700</v>
      </c>
      <c r="G9501" s="560">
        <f t="shared" si="188"/>
        <v>-243</v>
      </c>
      <c r="H9501" s="362"/>
      <c r="I9501" s="362"/>
      <c r="J9501" s="362"/>
    </row>
    <row r="9502" spans="1:10" x14ac:dyDescent="0.25">
      <c r="A9502" s="362"/>
      <c r="B9502" s="609">
        <v>44753</v>
      </c>
      <c r="C9502" s="362" t="s">
        <v>80</v>
      </c>
      <c r="D9502" s="560">
        <v>232624627</v>
      </c>
      <c r="E9502" s="560"/>
      <c r="F9502" s="560">
        <v>232623400</v>
      </c>
      <c r="G9502" s="560">
        <f t="shared" si="188"/>
        <v>1227</v>
      </c>
      <c r="H9502" s="362"/>
      <c r="I9502" s="362"/>
      <c r="J9502" s="362"/>
    </row>
    <row r="9503" spans="1:10" x14ac:dyDescent="0.25">
      <c r="A9503" s="362"/>
      <c r="B9503" s="609">
        <v>44753</v>
      </c>
      <c r="C9503" s="362" t="s">
        <v>83</v>
      </c>
      <c r="D9503" s="560">
        <v>313707539</v>
      </c>
      <c r="E9503" s="560"/>
      <c r="F9503" s="560">
        <v>313707600</v>
      </c>
      <c r="G9503" s="560">
        <f t="shared" si="188"/>
        <v>-61</v>
      </c>
      <c r="H9503" s="362"/>
      <c r="I9503" s="362"/>
      <c r="J9503" s="362"/>
    </row>
    <row r="9504" spans="1:10" x14ac:dyDescent="0.25">
      <c r="A9504" s="362"/>
      <c r="B9504" s="609">
        <v>44753</v>
      </c>
      <c r="C9504" s="362" t="s">
        <v>78</v>
      </c>
      <c r="D9504" s="560">
        <v>152302000</v>
      </c>
      <c r="E9504" s="560"/>
      <c r="F9504" s="560">
        <v>152302000</v>
      </c>
      <c r="G9504" s="560">
        <f t="shared" si="188"/>
        <v>0</v>
      </c>
      <c r="H9504" s="362"/>
      <c r="I9504" s="362"/>
      <c r="J9504" s="362"/>
    </row>
    <row r="9505" spans="1:10" x14ac:dyDescent="0.25">
      <c r="A9505" s="362"/>
      <c r="B9505" s="609">
        <v>44753</v>
      </c>
      <c r="C9505" s="362" t="s">
        <v>141</v>
      </c>
      <c r="D9505" s="560">
        <v>60412897</v>
      </c>
      <c r="E9505" s="560"/>
      <c r="F9505" s="560">
        <v>60412900</v>
      </c>
      <c r="G9505" s="560">
        <f t="shared" si="188"/>
        <v>-3</v>
      </c>
      <c r="H9505" s="362"/>
      <c r="I9505" s="362"/>
      <c r="J9505" s="362"/>
    </row>
    <row r="9506" spans="1:10" x14ac:dyDescent="0.25">
      <c r="A9506" s="362"/>
      <c r="B9506" s="609">
        <v>44753</v>
      </c>
      <c r="C9506" s="362" t="s">
        <v>89</v>
      </c>
      <c r="D9506" s="560">
        <v>202582400</v>
      </c>
      <c r="E9506" s="560"/>
      <c r="F9506" s="560">
        <v>202582400</v>
      </c>
      <c r="G9506" s="560">
        <f t="shared" si="188"/>
        <v>0</v>
      </c>
      <c r="H9506" s="362"/>
      <c r="I9506" s="362"/>
      <c r="J9506" s="362"/>
    </row>
    <row r="9507" spans="1:10" x14ac:dyDescent="0.25">
      <c r="A9507" s="362"/>
      <c r="B9507" s="609">
        <v>44753</v>
      </c>
      <c r="C9507" s="362" t="s">
        <v>81</v>
      </c>
      <c r="D9507" s="560">
        <v>82819442</v>
      </c>
      <c r="E9507" s="560"/>
      <c r="F9507" s="560">
        <v>82819500</v>
      </c>
      <c r="G9507" s="560">
        <f t="shared" si="188"/>
        <v>-58</v>
      </c>
      <c r="H9507" s="362"/>
      <c r="I9507" s="362"/>
      <c r="J9507" s="362"/>
    </row>
    <row r="9508" spans="1:10" x14ac:dyDescent="0.25">
      <c r="A9508" s="362"/>
      <c r="B9508" s="609">
        <v>44753</v>
      </c>
      <c r="C9508" s="362" t="s">
        <v>84</v>
      </c>
      <c r="D9508" s="560">
        <v>258913821</v>
      </c>
      <c r="E9508" s="560"/>
      <c r="F9508" s="560">
        <v>258914500</v>
      </c>
      <c r="G9508" s="560">
        <f t="shared" si="188"/>
        <v>-679</v>
      </c>
      <c r="H9508" s="362"/>
      <c r="I9508" s="362"/>
      <c r="J9508" s="362"/>
    </row>
    <row r="9509" spans="1:10" x14ac:dyDescent="0.25">
      <c r="A9509" s="362"/>
      <c r="B9509" s="609">
        <v>44753</v>
      </c>
      <c r="C9509" s="362" t="s">
        <v>4751</v>
      </c>
      <c r="D9509" s="560">
        <v>211345500</v>
      </c>
      <c r="E9509" s="560"/>
      <c r="F9509" s="560">
        <v>211345400</v>
      </c>
      <c r="G9509" s="560">
        <f t="shared" si="188"/>
        <v>100</v>
      </c>
      <c r="H9509" s="362"/>
      <c r="I9509" s="362"/>
      <c r="J9509" s="362"/>
    </row>
    <row r="9510" spans="1:10" x14ac:dyDescent="0.25">
      <c r="A9510" s="362"/>
      <c r="B9510" s="609">
        <v>44753</v>
      </c>
      <c r="C9510" s="362" t="s">
        <v>166</v>
      </c>
      <c r="D9510" s="560">
        <v>105553575</v>
      </c>
      <c r="E9510" s="560"/>
      <c r="F9510" s="560">
        <v>105553500</v>
      </c>
      <c r="G9510" s="560">
        <f t="shared" si="188"/>
        <v>75</v>
      </c>
      <c r="H9510" s="362"/>
      <c r="I9510" s="362"/>
      <c r="J9510" s="362"/>
    </row>
    <row r="9511" spans="1:10" x14ac:dyDescent="0.25">
      <c r="A9511" s="362"/>
      <c r="B9511" s="609">
        <v>44753</v>
      </c>
      <c r="C9511" s="362" t="s">
        <v>3435</v>
      </c>
      <c r="D9511" s="560">
        <v>35168466</v>
      </c>
      <c r="E9511" s="560"/>
      <c r="F9511" s="560">
        <v>35168500</v>
      </c>
      <c r="G9511" s="560">
        <f t="shared" si="188"/>
        <v>-34</v>
      </c>
      <c r="H9511" s="362"/>
      <c r="I9511" s="362"/>
      <c r="J9511" s="362"/>
    </row>
    <row r="9512" spans="1:10" x14ac:dyDescent="0.25">
      <c r="A9512" s="362"/>
      <c r="B9512" s="609">
        <v>44753</v>
      </c>
      <c r="C9512" s="370" t="s">
        <v>85</v>
      </c>
      <c r="D9512" s="560">
        <v>66971500</v>
      </c>
      <c r="E9512" s="560"/>
      <c r="F9512" s="560">
        <v>66971500</v>
      </c>
      <c r="G9512" s="560">
        <f t="shared" si="188"/>
        <v>0</v>
      </c>
      <c r="H9512" s="362"/>
      <c r="I9512" s="362"/>
      <c r="J9512" s="362"/>
    </row>
    <row r="9513" spans="1:10" x14ac:dyDescent="0.25">
      <c r="A9513" s="530"/>
      <c r="B9513" s="530"/>
      <c r="C9513" s="530"/>
      <c r="D9513" s="562">
        <f>SUM(D9498:D9512)</f>
        <v>2437329588</v>
      </c>
      <c r="E9513" s="562">
        <f t="shared" ref="E9513:G9513" si="190">SUM(E9498:E9512)</f>
        <v>0</v>
      </c>
      <c r="F9513" s="562">
        <f t="shared" si="190"/>
        <v>2437329600</v>
      </c>
      <c r="G9513" s="562">
        <f t="shared" si="190"/>
        <v>-12</v>
      </c>
      <c r="H9513" s="530"/>
      <c r="I9513" s="530"/>
      <c r="J9513" s="530"/>
    </row>
    <row r="9514" spans="1:10" x14ac:dyDescent="0.25">
      <c r="A9514" s="362"/>
      <c r="B9514" s="609">
        <v>44754</v>
      </c>
      <c r="C9514" s="362" t="s">
        <v>86</v>
      </c>
      <c r="D9514" s="560">
        <v>152253054</v>
      </c>
      <c r="E9514" s="560"/>
      <c r="F9514" s="560">
        <v>152253000</v>
      </c>
      <c r="G9514" s="560">
        <f t="shared" si="188"/>
        <v>54</v>
      </c>
      <c r="H9514" s="362"/>
      <c r="I9514" s="362"/>
      <c r="J9514" s="362"/>
    </row>
    <row r="9515" spans="1:10" x14ac:dyDescent="0.25">
      <c r="A9515" s="362"/>
      <c r="B9515" s="609">
        <v>44754</v>
      </c>
      <c r="C9515" s="362" t="s">
        <v>87</v>
      </c>
      <c r="D9515" s="560">
        <v>234722573</v>
      </c>
      <c r="E9515" s="560"/>
      <c r="F9515" s="560">
        <v>234722600</v>
      </c>
      <c r="G9515" s="560">
        <f t="shared" si="188"/>
        <v>-27</v>
      </c>
      <c r="H9515" s="362"/>
      <c r="I9515" s="362"/>
      <c r="J9515" s="362"/>
    </row>
    <row r="9516" spans="1:10" x14ac:dyDescent="0.25">
      <c r="A9516" s="362"/>
      <c r="B9516" s="609">
        <v>44754</v>
      </c>
      <c r="C9516" s="362" t="s">
        <v>88</v>
      </c>
      <c r="D9516" s="560">
        <v>170053883</v>
      </c>
      <c r="E9516" s="560"/>
      <c r="F9516" s="560">
        <v>170053900</v>
      </c>
      <c r="G9516" s="560">
        <f t="shared" si="188"/>
        <v>-17</v>
      </c>
      <c r="H9516" s="362"/>
      <c r="I9516" s="362"/>
      <c r="J9516" s="362"/>
    </row>
    <row r="9517" spans="1:10" x14ac:dyDescent="0.25">
      <c r="A9517" s="362"/>
      <c r="B9517" s="609">
        <v>44754</v>
      </c>
      <c r="C9517" s="362" t="s">
        <v>82</v>
      </c>
      <c r="D9517" s="560">
        <v>56356344</v>
      </c>
      <c r="E9517" s="560"/>
      <c r="F9517" s="560">
        <v>56356300</v>
      </c>
      <c r="G9517" s="560">
        <f t="shared" si="188"/>
        <v>44</v>
      </c>
      <c r="H9517" s="362"/>
      <c r="I9517" s="362"/>
      <c r="J9517" s="362"/>
    </row>
    <row r="9518" spans="1:10" x14ac:dyDescent="0.25">
      <c r="A9518" s="362"/>
      <c r="B9518" s="609">
        <v>44754</v>
      </c>
      <c r="C9518" s="362" t="s">
        <v>80</v>
      </c>
      <c r="D9518" s="560">
        <v>374570763</v>
      </c>
      <c r="E9518" s="560"/>
      <c r="F9518" s="560">
        <v>374560800</v>
      </c>
      <c r="G9518" s="560">
        <f t="shared" si="188"/>
        <v>9963</v>
      </c>
      <c r="H9518" s="362"/>
      <c r="I9518" s="362"/>
      <c r="J9518" s="362"/>
    </row>
    <row r="9519" spans="1:10" x14ac:dyDescent="0.25">
      <c r="A9519" s="362"/>
      <c r="B9519" s="609">
        <v>44754</v>
      </c>
      <c r="C9519" s="362" t="s">
        <v>83</v>
      </c>
      <c r="D9519" s="560">
        <v>252255800</v>
      </c>
      <c r="E9519" s="560"/>
      <c r="F9519" s="560">
        <v>252255800</v>
      </c>
      <c r="G9519" s="560">
        <f t="shared" si="188"/>
        <v>0</v>
      </c>
      <c r="H9519" s="362"/>
      <c r="I9519" s="362"/>
      <c r="J9519" s="362"/>
    </row>
    <row r="9520" spans="1:10" x14ac:dyDescent="0.25">
      <c r="A9520" s="362"/>
      <c r="B9520" s="609">
        <v>44754</v>
      </c>
      <c r="C9520" s="362" t="s">
        <v>78</v>
      </c>
      <c r="D9520" s="560">
        <v>135072400</v>
      </c>
      <c r="E9520" s="560"/>
      <c r="F9520" s="560">
        <v>135072400</v>
      </c>
      <c r="G9520" s="560">
        <f t="shared" si="188"/>
        <v>0</v>
      </c>
      <c r="H9520" s="362"/>
      <c r="I9520" s="362"/>
      <c r="J9520" s="362"/>
    </row>
    <row r="9521" spans="1:10" x14ac:dyDescent="0.25">
      <c r="A9521" s="362"/>
      <c r="B9521" s="609">
        <v>44754</v>
      </c>
      <c r="C9521" s="362" t="s">
        <v>141</v>
      </c>
      <c r="D9521" s="560">
        <v>104043258</v>
      </c>
      <c r="E9521" s="560"/>
      <c r="F9521" s="560">
        <v>104043300</v>
      </c>
      <c r="G9521" s="560">
        <f t="shared" si="188"/>
        <v>-42</v>
      </c>
      <c r="H9521" s="362"/>
      <c r="I9521" s="362"/>
      <c r="J9521" s="362"/>
    </row>
    <row r="9522" spans="1:10" x14ac:dyDescent="0.25">
      <c r="A9522" s="362"/>
      <c r="B9522" s="609">
        <v>44754</v>
      </c>
      <c r="C9522" s="362" t="s">
        <v>89</v>
      </c>
      <c r="D9522" s="560">
        <v>193578600</v>
      </c>
      <c r="E9522" s="560"/>
      <c r="F9522" s="560">
        <v>193578600</v>
      </c>
      <c r="G9522" s="560">
        <f t="shared" si="188"/>
        <v>0</v>
      </c>
      <c r="H9522" s="362"/>
      <c r="I9522" s="362"/>
      <c r="J9522" s="362"/>
    </row>
    <row r="9523" spans="1:10" x14ac:dyDescent="0.25">
      <c r="A9523" s="362"/>
      <c r="B9523" s="609">
        <v>44754</v>
      </c>
      <c r="C9523" s="362" t="s">
        <v>81</v>
      </c>
      <c r="D9523" s="560">
        <v>121689395</v>
      </c>
      <c r="E9523" s="560"/>
      <c r="F9523" s="560">
        <v>121689400</v>
      </c>
      <c r="G9523" s="560">
        <f t="shared" si="188"/>
        <v>-5</v>
      </c>
      <c r="H9523" s="362"/>
      <c r="I9523" s="362"/>
      <c r="J9523" s="362"/>
    </row>
    <row r="9524" spans="1:10" x14ac:dyDescent="0.25">
      <c r="A9524" s="362"/>
      <c r="B9524" s="609">
        <v>44754</v>
      </c>
      <c r="C9524" s="362" t="s">
        <v>84</v>
      </c>
      <c r="D9524" s="560">
        <v>406697033</v>
      </c>
      <c r="E9524" s="560"/>
      <c r="F9524" s="560">
        <v>406696900</v>
      </c>
      <c r="G9524" s="560">
        <f t="shared" si="188"/>
        <v>133</v>
      </c>
      <c r="H9524" s="362"/>
      <c r="I9524" s="362"/>
      <c r="J9524" s="362"/>
    </row>
    <row r="9525" spans="1:10" x14ac:dyDescent="0.25">
      <c r="A9525" s="362"/>
      <c r="B9525" s="609">
        <v>44754</v>
      </c>
      <c r="C9525" s="362" t="s">
        <v>4751</v>
      </c>
      <c r="D9525" s="560">
        <v>253004300</v>
      </c>
      <c r="E9525" s="560"/>
      <c r="F9525" s="560">
        <v>253004400</v>
      </c>
      <c r="G9525" s="560">
        <f t="shared" si="188"/>
        <v>-100</v>
      </c>
      <c r="H9525" s="362"/>
      <c r="I9525" s="362"/>
      <c r="J9525" s="362"/>
    </row>
    <row r="9526" spans="1:10" x14ac:dyDescent="0.25">
      <c r="A9526" s="362"/>
      <c r="B9526" s="609">
        <v>44754</v>
      </c>
      <c r="C9526" s="362" t="s">
        <v>166</v>
      </c>
      <c r="D9526" s="560">
        <v>86038758</v>
      </c>
      <c r="E9526" s="560"/>
      <c r="F9526" s="560">
        <v>86039000</v>
      </c>
      <c r="G9526" s="560">
        <f t="shared" si="188"/>
        <v>-242</v>
      </c>
      <c r="H9526" s="362"/>
      <c r="I9526" s="362"/>
      <c r="J9526" s="362"/>
    </row>
    <row r="9527" spans="1:10" x14ac:dyDescent="0.25">
      <c r="A9527" s="362"/>
      <c r="B9527" s="609">
        <v>44754</v>
      </c>
      <c r="C9527" s="362" t="s">
        <v>3435</v>
      </c>
      <c r="D9527" s="560">
        <v>28770556</v>
      </c>
      <c r="E9527" s="560"/>
      <c r="F9527" s="560">
        <v>28770600</v>
      </c>
      <c r="G9527" s="560">
        <f t="shared" si="188"/>
        <v>-44</v>
      </c>
      <c r="H9527" s="362"/>
      <c r="I9527" s="362"/>
      <c r="J9527" s="362"/>
    </row>
    <row r="9528" spans="1:10" x14ac:dyDescent="0.25">
      <c r="A9528" s="362"/>
      <c r="B9528" s="609">
        <v>44754</v>
      </c>
      <c r="C9528" s="370" t="s">
        <v>85</v>
      </c>
      <c r="D9528" s="560">
        <v>42361700</v>
      </c>
      <c r="E9528" s="560"/>
      <c r="F9528" s="560">
        <v>42361700</v>
      </c>
      <c r="G9528" s="560">
        <f t="shared" si="188"/>
        <v>0</v>
      </c>
      <c r="H9528" s="362"/>
      <c r="I9528" s="362"/>
      <c r="J9528" s="362"/>
    </row>
    <row r="9529" spans="1:10" x14ac:dyDescent="0.25">
      <c r="A9529" s="530"/>
      <c r="B9529" s="530"/>
      <c r="C9529" s="530"/>
      <c r="D9529" s="562">
        <f>SUM(D9514:D9528)</f>
        <v>2611468417</v>
      </c>
      <c r="E9529" s="562">
        <f t="shared" ref="E9529:G9529" si="191">SUM(E9514:E9528)</f>
        <v>0</v>
      </c>
      <c r="F9529" s="562">
        <f t="shared" si="191"/>
        <v>2611458700</v>
      </c>
      <c r="G9529" s="562">
        <f t="shared" si="191"/>
        <v>9717</v>
      </c>
      <c r="H9529" s="530"/>
      <c r="I9529" s="530"/>
      <c r="J9529" s="530"/>
    </row>
    <row r="9530" spans="1:10" x14ac:dyDescent="0.25">
      <c r="A9530" s="362"/>
      <c r="B9530" s="609">
        <v>44755</v>
      </c>
      <c r="C9530" s="362" t="s">
        <v>86</v>
      </c>
      <c r="D9530" s="560">
        <v>145822701</v>
      </c>
      <c r="E9530" s="560"/>
      <c r="F9530" s="560">
        <v>145822700</v>
      </c>
      <c r="G9530" s="560">
        <f t="shared" si="188"/>
        <v>1</v>
      </c>
      <c r="H9530" s="362"/>
      <c r="I9530" s="362"/>
      <c r="J9530" s="362"/>
    </row>
    <row r="9531" spans="1:10" x14ac:dyDescent="0.25">
      <c r="A9531" s="362"/>
      <c r="B9531" s="609">
        <v>44755</v>
      </c>
      <c r="C9531" s="362" t="s">
        <v>87</v>
      </c>
      <c r="D9531" s="560">
        <v>150957417</v>
      </c>
      <c r="E9531" s="560"/>
      <c r="F9531" s="560">
        <v>150956700</v>
      </c>
      <c r="G9531" s="560">
        <f t="shared" si="188"/>
        <v>717</v>
      </c>
      <c r="H9531" s="362"/>
      <c r="I9531" s="362"/>
      <c r="J9531" s="362"/>
    </row>
    <row r="9532" spans="1:10" x14ac:dyDescent="0.25">
      <c r="A9532" s="362"/>
      <c r="B9532" s="609">
        <v>44755</v>
      </c>
      <c r="C9532" s="362" t="s">
        <v>88</v>
      </c>
      <c r="D9532" s="560">
        <v>230359235</v>
      </c>
      <c r="E9532" s="560"/>
      <c r="F9532" s="560">
        <v>230359300</v>
      </c>
      <c r="G9532" s="560">
        <f t="shared" ref="G9532:G9595" si="192">D9532-F9532</f>
        <v>-65</v>
      </c>
      <c r="H9532" s="362"/>
      <c r="I9532" s="362"/>
      <c r="J9532" s="362"/>
    </row>
    <row r="9533" spans="1:10" x14ac:dyDescent="0.25">
      <c r="A9533" s="362"/>
      <c r="B9533" s="609">
        <v>44755</v>
      </c>
      <c r="C9533" s="362" t="s">
        <v>82</v>
      </c>
      <c r="D9533" s="560">
        <v>99246023</v>
      </c>
      <c r="E9533" s="560"/>
      <c r="F9533" s="560">
        <v>99246100</v>
      </c>
      <c r="G9533" s="560">
        <f t="shared" si="192"/>
        <v>-77</v>
      </c>
      <c r="H9533" s="362"/>
      <c r="I9533" s="362"/>
      <c r="J9533" s="362"/>
    </row>
    <row r="9534" spans="1:10" x14ac:dyDescent="0.25">
      <c r="A9534" s="362"/>
      <c r="B9534" s="609">
        <v>44755</v>
      </c>
      <c r="C9534" s="362" t="s">
        <v>80</v>
      </c>
      <c r="D9534" s="560">
        <v>251897999</v>
      </c>
      <c r="E9534" s="560"/>
      <c r="F9534" s="560">
        <v>251898100</v>
      </c>
      <c r="G9534" s="560">
        <f t="shared" si="192"/>
        <v>-101</v>
      </c>
      <c r="H9534" s="362"/>
      <c r="I9534" s="362"/>
      <c r="J9534" s="362"/>
    </row>
    <row r="9535" spans="1:10" x14ac:dyDescent="0.25">
      <c r="A9535" s="362"/>
      <c r="B9535" s="609">
        <v>44755</v>
      </c>
      <c r="C9535" s="362" t="s">
        <v>83</v>
      </c>
      <c r="D9535" s="560">
        <v>288268300</v>
      </c>
      <c r="E9535" s="560"/>
      <c r="F9535" s="560">
        <v>288268300</v>
      </c>
      <c r="G9535" s="560">
        <f t="shared" si="192"/>
        <v>0</v>
      </c>
      <c r="H9535" s="362"/>
      <c r="I9535" s="362"/>
      <c r="J9535" s="362"/>
    </row>
    <row r="9536" spans="1:10" x14ac:dyDescent="0.25">
      <c r="A9536" s="362"/>
      <c r="B9536" s="609">
        <v>44755</v>
      </c>
      <c r="C9536" s="362" t="s">
        <v>78</v>
      </c>
      <c r="D9536" s="560">
        <v>148393145</v>
      </c>
      <c r="E9536" s="560"/>
      <c r="F9536" s="560">
        <v>148393200</v>
      </c>
      <c r="G9536" s="560">
        <f t="shared" si="192"/>
        <v>-55</v>
      </c>
      <c r="H9536" s="362"/>
      <c r="I9536" s="362"/>
      <c r="J9536" s="362"/>
    </row>
    <row r="9537" spans="1:10" x14ac:dyDescent="0.25">
      <c r="A9537" s="362"/>
      <c r="B9537" s="609">
        <v>44755</v>
      </c>
      <c r="C9537" s="362" t="s">
        <v>141</v>
      </c>
      <c r="D9537" s="560">
        <v>156667888</v>
      </c>
      <c r="E9537" s="560"/>
      <c r="F9537" s="560">
        <v>156667900</v>
      </c>
      <c r="G9537" s="560">
        <f t="shared" si="192"/>
        <v>-12</v>
      </c>
      <c r="H9537" s="362"/>
      <c r="I9537" s="362"/>
      <c r="J9537" s="362"/>
    </row>
    <row r="9538" spans="1:10" x14ac:dyDescent="0.25">
      <c r="A9538" s="362"/>
      <c r="B9538" s="609">
        <v>44755</v>
      </c>
      <c r="C9538" s="362" t="s">
        <v>89</v>
      </c>
      <c r="D9538" s="560">
        <v>222515800</v>
      </c>
      <c r="E9538" s="560"/>
      <c r="F9538" s="560">
        <v>222515800</v>
      </c>
      <c r="G9538" s="560">
        <f t="shared" si="192"/>
        <v>0</v>
      </c>
      <c r="H9538" s="362"/>
      <c r="I9538" s="362"/>
      <c r="J9538" s="362"/>
    </row>
    <row r="9539" spans="1:10" x14ac:dyDescent="0.25">
      <c r="A9539" s="362"/>
      <c r="B9539" s="609">
        <v>44755</v>
      </c>
      <c r="C9539" s="362" t="s">
        <v>81</v>
      </c>
      <c r="D9539" s="560">
        <v>107844148</v>
      </c>
      <c r="E9539" s="560"/>
      <c r="F9539" s="560">
        <v>107844200</v>
      </c>
      <c r="G9539" s="560">
        <f t="shared" si="192"/>
        <v>-52</v>
      </c>
      <c r="H9539" s="362"/>
      <c r="I9539" s="362"/>
      <c r="J9539" s="362"/>
    </row>
    <row r="9540" spans="1:10" x14ac:dyDescent="0.25">
      <c r="A9540" s="362"/>
      <c r="B9540" s="609">
        <v>44755</v>
      </c>
      <c r="C9540" s="362" t="s">
        <v>84</v>
      </c>
      <c r="D9540" s="560">
        <v>353796335</v>
      </c>
      <c r="E9540" s="560"/>
      <c r="F9540" s="560">
        <v>353796400</v>
      </c>
      <c r="G9540" s="560">
        <f t="shared" si="192"/>
        <v>-65</v>
      </c>
      <c r="H9540" s="362"/>
      <c r="I9540" s="362"/>
      <c r="J9540" s="362"/>
    </row>
    <row r="9541" spans="1:10" x14ac:dyDescent="0.25">
      <c r="A9541" s="362"/>
      <c r="B9541" s="609">
        <v>44755</v>
      </c>
      <c r="C9541" s="362" t="s">
        <v>4751</v>
      </c>
      <c r="D9541" s="560">
        <v>211575600</v>
      </c>
      <c r="E9541" s="560"/>
      <c r="F9541" s="560">
        <v>211575600</v>
      </c>
      <c r="G9541" s="560">
        <f t="shared" si="192"/>
        <v>0</v>
      </c>
      <c r="H9541" s="362"/>
      <c r="I9541" s="362"/>
      <c r="J9541" s="362"/>
    </row>
    <row r="9542" spans="1:10" x14ac:dyDescent="0.25">
      <c r="A9542" s="362"/>
      <c r="B9542" s="609">
        <v>44755</v>
      </c>
      <c r="C9542" s="362" t="s">
        <v>166</v>
      </c>
      <c r="D9542" s="560">
        <v>61965861</v>
      </c>
      <c r="E9542" s="560"/>
      <c r="F9542" s="560">
        <v>61966000</v>
      </c>
      <c r="G9542" s="560">
        <f t="shared" si="192"/>
        <v>-139</v>
      </c>
      <c r="H9542" s="362"/>
      <c r="I9542" s="362"/>
      <c r="J9542" s="362"/>
    </row>
    <row r="9543" spans="1:10" x14ac:dyDescent="0.25">
      <c r="A9543" s="362"/>
      <c r="B9543" s="609">
        <v>44755</v>
      </c>
      <c r="C9543" s="362" t="s">
        <v>3435</v>
      </c>
      <c r="D9543" s="560">
        <v>48962290</v>
      </c>
      <c r="E9543" s="560"/>
      <c r="F9543" s="560">
        <v>48962300</v>
      </c>
      <c r="G9543" s="560">
        <f t="shared" si="192"/>
        <v>-10</v>
      </c>
      <c r="H9543" s="362"/>
      <c r="I9543" s="362"/>
      <c r="J9543" s="362"/>
    </row>
    <row r="9544" spans="1:10" x14ac:dyDescent="0.25">
      <c r="A9544" s="362"/>
      <c r="B9544" s="609">
        <v>44755</v>
      </c>
      <c r="C9544" s="370" t="s">
        <v>85</v>
      </c>
      <c r="D9544" s="560">
        <v>54995800</v>
      </c>
      <c r="E9544" s="560"/>
      <c r="F9544" s="560">
        <v>54995800</v>
      </c>
      <c r="G9544" s="560">
        <f t="shared" si="192"/>
        <v>0</v>
      </c>
      <c r="H9544" s="362"/>
      <c r="I9544" s="362"/>
      <c r="J9544" s="362"/>
    </row>
    <row r="9545" spans="1:10" x14ac:dyDescent="0.25">
      <c r="A9545" s="530"/>
      <c r="B9545" s="530"/>
      <c r="C9545" s="530"/>
      <c r="D9545" s="562">
        <f>SUM(D9530:D9544)</f>
        <v>2533268542</v>
      </c>
      <c r="E9545" s="562">
        <f t="shared" ref="E9545:G9545" si="193">SUM(E9530:E9544)</f>
        <v>0</v>
      </c>
      <c r="F9545" s="562">
        <f t="shared" si="193"/>
        <v>2533268400</v>
      </c>
      <c r="G9545" s="562">
        <f t="shared" si="193"/>
        <v>142</v>
      </c>
      <c r="H9545" s="530"/>
      <c r="I9545" s="530"/>
      <c r="J9545" s="530"/>
    </row>
    <row r="9546" spans="1:10" x14ac:dyDescent="0.25">
      <c r="A9546" s="362"/>
      <c r="B9546" s="609">
        <v>44756</v>
      </c>
      <c r="C9546" s="362" t="s">
        <v>86</v>
      </c>
      <c r="D9546" s="560">
        <v>154083671</v>
      </c>
      <c r="E9546" s="560"/>
      <c r="F9546" s="560">
        <v>154083700</v>
      </c>
      <c r="G9546" s="560">
        <f t="shared" si="192"/>
        <v>-29</v>
      </c>
      <c r="H9546" s="362"/>
      <c r="I9546" s="362"/>
      <c r="J9546" s="362"/>
    </row>
    <row r="9547" spans="1:10" x14ac:dyDescent="0.25">
      <c r="A9547" s="362"/>
      <c r="B9547" s="609">
        <v>44756</v>
      </c>
      <c r="C9547" s="362" t="s">
        <v>87</v>
      </c>
      <c r="D9547" s="560">
        <v>95402387</v>
      </c>
      <c r="E9547" s="560"/>
      <c r="F9547" s="560">
        <v>95402500</v>
      </c>
      <c r="G9547" s="560">
        <f t="shared" si="192"/>
        <v>-113</v>
      </c>
      <c r="H9547" s="362"/>
      <c r="I9547" s="362"/>
      <c r="J9547" s="362"/>
    </row>
    <row r="9548" spans="1:10" x14ac:dyDescent="0.25">
      <c r="A9548" s="362"/>
      <c r="B9548" s="609">
        <v>44756</v>
      </c>
      <c r="C9548" s="362" t="s">
        <v>88</v>
      </c>
      <c r="D9548" s="560">
        <v>206655410</v>
      </c>
      <c r="E9548" s="560"/>
      <c r="F9548" s="560">
        <v>206655500</v>
      </c>
      <c r="G9548" s="560">
        <f t="shared" si="192"/>
        <v>-90</v>
      </c>
      <c r="H9548" s="362"/>
      <c r="I9548" s="362"/>
      <c r="J9548" s="362"/>
    </row>
    <row r="9549" spans="1:10" x14ac:dyDescent="0.25">
      <c r="A9549" s="362"/>
      <c r="B9549" s="609">
        <v>44756</v>
      </c>
      <c r="C9549" s="362" t="s">
        <v>82</v>
      </c>
      <c r="D9549" s="560">
        <v>145669867</v>
      </c>
      <c r="E9549" s="560"/>
      <c r="F9549" s="560">
        <v>145669900</v>
      </c>
      <c r="G9549" s="560">
        <f t="shared" si="192"/>
        <v>-33</v>
      </c>
      <c r="H9549" s="362"/>
      <c r="I9549" s="362"/>
      <c r="J9549" s="362"/>
    </row>
    <row r="9550" spans="1:10" x14ac:dyDescent="0.25">
      <c r="A9550" s="362"/>
      <c r="B9550" s="609">
        <v>44756</v>
      </c>
      <c r="C9550" s="362" t="s">
        <v>80</v>
      </c>
      <c r="D9550" s="560">
        <v>310940600</v>
      </c>
      <c r="E9550" s="560"/>
      <c r="F9550" s="560">
        <v>310940600</v>
      </c>
      <c r="G9550" s="560">
        <f t="shared" si="192"/>
        <v>0</v>
      </c>
      <c r="H9550" s="362"/>
      <c r="I9550" s="362"/>
      <c r="J9550" s="362"/>
    </row>
    <row r="9551" spans="1:10" x14ac:dyDescent="0.25">
      <c r="A9551" s="362"/>
      <c r="B9551" s="609">
        <v>44756</v>
      </c>
      <c r="C9551" s="362" t="s">
        <v>83</v>
      </c>
      <c r="D9551" s="560">
        <v>177006768</v>
      </c>
      <c r="E9551" s="560"/>
      <c r="F9551" s="560">
        <v>177006700</v>
      </c>
      <c r="G9551" s="560">
        <f t="shared" si="192"/>
        <v>68</v>
      </c>
      <c r="H9551" s="362"/>
      <c r="I9551" s="362"/>
      <c r="J9551" s="362"/>
    </row>
    <row r="9552" spans="1:10" x14ac:dyDescent="0.25">
      <c r="A9552" s="362"/>
      <c r="B9552" s="609">
        <v>44756</v>
      </c>
      <c r="C9552" s="362" t="s">
        <v>78</v>
      </c>
      <c r="D9552" s="560">
        <v>102278074</v>
      </c>
      <c r="E9552" s="560"/>
      <c r="F9552" s="560">
        <v>102278100</v>
      </c>
      <c r="G9552" s="560">
        <f t="shared" si="192"/>
        <v>-26</v>
      </c>
      <c r="H9552" s="362"/>
      <c r="I9552" s="362"/>
      <c r="J9552" s="362"/>
    </row>
    <row r="9553" spans="1:10" x14ac:dyDescent="0.25">
      <c r="A9553" s="362"/>
      <c r="B9553" s="609">
        <v>44756</v>
      </c>
      <c r="C9553" s="362" t="s">
        <v>141</v>
      </c>
      <c r="D9553" s="560">
        <v>87372572</v>
      </c>
      <c r="E9553" s="560"/>
      <c r="F9553" s="560">
        <v>87372600</v>
      </c>
      <c r="G9553" s="560">
        <f t="shared" si="192"/>
        <v>-28</v>
      </c>
      <c r="H9553" s="362"/>
      <c r="I9553" s="362"/>
      <c r="J9553" s="362"/>
    </row>
    <row r="9554" spans="1:10" x14ac:dyDescent="0.25">
      <c r="A9554" s="362"/>
      <c r="B9554" s="609">
        <v>44756</v>
      </c>
      <c r="C9554" s="362" t="s">
        <v>89</v>
      </c>
      <c r="D9554" s="560">
        <v>210479700</v>
      </c>
      <c r="E9554" s="560"/>
      <c r="F9554" s="560">
        <v>210479600</v>
      </c>
      <c r="G9554" s="560">
        <f t="shared" si="192"/>
        <v>100</v>
      </c>
      <c r="H9554" s="362"/>
      <c r="I9554" s="362"/>
      <c r="J9554" s="362"/>
    </row>
    <row r="9555" spans="1:10" x14ac:dyDescent="0.25">
      <c r="A9555" s="362"/>
      <c r="B9555" s="609">
        <v>44756</v>
      </c>
      <c r="C9555" s="362" t="s">
        <v>81</v>
      </c>
      <c r="D9555" s="560">
        <v>208856171</v>
      </c>
      <c r="E9555" s="560"/>
      <c r="F9555" s="560">
        <v>208856200</v>
      </c>
      <c r="G9555" s="560">
        <f t="shared" si="192"/>
        <v>-29</v>
      </c>
      <c r="H9555" s="362"/>
      <c r="I9555" s="362"/>
      <c r="J9555" s="362"/>
    </row>
    <row r="9556" spans="1:10" x14ac:dyDescent="0.25">
      <c r="A9556" s="362"/>
      <c r="B9556" s="609">
        <v>44756</v>
      </c>
      <c r="C9556" s="362" t="s">
        <v>84</v>
      </c>
      <c r="D9556" s="560">
        <v>313730053</v>
      </c>
      <c r="E9556" s="560"/>
      <c r="F9556" s="560">
        <v>313730200</v>
      </c>
      <c r="G9556" s="560">
        <f t="shared" si="192"/>
        <v>-147</v>
      </c>
      <c r="H9556" s="362"/>
      <c r="I9556" s="362"/>
      <c r="J9556" s="362"/>
    </row>
    <row r="9557" spans="1:10" x14ac:dyDescent="0.25">
      <c r="A9557" s="362"/>
      <c r="B9557" s="609">
        <v>44756</v>
      </c>
      <c r="C9557" s="362" t="s">
        <v>4751</v>
      </c>
      <c r="D9557" s="560">
        <v>322318800</v>
      </c>
      <c r="E9557" s="560"/>
      <c r="F9557" s="560">
        <v>322318800</v>
      </c>
      <c r="G9557" s="560">
        <f t="shared" si="192"/>
        <v>0</v>
      </c>
      <c r="H9557" s="362"/>
      <c r="I9557" s="362"/>
      <c r="J9557" s="362"/>
    </row>
    <row r="9558" spans="1:10" x14ac:dyDescent="0.25">
      <c r="A9558" s="362"/>
      <c r="B9558" s="609">
        <v>44756</v>
      </c>
      <c r="C9558" s="362" t="s">
        <v>166</v>
      </c>
      <c r="D9558" s="560">
        <v>118361208</v>
      </c>
      <c r="E9558" s="560"/>
      <c r="F9558" s="560">
        <v>118361200</v>
      </c>
      <c r="G9558" s="560">
        <f t="shared" si="192"/>
        <v>8</v>
      </c>
      <c r="H9558" s="362"/>
      <c r="I9558" s="362"/>
      <c r="J9558" s="362"/>
    </row>
    <row r="9559" spans="1:10" x14ac:dyDescent="0.25">
      <c r="A9559" s="362"/>
      <c r="B9559" s="609">
        <v>44756</v>
      </c>
      <c r="C9559" s="362" t="s">
        <v>3435</v>
      </c>
      <c r="D9559" s="560">
        <v>94443261</v>
      </c>
      <c r="E9559" s="560"/>
      <c r="F9559" s="560">
        <v>94443300</v>
      </c>
      <c r="G9559" s="560">
        <f t="shared" si="192"/>
        <v>-39</v>
      </c>
      <c r="H9559" s="362"/>
      <c r="I9559" s="362"/>
      <c r="J9559" s="362"/>
    </row>
    <row r="9560" spans="1:10" x14ac:dyDescent="0.25">
      <c r="A9560" s="362"/>
      <c r="B9560" s="609">
        <v>44756</v>
      </c>
      <c r="C9560" s="370" t="s">
        <v>85</v>
      </c>
      <c r="D9560" s="560">
        <v>38613700</v>
      </c>
      <c r="E9560" s="560"/>
      <c r="F9560" s="560">
        <v>38613700</v>
      </c>
      <c r="G9560" s="560">
        <f t="shared" si="192"/>
        <v>0</v>
      </c>
      <c r="H9560" s="362"/>
      <c r="I9560" s="362"/>
      <c r="J9560" s="362"/>
    </row>
    <row r="9561" spans="1:10" x14ac:dyDescent="0.25">
      <c r="A9561" s="530"/>
      <c r="B9561" s="530"/>
      <c r="C9561" s="530"/>
      <c r="D9561" s="562">
        <f>SUM(D9546:D9560)</f>
        <v>2586212242</v>
      </c>
      <c r="E9561" s="562">
        <f t="shared" ref="E9561:G9561" si="194">SUM(E9546:E9560)</f>
        <v>0</v>
      </c>
      <c r="F9561" s="562">
        <f t="shared" si="194"/>
        <v>2586212600</v>
      </c>
      <c r="G9561" s="562">
        <f t="shared" si="194"/>
        <v>-358</v>
      </c>
      <c r="H9561" s="530"/>
      <c r="I9561" s="530"/>
      <c r="J9561" s="530"/>
    </row>
    <row r="9562" spans="1:10" x14ac:dyDescent="0.25">
      <c r="A9562" s="362"/>
      <c r="B9562" s="609">
        <v>44757</v>
      </c>
      <c r="C9562" s="362" t="s">
        <v>86</v>
      </c>
      <c r="D9562" s="560">
        <v>39025641</v>
      </c>
      <c r="E9562" s="560"/>
      <c r="F9562" s="560">
        <v>39025700</v>
      </c>
      <c r="G9562" s="560">
        <f t="shared" si="192"/>
        <v>-59</v>
      </c>
      <c r="H9562" s="362"/>
      <c r="I9562" s="362"/>
      <c r="J9562" s="362"/>
    </row>
    <row r="9563" spans="1:10" x14ac:dyDescent="0.25">
      <c r="A9563" s="362"/>
      <c r="B9563" s="609">
        <v>44757</v>
      </c>
      <c r="C9563" s="362" t="s">
        <v>87</v>
      </c>
      <c r="D9563" s="560">
        <v>266357718</v>
      </c>
      <c r="E9563" s="560"/>
      <c r="F9563" s="560">
        <v>266357800</v>
      </c>
      <c r="G9563" s="560">
        <f t="shared" si="192"/>
        <v>-82</v>
      </c>
      <c r="H9563" s="362"/>
      <c r="I9563" s="362"/>
      <c r="J9563" s="362"/>
    </row>
    <row r="9564" spans="1:10" x14ac:dyDescent="0.25">
      <c r="A9564" s="362"/>
      <c r="B9564" s="609">
        <v>44757</v>
      </c>
      <c r="C9564" s="362" t="s">
        <v>88</v>
      </c>
      <c r="D9564" s="560">
        <v>230052991</v>
      </c>
      <c r="E9564" s="560"/>
      <c r="F9564" s="560">
        <v>230053000</v>
      </c>
      <c r="G9564" s="560">
        <f t="shared" si="192"/>
        <v>-9</v>
      </c>
      <c r="H9564" s="362"/>
      <c r="I9564" s="362"/>
      <c r="J9564" s="362"/>
    </row>
    <row r="9565" spans="1:10" x14ac:dyDescent="0.25">
      <c r="A9565" s="362"/>
      <c r="B9565" s="609">
        <v>44757</v>
      </c>
      <c r="C9565" s="362" t="s">
        <v>82</v>
      </c>
      <c r="D9565" s="560">
        <v>184138361</v>
      </c>
      <c r="E9565" s="560"/>
      <c r="F9565" s="560">
        <v>184138400</v>
      </c>
      <c r="G9565" s="560">
        <f t="shared" si="192"/>
        <v>-39</v>
      </c>
      <c r="H9565" s="362"/>
      <c r="I9565" s="362"/>
      <c r="J9565" s="362"/>
    </row>
    <row r="9566" spans="1:10" x14ac:dyDescent="0.25">
      <c r="A9566" s="362"/>
      <c r="B9566" s="609">
        <v>44757</v>
      </c>
      <c r="C9566" s="362" t="s">
        <v>80</v>
      </c>
      <c r="D9566" s="560">
        <v>237830513</v>
      </c>
      <c r="E9566" s="560"/>
      <c r="F9566" s="560">
        <v>237830200</v>
      </c>
      <c r="G9566" s="560">
        <f t="shared" si="192"/>
        <v>313</v>
      </c>
      <c r="H9566" s="362"/>
      <c r="I9566" s="362"/>
      <c r="J9566" s="362"/>
    </row>
    <row r="9567" spans="1:10" x14ac:dyDescent="0.25">
      <c r="A9567" s="362"/>
      <c r="B9567" s="609">
        <v>44757</v>
      </c>
      <c r="C9567" s="362" t="s">
        <v>83</v>
      </c>
      <c r="D9567" s="560">
        <v>185969500</v>
      </c>
      <c r="E9567" s="560"/>
      <c r="F9567" s="560">
        <v>185969500</v>
      </c>
      <c r="G9567" s="560">
        <f t="shared" si="192"/>
        <v>0</v>
      </c>
      <c r="H9567" s="362"/>
      <c r="I9567" s="362"/>
      <c r="J9567" s="362"/>
    </row>
    <row r="9568" spans="1:10" x14ac:dyDescent="0.25">
      <c r="A9568" s="362"/>
      <c r="B9568" s="609">
        <v>44757</v>
      </c>
      <c r="C9568" s="362" t="s">
        <v>78</v>
      </c>
      <c r="D9568" s="560">
        <v>81246000</v>
      </c>
      <c r="E9568" s="560"/>
      <c r="F9568" s="560">
        <v>81246000</v>
      </c>
      <c r="G9568" s="560">
        <f t="shared" si="192"/>
        <v>0</v>
      </c>
      <c r="H9568" s="362"/>
      <c r="I9568" s="362"/>
      <c r="J9568" s="362"/>
    </row>
    <row r="9569" spans="1:10" x14ac:dyDescent="0.25">
      <c r="A9569" s="362"/>
      <c r="B9569" s="609">
        <v>44757</v>
      </c>
      <c r="C9569" s="362" t="s">
        <v>141</v>
      </c>
      <c r="D9569" s="560">
        <v>91856960</v>
      </c>
      <c r="E9569" s="560"/>
      <c r="F9569" s="560">
        <v>91857100</v>
      </c>
      <c r="G9569" s="560">
        <f t="shared" si="192"/>
        <v>-140</v>
      </c>
      <c r="H9569" s="362"/>
      <c r="I9569" s="362"/>
      <c r="J9569" s="362"/>
    </row>
    <row r="9570" spans="1:10" x14ac:dyDescent="0.25">
      <c r="A9570" s="362"/>
      <c r="B9570" s="609">
        <v>44757</v>
      </c>
      <c r="C9570" s="362" t="s">
        <v>89</v>
      </c>
      <c r="D9570" s="560">
        <v>186911800</v>
      </c>
      <c r="E9570" s="560"/>
      <c r="F9570" s="560">
        <v>186911800</v>
      </c>
      <c r="G9570" s="560">
        <f t="shared" si="192"/>
        <v>0</v>
      </c>
      <c r="H9570" s="362"/>
      <c r="I9570" s="362"/>
      <c r="J9570" s="362"/>
    </row>
    <row r="9571" spans="1:10" x14ac:dyDescent="0.25">
      <c r="A9571" s="362"/>
      <c r="B9571" s="609">
        <v>44757</v>
      </c>
      <c r="C9571" s="362" t="s">
        <v>81</v>
      </c>
      <c r="D9571" s="560">
        <v>149393986</v>
      </c>
      <c r="E9571" s="560"/>
      <c r="F9571" s="560">
        <v>149394000</v>
      </c>
      <c r="G9571" s="560">
        <f t="shared" si="192"/>
        <v>-14</v>
      </c>
      <c r="H9571" s="362"/>
      <c r="I9571" s="362"/>
      <c r="J9571" s="362"/>
    </row>
    <row r="9572" spans="1:10" x14ac:dyDescent="0.25">
      <c r="A9572" s="362"/>
      <c r="B9572" s="609">
        <v>44757</v>
      </c>
      <c r="C9572" s="362" t="s">
        <v>84</v>
      </c>
      <c r="D9572" s="560">
        <v>286596222</v>
      </c>
      <c r="E9572" s="560"/>
      <c r="F9572" s="560">
        <v>286596200</v>
      </c>
      <c r="G9572" s="560">
        <f t="shared" si="192"/>
        <v>22</v>
      </c>
      <c r="H9572" s="362"/>
      <c r="I9572" s="362"/>
      <c r="J9572" s="362"/>
    </row>
    <row r="9573" spans="1:10" x14ac:dyDescent="0.25">
      <c r="A9573" s="362"/>
      <c r="B9573" s="609">
        <v>44757</v>
      </c>
      <c r="C9573" s="362" t="s">
        <v>4751</v>
      </c>
      <c r="D9573" s="560">
        <v>202191400</v>
      </c>
      <c r="E9573" s="560"/>
      <c r="F9573" s="560">
        <v>202191400</v>
      </c>
      <c r="G9573" s="560">
        <f t="shared" si="192"/>
        <v>0</v>
      </c>
      <c r="H9573" s="362"/>
      <c r="I9573" s="362"/>
      <c r="J9573" s="362"/>
    </row>
    <row r="9574" spans="1:10" x14ac:dyDescent="0.25">
      <c r="A9574" s="362"/>
      <c r="B9574" s="609">
        <v>44757</v>
      </c>
      <c r="C9574" s="362" t="s">
        <v>166</v>
      </c>
      <c r="D9574" s="560">
        <v>30683186</v>
      </c>
      <c r="E9574" s="560"/>
      <c r="F9574" s="560">
        <v>30683300</v>
      </c>
      <c r="G9574" s="560">
        <f t="shared" si="192"/>
        <v>-114</v>
      </c>
      <c r="H9574" s="362"/>
      <c r="I9574" s="362"/>
      <c r="J9574" s="362"/>
    </row>
    <row r="9575" spans="1:10" x14ac:dyDescent="0.25">
      <c r="A9575" s="362"/>
      <c r="B9575" s="609">
        <v>44757</v>
      </c>
      <c r="C9575" s="362" t="s">
        <v>3435</v>
      </c>
      <c r="D9575" s="560"/>
      <c r="E9575" s="560"/>
      <c r="F9575" s="560"/>
      <c r="G9575" s="560">
        <f t="shared" si="192"/>
        <v>0</v>
      </c>
      <c r="H9575" s="362"/>
      <c r="I9575" s="362"/>
      <c r="J9575" s="362"/>
    </row>
    <row r="9576" spans="1:10" x14ac:dyDescent="0.25">
      <c r="A9576" s="362"/>
      <c r="B9576" s="609">
        <v>44757</v>
      </c>
      <c r="C9576" s="370" t="s">
        <v>85</v>
      </c>
      <c r="D9576" s="560">
        <v>37708300</v>
      </c>
      <c r="E9576" s="560"/>
      <c r="F9576" s="560">
        <v>37708300</v>
      </c>
      <c r="G9576" s="560">
        <f t="shared" si="192"/>
        <v>0</v>
      </c>
      <c r="H9576" s="362"/>
      <c r="I9576" s="362"/>
      <c r="J9576" s="362"/>
    </row>
    <row r="9577" spans="1:10" x14ac:dyDescent="0.25">
      <c r="A9577" s="530"/>
      <c r="B9577" s="530"/>
      <c r="C9577" s="530"/>
      <c r="D9577" s="630">
        <f>SUM(D9562:D9576)</f>
        <v>2209962578</v>
      </c>
      <c r="E9577" s="630">
        <f t="shared" ref="E9577:G9577" si="195">SUM(E9562:E9576)</f>
        <v>0</v>
      </c>
      <c r="F9577" s="630">
        <f t="shared" si="195"/>
        <v>2209962700</v>
      </c>
      <c r="G9577" s="630">
        <f t="shared" si="195"/>
        <v>-122</v>
      </c>
      <c r="H9577" s="530"/>
      <c r="I9577" s="530"/>
      <c r="J9577" s="530"/>
    </row>
    <row r="9578" spans="1:10" x14ac:dyDescent="0.25">
      <c r="A9578" s="362"/>
      <c r="B9578" s="609">
        <v>44758</v>
      </c>
      <c r="C9578" s="362" t="s">
        <v>86</v>
      </c>
      <c r="D9578" s="560">
        <v>119683455</v>
      </c>
      <c r="E9578" s="560"/>
      <c r="F9578" s="560">
        <v>119683800</v>
      </c>
      <c r="G9578" s="560">
        <f t="shared" si="192"/>
        <v>-345</v>
      </c>
      <c r="H9578" s="362"/>
      <c r="I9578" s="362"/>
      <c r="J9578" s="362"/>
    </row>
    <row r="9579" spans="1:10" x14ac:dyDescent="0.25">
      <c r="A9579" s="362"/>
      <c r="B9579" s="609">
        <v>44758</v>
      </c>
      <c r="C9579" s="362" t="s">
        <v>87</v>
      </c>
      <c r="D9579" s="560">
        <v>130158557</v>
      </c>
      <c r="E9579" s="560"/>
      <c r="F9579" s="560">
        <v>130158700</v>
      </c>
      <c r="G9579" s="560">
        <f t="shared" si="192"/>
        <v>-143</v>
      </c>
      <c r="H9579" s="362"/>
      <c r="I9579" s="362"/>
      <c r="J9579" s="362"/>
    </row>
    <row r="9580" spans="1:10" x14ac:dyDescent="0.25">
      <c r="A9580" s="362"/>
      <c r="B9580" s="609">
        <v>44758</v>
      </c>
      <c r="C9580" s="362" t="s">
        <v>88</v>
      </c>
      <c r="D9580" s="560">
        <v>104791329</v>
      </c>
      <c r="E9580" s="560"/>
      <c r="F9580" s="560">
        <v>104791300</v>
      </c>
      <c r="G9580" s="560">
        <f t="shared" si="192"/>
        <v>29</v>
      </c>
      <c r="H9580" s="362"/>
      <c r="I9580" s="362"/>
      <c r="J9580" s="362"/>
    </row>
    <row r="9581" spans="1:10" x14ac:dyDescent="0.25">
      <c r="A9581" s="362"/>
      <c r="B9581" s="609">
        <v>44758</v>
      </c>
      <c r="C9581" s="362" t="s">
        <v>82</v>
      </c>
      <c r="D9581" s="560">
        <v>152267982</v>
      </c>
      <c r="E9581" s="560"/>
      <c r="F9581" s="560">
        <v>152268000</v>
      </c>
      <c r="G9581" s="560">
        <f t="shared" si="192"/>
        <v>-18</v>
      </c>
      <c r="H9581" s="362"/>
      <c r="I9581" s="362"/>
      <c r="J9581" s="362"/>
    </row>
    <row r="9582" spans="1:10" x14ac:dyDescent="0.25">
      <c r="A9582" s="362"/>
      <c r="B9582" s="609">
        <v>44758</v>
      </c>
      <c r="C9582" s="362" t="s">
        <v>80</v>
      </c>
      <c r="D9582" s="560">
        <v>552678500</v>
      </c>
      <c r="E9582" s="560"/>
      <c r="F9582" s="560">
        <v>552678500</v>
      </c>
      <c r="G9582" s="560">
        <f t="shared" si="192"/>
        <v>0</v>
      </c>
      <c r="H9582" s="362"/>
      <c r="I9582" s="362"/>
      <c r="J9582" s="362"/>
    </row>
    <row r="9583" spans="1:10" x14ac:dyDescent="0.25">
      <c r="A9583" s="362"/>
      <c r="B9583" s="609">
        <v>44758</v>
      </c>
      <c r="C9583" s="362" t="s">
        <v>83</v>
      </c>
      <c r="D9583" s="560">
        <v>361559000</v>
      </c>
      <c r="E9583" s="560"/>
      <c r="F9583" s="560">
        <v>361559000</v>
      </c>
      <c r="G9583" s="560">
        <f t="shared" si="192"/>
        <v>0</v>
      </c>
      <c r="H9583" s="362"/>
      <c r="I9583" s="362"/>
      <c r="J9583" s="362"/>
    </row>
    <row r="9584" spans="1:10" x14ac:dyDescent="0.25">
      <c r="A9584" s="362"/>
      <c r="B9584" s="609">
        <v>44758</v>
      </c>
      <c r="C9584" s="362" t="s">
        <v>78</v>
      </c>
      <c r="D9584" s="560">
        <v>110949295</v>
      </c>
      <c r="E9584" s="560"/>
      <c r="F9584" s="560">
        <v>110949300</v>
      </c>
      <c r="G9584" s="560">
        <f t="shared" si="192"/>
        <v>-5</v>
      </c>
      <c r="H9584" s="362"/>
      <c r="I9584" s="362"/>
      <c r="J9584" s="362"/>
    </row>
    <row r="9585" spans="1:10" x14ac:dyDescent="0.25">
      <c r="A9585" s="362"/>
      <c r="B9585" s="609">
        <v>44758</v>
      </c>
      <c r="C9585" s="362" t="s">
        <v>141</v>
      </c>
      <c r="D9585" s="560">
        <v>76108324</v>
      </c>
      <c r="E9585" s="560"/>
      <c r="F9585" s="560">
        <v>76108400</v>
      </c>
      <c r="G9585" s="560">
        <f t="shared" si="192"/>
        <v>-76</v>
      </c>
      <c r="H9585" s="362"/>
      <c r="I9585" s="362"/>
      <c r="J9585" s="362"/>
    </row>
    <row r="9586" spans="1:10" x14ac:dyDescent="0.25">
      <c r="A9586" s="362"/>
      <c r="B9586" s="609">
        <v>44758</v>
      </c>
      <c r="C9586" s="362" t="s">
        <v>89</v>
      </c>
      <c r="D9586" s="560">
        <v>169922300</v>
      </c>
      <c r="E9586" s="560"/>
      <c r="F9586" s="560">
        <v>169922300</v>
      </c>
      <c r="G9586" s="560">
        <f t="shared" si="192"/>
        <v>0</v>
      </c>
      <c r="H9586" s="362"/>
      <c r="I9586" s="362"/>
      <c r="J9586" s="362"/>
    </row>
    <row r="9587" spans="1:10" x14ac:dyDescent="0.25">
      <c r="A9587" s="362"/>
      <c r="B9587" s="609">
        <v>44758</v>
      </c>
      <c r="C9587" s="362" t="s">
        <v>81</v>
      </c>
      <c r="D9587" s="560">
        <v>168751976</v>
      </c>
      <c r="E9587" s="560"/>
      <c r="F9587" s="560">
        <v>168752000</v>
      </c>
      <c r="G9587" s="560">
        <f t="shared" si="192"/>
        <v>-24</v>
      </c>
      <c r="H9587" s="362"/>
      <c r="I9587" s="362"/>
      <c r="J9587" s="362"/>
    </row>
    <row r="9588" spans="1:10" x14ac:dyDescent="0.25">
      <c r="A9588" s="362"/>
      <c r="B9588" s="609">
        <v>44758</v>
      </c>
      <c r="C9588" s="362" t="s">
        <v>84</v>
      </c>
      <c r="D9588" s="560">
        <v>237910414</v>
      </c>
      <c r="E9588" s="560"/>
      <c r="F9588" s="560">
        <v>237910400</v>
      </c>
      <c r="G9588" s="560">
        <f t="shared" si="192"/>
        <v>14</v>
      </c>
      <c r="H9588" s="362"/>
      <c r="I9588" s="362"/>
      <c r="J9588" s="362"/>
    </row>
    <row r="9589" spans="1:10" x14ac:dyDescent="0.25">
      <c r="A9589" s="362"/>
      <c r="B9589" s="609">
        <v>44758</v>
      </c>
      <c r="C9589" s="362" t="s">
        <v>4751</v>
      </c>
      <c r="D9589" s="560">
        <v>249800700</v>
      </c>
      <c r="E9589" s="560"/>
      <c r="F9589" s="560">
        <v>249800700</v>
      </c>
      <c r="G9589" s="560">
        <f t="shared" si="192"/>
        <v>0</v>
      </c>
      <c r="H9589" s="362"/>
      <c r="I9589" s="362"/>
      <c r="J9589" s="362"/>
    </row>
    <row r="9590" spans="1:10" x14ac:dyDescent="0.25">
      <c r="A9590" s="362"/>
      <c r="B9590" s="609">
        <v>44758</v>
      </c>
      <c r="C9590" s="362" t="s">
        <v>166</v>
      </c>
      <c r="D9590" s="560"/>
      <c r="E9590" s="560"/>
      <c r="F9590" s="560"/>
      <c r="G9590" s="560">
        <f t="shared" si="192"/>
        <v>0</v>
      </c>
      <c r="H9590" s="362"/>
      <c r="I9590" s="362"/>
      <c r="J9590" s="362"/>
    </row>
    <row r="9591" spans="1:10" x14ac:dyDescent="0.25">
      <c r="A9591" s="362"/>
      <c r="B9591" s="609">
        <v>44758</v>
      </c>
      <c r="C9591" s="362" t="s">
        <v>3435</v>
      </c>
      <c r="D9591" s="560"/>
      <c r="E9591" s="560"/>
      <c r="F9591" s="560"/>
      <c r="G9591" s="560">
        <f t="shared" si="192"/>
        <v>0</v>
      </c>
      <c r="H9591" s="362"/>
      <c r="I9591" s="362"/>
      <c r="J9591" s="362"/>
    </row>
    <row r="9592" spans="1:10" x14ac:dyDescent="0.25">
      <c r="A9592" s="362"/>
      <c r="B9592" s="609">
        <v>44758</v>
      </c>
      <c r="C9592" s="370" t="s">
        <v>85</v>
      </c>
      <c r="D9592" s="560">
        <v>27415600</v>
      </c>
      <c r="E9592" s="560"/>
      <c r="F9592" s="560">
        <v>27415600</v>
      </c>
      <c r="G9592" s="560">
        <f t="shared" si="192"/>
        <v>0</v>
      </c>
      <c r="H9592" s="362"/>
      <c r="I9592" s="362"/>
      <c r="J9592" s="362"/>
    </row>
    <row r="9593" spans="1:10" x14ac:dyDescent="0.25">
      <c r="A9593" s="530"/>
      <c r="B9593" s="530"/>
      <c r="C9593" s="530"/>
      <c r="D9593" s="562">
        <f>SUM(D9578:D9592)</f>
        <v>2461997432</v>
      </c>
      <c r="E9593" s="562">
        <f t="shared" ref="E9593:G9593" si="196">SUM(E9578:E9592)</f>
        <v>0</v>
      </c>
      <c r="F9593" s="562">
        <f t="shared" si="196"/>
        <v>2461998000</v>
      </c>
      <c r="G9593" s="562">
        <f t="shared" si="196"/>
        <v>-568</v>
      </c>
      <c r="H9593" s="530"/>
      <c r="I9593" s="530"/>
      <c r="J9593" s="530"/>
    </row>
    <row r="9594" spans="1:10" x14ac:dyDescent="0.25">
      <c r="A9594" s="362"/>
      <c r="B9594" s="609">
        <v>44760</v>
      </c>
      <c r="C9594" s="362" t="s">
        <v>86</v>
      </c>
      <c r="D9594" s="560">
        <v>182229537</v>
      </c>
      <c r="E9594" s="560"/>
      <c r="F9594" s="560">
        <v>182229500</v>
      </c>
      <c r="G9594" s="560">
        <f t="shared" si="192"/>
        <v>37</v>
      </c>
      <c r="H9594" s="362"/>
      <c r="I9594" s="362"/>
      <c r="J9594" s="362"/>
    </row>
    <row r="9595" spans="1:10" x14ac:dyDescent="0.25">
      <c r="A9595" s="362"/>
      <c r="B9595" s="609">
        <v>44760</v>
      </c>
      <c r="C9595" s="362" t="s">
        <v>87</v>
      </c>
      <c r="D9595" s="560">
        <v>130339797</v>
      </c>
      <c r="E9595" s="560"/>
      <c r="F9595" s="560">
        <v>130339900</v>
      </c>
      <c r="G9595" s="560">
        <f t="shared" si="192"/>
        <v>-103</v>
      </c>
      <c r="H9595" s="362"/>
      <c r="I9595" s="362"/>
      <c r="J9595" s="362"/>
    </row>
    <row r="9596" spans="1:10" x14ac:dyDescent="0.25">
      <c r="A9596" s="362"/>
      <c r="B9596" s="609">
        <v>44760</v>
      </c>
      <c r="C9596" s="362" t="s">
        <v>88</v>
      </c>
      <c r="D9596" s="560">
        <v>243153160</v>
      </c>
      <c r="E9596" s="560"/>
      <c r="F9596" s="560">
        <v>243153200</v>
      </c>
      <c r="G9596" s="560">
        <f t="shared" ref="G9596:G9659" si="197">D9596-F9596</f>
        <v>-40</v>
      </c>
      <c r="H9596" s="362"/>
      <c r="I9596" s="362"/>
      <c r="J9596" s="362"/>
    </row>
    <row r="9597" spans="1:10" x14ac:dyDescent="0.25">
      <c r="A9597" s="362"/>
      <c r="B9597" s="609">
        <v>44760</v>
      </c>
      <c r="C9597" s="362" t="s">
        <v>82</v>
      </c>
      <c r="D9597" s="560">
        <v>57784583</v>
      </c>
      <c r="E9597" s="560"/>
      <c r="F9597" s="560">
        <v>57784600</v>
      </c>
      <c r="G9597" s="560">
        <f t="shared" si="197"/>
        <v>-17</v>
      </c>
      <c r="H9597" s="362"/>
      <c r="I9597" s="362"/>
      <c r="J9597" s="362"/>
    </row>
    <row r="9598" spans="1:10" x14ac:dyDescent="0.25">
      <c r="A9598" s="362"/>
      <c r="B9598" s="609">
        <v>44760</v>
      </c>
      <c r="C9598" s="362" t="s">
        <v>80</v>
      </c>
      <c r="D9598" s="560">
        <v>498718169</v>
      </c>
      <c r="E9598" s="560"/>
      <c r="F9598" s="560">
        <v>498717900</v>
      </c>
      <c r="G9598" s="560">
        <f t="shared" si="197"/>
        <v>269</v>
      </c>
      <c r="H9598" s="362"/>
      <c r="I9598" s="362"/>
      <c r="J9598" s="362"/>
    </row>
    <row r="9599" spans="1:10" x14ac:dyDescent="0.25">
      <c r="A9599" s="362"/>
      <c r="B9599" s="609">
        <v>44760</v>
      </c>
      <c r="C9599" s="362" t="s">
        <v>83</v>
      </c>
      <c r="D9599" s="560">
        <v>211485292</v>
      </c>
      <c r="E9599" s="560"/>
      <c r="F9599" s="560">
        <v>211485300</v>
      </c>
      <c r="G9599" s="560">
        <f t="shared" si="197"/>
        <v>-8</v>
      </c>
      <c r="H9599" s="362"/>
      <c r="I9599" s="362"/>
      <c r="J9599" s="362"/>
    </row>
    <row r="9600" spans="1:10" x14ac:dyDescent="0.25">
      <c r="A9600" s="362"/>
      <c r="B9600" s="609">
        <v>44760</v>
      </c>
      <c r="C9600" s="362" t="s">
        <v>78</v>
      </c>
      <c r="D9600" s="560">
        <v>138191501</v>
      </c>
      <c r="E9600" s="560"/>
      <c r="F9600" s="560">
        <v>138191600</v>
      </c>
      <c r="G9600" s="560">
        <f t="shared" si="197"/>
        <v>-99</v>
      </c>
      <c r="H9600" s="362"/>
      <c r="I9600" s="362"/>
      <c r="J9600" s="362"/>
    </row>
    <row r="9601" spans="1:10" x14ac:dyDescent="0.25">
      <c r="A9601" s="362"/>
      <c r="B9601" s="609">
        <v>44760</v>
      </c>
      <c r="C9601" s="362" t="s">
        <v>141</v>
      </c>
      <c r="D9601" s="560">
        <v>133750813</v>
      </c>
      <c r="E9601" s="560"/>
      <c r="F9601" s="560">
        <v>133750900</v>
      </c>
      <c r="G9601" s="560">
        <f t="shared" si="197"/>
        <v>-87</v>
      </c>
      <c r="H9601" s="362"/>
      <c r="I9601" s="362"/>
      <c r="J9601" s="362"/>
    </row>
    <row r="9602" spans="1:10" x14ac:dyDescent="0.25">
      <c r="A9602" s="362"/>
      <c r="B9602" s="609">
        <v>44760</v>
      </c>
      <c r="C9602" s="362" t="s">
        <v>89</v>
      </c>
      <c r="D9602" s="560">
        <v>255973800</v>
      </c>
      <c r="E9602" s="560"/>
      <c r="F9602" s="560">
        <v>255973700</v>
      </c>
      <c r="G9602" s="560">
        <f t="shared" si="197"/>
        <v>100</v>
      </c>
      <c r="H9602" s="362"/>
      <c r="I9602" s="362"/>
      <c r="J9602" s="362"/>
    </row>
    <row r="9603" spans="1:10" x14ac:dyDescent="0.25">
      <c r="A9603" s="362"/>
      <c r="B9603" s="609">
        <v>44760</v>
      </c>
      <c r="C9603" s="362" t="s">
        <v>81</v>
      </c>
      <c r="D9603" s="560">
        <v>312059682</v>
      </c>
      <c r="E9603" s="560"/>
      <c r="F9603" s="560">
        <v>312059700</v>
      </c>
      <c r="G9603" s="560">
        <f t="shared" si="197"/>
        <v>-18</v>
      </c>
      <c r="H9603" s="362"/>
      <c r="I9603" s="362"/>
      <c r="J9603" s="362"/>
    </row>
    <row r="9604" spans="1:10" x14ac:dyDescent="0.25">
      <c r="A9604" s="362"/>
      <c r="B9604" s="609">
        <v>44760</v>
      </c>
      <c r="C9604" s="362" t="s">
        <v>84</v>
      </c>
      <c r="D9604" s="560">
        <v>320405488</v>
      </c>
      <c r="E9604" s="560"/>
      <c r="F9604" s="560">
        <v>320405500</v>
      </c>
      <c r="G9604" s="560">
        <f t="shared" si="197"/>
        <v>-12</v>
      </c>
      <c r="H9604" s="362"/>
      <c r="I9604" s="362"/>
      <c r="J9604" s="362"/>
    </row>
    <row r="9605" spans="1:10" x14ac:dyDescent="0.25">
      <c r="A9605" s="362"/>
      <c r="B9605" s="609">
        <v>44760</v>
      </c>
      <c r="C9605" s="362" t="s">
        <v>4751</v>
      </c>
      <c r="D9605" s="560">
        <v>252075400</v>
      </c>
      <c r="E9605" s="560"/>
      <c r="F9605" s="560">
        <v>252075400</v>
      </c>
      <c r="G9605" s="560">
        <f t="shared" si="197"/>
        <v>0</v>
      </c>
      <c r="H9605" s="362"/>
      <c r="I9605" s="362"/>
      <c r="J9605" s="362"/>
    </row>
    <row r="9606" spans="1:10" x14ac:dyDescent="0.25">
      <c r="A9606" s="362"/>
      <c r="B9606" s="609">
        <v>44760</v>
      </c>
      <c r="C9606" s="362" t="s">
        <v>166</v>
      </c>
      <c r="D9606" s="560">
        <v>73686010</v>
      </c>
      <c r="E9606" s="560"/>
      <c r="F9606" s="560">
        <v>73686100</v>
      </c>
      <c r="G9606" s="560">
        <f t="shared" si="197"/>
        <v>-90</v>
      </c>
      <c r="H9606" s="362"/>
      <c r="I9606" s="362"/>
      <c r="J9606" s="362"/>
    </row>
    <row r="9607" spans="1:10" x14ac:dyDescent="0.25">
      <c r="A9607" s="362"/>
      <c r="B9607" s="609">
        <v>44760</v>
      </c>
      <c r="C9607" s="362" t="s">
        <v>3435</v>
      </c>
      <c r="D9607" s="560">
        <v>64145888</v>
      </c>
      <c r="E9607" s="560"/>
      <c r="F9607" s="560">
        <v>64145900</v>
      </c>
      <c r="G9607" s="560">
        <f t="shared" si="197"/>
        <v>-12</v>
      </c>
      <c r="H9607" s="362"/>
      <c r="I9607" s="362"/>
      <c r="J9607" s="362"/>
    </row>
    <row r="9608" spans="1:10" x14ac:dyDescent="0.25">
      <c r="A9608" s="362"/>
      <c r="B9608" s="609">
        <v>44760</v>
      </c>
      <c r="C9608" s="370" t="s">
        <v>85</v>
      </c>
      <c r="D9608" s="560">
        <v>58130900</v>
      </c>
      <c r="E9608" s="560"/>
      <c r="F9608" s="560">
        <v>58130900</v>
      </c>
      <c r="G9608" s="560">
        <f t="shared" si="197"/>
        <v>0</v>
      </c>
      <c r="H9608" s="362"/>
      <c r="I9608" s="362"/>
      <c r="J9608" s="362"/>
    </row>
    <row r="9609" spans="1:10" x14ac:dyDescent="0.25">
      <c r="A9609" s="530"/>
      <c r="B9609" s="530"/>
      <c r="C9609" s="530"/>
      <c r="D9609" s="562">
        <f>SUM(D9594:D9608)</f>
        <v>2932130020</v>
      </c>
      <c r="E9609" s="562">
        <f t="shared" ref="E9609:G9609" si="198">SUM(E9594:E9608)</f>
        <v>0</v>
      </c>
      <c r="F9609" s="562">
        <f t="shared" si="198"/>
        <v>2932130100</v>
      </c>
      <c r="G9609" s="562">
        <f t="shared" si="198"/>
        <v>-80</v>
      </c>
      <c r="H9609" s="530"/>
      <c r="I9609" s="530"/>
      <c r="J9609" s="530"/>
    </row>
    <row r="9610" spans="1:10" x14ac:dyDescent="0.25">
      <c r="A9610" s="362"/>
      <c r="B9610" s="609">
        <v>44761</v>
      </c>
      <c r="C9610" s="362" t="s">
        <v>86</v>
      </c>
      <c r="D9610" s="560">
        <v>110824643</v>
      </c>
      <c r="E9610" s="560"/>
      <c r="F9610" s="560">
        <v>110824700</v>
      </c>
      <c r="G9610" s="560">
        <f t="shared" si="197"/>
        <v>-57</v>
      </c>
      <c r="H9610" s="362"/>
      <c r="I9610" s="362"/>
      <c r="J9610" s="362"/>
    </row>
    <row r="9611" spans="1:10" x14ac:dyDescent="0.25">
      <c r="A9611" s="362"/>
      <c r="B9611" s="609">
        <v>44761</v>
      </c>
      <c r="C9611" s="362" t="s">
        <v>87</v>
      </c>
      <c r="D9611" s="560">
        <v>235679831</v>
      </c>
      <c r="E9611" s="560"/>
      <c r="F9611" s="560">
        <v>235679900</v>
      </c>
      <c r="G9611" s="560">
        <f t="shared" si="197"/>
        <v>-69</v>
      </c>
      <c r="H9611" s="362"/>
      <c r="I9611" s="362"/>
      <c r="J9611" s="362"/>
    </row>
    <row r="9612" spans="1:10" x14ac:dyDescent="0.25">
      <c r="A9612" s="362"/>
      <c r="B9612" s="609">
        <v>44761</v>
      </c>
      <c r="C9612" s="362" t="s">
        <v>88</v>
      </c>
      <c r="D9612" s="560">
        <v>242318784</v>
      </c>
      <c r="E9612" s="560"/>
      <c r="F9612" s="560">
        <v>242318800</v>
      </c>
      <c r="G9612" s="560">
        <f t="shared" si="197"/>
        <v>-16</v>
      </c>
      <c r="H9612" s="362"/>
      <c r="I9612" s="362"/>
      <c r="J9612" s="362"/>
    </row>
    <row r="9613" spans="1:10" x14ac:dyDescent="0.25">
      <c r="A9613" s="362"/>
      <c r="B9613" s="609">
        <v>44761</v>
      </c>
      <c r="C9613" s="362" t="s">
        <v>82</v>
      </c>
      <c r="D9613" s="560">
        <v>135522161</v>
      </c>
      <c r="E9613" s="560"/>
      <c r="F9613" s="560">
        <v>135522200</v>
      </c>
      <c r="G9613" s="560">
        <f t="shared" si="197"/>
        <v>-39</v>
      </c>
      <c r="H9613" s="362"/>
      <c r="I9613" s="362"/>
      <c r="J9613" s="362"/>
    </row>
    <row r="9614" spans="1:10" x14ac:dyDescent="0.25">
      <c r="A9614" s="362"/>
      <c r="B9614" s="609">
        <v>44761</v>
      </c>
      <c r="C9614" s="362" t="s">
        <v>80</v>
      </c>
      <c r="D9614" s="560">
        <v>304350700</v>
      </c>
      <c r="E9614" s="560"/>
      <c r="F9614" s="560">
        <v>304350700</v>
      </c>
      <c r="G9614" s="560">
        <f t="shared" si="197"/>
        <v>0</v>
      </c>
      <c r="H9614" s="362"/>
      <c r="I9614" s="362"/>
      <c r="J9614" s="362"/>
    </row>
    <row r="9615" spans="1:10" x14ac:dyDescent="0.25">
      <c r="A9615" s="362"/>
      <c r="B9615" s="609">
        <v>44761</v>
      </c>
      <c r="C9615" s="362" t="s">
        <v>83</v>
      </c>
      <c r="D9615" s="560">
        <v>212921891</v>
      </c>
      <c r="E9615" s="560"/>
      <c r="F9615" s="560">
        <v>212921900</v>
      </c>
      <c r="G9615" s="560">
        <f t="shared" si="197"/>
        <v>-9</v>
      </c>
      <c r="H9615" s="362"/>
      <c r="I9615" s="362"/>
      <c r="J9615" s="362"/>
    </row>
    <row r="9616" spans="1:10" x14ac:dyDescent="0.25">
      <c r="A9616" s="362"/>
      <c r="B9616" s="609">
        <v>44761</v>
      </c>
      <c r="C9616" s="362" t="s">
        <v>78</v>
      </c>
      <c r="D9616" s="560">
        <v>219360000</v>
      </c>
      <c r="E9616" s="560"/>
      <c r="F9616" s="560">
        <v>219360000</v>
      </c>
      <c r="G9616" s="560">
        <f t="shared" si="197"/>
        <v>0</v>
      </c>
      <c r="H9616" s="362"/>
      <c r="I9616" s="362"/>
      <c r="J9616" s="362"/>
    </row>
    <row r="9617" spans="1:10" x14ac:dyDescent="0.25">
      <c r="A9617" s="362"/>
      <c r="B9617" s="609">
        <v>44761</v>
      </c>
      <c r="C9617" s="362" t="s">
        <v>141</v>
      </c>
      <c r="D9617" s="560">
        <v>85084316</v>
      </c>
      <c r="E9617" s="560"/>
      <c r="F9617" s="560">
        <v>85084400</v>
      </c>
      <c r="G9617" s="560">
        <f t="shared" si="197"/>
        <v>-84</v>
      </c>
      <c r="H9617" s="362"/>
      <c r="I9617" s="362"/>
      <c r="J9617" s="362"/>
    </row>
    <row r="9618" spans="1:10" x14ac:dyDescent="0.25">
      <c r="A9618" s="362"/>
      <c r="B9618" s="609">
        <v>44761</v>
      </c>
      <c r="C9618" s="362" t="s">
        <v>89</v>
      </c>
      <c r="D9618" s="560">
        <v>116528200</v>
      </c>
      <c r="E9618" s="560"/>
      <c r="F9618" s="560">
        <v>116528200</v>
      </c>
      <c r="G9618" s="560">
        <f t="shared" si="197"/>
        <v>0</v>
      </c>
      <c r="H9618" s="362"/>
      <c r="I9618" s="362"/>
      <c r="J9618" s="362"/>
    </row>
    <row r="9619" spans="1:10" x14ac:dyDescent="0.25">
      <c r="A9619" s="362"/>
      <c r="B9619" s="609">
        <v>44761</v>
      </c>
      <c r="C9619" s="362" t="s">
        <v>81</v>
      </c>
      <c r="D9619" s="560">
        <v>137858475</v>
      </c>
      <c r="E9619" s="560"/>
      <c r="F9619" s="560">
        <v>137858500</v>
      </c>
      <c r="G9619" s="560">
        <f t="shared" si="197"/>
        <v>-25</v>
      </c>
      <c r="H9619" s="362"/>
      <c r="I9619" s="362"/>
      <c r="J9619" s="362"/>
    </row>
    <row r="9620" spans="1:10" x14ac:dyDescent="0.25">
      <c r="A9620" s="362"/>
      <c r="B9620" s="609">
        <v>44761</v>
      </c>
      <c r="C9620" s="362" t="s">
        <v>84</v>
      </c>
      <c r="D9620" s="560">
        <v>285127530</v>
      </c>
      <c r="E9620" s="560"/>
      <c r="F9620" s="560">
        <v>285126400</v>
      </c>
      <c r="G9620" s="560">
        <f t="shared" si="197"/>
        <v>1130</v>
      </c>
      <c r="H9620" s="362"/>
      <c r="I9620" s="362"/>
      <c r="J9620" s="362"/>
    </row>
    <row r="9621" spans="1:10" x14ac:dyDescent="0.25">
      <c r="A9621" s="362"/>
      <c r="B9621" s="609">
        <v>44761</v>
      </c>
      <c r="C9621" s="362" t="s">
        <v>4751</v>
      </c>
      <c r="D9621" s="560">
        <v>193907300</v>
      </c>
      <c r="E9621" s="560"/>
      <c r="F9621" s="560">
        <v>193907300</v>
      </c>
      <c r="G9621" s="560">
        <f t="shared" si="197"/>
        <v>0</v>
      </c>
      <c r="H9621" s="362"/>
      <c r="I9621" s="362"/>
      <c r="J9621" s="362"/>
    </row>
    <row r="9622" spans="1:10" x14ac:dyDescent="0.25">
      <c r="A9622" s="362"/>
      <c r="B9622" s="609">
        <v>44761</v>
      </c>
      <c r="C9622" s="362" t="s">
        <v>166</v>
      </c>
      <c r="D9622" s="560">
        <v>177653489</v>
      </c>
      <c r="E9622" s="560"/>
      <c r="F9622" s="560">
        <v>177653500</v>
      </c>
      <c r="G9622" s="560">
        <f t="shared" si="197"/>
        <v>-11</v>
      </c>
      <c r="H9622" s="362"/>
      <c r="I9622" s="362"/>
      <c r="J9622" s="362"/>
    </row>
    <row r="9623" spans="1:10" x14ac:dyDescent="0.25">
      <c r="A9623" s="362"/>
      <c r="B9623" s="609">
        <v>44761</v>
      </c>
      <c r="C9623" s="362" t="s">
        <v>3435</v>
      </c>
      <c r="D9623" s="560">
        <v>79778576</v>
      </c>
      <c r="E9623" s="560"/>
      <c r="F9623" s="560">
        <v>79778600</v>
      </c>
      <c r="G9623" s="560">
        <f t="shared" si="197"/>
        <v>-24</v>
      </c>
      <c r="H9623" s="362"/>
      <c r="I9623" s="362"/>
      <c r="J9623" s="362"/>
    </row>
    <row r="9624" spans="1:10" x14ac:dyDescent="0.25">
      <c r="A9624" s="362"/>
      <c r="B9624" s="609">
        <v>44761</v>
      </c>
      <c r="C9624" s="370" t="s">
        <v>85</v>
      </c>
      <c r="D9624" s="560">
        <v>36641200</v>
      </c>
      <c r="E9624" s="560"/>
      <c r="F9624" s="560">
        <v>36641200</v>
      </c>
      <c r="G9624" s="560">
        <f t="shared" si="197"/>
        <v>0</v>
      </c>
      <c r="H9624" s="362"/>
      <c r="I9624" s="362"/>
      <c r="J9624" s="362"/>
    </row>
    <row r="9625" spans="1:10" x14ac:dyDescent="0.25">
      <c r="A9625" s="530"/>
      <c r="B9625" s="530"/>
      <c r="C9625" s="530"/>
      <c r="D9625" s="562">
        <f>SUM(D9610:D9624)</f>
        <v>2573557096</v>
      </c>
      <c r="E9625" s="562">
        <f t="shared" ref="E9625:G9625" si="199">SUM(E9610:E9624)</f>
        <v>0</v>
      </c>
      <c r="F9625" s="562">
        <f t="shared" si="199"/>
        <v>2573556300</v>
      </c>
      <c r="G9625" s="562">
        <f t="shared" si="199"/>
        <v>796</v>
      </c>
      <c r="H9625" s="530"/>
      <c r="I9625" s="530"/>
      <c r="J9625" s="530"/>
    </row>
    <row r="9626" spans="1:10" x14ac:dyDescent="0.25">
      <c r="A9626" s="362"/>
      <c r="B9626" s="609">
        <v>44762</v>
      </c>
      <c r="C9626" s="362" t="s">
        <v>86</v>
      </c>
      <c r="D9626" s="560">
        <v>100166343</v>
      </c>
      <c r="E9626" s="560"/>
      <c r="F9626" s="560">
        <v>100166400</v>
      </c>
      <c r="G9626" s="560">
        <f t="shared" si="197"/>
        <v>-57</v>
      </c>
      <c r="H9626" s="362"/>
      <c r="I9626" s="362"/>
      <c r="J9626" s="362"/>
    </row>
    <row r="9627" spans="1:10" x14ac:dyDescent="0.25">
      <c r="A9627" s="362"/>
      <c r="B9627" s="609">
        <v>44762</v>
      </c>
      <c r="C9627" s="362" t="s">
        <v>87</v>
      </c>
      <c r="D9627" s="560">
        <v>203761273</v>
      </c>
      <c r="E9627" s="560"/>
      <c r="F9627" s="560">
        <v>203761500</v>
      </c>
      <c r="G9627" s="560">
        <f t="shared" si="197"/>
        <v>-227</v>
      </c>
      <c r="H9627" s="362"/>
      <c r="I9627" s="362"/>
      <c r="J9627" s="362"/>
    </row>
    <row r="9628" spans="1:10" x14ac:dyDescent="0.25">
      <c r="A9628" s="362"/>
      <c r="B9628" s="609">
        <v>44762</v>
      </c>
      <c r="C9628" s="362" t="s">
        <v>88</v>
      </c>
      <c r="D9628" s="560">
        <v>208007616</v>
      </c>
      <c r="E9628" s="560"/>
      <c r="F9628" s="560">
        <v>208007700</v>
      </c>
      <c r="G9628" s="560">
        <f t="shared" si="197"/>
        <v>-84</v>
      </c>
      <c r="H9628" s="362"/>
      <c r="I9628" s="362"/>
      <c r="J9628" s="362"/>
    </row>
    <row r="9629" spans="1:10" x14ac:dyDescent="0.25">
      <c r="A9629" s="362"/>
      <c r="B9629" s="609">
        <v>44762</v>
      </c>
      <c r="C9629" s="362" t="s">
        <v>82</v>
      </c>
      <c r="D9629" s="560">
        <v>141641376</v>
      </c>
      <c r="E9629" s="560"/>
      <c r="F9629" s="560">
        <v>141641400</v>
      </c>
      <c r="G9629" s="560">
        <f t="shared" si="197"/>
        <v>-24</v>
      </c>
      <c r="H9629" s="362"/>
      <c r="I9629" s="362"/>
      <c r="J9629" s="362"/>
    </row>
    <row r="9630" spans="1:10" x14ac:dyDescent="0.25">
      <c r="A9630" s="362"/>
      <c r="B9630" s="609">
        <v>44762</v>
      </c>
      <c r="C9630" s="362" t="s">
        <v>80</v>
      </c>
      <c r="D9630" s="560">
        <v>285696600</v>
      </c>
      <c r="E9630" s="560"/>
      <c r="F9630" s="560">
        <v>285696600</v>
      </c>
      <c r="G9630" s="560">
        <f t="shared" si="197"/>
        <v>0</v>
      </c>
      <c r="H9630" s="362"/>
      <c r="I9630" s="362"/>
      <c r="J9630" s="362"/>
    </row>
    <row r="9631" spans="1:10" x14ac:dyDescent="0.25">
      <c r="A9631" s="362"/>
      <c r="B9631" s="609">
        <v>44762</v>
      </c>
      <c r="C9631" s="362" t="s">
        <v>83</v>
      </c>
      <c r="D9631" s="560">
        <v>204146000</v>
      </c>
      <c r="E9631" s="560"/>
      <c r="F9631" s="560">
        <v>204146000</v>
      </c>
      <c r="G9631" s="560">
        <f t="shared" si="197"/>
        <v>0</v>
      </c>
      <c r="H9631" s="362"/>
      <c r="I9631" s="362"/>
      <c r="J9631" s="362"/>
    </row>
    <row r="9632" spans="1:10" x14ac:dyDescent="0.25">
      <c r="A9632" s="362"/>
      <c r="B9632" s="609">
        <v>44762</v>
      </c>
      <c r="C9632" s="362" t="s">
        <v>78</v>
      </c>
      <c r="D9632" s="560">
        <v>128304684</v>
      </c>
      <c r="E9632" s="560"/>
      <c r="F9632" s="560">
        <v>128304700</v>
      </c>
      <c r="G9632" s="560">
        <f t="shared" si="197"/>
        <v>-16</v>
      </c>
      <c r="H9632" s="362"/>
      <c r="I9632" s="362"/>
      <c r="J9632" s="362"/>
    </row>
    <row r="9633" spans="1:10" x14ac:dyDescent="0.25">
      <c r="A9633" s="362"/>
      <c r="B9633" s="609">
        <v>44762</v>
      </c>
      <c r="C9633" s="362" t="s">
        <v>141</v>
      </c>
      <c r="D9633" s="560">
        <v>170440130</v>
      </c>
      <c r="E9633" s="560"/>
      <c r="F9633" s="560">
        <v>170440200</v>
      </c>
      <c r="G9633" s="560">
        <f t="shared" si="197"/>
        <v>-70</v>
      </c>
      <c r="H9633" s="362"/>
      <c r="I9633" s="362"/>
      <c r="J9633" s="362"/>
    </row>
    <row r="9634" spans="1:10" x14ac:dyDescent="0.25">
      <c r="A9634" s="362"/>
      <c r="B9634" s="609">
        <v>44762</v>
      </c>
      <c r="C9634" s="362" t="s">
        <v>89</v>
      </c>
      <c r="D9634" s="560">
        <v>210770400</v>
      </c>
      <c r="E9634" s="560"/>
      <c r="F9634" s="560">
        <v>210770400</v>
      </c>
      <c r="G9634" s="560">
        <f t="shared" si="197"/>
        <v>0</v>
      </c>
      <c r="H9634" s="362"/>
      <c r="I9634" s="362"/>
      <c r="J9634" s="362"/>
    </row>
    <row r="9635" spans="1:10" x14ac:dyDescent="0.25">
      <c r="A9635" s="362"/>
      <c r="B9635" s="609">
        <v>44762</v>
      </c>
      <c r="C9635" s="362" t="s">
        <v>81</v>
      </c>
      <c r="D9635" s="560">
        <v>170852955</v>
      </c>
      <c r="E9635" s="560"/>
      <c r="F9635" s="560">
        <v>170841000</v>
      </c>
      <c r="G9635" s="560">
        <f t="shared" si="197"/>
        <v>11955</v>
      </c>
      <c r="H9635" s="362"/>
      <c r="I9635" s="362"/>
      <c r="J9635" s="362"/>
    </row>
    <row r="9636" spans="1:10" x14ac:dyDescent="0.25">
      <c r="A9636" s="362"/>
      <c r="B9636" s="609">
        <v>44762</v>
      </c>
      <c r="C9636" s="362" t="s">
        <v>84</v>
      </c>
      <c r="D9636" s="560">
        <v>344668212</v>
      </c>
      <c r="E9636" s="560"/>
      <c r="F9636" s="560">
        <v>344668700</v>
      </c>
      <c r="G9636" s="560">
        <f t="shared" si="197"/>
        <v>-488</v>
      </c>
      <c r="H9636" s="362"/>
      <c r="I9636" s="362"/>
      <c r="J9636" s="362"/>
    </row>
    <row r="9637" spans="1:10" x14ac:dyDescent="0.25">
      <c r="A9637" s="362"/>
      <c r="B9637" s="609">
        <v>44762</v>
      </c>
      <c r="C9637" s="362" t="s">
        <v>4751</v>
      </c>
      <c r="D9637" s="560">
        <v>146577900</v>
      </c>
      <c r="E9637" s="560"/>
      <c r="F9637" s="560">
        <v>146577900</v>
      </c>
      <c r="G9637" s="560">
        <f t="shared" si="197"/>
        <v>0</v>
      </c>
      <c r="H9637" s="362"/>
      <c r="I9637" s="362"/>
      <c r="J9637" s="362"/>
    </row>
    <row r="9638" spans="1:10" x14ac:dyDescent="0.25">
      <c r="A9638" s="362"/>
      <c r="B9638" s="609">
        <v>44762</v>
      </c>
      <c r="C9638" s="362" t="s">
        <v>166</v>
      </c>
      <c r="D9638" s="560">
        <v>74234281</v>
      </c>
      <c r="E9638" s="560"/>
      <c r="F9638" s="560">
        <v>74234500</v>
      </c>
      <c r="G9638" s="560">
        <f t="shared" si="197"/>
        <v>-219</v>
      </c>
      <c r="H9638" s="362"/>
      <c r="I9638" s="362"/>
      <c r="J9638" s="362"/>
    </row>
    <row r="9639" spans="1:10" x14ac:dyDescent="0.25">
      <c r="A9639" s="362"/>
      <c r="B9639" s="609">
        <v>44762</v>
      </c>
      <c r="C9639" s="362" t="s">
        <v>3435</v>
      </c>
      <c r="D9639" s="560">
        <v>31134866</v>
      </c>
      <c r="E9639" s="560"/>
      <c r="F9639" s="560">
        <v>31134900</v>
      </c>
      <c r="G9639" s="560">
        <f t="shared" si="197"/>
        <v>-34</v>
      </c>
      <c r="H9639" s="362"/>
      <c r="I9639" s="362"/>
      <c r="J9639" s="362"/>
    </row>
    <row r="9640" spans="1:10" x14ac:dyDescent="0.25">
      <c r="A9640" s="362"/>
      <c r="B9640" s="609">
        <v>44762</v>
      </c>
      <c r="C9640" s="370" t="s">
        <v>85</v>
      </c>
      <c r="D9640" s="560">
        <v>55403700</v>
      </c>
      <c r="E9640" s="560"/>
      <c r="F9640" s="560">
        <v>55403700</v>
      </c>
      <c r="G9640" s="560">
        <f t="shared" si="197"/>
        <v>0</v>
      </c>
      <c r="H9640" s="362"/>
      <c r="I9640" s="362"/>
      <c r="J9640" s="362"/>
    </row>
    <row r="9641" spans="1:10" x14ac:dyDescent="0.25">
      <c r="A9641" s="530"/>
      <c r="B9641" s="530"/>
      <c r="C9641" s="530"/>
      <c r="D9641" s="562">
        <f>SUM(D9626:D9640)</f>
        <v>2475806336</v>
      </c>
      <c r="E9641" s="562">
        <f t="shared" ref="E9641:G9641" si="200">SUM(E9626:E9640)</f>
        <v>0</v>
      </c>
      <c r="F9641" s="562">
        <f t="shared" si="200"/>
        <v>2475795600</v>
      </c>
      <c r="G9641" s="562">
        <f t="shared" si="200"/>
        <v>10736</v>
      </c>
      <c r="H9641" s="530"/>
      <c r="I9641" s="530"/>
      <c r="J9641" s="530"/>
    </row>
    <row r="9642" spans="1:10" x14ac:dyDescent="0.25">
      <c r="A9642" s="362"/>
      <c r="B9642" s="609">
        <v>44763</v>
      </c>
      <c r="C9642" s="362" t="s">
        <v>86</v>
      </c>
      <c r="D9642" s="560">
        <v>87013000</v>
      </c>
      <c r="E9642" s="560"/>
      <c r="F9642" s="560">
        <v>87013000</v>
      </c>
      <c r="G9642" s="560">
        <f t="shared" si="197"/>
        <v>0</v>
      </c>
      <c r="H9642" s="362"/>
      <c r="I9642" s="362"/>
      <c r="J9642" s="362"/>
    </row>
    <row r="9643" spans="1:10" x14ac:dyDescent="0.25">
      <c r="A9643" s="362"/>
      <c r="B9643" s="609">
        <v>44763</v>
      </c>
      <c r="C9643" s="362" t="s">
        <v>87</v>
      </c>
      <c r="D9643" s="560">
        <v>168433194</v>
      </c>
      <c r="E9643" s="560"/>
      <c r="F9643" s="560">
        <v>168433600</v>
      </c>
      <c r="G9643" s="560">
        <f t="shared" si="197"/>
        <v>-406</v>
      </c>
      <c r="H9643" s="362"/>
      <c r="I9643" s="362"/>
      <c r="J9643" s="362"/>
    </row>
    <row r="9644" spans="1:10" x14ac:dyDescent="0.25">
      <c r="A9644" s="362"/>
      <c r="B9644" s="609">
        <v>44763</v>
      </c>
      <c r="C9644" s="362" t="s">
        <v>88</v>
      </c>
      <c r="D9644" s="560">
        <v>275945544</v>
      </c>
      <c r="E9644" s="560"/>
      <c r="F9644" s="560">
        <v>275945600</v>
      </c>
      <c r="G9644" s="560">
        <f t="shared" si="197"/>
        <v>-56</v>
      </c>
      <c r="H9644" s="362"/>
      <c r="I9644" s="362"/>
      <c r="J9644" s="362"/>
    </row>
    <row r="9645" spans="1:10" x14ac:dyDescent="0.25">
      <c r="A9645" s="362"/>
      <c r="B9645" s="609">
        <v>44763</v>
      </c>
      <c r="C9645" s="362" t="s">
        <v>82</v>
      </c>
      <c r="D9645" s="560">
        <v>86063859</v>
      </c>
      <c r="E9645" s="560"/>
      <c r="F9645" s="560">
        <v>86063900</v>
      </c>
      <c r="G9645" s="560">
        <f t="shared" si="197"/>
        <v>-41</v>
      </c>
      <c r="H9645" s="362"/>
      <c r="I9645" s="362"/>
      <c r="J9645" s="362"/>
    </row>
    <row r="9646" spans="1:10" x14ac:dyDescent="0.25">
      <c r="A9646" s="362"/>
      <c r="B9646" s="609">
        <v>44763</v>
      </c>
      <c r="C9646" s="362" t="s">
        <v>80</v>
      </c>
      <c r="D9646" s="560">
        <v>297386700</v>
      </c>
      <c r="E9646" s="560"/>
      <c r="F9646" s="560">
        <v>297386700</v>
      </c>
      <c r="G9646" s="560">
        <f t="shared" si="197"/>
        <v>0</v>
      </c>
      <c r="H9646" s="362"/>
      <c r="I9646" s="362"/>
      <c r="J9646" s="362"/>
    </row>
    <row r="9647" spans="1:10" x14ac:dyDescent="0.25">
      <c r="A9647" s="362"/>
      <c r="B9647" s="609">
        <v>44763</v>
      </c>
      <c r="C9647" s="362" t="s">
        <v>83</v>
      </c>
      <c r="D9647" s="560">
        <v>134880757</v>
      </c>
      <c r="E9647" s="560"/>
      <c r="F9647" s="560">
        <v>134880800</v>
      </c>
      <c r="G9647" s="560">
        <f t="shared" si="197"/>
        <v>-43</v>
      </c>
      <c r="H9647" s="362"/>
      <c r="I9647" s="362"/>
      <c r="J9647" s="362"/>
    </row>
    <row r="9648" spans="1:10" x14ac:dyDescent="0.25">
      <c r="A9648" s="362"/>
      <c r="B9648" s="609">
        <v>44763</v>
      </c>
      <c r="C9648" s="362" t="s">
        <v>78</v>
      </c>
      <c r="D9648" s="560">
        <v>115750200</v>
      </c>
      <c r="E9648" s="560"/>
      <c r="F9648" s="560">
        <v>115750200</v>
      </c>
      <c r="G9648" s="560">
        <f t="shared" si="197"/>
        <v>0</v>
      </c>
      <c r="H9648" s="362"/>
      <c r="I9648" s="362"/>
      <c r="J9648" s="362"/>
    </row>
    <row r="9649" spans="1:10" x14ac:dyDescent="0.25">
      <c r="A9649" s="362"/>
      <c r="B9649" s="609">
        <v>44763</v>
      </c>
      <c r="C9649" s="362" t="s">
        <v>141</v>
      </c>
      <c r="D9649" s="560">
        <v>94612222</v>
      </c>
      <c r="E9649" s="560"/>
      <c r="F9649" s="560">
        <v>94612300</v>
      </c>
      <c r="G9649" s="560">
        <f t="shared" si="197"/>
        <v>-78</v>
      </c>
      <c r="H9649" s="362"/>
      <c r="I9649" s="362"/>
      <c r="J9649" s="362"/>
    </row>
    <row r="9650" spans="1:10" x14ac:dyDescent="0.25">
      <c r="A9650" s="362"/>
      <c r="B9650" s="609">
        <v>44763</v>
      </c>
      <c r="C9650" s="362" t="s">
        <v>89</v>
      </c>
      <c r="D9650" s="560">
        <v>189622400</v>
      </c>
      <c r="E9650" s="560"/>
      <c r="F9650" s="560">
        <v>189622400</v>
      </c>
      <c r="G9650" s="560">
        <f t="shared" si="197"/>
        <v>0</v>
      </c>
      <c r="H9650" s="362"/>
      <c r="I9650" s="362"/>
      <c r="J9650" s="362"/>
    </row>
    <row r="9651" spans="1:10" x14ac:dyDescent="0.25">
      <c r="A9651" s="362"/>
      <c r="B9651" s="609">
        <v>44763</v>
      </c>
      <c r="C9651" s="362" t="s">
        <v>81</v>
      </c>
      <c r="D9651" s="560">
        <v>77680251</v>
      </c>
      <c r="E9651" s="560"/>
      <c r="F9651" s="560">
        <v>77680300</v>
      </c>
      <c r="G9651" s="560">
        <f t="shared" si="197"/>
        <v>-49</v>
      </c>
      <c r="H9651" s="362"/>
      <c r="I9651" s="362"/>
      <c r="J9651" s="362"/>
    </row>
    <row r="9652" spans="1:10" x14ac:dyDescent="0.25">
      <c r="A9652" s="362"/>
      <c r="B9652" s="609">
        <v>44763</v>
      </c>
      <c r="C9652" s="362" t="s">
        <v>84</v>
      </c>
      <c r="D9652" s="560">
        <v>471846709</v>
      </c>
      <c r="E9652" s="560"/>
      <c r="F9652" s="560">
        <v>471846700</v>
      </c>
      <c r="G9652" s="560">
        <f t="shared" si="197"/>
        <v>9</v>
      </c>
      <c r="H9652" s="362"/>
      <c r="I9652" s="362"/>
      <c r="J9652" s="362"/>
    </row>
    <row r="9653" spans="1:10" x14ac:dyDescent="0.25">
      <c r="A9653" s="362"/>
      <c r="B9653" s="609">
        <v>44763</v>
      </c>
      <c r="C9653" s="362" t="s">
        <v>4751</v>
      </c>
      <c r="D9653" s="560">
        <v>222819900</v>
      </c>
      <c r="E9653" s="560"/>
      <c r="F9653" s="560">
        <v>222819900</v>
      </c>
      <c r="G9653" s="560">
        <f t="shared" si="197"/>
        <v>0</v>
      </c>
      <c r="H9653" s="362"/>
      <c r="I9653" s="362"/>
      <c r="J9653" s="362"/>
    </row>
    <row r="9654" spans="1:10" x14ac:dyDescent="0.25">
      <c r="A9654" s="362"/>
      <c r="B9654" s="609">
        <v>44763</v>
      </c>
      <c r="C9654" s="362" t="s">
        <v>166</v>
      </c>
      <c r="D9654" s="560">
        <v>120990297</v>
      </c>
      <c r="E9654" s="560"/>
      <c r="F9654" s="560">
        <v>120990200</v>
      </c>
      <c r="G9654" s="560">
        <f t="shared" si="197"/>
        <v>97</v>
      </c>
      <c r="H9654" s="362"/>
      <c r="I9654" s="362"/>
      <c r="J9654" s="362"/>
    </row>
    <row r="9655" spans="1:10" x14ac:dyDescent="0.25">
      <c r="A9655" s="362"/>
      <c r="B9655" s="609">
        <v>44763</v>
      </c>
      <c r="C9655" s="362" t="s">
        <v>3435</v>
      </c>
      <c r="D9655" s="560">
        <v>54122397</v>
      </c>
      <c r="E9655" s="560"/>
      <c r="F9655" s="560">
        <v>54122400</v>
      </c>
      <c r="G9655" s="560">
        <f t="shared" si="197"/>
        <v>-3</v>
      </c>
      <c r="H9655" s="362"/>
      <c r="I9655" s="362"/>
      <c r="J9655" s="362"/>
    </row>
    <row r="9656" spans="1:10" x14ac:dyDescent="0.25">
      <c r="A9656" s="362"/>
      <c r="B9656" s="609">
        <v>44763</v>
      </c>
      <c r="C9656" s="370" t="s">
        <v>85</v>
      </c>
      <c r="D9656" s="560">
        <v>33533900</v>
      </c>
      <c r="E9656" s="560"/>
      <c r="F9656" s="560">
        <v>33533900</v>
      </c>
      <c r="G9656" s="560">
        <f t="shared" si="197"/>
        <v>0</v>
      </c>
      <c r="H9656" s="362"/>
      <c r="I9656" s="362"/>
      <c r="J9656" s="362"/>
    </row>
    <row r="9657" spans="1:10" x14ac:dyDescent="0.25">
      <c r="A9657" s="530"/>
      <c r="B9657" s="530"/>
      <c r="C9657" s="530"/>
      <c r="D9657" s="562">
        <f>SUM(D9642:D9656)</f>
        <v>2430701330</v>
      </c>
      <c r="E9657" s="562">
        <f t="shared" ref="E9657:G9657" si="201">SUM(E9642:E9656)</f>
        <v>0</v>
      </c>
      <c r="F9657" s="562">
        <f t="shared" si="201"/>
        <v>2430701900</v>
      </c>
      <c r="G9657" s="562">
        <f t="shared" si="201"/>
        <v>-570</v>
      </c>
      <c r="H9657" s="530"/>
      <c r="I9657" s="530"/>
      <c r="J9657" s="530"/>
    </row>
    <row r="9658" spans="1:10" x14ac:dyDescent="0.25">
      <c r="A9658" s="362"/>
      <c r="B9658" s="609">
        <v>44764</v>
      </c>
      <c r="C9658" s="362" t="s">
        <v>86</v>
      </c>
      <c r="D9658" s="560">
        <v>161711788</v>
      </c>
      <c r="E9658" s="560"/>
      <c r="F9658" s="560">
        <v>161711800</v>
      </c>
      <c r="G9658" s="560">
        <f t="shared" si="197"/>
        <v>-12</v>
      </c>
      <c r="H9658" s="362"/>
      <c r="I9658" s="362"/>
      <c r="J9658" s="362"/>
    </row>
    <row r="9659" spans="1:10" x14ac:dyDescent="0.25">
      <c r="A9659" s="362"/>
      <c r="B9659" s="609">
        <v>44764</v>
      </c>
      <c r="C9659" s="362" t="s">
        <v>87</v>
      </c>
      <c r="D9659" s="560">
        <v>115298317</v>
      </c>
      <c r="E9659" s="560"/>
      <c r="F9659" s="560">
        <v>115298400</v>
      </c>
      <c r="G9659" s="560">
        <f t="shared" si="197"/>
        <v>-83</v>
      </c>
      <c r="H9659" s="362"/>
      <c r="I9659" s="362"/>
      <c r="J9659" s="362"/>
    </row>
    <row r="9660" spans="1:10" x14ac:dyDescent="0.25">
      <c r="A9660" s="362"/>
      <c r="B9660" s="609">
        <v>44764</v>
      </c>
      <c r="C9660" s="362" t="s">
        <v>88</v>
      </c>
      <c r="D9660" s="560">
        <v>75502192</v>
      </c>
      <c r="E9660" s="560"/>
      <c r="F9660" s="560">
        <v>75502200</v>
      </c>
      <c r="G9660" s="560">
        <f t="shared" ref="G9660:G9723" si="202">D9660-F9660</f>
        <v>-8</v>
      </c>
      <c r="H9660" s="362"/>
      <c r="I9660" s="362"/>
      <c r="J9660" s="362"/>
    </row>
    <row r="9661" spans="1:10" x14ac:dyDescent="0.25">
      <c r="A9661" s="362"/>
      <c r="B9661" s="609">
        <v>44764</v>
      </c>
      <c r="C9661" s="362" t="s">
        <v>82</v>
      </c>
      <c r="D9661" s="560">
        <v>99628411</v>
      </c>
      <c r="E9661" s="560"/>
      <c r="F9661" s="560">
        <v>99628500</v>
      </c>
      <c r="G9661" s="560">
        <f t="shared" si="202"/>
        <v>-89</v>
      </c>
      <c r="H9661" s="362"/>
      <c r="I9661" s="362"/>
      <c r="J9661" s="362"/>
    </row>
    <row r="9662" spans="1:10" x14ac:dyDescent="0.25">
      <c r="A9662" s="362"/>
      <c r="B9662" s="609">
        <v>44764</v>
      </c>
      <c r="C9662" s="362" t="s">
        <v>80</v>
      </c>
      <c r="D9662" s="560">
        <v>331994737</v>
      </c>
      <c r="E9662" s="560"/>
      <c r="F9662" s="560">
        <v>331994800</v>
      </c>
      <c r="G9662" s="560">
        <f t="shared" si="202"/>
        <v>-63</v>
      </c>
      <c r="H9662" s="362"/>
      <c r="I9662" s="362"/>
      <c r="J9662" s="362"/>
    </row>
    <row r="9663" spans="1:10" x14ac:dyDescent="0.25">
      <c r="A9663" s="362"/>
      <c r="B9663" s="609">
        <v>44764</v>
      </c>
      <c r="C9663" s="362" t="s">
        <v>83</v>
      </c>
      <c r="D9663" s="560">
        <v>267807528</v>
      </c>
      <c r="E9663" s="560"/>
      <c r="F9663" s="560">
        <v>267807500</v>
      </c>
      <c r="G9663" s="560">
        <f t="shared" si="202"/>
        <v>28</v>
      </c>
      <c r="H9663" s="362"/>
      <c r="I9663" s="362"/>
      <c r="J9663" s="362"/>
    </row>
    <row r="9664" spans="1:10" x14ac:dyDescent="0.25">
      <c r="A9664" s="362"/>
      <c r="B9664" s="609">
        <v>44764</v>
      </c>
      <c r="C9664" s="362" t="s">
        <v>78</v>
      </c>
      <c r="D9664" s="560">
        <v>140127700</v>
      </c>
      <c r="E9664" s="560"/>
      <c r="F9664" s="560">
        <v>140127700</v>
      </c>
      <c r="G9664" s="560">
        <f t="shared" si="202"/>
        <v>0</v>
      </c>
      <c r="H9664" s="362"/>
      <c r="I9664" s="362"/>
      <c r="J9664" s="362"/>
    </row>
    <row r="9665" spans="1:10" x14ac:dyDescent="0.25">
      <c r="A9665" s="362"/>
      <c r="B9665" s="609">
        <v>44764</v>
      </c>
      <c r="C9665" s="362" t="s">
        <v>141</v>
      </c>
      <c r="D9665" s="560">
        <v>82680739</v>
      </c>
      <c r="E9665" s="560"/>
      <c r="F9665" s="560">
        <v>82680800</v>
      </c>
      <c r="G9665" s="560">
        <f t="shared" si="202"/>
        <v>-61</v>
      </c>
      <c r="H9665" s="362"/>
      <c r="I9665" s="362"/>
      <c r="J9665" s="362"/>
    </row>
    <row r="9666" spans="1:10" x14ac:dyDescent="0.25">
      <c r="A9666" s="362"/>
      <c r="B9666" s="609">
        <v>44764</v>
      </c>
      <c r="C9666" s="362" t="s">
        <v>89</v>
      </c>
      <c r="D9666" s="560">
        <v>239125800</v>
      </c>
      <c r="E9666" s="560"/>
      <c r="F9666" s="560">
        <v>239125800</v>
      </c>
      <c r="G9666" s="560">
        <f t="shared" si="202"/>
        <v>0</v>
      </c>
      <c r="H9666" s="362"/>
      <c r="I9666" s="362"/>
      <c r="J9666" s="362"/>
    </row>
    <row r="9667" spans="1:10" x14ac:dyDescent="0.25">
      <c r="A9667" s="362"/>
      <c r="B9667" s="609">
        <v>44764</v>
      </c>
      <c r="C9667" s="362" t="s">
        <v>81</v>
      </c>
      <c r="D9667" s="560">
        <v>88468742</v>
      </c>
      <c r="E9667" s="560"/>
      <c r="F9667" s="560">
        <v>88468800</v>
      </c>
      <c r="G9667" s="560">
        <f t="shared" si="202"/>
        <v>-58</v>
      </c>
      <c r="H9667" s="362"/>
      <c r="I9667" s="362"/>
      <c r="J9667" s="362"/>
    </row>
    <row r="9668" spans="1:10" x14ac:dyDescent="0.25">
      <c r="A9668" s="362"/>
      <c r="B9668" s="609">
        <v>44764</v>
      </c>
      <c r="C9668" s="362" t="s">
        <v>84</v>
      </c>
      <c r="D9668" s="560">
        <v>272350836</v>
      </c>
      <c r="E9668" s="560"/>
      <c r="F9668" s="560">
        <v>272350800</v>
      </c>
      <c r="G9668" s="560">
        <f t="shared" si="202"/>
        <v>36</v>
      </c>
      <c r="H9668" s="362"/>
      <c r="I9668" s="362"/>
      <c r="J9668" s="362"/>
    </row>
    <row r="9669" spans="1:10" x14ac:dyDescent="0.25">
      <c r="A9669" s="362"/>
      <c r="B9669" s="609">
        <v>44764</v>
      </c>
      <c r="C9669" s="362" t="s">
        <v>4751</v>
      </c>
      <c r="D9669" s="560">
        <v>158207500</v>
      </c>
      <c r="E9669" s="560"/>
      <c r="F9669" s="560">
        <v>158207500</v>
      </c>
      <c r="G9669" s="560">
        <f t="shared" si="202"/>
        <v>0</v>
      </c>
      <c r="H9669" s="362"/>
      <c r="I9669" s="362"/>
      <c r="J9669" s="362"/>
    </row>
    <row r="9670" spans="1:10" x14ac:dyDescent="0.25">
      <c r="A9670" s="362"/>
      <c r="B9670" s="609">
        <v>44764</v>
      </c>
      <c r="C9670" s="362" t="s">
        <v>166</v>
      </c>
      <c r="D9670" s="560">
        <v>23338461</v>
      </c>
      <c r="E9670" s="560"/>
      <c r="F9670" s="560">
        <v>23338400</v>
      </c>
      <c r="G9670" s="560">
        <f t="shared" si="202"/>
        <v>61</v>
      </c>
      <c r="H9670" s="362"/>
      <c r="I9670" s="362"/>
      <c r="J9670" s="362"/>
    </row>
    <row r="9671" spans="1:10" x14ac:dyDescent="0.25">
      <c r="A9671" s="362"/>
      <c r="B9671" s="609">
        <v>44764</v>
      </c>
      <c r="C9671" s="362" t="s">
        <v>3435</v>
      </c>
      <c r="D9671" s="560">
        <v>53194396</v>
      </c>
      <c r="E9671" s="560"/>
      <c r="F9671" s="560">
        <v>53194400</v>
      </c>
      <c r="G9671" s="560">
        <f t="shared" si="202"/>
        <v>-4</v>
      </c>
      <c r="H9671" s="362"/>
      <c r="I9671" s="362"/>
      <c r="J9671" s="362"/>
    </row>
    <row r="9672" spans="1:10" x14ac:dyDescent="0.25">
      <c r="A9672" s="362"/>
      <c r="B9672" s="609">
        <v>44764</v>
      </c>
      <c r="C9672" s="370" t="s">
        <v>85</v>
      </c>
      <c r="D9672" s="560">
        <v>24977600</v>
      </c>
      <c r="E9672" s="560"/>
      <c r="F9672" s="560">
        <v>24977600</v>
      </c>
      <c r="G9672" s="560">
        <f t="shared" si="202"/>
        <v>0</v>
      </c>
      <c r="H9672" s="362"/>
      <c r="I9672" s="362"/>
      <c r="J9672" s="362"/>
    </row>
    <row r="9673" spans="1:10" x14ac:dyDescent="0.25">
      <c r="A9673" s="530"/>
      <c r="B9673" s="530"/>
      <c r="C9673" s="530"/>
      <c r="D9673" s="562">
        <f>SUM(D9658:D9672)</f>
        <v>2134414747</v>
      </c>
      <c r="E9673" s="562">
        <f t="shared" ref="E9673:G9673" si="203">SUM(E9658:E9672)</f>
        <v>0</v>
      </c>
      <c r="F9673" s="562">
        <f t="shared" si="203"/>
        <v>2134415000</v>
      </c>
      <c r="G9673" s="562">
        <f t="shared" si="203"/>
        <v>-253</v>
      </c>
      <c r="H9673" s="530"/>
      <c r="I9673" s="530"/>
      <c r="J9673" s="530"/>
    </row>
    <row r="9674" spans="1:10" x14ac:dyDescent="0.25">
      <c r="A9674" s="362"/>
      <c r="B9674" s="609">
        <v>44765</v>
      </c>
      <c r="C9674" s="362" t="s">
        <v>86</v>
      </c>
      <c r="D9674" s="560">
        <v>75200279</v>
      </c>
      <c r="E9674" s="560"/>
      <c r="F9674" s="560">
        <v>75200300</v>
      </c>
      <c r="G9674" s="560">
        <f t="shared" si="202"/>
        <v>-21</v>
      </c>
      <c r="H9674" s="362"/>
      <c r="I9674" s="362"/>
      <c r="J9674" s="362"/>
    </row>
    <row r="9675" spans="1:10" x14ac:dyDescent="0.25">
      <c r="A9675" s="362"/>
      <c r="B9675" s="609">
        <v>44765</v>
      </c>
      <c r="C9675" s="362" t="s">
        <v>87</v>
      </c>
      <c r="D9675" s="560">
        <v>110639905</v>
      </c>
      <c r="E9675" s="560"/>
      <c r="F9675" s="560">
        <v>110640000</v>
      </c>
      <c r="G9675" s="560">
        <f t="shared" si="202"/>
        <v>-95</v>
      </c>
      <c r="H9675" s="362"/>
      <c r="I9675" s="362"/>
      <c r="J9675" s="362"/>
    </row>
    <row r="9676" spans="1:10" x14ac:dyDescent="0.25">
      <c r="A9676" s="362"/>
      <c r="B9676" s="609">
        <v>44765</v>
      </c>
      <c r="C9676" s="362" t="s">
        <v>88</v>
      </c>
      <c r="D9676" s="560">
        <v>112419872</v>
      </c>
      <c r="E9676" s="560"/>
      <c r="F9676" s="560">
        <v>112419900</v>
      </c>
      <c r="G9676" s="560">
        <f t="shared" si="202"/>
        <v>-28</v>
      </c>
      <c r="H9676" s="362"/>
      <c r="I9676" s="362"/>
      <c r="J9676" s="362"/>
    </row>
    <row r="9677" spans="1:10" x14ac:dyDescent="0.25">
      <c r="A9677" s="362"/>
      <c r="B9677" s="609">
        <v>44765</v>
      </c>
      <c r="C9677" s="362" t="s">
        <v>82</v>
      </c>
      <c r="D9677" s="560">
        <v>78015068</v>
      </c>
      <c r="E9677" s="560"/>
      <c r="F9677" s="560">
        <v>78015200</v>
      </c>
      <c r="G9677" s="560">
        <f t="shared" si="202"/>
        <v>-132</v>
      </c>
      <c r="H9677" s="362"/>
      <c r="I9677" s="362"/>
      <c r="J9677" s="362"/>
    </row>
    <row r="9678" spans="1:10" x14ac:dyDescent="0.25">
      <c r="A9678" s="362"/>
      <c r="B9678" s="609">
        <v>44765</v>
      </c>
      <c r="C9678" s="362" t="s">
        <v>80</v>
      </c>
      <c r="D9678" s="560">
        <v>285414700</v>
      </c>
      <c r="E9678" s="560"/>
      <c r="F9678" s="560">
        <v>285414700</v>
      </c>
      <c r="G9678" s="560">
        <f t="shared" si="202"/>
        <v>0</v>
      </c>
      <c r="H9678" s="362"/>
      <c r="I9678" s="362"/>
      <c r="J9678" s="362"/>
    </row>
    <row r="9679" spans="1:10" x14ac:dyDescent="0.25">
      <c r="A9679" s="362"/>
      <c r="B9679" s="609">
        <v>44765</v>
      </c>
      <c r="C9679" s="362" t="s">
        <v>83</v>
      </c>
      <c r="D9679" s="560">
        <v>417223900</v>
      </c>
      <c r="E9679" s="560"/>
      <c r="F9679" s="560">
        <v>417223900</v>
      </c>
      <c r="G9679" s="560">
        <f t="shared" si="202"/>
        <v>0</v>
      </c>
      <c r="H9679" s="362"/>
      <c r="I9679" s="362"/>
      <c r="J9679" s="362"/>
    </row>
    <row r="9680" spans="1:10" x14ac:dyDescent="0.25">
      <c r="A9680" s="362"/>
      <c r="B9680" s="609">
        <v>44765</v>
      </c>
      <c r="C9680" s="362" t="s">
        <v>78</v>
      </c>
      <c r="D9680" s="560">
        <v>108657500</v>
      </c>
      <c r="E9680" s="560"/>
      <c r="F9680" s="560">
        <v>108657500</v>
      </c>
      <c r="G9680" s="560">
        <f t="shared" si="202"/>
        <v>0</v>
      </c>
      <c r="H9680" s="362"/>
      <c r="I9680" s="362"/>
      <c r="J9680" s="362"/>
    </row>
    <row r="9681" spans="1:10" x14ac:dyDescent="0.25">
      <c r="A9681" s="362"/>
      <c r="B9681" s="609">
        <v>44765</v>
      </c>
      <c r="C9681" s="362" t="s">
        <v>141</v>
      </c>
      <c r="D9681" s="560">
        <v>39320730</v>
      </c>
      <c r="E9681" s="560"/>
      <c r="F9681" s="560">
        <v>39320800</v>
      </c>
      <c r="G9681" s="560">
        <f t="shared" si="202"/>
        <v>-70</v>
      </c>
      <c r="H9681" s="362"/>
      <c r="I9681" s="362"/>
      <c r="J9681" s="362"/>
    </row>
    <row r="9682" spans="1:10" x14ac:dyDescent="0.25">
      <c r="A9682" s="362"/>
      <c r="B9682" s="609">
        <v>44765</v>
      </c>
      <c r="C9682" s="362" t="s">
        <v>89</v>
      </c>
      <c r="D9682" s="560">
        <v>49211600</v>
      </c>
      <c r="E9682" s="560"/>
      <c r="F9682" s="560">
        <v>49211700</v>
      </c>
      <c r="G9682" s="560">
        <f t="shared" si="202"/>
        <v>-100</v>
      </c>
      <c r="H9682" s="362"/>
      <c r="I9682" s="362"/>
      <c r="J9682" s="362"/>
    </row>
    <row r="9683" spans="1:10" x14ac:dyDescent="0.25">
      <c r="A9683" s="362"/>
      <c r="B9683" s="609">
        <v>44765</v>
      </c>
      <c r="C9683" s="362" t="s">
        <v>81</v>
      </c>
      <c r="D9683" s="560">
        <v>120773565</v>
      </c>
      <c r="E9683" s="560"/>
      <c r="F9683" s="560">
        <v>120773600</v>
      </c>
      <c r="G9683" s="560">
        <f t="shared" si="202"/>
        <v>-35</v>
      </c>
      <c r="H9683" s="362"/>
      <c r="I9683" s="362"/>
      <c r="J9683" s="362"/>
    </row>
    <row r="9684" spans="1:10" x14ac:dyDescent="0.25">
      <c r="A9684" s="362"/>
      <c r="B9684" s="609">
        <v>44765</v>
      </c>
      <c r="C9684" s="362" t="s">
        <v>84</v>
      </c>
      <c r="D9684" s="560">
        <v>97010216</v>
      </c>
      <c r="E9684" s="560"/>
      <c r="F9684" s="560">
        <v>97010600</v>
      </c>
      <c r="G9684" s="560">
        <f t="shared" si="202"/>
        <v>-384</v>
      </c>
      <c r="H9684" s="362"/>
      <c r="I9684" s="362"/>
      <c r="J9684" s="362"/>
    </row>
    <row r="9685" spans="1:10" x14ac:dyDescent="0.25">
      <c r="A9685" s="362"/>
      <c r="B9685" s="609">
        <v>44765</v>
      </c>
      <c r="C9685" s="362" t="s">
        <v>4751</v>
      </c>
      <c r="D9685" s="560">
        <v>132402700</v>
      </c>
      <c r="E9685" s="560"/>
      <c r="F9685" s="560">
        <v>132402700</v>
      </c>
      <c r="G9685" s="560">
        <f t="shared" si="202"/>
        <v>0</v>
      </c>
      <c r="H9685" s="362"/>
      <c r="I9685" s="362"/>
      <c r="J9685" s="362"/>
    </row>
    <row r="9686" spans="1:10" x14ac:dyDescent="0.25">
      <c r="A9686" s="362"/>
      <c r="B9686" s="609">
        <v>44765</v>
      </c>
      <c r="C9686" s="362" t="s">
        <v>166</v>
      </c>
      <c r="D9686" s="560"/>
      <c r="E9686" s="560"/>
      <c r="F9686" s="560"/>
      <c r="G9686" s="560">
        <f t="shared" si="202"/>
        <v>0</v>
      </c>
      <c r="H9686" s="362"/>
      <c r="I9686" s="362"/>
      <c r="J9686" s="362"/>
    </row>
    <row r="9687" spans="1:10" x14ac:dyDescent="0.25">
      <c r="A9687" s="362"/>
      <c r="B9687" s="609">
        <v>44765</v>
      </c>
      <c r="C9687" s="362" t="s">
        <v>3435</v>
      </c>
      <c r="D9687" s="560"/>
      <c r="E9687" s="560"/>
      <c r="F9687" s="560"/>
      <c r="G9687" s="560">
        <f t="shared" si="202"/>
        <v>0</v>
      </c>
      <c r="H9687" s="362"/>
      <c r="I9687" s="362"/>
      <c r="J9687" s="362"/>
    </row>
    <row r="9688" spans="1:10" x14ac:dyDescent="0.25">
      <c r="A9688" s="362"/>
      <c r="B9688" s="609">
        <v>44765</v>
      </c>
      <c r="C9688" s="370" t="s">
        <v>85</v>
      </c>
      <c r="D9688" s="560">
        <v>4342200</v>
      </c>
      <c r="E9688" s="560"/>
      <c r="F9688" s="560">
        <v>4342200</v>
      </c>
      <c r="G9688" s="560">
        <f t="shared" si="202"/>
        <v>0</v>
      </c>
      <c r="H9688" s="362"/>
      <c r="I9688" s="362"/>
      <c r="J9688" s="362"/>
    </row>
    <row r="9689" spans="1:10" x14ac:dyDescent="0.25">
      <c r="A9689" s="530"/>
      <c r="B9689" s="530"/>
      <c r="C9689" s="530"/>
      <c r="D9689" s="562">
        <f>SUM(D9674:D9688)</f>
        <v>1630632235</v>
      </c>
      <c r="E9689" s="562">
        <f t="shared" ref="E9689:G9689" si="204">SUM(E9674:E9688)</f>
        <v>0</v>
      </c>
      <c r="F9689" s="562">
        <f t="shared" si="204"/>
        <v>1630633100</v>
      </c>
      <c r="G9689" s="562">
        <f t="shared" si="204"/>
        <v>-865</v>
      </c>
      <c r="H9689" s="530"/>
      <c r="I9689" s="530"/>
      <c r="J9689" s="530"/>
    </row>
    <row r="9690" spans="1:10" x14ac:dyDescent="0.25">
      <c r="A9690" s="362"/>
      <c r="B9690" s="609">
        <v>44767</v>
      </c>
      <c r="C9690" s="362" t="s">
        <v>86</v>
      </c>
      <c r="D9690" s="560">
        <v>126532599</v>
      </c>
      <c r="E9690" s="560"/>
      <c r="F9690" s="560">
        <v>126532600</v>
      </c>
      <c r="G9690" s="560">
        <f t="shared" si="202"/>
        <v>-1</v>
      </c>
      <c r="H9690" s="362"/>
      <c r="I9690" s="362"/>
      <c r="J9690" s="362"/>
    </row>
    <row r="9691" spans="1:10" x14ac:dyDescent="0.25">
      <c r="A9691" s="362"/>
      <c r="B9691" s="609">
        <v>44767</v>
      </c>
      <c r="C9691" s="362" t="s">
        <v>87</v>
      </c>
      <c r="D9691" s="560">
        <v>144675936</v>
      </c>
      <c r="E9691" s="560"/>
      <c r="F9691" s="560">
        <v>144675200</v>
      </c>
      <c r="G9691" s="560">
        <f t="shared" si="202"/>
        <v>736</v>
      </c>
      <c r="H9691" s="362"/>
      <c r="I9691" s="362"/>
      <c r="J9691" s="362"/>
    </row>
    <row r="9692" spans="1:10" x14ac:dyDescent="0.25">
      <c r="A9692" s="362"/>
      <c r="B9692" s="609">
        <v>44767</v>
      </c>
      <c r="C9692" s="362" t="s">
        <v>88</v>
      </c>
      <c r="D9692" s="560">
        <v>620119322</v>
      </c>
      <c r="E9692" s="560"/>
      <c r="F9692" s="560">
        <v>620119400</v>
      </c>
      <c r="G9692" s="560">
        <f t="shared" si="202"/>
        <v>-78</v>
      </c>
      <c r="H9692" s="362"/>
      <c r="I9692" s="362"/>
      <c r="J9692" s="362"/>
    </row>
    <row r="9693" spans="1:10" x14ac:dyDescent="0.25">
      <c r="A9693" s="362"/>
      <c r="B9693" s="609">
        <v>44767</v>
      </c>
      <c r="C9693" s="362" t="s">
        <v>82</v>
      </c>
      <c r="D9693" s="560">
        <v>55362053</v>
      </c>
      <c r="E9693" s="560"/>
      <c r="F9693" s="560">
        <v>55362100</v>
      </c>
      <c r="G9693" s="560">
        <f t="shared" si="202"/>
        <v>-47</v>
      </c>
      <c r="H9693" s="362"/>
      <c r="I9693" s="362"/>
      <c r="J9693" s="362"/>
    </row>
    <row r="9694" spans="1:10" x14ac:dyDescent="0.25">
      <c r="A9694" s="362"/>
      <c r="B9694" s="609">
        <v>44767</v>
      </c>
      <c r="C9694" s="362" t="s">
        <v>80</v>
      </c>
      <c r="D9694" s="560">
        <v>349507800</v>
      </c>
      <c r="E9694" s="560"/>
      <c r="F9694" s="560">
        <v>349507800</v>
      </c>
      <c r="G9694" s="560">
        <f t="shared" si="202"/>
        <v>0</v>
      </c>
      <c r="H9694" s="362"/>
      <c r="I9694" s="362"/>
      <c r="J9694" s="362"/>
    </row>
    <row r="9695" spans="1:10" x14ac:dyDescent="0.25">
      <c r="A9695" s="362"/>
      <c r="B9695" s="609">
        <v>44767</v>
      </c>
      <c r="C9695" s="362" t="s">
        <v>83</v>
      </c>
      <c r="D9695" s="560">
        <v>220482017</v>
      </c>
      <c r="E9695" s="560"/>
      <c r="F9695" s="560">
        <v>220482000</v>
      </c>
      <c r="G9695" s="560">
        <f t="shared" si="202"/>
        <v>17</v>
      </c>
      <c r="H9695" s="362"/>
      <c r="I9695" s="362"/>
      <c r="J9695" s="362"/>
    </row>
    <row r="9696" spans="1:10" x14ac:dyDescent="0.25">
      <c r="A9696" s="362"/>
      <c r="B9696" s="609">
        <v>44767</v>
      </c>
      <c r="C9696" s="362" t="s">
        <v>78</v>
      </c>
      <c r="D9696" s="560">
        <v>105075400</v>
      </c>
      <c r="E9696" s="560"/>
      <c r="F9696" s="560">
        <v>105075400</v>
      </c>
      <c r="G9696" s="560">
        <f t="shared" si="202"/>
        <v>0</v>
      </c>
      <c r="H9696" s="362"/>
      <c r="I9696" s="362"/>
      <c r="J9696" s="362"/>
    </row>
    <row r="9697" spans="1:10" x14ac:dyDescent="0.25">
      <c r="A9697" s="362"/>
      <c r="B9697" s="609">
        <v>44767</v>
      </c>
      <c r="C9697" s="362" t="s">
        <v>141</v>
      </c>
      <c r="D9697" s="560">
        <v>80442162</v>
      </c>
      <c r="E9697" s="560"/>
      <c r="F9697" s="560">
        <v>80442200</v>
      </c>
      <c r="G9697" s="560">
        <f t="shared" si="202"/>
        <v>-38</v>
      </c>
      <c r="H9697" s="362"/>
      <c r="I9697" s="362"/>
      <c r="J9697" s="362"/>
    </row>
    <row r="9698" spans="1:10" x14ac:dyDescent="0.25">
      <c r="A9698" s="362"/>
      <c r="B9698" s="609">
        <v>44767</v>
      </c>
      <c r="C9698" s="362" t="s">
        <v>89</v>
      </c>
      <c r="D9698" s="560">
        <v>138373000</v>
      </c>
      <c r="E9698" s="560"/>
      <c r="F9698" s="560">
        <v>138373100</v>
      </c>
      <c r="G9698" s="560">
        <f t="shared" si="202"/>
        <v>-100</v>
      </c>
      <c r="H9698" s="362"/>
      <c r="I9698" s="362"/>
      <c r="J9698" s="362"/>
    </row>
    <row r="9699" spans="1:10" x14ac:dyDescent="0.25">
      <c r="A9699" s="362"/>
      <c r="B9699" s="609">
        <v>44767</v>
      </c>
      <c r="C9699" s="362" t="s">
        <v>81</v>
      </c>
      <c r="D9699" s="560">
        <v>81943412</v>
      </c>
      <c r="E9699" s="560"/>
      <c r="F9699" s="560">
        <v>81943500</v>
      </c>
      <c r="G9699" s="560">
        <f t="shared" si="202"/>
        <v>-88</v>
      </c>
      <c r="H9699" s="362"/>
      <c r="I9699" s="362"/>
      <c r="J9699" s="362"/>
    </row>
    <row r="9700" spans="1:10" x14ac:dyDescent="0.25">
      <c r="A9700" s="362"/>
      <c r="B9700" s="609">
        <v>44767</v>
      </c>
      <c r="C9700" s="362" t="s">
        <v>84</v>
      </c>
      <c r="D9700" s="560">
        <v>406858943</v>
      </c>
      <c r="E9700" s="560"/>
      <c r="F9700" s="560">
        <v>406859000</v>
      </c>
      <c r="G9700" s="560">
        <f t="shared" si="202"/>
        <v>-57</v>
      </c>
      <c r="H9700" s="362"/>
      <c r="I9700" s="362"/>
      <c r="J9700" s="362"/>
    </row>
    <row r="9701" spans="1:10" x14ac:dyDescent="0.25">
      <c r="A9701" s="362"/>
      <c r="B9701" s="609">
        <v>44767</v>
      </c>
      <c r="C9701" s="362" t="s">
        <v>4751</v>
      </c>
      <c r="D9701" s="560">
        <v>205854700</v>
      </c>
      <c r="E9701" s="560"/>
      <c r="F9701" s="560">
        <v>205854700</v>
      </c>
      <c r="G9701" s="560">
        <f t="shared" si="202"/>
        <v>0</v>
      </c>
      <c r="H9701" s="362"/>
      <c r="I9701" s="362"/>
      <c r="J9701" s="362"/>
    </row>
    <row r="9702" spans="1:10" x14ac:dyDescent="0.25">
      <c r="A9702" s="362"/>
      <c r="B9702" s="609">
        <v>44767</v>
      </c>
      <c r="C9702" s="362" t="s">
        <v>166</v>
      </c>
      <c r="D9702" s="560">
        <v>87035942</v>
      </c>
      <c r="E9702" s="560"/>
      <c r="F9702" s="560">
        <v>87036000</v>
      </c>
      <c r="G9702" s="560">
        <f t="shared" si="202"/>
        <v>-58</v>
      </c>
      <c r="H9702" s="362"/>
      <c r="I9702" s="362"/>
      <c r="J9702" s="362"/>
    </row>
    <row r="9703" spans="1:10" x14ac:dyDescent="0.25">
      <c r="A9703" s="362"/>
      <c r="B9703" s="609">
        <v>44767</v>
      </c>
      <c r="C9703" s="362" t="s">
        <v>3435</v>
      </c>
      <c r="D9703" s="560">
        <v>34057275</v>
      </c>
      <c r="E9703" s="560"/>
      <c r="F9703" s="560">
        <v>34057300</v>
      </c>
      <c r="G9703" s="560">
        <f t="shared" si="202"/>
        <v>-25</v>
      </c>
      <c r="H9703" s="362"/>
      <c r="I9703" s="362"/>
      <c r="J9703" s="362"/>
    </row>
    <row r="9704" spans="1:10" x14ac:dyDescent="0.25">
      <c r="A9704" s="362"/>
      <c r="B9704" s="609">
        <v>44767</v>
      </c>
      <c r="C9704" s="370" t="s">
        <v>85</v>
      </c>
      <c r="D9704" s="560">
        <v>77895400</v>
      </c>
      <c r="E9704" s="560"/>
      <c r="F9704" s="560">
        <v>77895400</v>
      </c>
      <c r="G9704" s="560">
        <f t="shared" si="202"/>
        <v>0</v>
      </c>
      <c r="H9704" s="362"/>
      <c r="I9704" s="362"/>
      <c r="J9704" s="362"/>
    </row>
    <row r="9705" spans="1:10" x14ac:dyDescent="0.25">
      <c r="A9705" s="530"/>
      <c r="B9705" s="530"/>
      <c r="C9705" s="530"/>
      <c r="D9705" s="562">
        <f>SUM(D9690:D9704)</f>
        <v>2734215961</v>
      </c>
      <c r="E9705" s="562">
        <f t="shared" ref="E9705:G9705" si="205">SUM(E9690:E9704)</f>
        <v>0</v>
      </c>
      <c r="F9705" s="562">
        <f t="shared" si="205"/>
        <v>2734215700</v>
      </c>
      <c r="G9705" s="562">
        <f t="shared" si="205"/>
        <v>261</v>
      </c>
      <c r="H9705" s="530"/>
      <c r="I9705" s="530"/>
      <c r="J9705" s="530"/>
    </row>
    <row r="9706" spans="1:10" x14ac:dyDescent="0.25">
      <c r="A9706" s="362"/>
      <c r="B9706" s="609">
        <v>44768</v>
      </c>
      <c r="C9706" s="362" t="s">
        <v>86</v>
      </c>
      <c r="D9706" s="560">
        <v>372298391</v>
      </c>
      <c r="E9706" s="560"/>
      <c r="F9706" s="560">
        <v>372298400</v>
      </c>
      <c r="G9706" s="560">
        <f t="shared" si="202"/>
        <v>-9</v>
      </c>
      <c r="H9706" s="362"/>
      <c r="I9706" s="362"/>
      <c r="J9706" s="362"/>
    </row>
    <row r="9707" spans="1:10" x14ac:dyDescent="0.25">
      <c r="A9707" s="362"/>
      <c r="B9707" s="609">
        <v>44768</v>
      </c>
      <c r="C9707" s="362" t="s">
        <v>87</v>
      </c>
      <c r="D9707" s="560">
        <v>147860960</v>
      </c>
      <c r="E9707" s="560"/>
      <c r="F9707" s="560">
        <v>147861000</v>
      </c>
      <c r="G9707" s="560">
        <f t="shared" si="202"/>
        <v>-40</v>
      </c>
      <c r="H9707" s="362"/>
      <c r="I9707" s="362"/>
      <c r="J9707" s="362"/>
    </row>
    <row r="9708" spans="1:10" x14ac:dyDescent="0.25">
      <c r="A9708" s="362"/>
      <c r="B9708" s="609">
        <v>44768</v>
      </c>
      <c r="C9708" s="362" t="s">
        <v>88</v>
      </c>
      <c r="D9708" s="560">
        <v>155840635</v>
      </c>
      <c r="E9708" s="560"/>
      <c r="F9708" s="560">
        <v>155840700</v>
      </c>
      <c r="G9708" s="560">
        <f t="shared" si="202"/>
        <v>-65</v>
      </c>
      <c r="H9708" s="362"/>
      <c r="I9708" s="362"/>
      <c r="J9708" s="362"/>
    </row>
    <row r="9709" spans="1:10" x14ac:dyDescent="0.25">
      <c r="A9709" s="362"/>
      <c r="B9709" s="609">
        <v>44768</v>
      </c>
      <c r="C9709" s="362" t="s">
        <v>82</v>
      </c>
      <c r="D9709" s="560">
        <v>81538466</v>
      </c>
      <c r="E9709" s="560"/>
      <c r="F9709" s="560">
        <v>81538600</v>
      </c>
      <c r="G9709" s="560">
        <f t="shared" si="202"/>
        <v>-134</v>
      </c>
      <c r="H9709" s="362"/>
      <c r="I9709" s="362"/>
      <c r="J9709" s="362"/>
    </row>
    <row r="9710" spans="1:10" x14ac:dyDescent="0.25">
      <c r="A9710" s="362"/>
      <c r="B9710" s="609">
        <v>44768</v>
      </c>
      <c r="C9710" s="362" t="s">
        <v>80</v>
      </c>
      <c r="D9710" s="560">
        <v>288909075</v>
      </c>
      <c r="E9710" s="560"/>
      <c r="F9710" s="560">
        <v>288908200</v>
      </c>
      <c r="G9710" s="560">
        <f t="shared" si="202"/>
        <v>875</v>
      </c>
      <c r="H9710" s="362"/>
      <c r="I9710" s="362"/>
      <c r="J9710" s="362"/>
    </row>
    <row r="9711" spans="1:10" x14ac:dyDescent="0.25">
      <c r="A9711" s="362"/>
      <c r="B9711" s="609">
        <v>44768</v>
      </c>
      <c r="C9711" s="362" t="s">
        <v>83</v>
      </c>
      <c r="D9711" s="560">
        <v>265488504</v>
      </c>
      <c r="E9711" s="560"/>
      <c r="F9711" s="560">
        <v>265488500</v>
      </c>
      <c r="G9711" s="560">
        <f t="shared" si="202"/>
        <v>4</v>
      </c>
      <c r="H9711" s="362"/>
      <c r="I9711" s="362"/>
      <c r="J9711" s="362"/>
    </row>
    <row r="9712" spans="1:10" x14ac:dyDescent="0.25">
      <c r="A9712" s="362"/>
      <c r="B9712" s="609">
        <v>44768</v>
      </c>
      <c r="C9712" s="362" t="s">
        <v>78</v>
      </c>
      <c r="D9712" s="560">
        <v>160790900</v>
      </c>
      <c r="E9712" s="560"/>
      <c r="F9712" s="560">
        <v>160790900</v>
      </c>
      <c r="G9712" s="560">
        <f t="shared" si="202"/>
        <v>0</v>
      </c>
      <c r="H9712" s="362"/>
      <c r="I9712" s="362"/>
      <c r="J9712" s="362"/>
    </row>
    <row r="9713" spans="1:10" x14ac:dyDescent="0.25">
      <c r="A9713" s="362"/>
      <c r="B9713" s="609">
        <v>44768</v>
      </c>
      <c r="C9713" s="362" t="s">
        <v>141</v>
      </c>
      <c r="D9713" s="560">
        <v>94296518</v>
      </c>
      <c r="E9713" s="560"/>
      <c r="F9713" s="560">
        <v>94296600</v>
      </c>
      <c r="G9713" s="560">
        <f t="shared" si="202"/>
        <v>-82</v>
      </c>
      <c r="H9713" s="362"/>
      <c r="I9713" s="362"/>
      <c r="J9713" s="362"/>
    </row>
    <row r="9714" spans="1:10" x14ac:dyDescent="0.25">
      <c r="A9714" s="362"/>
      <c r="B9714" s="609">
        <v>44768</v>
      </c>
      <c r="C9714" s="362" t="s">
        <v>89</v>
      </c>
      <c r="D9714" s="560">
        <v>212052300</v>
      </c>
      <c r="E9714" s="560"/>
      <c r="F9714" s="560">
        <v>212052300</v>
      </c>
      <c r="G9714" s="560">
        <f t="shared" si="202"/>
        <v>0</v>
      </c>
      <c r="H9714" s="362"/>
      <c r="I9714" s="362"/>
      <c r="J9714" s="362"/>
    </row>
    <row r="9715" spans="1:10" x14ac:dyDescent="0.25">
      <c r="A9715" s="362"/>
      <c r="B9715" s="609">
        <v>44768</v>
      </c>
      <c r="C9715" s="362" t="s">
        <v>81</v>
      </c>
      <c r="D9715" s="560">
        <v>83657303</v>
      </c>
      <c r="E9715" s="560"/>
      <c r="F9715" s="560">
        <v>83657300</v>
      </c>
      <c r="G9715" s="560">
        <f t="shared" si="202"/>
        <v>3</v>
      </c>
      <c r="H9715" s="362"/>
      <c r="I9715" s="362"/>
      <c r="J9715" s="362"/>
    </row>
    <row r="9716" spans="1:10" x14ac:dyDescent="0.25">
      <c r="A9716" s="362"/>
      <c r="B9716" s="609">
        <v>44768</v>
      </c>
      <c r="C9716" s="362" t="s">
        <v>84</v>
      </c>
      <c r="D9716" s="560">
        <v>293544245</v>
      </c>
      <c r="E9716" s="560"/>
      <c r="F9716" s="560">
        <v>293544200</v>
      </c>
      <c r="G9716" s="560">
        <f t="shared" si="202"/>
        <v>45</v>
      </c>
      <c r="H9716" s="362"/>
      <c r="I9716" s="362"/>
      <c r="J9716" s="362"/>
    </row>
    <row r="9717" spans="1:10" x14ac:dyDescent="0.25">
      <c r="A9717" s="362"/>
      <c r="B9717" s="609">
        <v>44768</v>
      </c>
      <c r="C9717" s="362" t="s">
        <v>4751</v>
      </c>
      <c r="D9717" s="560">
        <v>294370900</v>
      </c>
      <c r="E9717" s="560"/>
      <c r="F9717" s="560">
        <v>294370900</v>
      </c>
      <c r="G9717" s="560">
        <f t="shared" si="202"/>
        <v>0</v>
      </c>
      <c r="H9717" s="362"/>
      <c r="I9717" s="362"/>
      <c r="J9717" s="362"/>
    </row>
    <row r="9718" spans="1:10" x14ac:dyDescent="0.25">
      <c r="A9718" s="362"/>
      <c r="B9718" s="609">
        <v>44768</v>
      </c>
      <c r="C9718" s="362" t="s">
        <v>166</v>
      </c>
      <c r="D9718" s="560">
        <v>138055359</v>
      </c>
      <c r="E9718" s="560"/>
      <c r="F9718" s="560">
        <v>138055400</v>
      </c>
      <c r="G9718" s="560">
        <f t="shared" si="202"/>
        <v>-41</v>
      </c>
      <c r="H9718" s="362"/>
      <c r="I9718" s="362"/>
      <c r="J9718" s="362"/>
    </row>
    <row r="9719" spans="1:10" x14ac:dyDescent="0.25">
      <c r="A9719" s="362"/>
      <c r="B9719" s="609">
        <v>44768</v>
      </c>
      <c r="C9719" s="362" t="s">
        <v>3435</v>
      </c>
      <c r="D9719" s="560">
        <v>31434485</v>
      </c>
      <c r="E9719" s="560"/>
      <c r="F9719" s="560">
        <v>31434500</v>
      </c>
      <c r="G9719" s="560">
        <f t="shared" si="202"/>
        <v>-15</v>
      </c>
      <c r="H9719" s="362"/>
      <c r="I9719" s="362"/>
      <c r="J9719" s="362"/>
    </row>
    <row r="9720" spans="1:10" x14ac:dyDescent="0.25">
      <c r="A9720" s="362"/>
      <c r="B9720" s="609">
        <v>44768</v>
      </c>
      <c r="C9720" s="370" t="s">
        <v>85</v>
      </c>
      <c r="D9720" s="560">
        <v>53795800</v>
      </c>
      <c r="E9720" s="560"/>
      <c r="F9720" s="560">
        <v>53795800</v>
      </c>
      <c r="G9720" s="560">
        <f t="shared" si="202"/>
        <v>0</v>
      </c>
      <c r="H9720" s="362"/>
      <c r="I9720" s="362"/>
      <c r="J9720" s="362"/>
    </row>
    <row r="9721" spans="1:10" x14ac:dyDescent="0.25">
      <c r="A9721" s="530"/>
      <c r="B9721" s="530"/>
      <c r="C9721" s="530"/>
      <c r="D9721" s="562">
        <f>SUM(D9706:D9720)</f>
        <v>2673933841</v>
      </c>
      <c r="E9721" s="562">
        <f t="shared" ref="E9721:G9721" si="206">SUM(E9706:E9720)</f>
        <v>0</v>
      </c>
      <c r="F9721" s="562">
        <f t="shared" si="206"/>
        <v>2673933300</v>
      </c>
      <c r="G9721" s="562">
        <f t="shared" si="206"/>
        <v>541</v>
      </c>
      <c r="H9721" s="530"/>
      <c r="I9721" s="530"/>
      <c r="J9721" s="530"/>
    </row>
    <row r="9722" spans="1:10" x14ac:dyDescent="0.25">
      <c r="A9722" s="362"/>
      <c r="B9722" s="609">
        <v>44769</v>
      </c>
      <c r="C9722" s="362" t="s">
        <v>86</v>
      </c>
      <c r="D9722" s="560">
        <v>166056522</v>
      </c>
      <c r="E9722" s="560"/>
      <c r="F9722" s="560">
        <v>166056500</v>
      </c>
      <c r="G9722" s="560">
        <f t="shared" si="202"/>
        <v>22</v>
      </c>
      <c r="H9722" s="362"/>
      <c r="I9722" s="362"/>
      <c r="J9722" s="362"/>
    </row>
    <row r="9723" spans="1:10" x14ac:dyDescent="0.25">
      <c r="A9723" s="362"/>
      <c r="B9723" s="609">
        <v>44769</v>
      </c>
      <c r="C9723" s="362" t="s">
        <v>87</v>
      </c>
      <c r="D9723" s="560">
        <v>183283497</v>
      </c>
      <c r="E9723" s="560"/>
      <c r="F9723" s="560">
        <v>183283700</v>
      </c>
      <c r="G9723" s="560">
        <f t="shared" si="202"/>
        <v>-203</v>
      </c>
      <c r="H9723" s="362"/>
      <c r="I9723" s="362"/>
      <c r="J9723" s="362"/>
    </row>
    <row r="9724" spans="1:10" x14ac:dyDescent="0.25">
      <c r="A9724" s="362"/>
      <c r="B9724" s="609">
        <v>44769</v>
      </c>
      <c r="C9724" s="362" t="s">
        <v>88</v>
      </c>
      <c r="D9724" s="560">
        <v>150504689</v>
      </c>
      <c r="E9724" s="560"/>
      <c r="F9724" s="560">
        <v>150504700</v>
      </c>
      <c r="G9724" s="560">
        <f t="shared" ref="G9724:G9787" si="207">D9724-F9724</f>
        <v>-11</v>
      </c>
      <c r="H9724" s="362"/>
      <c r="I9724" s="362"/>
      <c r="J9724" s="362"/>
    </row>
    <row r="9725" spans="1:10" x14ac:dyDescent="0.25">
      <c r="A9725" s="362"/>
      <c r="B9725" s="609">
        <v>44769</v>
      </c>
      <c r="C9725" s="362" t="s">
        <v>82</v>
      </c>
      <c r="D9725" s="560">
        <v>89300593</v>
      </c>
      <c r="E9725" s="560"/>
      <c r="F9725" s="560">
        <v>89300700</v>
      </c>
      <c r="G9725" s="560">
        <f t="shared" si="207"/>
        <v>-107</v>
      </c>
      <c r="H9725" s="362"/>
      <c r="I9725" s="362"/>
      <c r="J9725" s="362"/>
    </row>
    <row r="9726" spans="1:10" x14ac:dyDescent="0.25">
      <c r="A9726" s="362"/>
      <c r="B9726" s="609">
        <v>44769</v>
      </c>
      <c r="C9726" s="362" t="s">
        <v>80</v>
      </c>
      <c r="D9726" s="560">
        <v>215695734</v>
      </c>
      <c r="E9726" s="560"/>
      <c r="F9726" s="560">
        <v>215702800</v>
      </c>
      <c r="G9726" s="560">
        <f t="shared" si="207"/>
        <v>-7066</v>
      </c>
      <c r="H9726" s="362"/>
      <c r="I9726" s="362"/>
      <c r="J9726" s="362"/>
    </row>
    <row r="9727" spans="1:10" x14ac:dyDescent="0.25">
      <c r="A9727" s="362"/>
      <c r="B9727" s="609">
        <v>44769</v>
      </c>
      <c r="C9727" s="362" t="s">
        <v>83</v>
      </c>
      <c r="D9727" s="560">
        <v>266974200</v>
      </c>
      <c r="E9727" s="560"/>
      <c r="F9727" s="560">
        <v>266974200</v>
      </c>
      <c r="G9727" s="560">
        <f t="shared" si="207"/>
        <v>0</v>
      </c>
      <c r="H9727" s="362"/>
      <c r="I9727" s="362"/>
      <c r="J9727" s="362"/>
    </row>
    <row r="9728" spans="1:10" x14ac:dyDescent="0.25">
      <c r="A9728" s="362"/>
      <c r="B9728" s="609">
        <v>44769</v>
      </c>
      <c r="C9728" s="362" t="s">
        <v>78</v>
      </c>
      <c r="D9728" s="560">
        <v>156907900</v>
      </c>
      <c r="E9728" s="560"/>
      <c r="F9728" s="560">
        <v>156907900</v>
      </c>
      <c r="G9728" s="560">
        <f t="shared" si="207"/>
        <v>0</v>
      </c>
      <c r="H9728" s="362"/>
      <c r="I9728" s="362"/>
      <c r="J9728" s="362"/>
    </row>
    <row r="9729" spans="1:10" x14ac:dyDescent="0.25">
      <c r="A9729" s="362"/>
      <c r="B9729" s="609">
        <v>44769</v>
      </c>
      <c r="C9729" s="362" t="s">
        <v>141</v>
      </c>
      <c r="D9729" s="560">
        <v>144989975</v>
      </c>
      <c r="E9729" s="560"/>
      <c r="F9729" s="560">
        <v>144990000</v>
      </c>
      <c r="G9729" s="560">
        <f t="shared" si="207"/>
        <v>-25</v>
      </c>
      <c r="H9729" s="362"/>
      <c r="I9729" s="362"/>
      <c r="J9729" s="362"/>
    </row>
    <row r="9730" spans="1:10" x14ac:dyDescent="0.25">
      <c r="A9730" s="362"/>
      <c r="B9730" s="609">
        <v>44769</v>
      </c>
      <c r="C9730" s="362" t="s">
        <v>89</v>
      </c>
      <c r="D9730" s="560">
        <v>205718300</v>
      </c>
      <c r="E9730" s="560"/>
      <c r="F9730" s="560">
        <v>205718300</v>
      </c>
      <c r="G9730" s="560">
        <f t="shared" si="207"/>
        <v>0</v>
      </c>
      <c r="H9730" s="362"/>
      <c r="I9730" s="362"/>
      <c r="J9730" s="362"/>
    </row>
    <row r="9731" spans="1:10" x14ac:dyDescent="0.25">
      <c r="A9731" s="362"/>
      <c r="B9731" s="609">
        <v>44769</v>
      </c>
      <c r="C9731" s="362" t="s">
        <v>81</v>
      </c>
      <c r="D9731" s="560">
        <v>160628133</v>
      </c>
      <c r="E9731" s="560"/>
      <c r="F9731" s="560">
        <v>160638200</v>
      </c>
      <c r="G9731" s="560">
        <f t="shared" si="207"/>
        <v>-10067</v>
      </c>
      <c r="H9731" s="362"/>
      <c r="I9731" s="362"/>
      <c r="J9731" s="362"/>
    </row>
    <row r="9732" spans="1:10" x14ac:dyDescent="0.25">
      <c r="A9732" s="362"/>
      <c r="B9732" s="609">
        <v>44769</v>
      </c>
      <c r="C9732" s="362" t="s">
        <v>84</v>
      </c>
      <c r="D9732" s="560">
        <v>479080064</v>
      </c>
      <c r="E9732" s="560"/>
      <c r="F9732" s="560">
        <v>479079400</v>
      </c>
      <c r="G9732" s="560">
        <f t="shared" si="207"/>
        <v>664</v>
      </c>
      <c r="H9732" s="362"/>
      <c r="I9732" s="362"/>
      <c r="J9732" s="362"/>
    </row>
    <row r="9733" spans="1:10" x14ac:dyDescent="0.25">
      <c r="A9733" s="362"/>
      <c r="B9733" s="609">
        <v>44769</v>
      </c>
      <c r="C9733" s="362" t="s">
        <v>4751</v>
      </c>
      <c r="D9733" s="560">
        <v>230652200</v>
      </c>
      <c r="E9733" s="560"/>
      <c r="F9733" s="560">
        <v>230652200</v>
      </c>
      <c r="G9733" s="560">
        <f t="shared" si="207"/>
        <v>0</v>
      </c>
      <c r="H9733" s="362"/>
      <c r="I9733" s="362"/>
      <c r="J9733" s="362"/>
    </row>
    <row r="9734" spans="1:10" x14ac:dyDescent="0.25">
      <c r="A9734" s="362"/>
      <c r="B9734" s="609">
        <v>44769</v>
      </c>
      <c r="C9734" s="362" t="s">
        <v>166</v>
      </c>
      <c r="D9734" s="560">
        <v>74043045</v>
      </c>
      <c r="E9734" s="560"/>
      <c r="F9734" s="560">
        <v>74043000</v>
      </c>
      <c r="G9734" s="560">
        <f t="shared" si="207"/>
        <v>45</v>
      </c>
      <c r="H9734" s="362"/>
      <c r="I9734" s="362"/>
      <c r="J9734" s="362"/>
    </row>
    <row r="9735" spans="1:10" x14ac:dyDescent="0.25">
      <c r="A9735" s="362"/>
      <c r="B9735" s="609">
        <v>44769</v>
      </c>
      <c r="C9735" s="362" t="s">
        <v>3435</v>
      </c>
      <c r="D9735" s="560">
        <v>34895185</v>
      </c>
      <c r="E9735" s="560"/>
      <c r="F9735" s="560">
        <v>34895200</v>
      </c>
      <c r="G9735" s="560">
        <f t="shared" si="207"/>
        <v>-15</v>
      </c>
      <c r="H9735" s="362"/>
      <c r="I9735" s="362"/>
      <c r="J9735" s="362"/>
    </row>
    <row r="9736" spans="1:10" x14ac:dyDescent="0.25">
      <c r="A9736" s="362"/>
      <c r="B9736" s="609">
        <v>44769</v>
      </c>
      <c r="C9736" s="370" t="s">
        <v>85</v>
      </c>
      <c r="D9736" s="560">
        <v>64441900</v>
      </c>
      <c r="E9736" s="560"/>
      <c r="F9736" s="560">
        <v>64441900</v>
      </c>
      <c r="G9736" s="560">
        <f t="shared" si="207"/>
        <v>0</v>
      </c>
      <c r="H9736" s="362"/>
      <c r="I9736" s="362"/>
      <c r="J9736" s="362"/>
    </row>
    <row r="9737" spans="1:10" x14ac:dyDescent="0.25">
      <c r="A9737" s="530"/>
      <c r="B9737" s="530"/>
      <c r="C9737" s="530"/>
      <c r="D9737" s="562">
        <f>SUM(D9722:D9736)</f>
        <v>2623171937</v>
      </c>
      <c r="E9737" s="562">
        <f t="shared" ref="E9737:G9737" si="208">SUM(E9722:E9736)</f>
        <v>0</v>
      </c>
      <c r="F9737" s="562">
        <f t="shared" si="208"/>
        <v>2623188700</v>
      </c>
      <c r="G9737" s="562">
        <f t="shared" si="208"/>
        <v>-16763</v>
      </c>
      <c r="H9737" s="530"/>
      <c r="I9737" s="530"/>
      <c r="J9737" s="530"/>
    </row>
    <row r="9738" spans="1:10" x14ac:dyDescent="0.25">
      <c r="A9738" s="362"/>
      <c r="B9738" s="609">
        <v>44770</v>
      </c>
      <c r="C9738" s="362" t="s">
        <v>86</v>
      </c>
      <c r="D9738" s="560">
        <v>247325274</v>
      </c>
      <c r="E9738" s="560"/>
      <c r="F9738" s="560">
        <v>247325300</v>
      </c>
      <c r="G9738" s="560">
        <f t="shared" si="207"/>
        <v>-26</v>
      </c>
      <c r="H9738" s="362"/>
      <c r="I9738" s="362"/>
      <c r="J9738" s="362"/>
    </row>
    <row r="9739" spans="1:10" x14ac:dyDescent="0.25">
      <c r="A9739" s="362"/>
      <c r="B9739" s="609">
        <v>44770</v>
      </c>
      <c r="C9739" s="362" t="s">
        <v>87</v>
      </c>
      <c r="D9739" s="560">
        <v>168986222</v>
      </c>
      <c r="E9739" s="560"/>
      <c r="F9739" s="560">
        <v>168986300</v>
      </c>
      <c r="G9739" s="560">
        <f t="shared" si="207"/>
        <v>-78</v>
      </c>
      <c r="H9739" s="362"/>
      <c r="I9739" s="362"/>
      <c r="J9739" s="362"/>
    </row>
    <row r="9740" spans="1:10" x14ac:dyDescent="0.25">
      <c r="A9740" s="362"/>
      <c r="B9740" s="609">
        <v>44770</v>
      </c>
      <c r="C9740" s="362" t="s">
        <v>88</v>
      </c>
      <c r="D9740" s="560">
        <v>149889383</v>
      </c>
      <c r="E9740" s="560"/>
      <c r="F9740" s="560">
        <v>149889400</v>
      </c>
      <c r="G9740" s="560">
        <f t="shared" si="207"/>
        <v>-17</v>
      </c>
      <c r="H9740" s="362"/>
      <c r="I9740" s="362"/>
      <c r="J9740" s="362"/>
    </row>
    <row r="9741" spans="1:10" x14ac:dyDescent="0.25">
      <c r="A9741" s="362"/>
      <c r="B9741" s="609">
        <v>44770</v>
      </c>
      <c r="C9741" s="362" t="s">
        <v>82</v>
      </c>
      <c r="D9741" s="560">
        <v>150136287</v>
      </c>
      <c r="E9741" s="560"/>
      <c r="F9741" s="560">
        <v>150136287</v>
      </c>
      <c r="G9741" s="560">
        <f t="shared" si="207"/>
        <v>0</v>
      </c>
      <c r="H9741" s="362"/>
      <c r="I9741" s="362"/>
      <c r="J9741" s="362"/>
    </row>
    <row r="9742" spans="1:10" x14ac:dyDescent="0.25">
      <c r="A9742" s="362"/>
      <c r="B9742" s="609">
        <v>44770</v>
      </c>
      <c r="C9742" s="362" t="s">
        <v>80</v>
      </c>
      <c r="D9742" s="560">
        <v>339133500</v>
      </c>
      <c r="E9742" s="560"/>
      <c r="F9742" s="560">
        <v>339133500</v>
      </c>
      <c r="G9742" s="560">
        <f t="shared" si="207"/>
        <v>0</v>
      </c>
      <c r="H9742" s="362"/>
      <c r="I9742" s="362"/>
      <c r="J9742" s="362"/>
    </row>
    <row r="9743" spans="1:10" x14ac:dyDescent="0.25">
      <c r="A9743" s="362"/>
      <c r="B9743" s="609">
        <v>44770</v>
      </c>
      <c r="C9743" s="362" t="s">
        <v>83</v>
      </c>
      <c r="D9743" s="560">
        <v>204609200</v>
      </c>
      <c r="E9743" s="560"/>
      <c r="F9743" s="560">
        <v>204609200</v>
      </c>
      <c r="G9743" s="560">
        <f t="shared" si="207"/>
        <v>0</v>
      </c>
      <c r="H9743" s="362"/>
      <c r="I9743" s="362"/>
      <c r="J9743" s="362"/>
    </row>
    <row r="9744" spans="1:10" x14ac:dyDescent="0.25">
      <c r="A9744" s="362"/>
      <c r="B9744" s="609">
        <v>44770</v>
      </c>
      <c r="C9744" s="362" t="s">
        <v>78</v>
      </c>
      <c r="D9744" s="560">
        <v>100421500</v>
      </c>
      <c r="E9744" s="560"/>
      <c r="F9744" s="560">
        <v>100421500</v>
      </c>
      <c r="G9744" s="560">
        <f t="shared" si="207"/>
        <v>0</v>
      </c>
      <c r="H9744" s="362"/>
      <c r="I9744" s="362"/>
      <c r="J9744" s="362"/>
    </row>
    <row r="9745" spans="1:10" x14ac:dyDescent="0.25">
      <c r="A9745" s="362"/>
      <c r="B9745" s="609">
        <v>44770</v>
      </c>
      <c r="C9745" s="362" t="s">
        <v>141</v>
      </c>
      <c r="D9745" s="560">
        <v>89729829</v>
      </c>
      <c r="E9745" s="560"/>
      <c r="F9745" s="560">
        <v>89729900</v>
      </c>
      <c r="G9745" s="560">
        <f t="shared" si="207"/>
        <v>-71</v>
      </c>
      <c r="H9745" s="362"/>
      <c r="I9745" s="362"/>
      <c r="J9745" s="362"/>
    </row>
    <row r="9746" spans="1:10" x14ac:dyDescent="0.25">
      <c r="A9746" s="362"/>
      <c r="B9746" s="609">
        <v>44770</v>
      </c>
      <c r="C9746" s="362" t="s">
        <v>89</v>
      </c>
      <c r="D9746" s="560">
        <v>170733900</v>
      </c>
      <c r="E9746" s="560"/>
      <c r="F9746" s="560">
        <v>170733900</v>
      </c>
      <c r="G9746" s="560">
        <f t="shared" si="207"/>
        <v>0</v>
      </c>
      <c r="H9746" s="362"/>
      <c r="I9746" s="362"/>
      <c r="J9746" s="362"/>
    </row>
    <row r="9747" spans="1:10" x14ac:dyDescent="0.25">
      <c r="A9747" s="362"/>
      <c r="B9747" s="609">
        <v>44770</v>
      </c>
      <c r="C9747" s="362" t="s">
        <v>81</v>
      </c>
      <c r="D9747" s="560">
        <v>243699835</v>
      </c>
      <c r="E9747" s="560"/>
      <c r="F9747" s="560">
        <v>243699900</v>
      </c>
      <c r="G9747" s="560">
        <f t="shared" si="207"/>
        <v>-65</v>
      </c>
      <c r="H9747" s="362"/>
      <c r="I9747" s="362"/>
      <c r="J9747" s="362"/>
    </row>
    <row r="9748" spans="1:10" x14ac:dyDescent="0.25">
      <c r="A9748" s="362"/>
      <c r="B9748" s="609">
        <v>44770</v>
      </c>
      <c r="C9748" s="362" t="s">
        <v>84</v>
      </c>
      <c r="D9748" s="560">
        <v>400487604</v>
      </c>
      <c r="E9748" s="560"/>
      <c r="F9748" s="560">
        <v>400487600</v>
      </c>
      <c r="G9748" s="560">
        <f t="shared" si="207"/>
        <v>4</v>
      </c>
      <c r="H9748" s="362"/>
      <c r="I9748" s="362"/>
      <c r="J9748" s="362"/>
    </row>
    <row r="9749" spans="1:10" x14ac:dyDescent="0.25">
      <c r="A9749" s="362"/>
      <c r="B9749" s="609">
        <v>44770</v>
      </c>
      <c r="C9749" s="362" t="s">
        <v>4751</v>
      </c>
      <c r="D9749" s="560">
        <v>289743200</v>
      </c>
      <c r="E9749" s="560"/>
      <c r="F9749" s="560">
        <v>289743200</v>
      </c>
      <c r="G9749" s="560">
        <f t="shared" si="207"/>
        <v>0</v>
      </c>
      <c r="H9749" s="362"/>
      <c r="I9749" s="362"/>
      <c r="J9749" s="362"/>
    </row>
    <row r="9750" spans="1:10" x14ac:dyDescent="0.25">
      <c r="A9750" s="362"/>
      <c r="B9750" s="609">
        <v>44770</v>
      </c>
      <c r="C9750" s="362" t="s">
        <v>166</v>
      </c>
      <c r="D9750" s="560">
        <v>117802223</v>
      </c>
      <c r="E9750" s="560"/>
      <c r="F9750" s="560">
        <v>117802300</v>
      </c>
      <c r="G9750" s="560">
        <f t="shared" si="207"/>
        <v>-77</v>
      </c>
      <c r="H9750" s="362"/>
      <c r="I9750" s="362"/>
      <c r="J9750" s="362"/>
    </row>
    <row r="9751" spans="1:10" x14ac:dyDescent="0.25">
      <c r="A9751" s="362"/>
      <c r="B9751" s="609">
        <v>44770</v>
      </c>
      <c r="C9751" s="362" t="s">
        <v>3435</v>
      </c>
      <c r="D9751" s="560">
        <v>236105019</v>
      </c>
      <c r="E9751" s="560"/>
      <c r="F9751" s="560">
        <v>236105100</v>
      </c>
      <c r="G9751" s="560">
        <f t="shared" si="207"/>
        <v>-81</v>
      </c>
      <c r="H9751" s="362"/>
      <c r="I9751" s="362"/>
      <c r="J9751" s="362"/>
    </row>
    <row r="9752" spans="1:10" x14ac:dyDescent="0.25">
      <c r="A9752" s="362"/>
      <c r="B9752" s="609">
        <v>44770</v>
      </c>
      <c r="C9752" s="370" t="s">
        <v>85</v>
      </c>
      <c r="D9752" s="560">
        <v>50227700</v>
      </c>
      <c r="E9752" s="560"/>
      <c r="F9752" s="560">
        <v>50227700</v>
      </c>
      <c r="G9752" s="560">
        <f t="shared" si="207"/>
        <v>0</v>
      </c>
      <c r="H9752" s="362"/>
      <c r="I9752" s="362"/>
      <c r="J9752" s="362"/>
    </row>
    <row r="9753" spans="1:10" x14ac:dyDescent="0.25">
      <c r="A9753" s="530"/>
      <c r="B9753" s="530"/>
      <c r="C9753" s="530"/>
      <c r="D9753" s="562">
        <f>SUM(D9738:D9752)</f>
        <v>2959030676</v>
      </c>
      <c r="E9753" s="562">
        <f t="shared" ref="E9753:F9753" si="209">SUM(E9738:E9752)</f>
        <v>0</v>
      </c>
      <c r="F9753" s="562">
        <f t="shared" si="209"/>
        <v>2959031087</v>
      </c>
      <c r="G9753" s="562">
        <f>SUM(G9738:G9752)</f>
        <v>-411</v>
      </c>
      <c r="H9753" s="530"/>
      <c r="I9753" s="530"/>
      <c r="J9753" s="530"/>
    </row>
    <row r="9754" spans="1:10" x14ac:dyDescent="0.25">
      <c r="A9754" s="362"/>
      <c r="B9754" s="609">
        <v>44771</v>
      </c>
      <c r="C9754" s="362" t="s">
        <v>86</v>
      </c>
      <c r="D9754" s="560">
        <v>53351275</v>
      </c>
      <c r="E9754" s="560"/>
      <c r="F9754" s="560">
        <v>53351300</v>
      </c>
      <c r="G9754" s="560">
        <f t="shared" si="207"/>
        <v>-25</v>
      </c>
      <c r="H9754" s="362"/>
      <c r="I9754" s="362"/>
      <c r="J9754" s="362"/>
    </row>
    <row r="9755" spans="1:10" x14ac:dyDescent="0.25">
      <c r="A9755" s="362"/>
      <c r="B9755" s="609">
        <v>44771</v>
      </c>
      <c r="C9755" s="362" t="s">
        <v>87</v>
      </c>
      <c r="D9755" s="560">
        <v>176152293</v>
      </c>
      <c r="E9755" s="560"/>
      <c r="F9755" s="560">
        <v>176152400</v>
      </c>
      <c r="G9755" s="560">
        <f t="shared" si="207"/>
        <v>-107</v>
      </c>
      <c r="H9755" s="362"/>
      <c r="I9755" s="362"/>
      <c r="J9755" s="362"/>
    </row>
    <row r="9756" spans="1:10" x14ac:dyDescent="0.25">
      <c r="A9756" s="362"/>
      <c r="B9756" s="609">
        <v>44771</v>
      </c>
      <c r="C9756" s="362" t="s">
        <v>88</v>
      </c>
      <c r="D9756" s="560">
        <v>442259887</v>
      </c>
      <c r="E9756" s="560"/>
      <c r="F9756" s="560">
        <v>442259900</v>
      </c>
      <c r="G9756" s="560">
        <f t="shared" si="207"/>
        <v>-13</v>
      </c>
      <c r="H9756" s="362"/>
      <c r="I9756" s="362"/>
      <c r="J9756" s="362"/>
    </row>
    <row r="9757" spans="1:10" x14ac:dyDescent="0.25">
      <c r="A9757" s="362"/>
      <c r="B9757" s="609">
        <v>44771</v>
      </c>
      <c r="C9757" s="362" t="s">
        <v>82</v>
      </c>
      <c r="D9757" s="560">
        <v>140363379</v>
      </c>
      <c r="E9757" s="560"/>
      <c r="F9757" s="560">
        <v>140363400</v>
      </c>
      <c r="G9757" s="560">
        <f t="shared" si="207"/>
        <v>-21</v>
      </c>
      <c r="H9757" s="362"/>
      <c r="I9757" s="362"/>
      <c r="J9757" s="362"/>
    </row>
    <row r="9758" spans="1:10" x14ac:dyDescent="0.25">
      <c r="A9758" s="362"/>
      <c r="B9758" s="609">
        <v>44771</v>
      </c>
      <c r="C9758" s="362" t="s">
        <v>80</v>
      </c>
      <c r="D9758" s="560">
        <v>259273000</v>
      </c>
      <c r="E9758" s="560"/>
      <c r="F9758" s="560">
        <v>259273000</v>
      </c>
      <c r="G9758" s="560">
        <f t="shared" si="207"/>
        <v>0</v>
      </c>
      <c r="H9758" s="362"/>
      <c r="I9758" s="362"/>
      <c r="J9758" s="362"/>
    </row>
    <row r="9759" spans="1:10" x14ac:dyDescent="0.25">
      <c r="A9759" s="362"/>
      <c r="B9759" s="609">
        <v>44771</v>
      </c>
      <c r="C9759" s="362" t="s">
        <v>83</v>
      </c>
      <c r="D9759" s="560">
        <v>156233919</v>
      </c>
      <c r="E9759" s="560"/>
      <c r="F9759" s="560">
        <v>156234000</v>
      </c>
      <c r="G9759" s="560">
        <f t="shared" si="207"/>
        <v>-81</v>
      </c>
      <c r="H9759" s="362"/>
      <c r="I9759" s="362"/>
      <c r="J9759" s="362"/>
    </row>
    <row r="9760" spans="1:10" x14ac:dyDescent="0.25">
      <c r="A9760" s="362"/>
      <c r="B9760" s="609">
        <v>44771</v>
      </c>
      <c r="C9760" s="362" t="s">
        <v>78</v>
      </c>
      <c r="D9760" s="560">
        <v>156672200</v>
      </c>
      <c r="E9760" s="560"/>
      <c r="F9760" s="560">
        <v>156672200</v>
      </c>
      <c r="G9760" s="560">
        <f t="shared" si="207"/>
        <v>0</v>
      </c>
      <c r="H9760" s="362"/>
      <c r="I9760" s="362"/>
      <c r="J9760" s="362"/>
    </row>
    <row r="9761" spans="1:10" x14ac:dyDescent="0.25">
      <c r="A9761" s="362"/>
      <c r="B9761" s="609">
        <v>44771</v>
      </c>
      <c r="C9761" s="362" t="s">
        <v>141</v>
      </c>
      <c r="D9761" s="560">
        <v>153056719</v>
      </c>
      <c r="E9761" s="560"/>
      <c r="F9761" s="560">
        <v>153056800</v>
      </c>
      <c r="G9761" s="560">
        <f t="shared" si="207"/>
        <v>-81</v>
      </c>
      <c r="H9761" s="362"/>
      <c r="I9761" s="362"/>
      <c r="J9761" s="362"/>
    </row>
    <row r="9762" spans="1:10" x14ac:dyDescent="0.25">
      <c r="A9762" s="362"/>
      <c r="B9762" s="609">
        <v>44771</v>
      </c>
      <c r="C9762" s="362" t="s">
        <v>89</v>
      </c>
      <c r="D9762" s="560">
        <v>239341900</v>
      </c>
      <c r="E9762" s="560"/>
      <c r="F9762" s="560">
        <v>239341900</v>
      </c>
      <c r="G9762" s="560">
        <f t="shared" si="207"/>
        <v>0</v>
      </c>
      <c r="H9762" s="362"/>
      <c r="I9762" s="362"/>
      <c r="J9762" s="362"/>
    </row>
    <row r="9763" spans="1:10" x14ac:dyDescent="0.25">
      <c r="A9763" s="362"/>
      <c r="B9763" s="609">
        <v>44771</v>
      </c>
      <c r="C9763" s="362" t="s">
        <v>81</v>
      </c>
      <c r="D9763" s="560">
        <v>108823271</v>
      </c>
      <c r="E9763" s="560"/>
      <c r="F9763" s="560">
        <v>108823300</v>
      </c>
      <c r="G9763" s="560">
        <f t="shared" si="207"/>
        <v>-29</v>
      </c>
      <c r="H9763" s="362"/>
      <c r="I9763" s="362"/>
      <c r="J9763" s="362"/>
    </row>
    <row r="9764" spans="1:10" x14ac:dyDescent="0.25">
      <c r="A9764" s="362"/>
      <c r="B9764" s="609">
        <v>44771</v>
      </c>
      <c r="C9764" s="362" t="s">
        <v>84</v>
      </c>
      <c r="D9764" s="560">
        <v>467886138</v>
      </c>
      <c r="E9764" s="560"/>
      <c r="F9764" s="560">
        <v>467886000</v>
      </c>
      <c r="G9764" s="560">
        <f t="shared" si="207"/>
        <v>138</v>
      </c>
      <c r="H9764" s="362"/>
      <c r="I9764" s="362"/>
      <c r="J9764" s="362"/>
    </row>
    <row r="9765" spans="1:10" x14ac:dyDescent="0.25">
      <c r="A9765" s="362"/>
      <c r="B9765" s="609">
        <v>44771</v>
      </c>
      <c r="C9765" s="362" t="s">
        <v>4751</v>
      </c>
      <c r="D9765" s="560">
        <v>170876800</v>
      </c>
      <c r="E9765" s="560"/>
      <c r="F9765" s="560">
        <v>170876800</v>
      </c>
      <c r="G9765" s="560">
        <f t="shared" si="207"/>
        <v>0</v>
      </c>
      <c r="H9765" s="362"/>
      <c r="I9765" s="362"/>
      <c r="J9765" s="362"/>
    </row>
    <row r="9766" spans="1:10" x14ac:dyDescent="0.25">
      <c r="A9766" s="362"/>
      <c r="B9766" s="609">
        <v>44771</v>
      </c>
      <c r="C9766" s="362" t="s">
        <v>166</v>
      </c>
      <c r="D9766" s="560">
        <v>49546706</v>
      </c>
      <c r="E9766" s="560"/>
      <c r="F9766" s="560">
        <v>49546800</v>
      </c>
      <c r="G9766" s="560">
        <f t="shared" si="207"/>
        <v>-94</v>
      </c>
      <c r="H9766" s="362"/>
      <c r="I9766" s="362"/>
      <c r="J9766" s="362"/>
    </row>
    <row r="9767" spans="1:10" x14ac:dyDescent="0.25">
      <c r="A9767" s="362"/>
      <c r="B9767" s="609">
        <v>44771</v>
      </c>
      <c r="C9767" s="362" t="s">
        <v>3435</v>
      </c>
      <c r="D9767" s="560">
        <v>65294466</v>
      </c>
      <c r="E9767" s="560"/>
      <c r="F9767" s="560">
        <v>65294500</v>
      </c>
      <c r="G9767" s="560">
        <f t="shared" si="207"/>
        <v>-34</v>
      </c>
      <c r="H9767" s="362"/>
      <c r="I9767" s="362"/>
      <c r="J9767" s="362"/>
    </row>
    <row r="9768" spans="1:10" x14ac:dyDescent="0.25">
      <c r="A9768" s="362"/>
      <c r="B9768" s="609">
        <v>44771</v>
      </c>
      <c r="C9768" s="370" t="s">
        <v>85</v>
      </c>
      <c r="D9768" s="560">
        <v>48093900</v>
      </c>
      <c r="E9768" s="560"/>
      <c r="F9768" s="560">
        <v>48093900</v>
      </c>
      <c r="G9768" s="560">
        <f t="shared" si="207"/>
        <v>0</v>
      </c>
      <c r="H9768" s="362"/>
      <c r="I9768" s="362"/>
      <c r="J9768" s="362"/>
    </row>
    <row r="9769" spans="1:10" x14ac:dyDescent="0.25">
      <c r="A9769" s="530"/>
      <c r="B9769" s="530"/>
      <c r="C9769" s="530"/>
      <c r="D9769" s="562">
        <f>SUM(D9754:D9768)</f>
        <v>2687225853</v>
      </c>
      <c r="E9769" s="562">
        <f t="shared" ref="E9769:G9769" si="210">SUM(E9754:E9768)</f>
        <v>0</v>
      </c>
      <c r="F9769" s="562">
        <f t="shared" si="210"/>
        <v>2687226200</v>
      </c>
      <c r="G9769" s="562">
        <f t="shared" si="210"/>
        <v>-347</v>
      </c>
      <c r="H9769" s="530"/>
      <c r="I9769" s="530"/>
      <c r="J9769" s="530"/>
    </row>
    <row r="9770" spans="1:10" x14ac:dyDescent="0.25">
      <c r="A9770" s="362"/>
      <c r="B9770" s="609">
        <v>44772</v>
      </c>
      <c r="C9770" s="362" t="s">
        <v>86</v>
      </c>
      <c r="D9770" s="560">
        <v>87407095</v>
      </c>
      <c r="E9770" s="560"/>
      <c r="F9770" s="560">
        <v>87407200</v>
      </c>
      <c r="G9770" s="560">
        <f t="shared" si="207"/>
        <v>-105</v>
      </c>
      <c r="H9770" s="362"/>
      <c r="I9770" s="362"/>
      <c r="J9770" s="362"/>
    </row>
    <row r="9771" spans="1:10" x14ac:dyDescent="0.25">
      <c r="A9771" s="362"/>
      <c r="B9771" s="609">
        <v>44772</v>
      </c>
      <c r="C9771" s="362" t="s">
        <v>87</v>
      </c>
      <c r="D9771" s="560">
        <v>87490851</v>
      </c>
      <c r="E9771" s="560"/>
      <c r="F9771" s="560">
        <v>87490900</v>
      </c>
      <c r="G9771" s="560">
        <f t="shared" si="207"/>
        <v>-49</v>
      </c>
      <c r="H9771" s="362"/>
      <c r="I9771" s="362"/>
      <c r="J9771" s="362"/>
    </row>
    <row r="9772" spans="1:10" x14ac:dyDescent="0.25">
      <c r="A9772" s="362"/>
      <c r="B9772" s="609">
        <v>44772</v>
      </c>
      <c r="C9772" s="362" t="s">
        <v>88</v>
      </c>
      <c r="D9772" s="560">
        <v>172837298</v>
      </c>
      <c r="E9772" s="560"/>
      <c r="F9772" s="560">
        <v>172837300</v>
      </c>
      <c r="G9772" s="560">
        <f t="shared" si="207"/>
        <v>-2</v>
      </c>
      <c r="H9772" s="362"/>
      <c r="I9772" s="362"/>
      <c r="J9772" s="362"/>
    </row>
    <row r="9773" spans="1:10" x14ac:dyDescent="0.25">
      <c r="A9773" s="362"/>
      <c r="B9773" s="609">
        <v>44772</v>
      </c>
      <c r="C9773" s="362" t="s">
        <v>82</v>
      </c>
      <c r="D9773" s="560">
        <v>62190847</v>
      </c>
      <c r="E9773" s="560"/>
      <c r="F9773" s="560">
        <v>62190900</v>
      </c>
      <c r="G9773" s="560">
        <f t="shared" si="207"/>
        <v>-53</v>
      </c>
      <c r="H9773" s="362"/>
      <c r="I9773" s="362"/>
      <c r="J9773" s="362"/>
    </row>
    <row r="9774" spans="1:10" x14ac:dyDescent="0.25">
      <c r="A9774" s="362"/>
      <c r="B9774" s="609">
        <v>44772</v>
      </c>
      <c r="C9774" s="362" t="s">
        <v>80</v>
      </c>
      <c r="D9774" s="560">
        <v>230850200</v>
      </c>
      <c r="E9774" s="560"/>
      <c r="F9774" s="560">
        <v>230850200</v>
      </c>
      <c r="G9774" s="560">
        <f t="shared" si="207"/>
        <v>0</v>
      </c>
      <c r="H9774" s="362"/>
      <c r="I9774" s="362"/>
      <c r="J9774" s="362"/>
    </row>
    <row r="9775" spans="1:10" x14ac:dyDescent="0.25">
      <c r="A9775" s="362"/>
      <c r="B9775" s="609">
        <v>44772</v>
      </c>
      <c r="C9775" s="362" t="s">
        <v>83</v>
      </c>
      <c r="D9775" s="560">
        <v>272723000</v>
      </c>
      <c r="E9775" s="560"/>
      <c r="F9775" s="560">
        <v>272723000</v>
      </c>
      <c r="G9775" s="560">
        <f t="shared" si="207"/>
        <v>0</v>
      </c>
      <c r="H9775" s="362"/>
      <c r="I9775" s="362"/>
      <c r="J9775" s="362"/>
    </row>
    <row r="9776" spans="1:10" x14ac:dyDescent="0.25">
      <c r="A9776" s="362"/>
      <c r="B9776" s="609">
        <v>44772</v>
      </c>
      <c r="C9776" s="362" t="s">
        <v>78</v>
      </c>
      <c r="D9776" s="560">
        <v>116164100</v>
      </c>
      <c r="E9776" s="560"/>
      <c r="F9776" s="560">
        <v>116164100</v>
      </c>
      <c r="G9776" s="560">
        <f t="shared" si="207"/>
        <v>0</v>
      </c>
      <c r="H9776" s="362"/>
      <c r="I9776" s="362"/>
      <c r="J9776" s="362"/>
    </row>
    <row r="9777" spans="1:11" x14ac:dyDescent="0.25">
      <c r="A9777" s="362"/>
      <c r="B9777" s="609">
        <v>44772</v>
      </c>
      <c r="C9777" s="362" t="s">
        <v>141</v>
      </c>
      <c r="D9777" s="560">
        <v>43024745</v>
      </c>
      <c r="E9777" s="560"/>
      <c r="F9777" s="560">
        <v>43024800</v>
      </c>
      <c r="G9777" s="560">
        <f t="shared" si="207"/>
        <v>-55</v>
      </c>
      <c r="H9777" s="362"/>
      <c r="I9777" s="362"/>
      <c r="J9777" s="362"/>
    </row>
    <row r="9778" spans="1:11" x14ac:dyDescent="0.25">
      <c r="A9778" s="362"/>
      <c r="B9778" s="609">
        <v>44772</v>
      </c>
      <c r="C9778" s="362" t="s">
        <v>89</v>
      </c>
      <c r="D9778" s="560">
        <v>163108400</v>
      </c>
      <c r="E9778" s="560"/>
      <c r="F9778" s="560">
        <v>163108400</v>
      </c>
      <c r="G9778" s="560">
        <f t="shared" si="207"/>
        <v>0</v>
      </c>
      <c r="H9778" s="362"/>
      <c r="I9778" s="362"/>
      <c r="J9778" s="362"/>
    </row>
    <row r="9779" spans="1:11" x14ac:dyDescent="0.25">
      <c r="A9779" s="362"/>
      <c r="B9779" s="609">
        <v>44772</v>
      </c>
      <c r="C9779" s="362" t="s">
        <v>81</v>
      </c>
      <c r="D9779" s="560">
        <v>246210574</v>
      </c>
      <c r="E9779" s="560"/>
      <c r="F9779" s="560">
        <v>246210600</v>
      </c>
      <c r="G9779" s="560">
        <f t="shared" si="207"/>
        <v>-26</v>
      </c>
      <c r="H9779" s="362"/>
      <c r="I9779" s="362"/>
      <c r="J9779" s="362"/>
      <c r="K9779" s="254">
        <f>171654800+74555800</f>
        <v>246210600</v>
      </c>
    </row>
    <row r="9780" spans="1:11" x14ac:dyDescent="0.25">
      <c r="A9780" s="362"/>
      <c r="B9780" s="609">
        <v>44772</v>
      </c>
      <c r="C9780" s="362" t="s">
        <v>84</v>
      </c>
      <c r="D9780" s="560">
        <v>252742494</v>
      </c>
      <c r="E9780" s="560"/>
      <c r="F9780" s="560">
        <v>252742000</v>
      </c>
      <c r="G9780" s="560">
        <f t="shared" si="207"/>
        <v>494</v>
      </c>
      <c r="H9780" s="362"/>
      <c r="I9780" s="362"/>
      <c r="J9780" s="362"/>
    </row>
    <row r="9781" spans="1:11" x14ac:dyDescent="0.25">
      <c r="A9781" s="362"/>
      <c r="B9781" s="609">
        <v>44772</v>
      </c>
      <c r="C9781" s="362" t="s">
        <v>4751</v>
      </c>
      <c r="D9781" s="560">
        <v>206670100</v>
      </c>
      <c r="E9781" s="560"/>
      <c r="F9781" s="560">
        <v>206670100</v>
      </c>
      <c r="G9781" s="560">
        <f t="shared" si="207"/>
        <v>0</v>
      </c>
      <c r="H9781" s="362"/>
      <c r="I9781" s="362"/>
      <c r="J9781" s="362"/>
    </row>
    <row r="9782" spans="1:11" x14ac:dyDescent="0.25">
      <c r="A9782" s="362"/>
      <c r="B9782" s="609">
        <v>44772</v>
      </c>
      <c r="C9782" s="362" t="s">
        <v>166</v>
      </c>
      <c r="D9782" s="560"/>
      <c r="E9782" s="560"/>
      <c r="F9782" s="560"/>
      <c r="G9782" s="560">
        <f t="shared" si="207"/>
        <v>0</v>
      </c>
      <c r="H9782" s="362"/>
      <c r="I9782" s="362"/>
      <c r="J9782" s="362"/>
    </row>
    <row r="9783" spans="1:11" x14ac:dyDescent="0.25">
      <c r="A9783" s="362"/>
      <c r="B9783" s="609">
        <v>44772</v>
      </c>
      <c r="C9783" s="362" t="s">
        <v>3435</v>
      </c>
      <c r="D9783" s="560"/>
      <c r="E9783" s="560"/>
      <c r="F9783" s="560"/>
      <c r="G9783" s="560">
        <f t="shared" si="207"/>
        <v>0</v>
      </c>
      <c r="H9783" s="362"/>
      <c r="I9783" s="362"/>
      <c r="J9783" s="362"/>
    </row>
    <row r="9784" spans="1:11" x14ac:dyDescent="0.25">
      <c r="A9784" s="362"/>
      <c r="B9784" s="609">
        <v>44772</v>
      </c>
      <c r="C9784" s="370" t="s">
        <v>85</v>
      </c>
      <c r="D9784" s="560">
        <v>30402900</v>
      </c>
      <c r="E9784" s="560"/>
      <c r="F9784" s="560">
        <v>30402900</v>
      </c>
      <c r="G9784" s="560">
        <f t="shared" si="207"/>
        <v>0</v>
      </c>
      <c r="H9784" s="362"/>
      <c r="I9784" s="362"/>
      <c r="J9784" s="362"/>
    </row>
    <row r="9785" spans="1:11" x14ac:dyDescent="0.25">
      <c r="A9785" s="530"/>
      <c r="B9785" s="530"/>
      <c r="C9785" s="530"/>
      <c r="D9785" s="562">
        <f>SUM(D9770:D9784)</f>
        <v>1971822604</v>
      </c>
      <c r="E9785" s="562">
        <f t="shared" ref="E9785:G9785" si="211">SUM(E9770:E9784)</f>
        <v>0</v>
      </c>
      <c r="F9785" s="562">
        <f t="shared" si="211"/>
        <v>1971822400</v>
      </c>
      <c r="G9785" s="562">
        <f t="shared" si="211"/>
        <v>204</v>
      </c>
      <c r="H9785" s="530"/>
      <c r="I9785" s="530"/>
      <c r="J9785" s="530"/>
    </row>
    <row r="9786" spans="1:11" x14ac:dyDescent="0.25">
      <c r="A9786" s="362"/>
      <c r="B9786" s="609">
        <v>44774</v>
      </c>
      <c r="C9786" s="362" t="s">
        <v>86</v>
      </c>
      <c r="D9786" s="560">
        <v>63896372</v>
      </c>
      <c r="E9786" s="560"/>
      <c r="F9786" s="560">
        <v>63896400</v>
      </c>
      <c r="G9786" s="560">
        <f t="shared" si="207"/>
        <v>-28</v>
      </c>
      <c r="H9786" s="362"/>
      <c r="I9786" s="362"/>
      <c r="J9786" s="362"/>
    </row>
    <row r="9787" spans="1:11" x14ac:dyDescent="0.25">
      <c r="A9787" s="362"/>
      <c r="B9787" s="609">
        <v>44774</v>
      </c>
      <c r="C9787" s="362" t="s">
        <v>87</v>
      </c>
      <c r="D9787" s="560">
        <v>153429987</v>
      </c>
      <c r="E9787" s="560"/>
      <c r="F9787" s="560">
        <v>153430000</v>
      </c>
      <c r="G9787" s="560">
        <f t="shared" si="207"/>
        <v>-13</v>
      </c>
      <c r="H9787" s="362"/>
      <c r="I9787" s="362"/>
      <c r="J9787" s="362"/>
    </row>
    <row r="9788" spans="1:11" x14ac:dyDescent="0.25">
      <c r="A9788" s="362"/>
      <c r="B9788" s="609">
        <v>44774</v>
      </c>
      <c r="C9788" s="362" t="s">
        <v>88</v>
      </c>
      <c r="D9788" s="560">
        <v>175092374</v>
      </c>
      <c r="E9788" s="560"/>
      <c r="F9788" s="560">
        <v>175092400</v>
      </c>
      <c r="G9788" s="560">
        <f t="shared" ref="G9788:G9851" si="212">D9788-F9788</f>
        <v>-26</v>
      </c>
      <c r="H9788" s="362"/>
      <c r="I9788" s="362"/>
      <c r="J9788" s="362"/>
    </row>
    <row r="9789" spans="1:11" x14ac:dyDescent="0.25">
      <c r="A9789" s="362"/>
      <c r="B9789" s="609">
        <v>44774</v>
      </c>
      <c r="C9789" s="362" t="s">
        <v>82</v>
      </c>
      <c r="D9789" s="560">
        <v>134033903</v>
      </c>
      <c r="E9789" s="560"/>
      <c r="F9789" s="560">
        <v>134034000</v>
      </c>
      <c r="G9789" s="560">
        <f t="shared" si="212"/>
        <v>-97</v>
      </c>
      <c r="H9789" s="362"/>
      <c r="I9789" s="362"/>
      <c r="J9789" s="362"/>
    </row>
    <row r="9790" spans="1:11" x14ac:dyDescent="0.25">
      <c r="A9790" s="362"/>
      <c r="B9790" s="609">
        <v>44774</v>
      </c>
      <c r="C9790" s="362" t="s">
        <v>80</v>
      </c>
      <c r="D9790" s="560">
        <v>235118600</v>
      </c>
      <c r="E9790" s="560"/>
      <c r="F9790" s="560">
        <v>235118600</v>
      </c>
      <c r="G9790" s="560">
        <f t="shared" si="212"/>
        <v>0</v>
      </c>
      <c r="H9790" s="362"/>
      <c r="I9790" s="362"/>
      <c r="J9790" s="362"/>
    </row>
    <row r="9791" spans="1:11" x14ac:dyDescent="0.25">
      <c r="A9791" s="362"/>
      <c r="B9791" s="609">
        <v>44774</v>
      </c>
      <c r="C9791" s="362" t="s">
        <v>83</v>
      </c>
      <c r="D9791" s="560">
        <v>262540797</v>
      </c>
      <c r="E9791" s="560"/>
      <c r="F9791" s="560">
        <v>262540800</v>
      </c>
      <c r="G9791" s="560">
        <f t="shared" si="212"/>
        <v>-3</v>
      </c>
      <c r="H9791" s="362"/>
      <c r="I9791" s="362"/>
      <c r="J9791" s="362"/>
    </row>
    <row r="9792" spans="1:11" x14ac:dyDescent="0.25">
      <c r="A9792" s="362"/>
      <c r="B9792" s="609">
        <v>44774</v>
      </c>
      <c r="C9792" s="362" t="s">
        <v>78</v>
      </c>
      <c r="D9792" s="560">
        <v>140061400</v>
      </c>
      <c r="E9792" s="560"/>
      <c r="F9792" s="560">
        <v>140061400</v>
      </c>
      <c r="G9792" s="560">
        <f t="shared" si="212"/>
        <v>0</v>
      </c>
      <c r="H9792" s="362"/>
      <c r="I9792" s="362"/>
      <c r="J9792" s="362"/>
    </row>
    <row r="9793" spans="1:10" x14ac:dyDescent="0.25">
      <c r="A9793" s="362"/>
      <c r="B9793" s="609">
        <v>44774</v>
      </c>
      <c r="C9793" s="362" t="s">
        <v>141</v>
      </c>
      <c r="D9793" s="560">
        <v>138489592</v>
      </c>
      <c r="E9793" s="560"/>
      <c r="F9793" s="560">
        <v>138489600</v>
      </c>
      <c r="G9793" s="560">
        <f t="shared" si="212"/>
        <v>-8</v>
      </c>
      <c r="H9793" s="362"/>
      <c r="I9793" s="362"/>
      <c r="J9793" s="362"/>
    </row>
    <row r="9794" spans="1:10" x14ac:dyDescent="0.25">
      <c r="A9794" s="362"/>
      <c r="B9794" s="609">
        <v>44774</v>
      </c>
      <c r="C9794" s="362" t="s">
        <v>89</v>
      </c>
      <c r="D9794" s="560">
        <v>151303000</v>
      </c>
      <c r="E9794" s="560"/>
      <c r="F9794" s="560">
        <v>151303000</v>
      </c>
      <c r="G9794" s="560">
        <f t="shared" si="212"/>
        <v>0</v>
      </c>
      <c r="H9794" s="362"/>
      <c r="I9794" s="362"/>
      <c r="J9794" s="362"/>
    </row>
    <row r="9795" spans="1:10" x14ac:dyDescent="0.25">
      <c r="A9795" s="362"/>
      <c r="B9795" s="609">
        <v>44774</v>
      </c>
      <c r="C9795" s="362" t="s">
        <v>81</v>
      </c>
      <c r="D9795" s="560">
        <v>175094701</v>
      </c>
      <c r="E9795" s="560"/>
      <c r="F9795" s="560">
        <v>175094700</v>
      </c>
      <c r="G9795" s="560">
        <f t="shared" si="212"/>
        <v>1</v>
      </c>
      <c r="H9795" s="362"/>
      <c r="I9795" s="362"/>
      <c r="J9795" s="362"/>
    </row>
    <row r="9796" spans="1:10" x14ac:dyDescent="0.25">
      <c r="A9796" s="362"/>
      <c r="B9796" s="609">
        <v>44774</v>
      </c>
      <c r="C9796" s="362" t="s">
        <v>84</v>
      </c>
      <c r="D9796" s="560">
        <v>460147371</v>
      </c>
      <c r="E9796" s="560"/>
      <c r="F9796" s="560">
        <v>460147400</v>
      </c>
      <c r="G9796" s="560">
        <f t="shared" si="212"/>
        <v>-29</v>
      </c>
      <c r="H9796" s="362"/>
      <c r="I9796" s="362"/>
      <c r="J9796" s="362"/>
    </row>
    <row r="9797" spans="1:10" x14ac:dyDescent="0.25">
      <c r="A9797" s="362"/>
      <c r="B9797" s="609">
        <v>44774</v>
      </c>
      <c r="C9797" s="362" t="s">
        <v>4751</v>
      </c>
      <c r="D9797" s="560">
        <v>234635400</v>
      </c>
      <c r="E9797" s="560"/>
      <c r="F9797" s="560">
        <v>234635400</v>
      </c>
      <c r="G9797" s="560">
        <f t="shared" si="212"/>
        <v>0</v>
      </c>
      <c r="H9797" s="362"/>
      <c r="I9797" s="362"/>
      <c r="J9797" s="362"/>
    </row>
    <row r="9798" spans="1:10" x14ac:dyDescent="0.25">
      <c r="A9798" s="362"/>
      <c r="B9798" s="609">
        <v>44774</v>
      </c>
      <c r="C9798" s="362" t="s">
        <v>166</v>
      </c>
      <c r="D9798" s="560">
        <v>84182246</v>
      </c>
      <c r="E9798" s="560"/>
      <c r="F9798" s="560">
        <v>84182500</v>
      </c>
      <c r="G9798" s="560">
        <f t="shared" si="212"/>
        <v>-254</v>
      </c>
      <c r="H9798" s="362"/>
      <c r="I9798" s="362"/>
      <c r="J9798" s="362"/>
    </row>
    <row r="9799" spans="1:10" x14ac:dyDescent="0.25">
      <c r="A9799" s="362"/>
      <c r="B9799" s="609">
        <v>44774</v>
      </c>
      <c r="C9799" s="362" t="s">
        <v>3435</v>
      </c>
      <c r="D9799" s="560">
        <v>25860954</v>
      </c>
      <c r="E9799" s="560"/>
      <c r="F9799" s="560">
        <v>25861000</v>
      </c>
      <c r="G9799" s="560">
        <f t="shared" si="212"/>
        <v>-46</v>
      </c>
      <c r="H9799" s="362"/>
      <c r="I9799" s="362"/>
      <c r="J9799" s="362"/>
    </row>
    <row r="9800" spans="1:10" x14ac:dyDescent="0.25">
      <c r="A9800" s="362"/>
      <c r="B9800" s="609">
        <v>44774</v>
      </c>
      <c r="C9800" s="370" t="s">
        <v>85</v>
      </c>
      <c r="D9800" s="560">
        <v>79309900</v>
      </c>
      <c r="E9800" s="560"/>
      <c r="F9800" s="560">
        <v>79309900</v>
      </c>
      <c r="G9800" s="560">
        <f t="shared" si="212"/>
        <v>0</v>
      </c>
      <c r="H9800" s="362"/>
      <c r="I9800" s="362"/>
      <c r="J9800" s="362"/>
    </row>
    <row r="9801" spans="1:10" x14ac:dyDescent="0.25">
      <c r="A9801" s="530"/>
      <c r="B9801" s="530"/>
      <c r="C9801" s="530"/>
      <c r="D9801" s="562">
        <f>SUM(D9786:D9800)</f>
        <v>2513196597</v>
      </c>
      <c r="E9801" s="562">
        <f t="shared" ref="E9801:G9801" si="213">SUM(E9786:E9800)</f>
        <v>0</v>
      </c>
      <c r="F9801" s="562">
        <f t="shared" si="213"/>
        <v>2513197100</v>
      </c>
      <c r="G9801" s="562">
        <f t="shared" si="213"/>
        <v>-503</v>
      </c>
      <c r="H9801" s="530"/>
      <c r="I9801" s="530"/>
      <c r="J9801" s="530"/>
    </row>
    <row r="9802" spans="1:10" x14ac:dyDescent="0.25">
      <c r="A9802" s="362"/>
      <c r="B9802" s="609">
        <v>44775</v>
      </c>
      <c r="C9802" s="362" t="s">
        <v>86</v>
      </c>
      <c r="D9802" s="560">
        <v>126652823</v>
      </c>
      <c r="E9802" s="560"/>
      <c r="F9802" s="560">
        <v>126652900</v>
      </c>
      <c r="G9802" s="560">
        <f t="shared" si="212"/>
        <v>-77</v>
      </c>
      <c r="H9802" s="362"/>
      <c r="I9802" s="362"/>
      <c r="J9802" s="362"/>
    </row>
    <row r="9803" spans="1:10" x14ac:dyDescent="0.25">
      <c r="A9803" s="362"/>
      <c r="B9803" s="609">
        <v>44775</v>
      </c>
      <c r="C9803" s="362" t="s">
        <v>87</v>
      </c>
      <c r="D9803" s="560">
        <v>167878318</v>
      </c>
      <c r="E9803" s="560"/>
      <c r="F9803" s="560">
        <v>167878400</v>
      </c>
      <c r="G9803" s="560">
        <f t="shared" si="212"/>
        <v>-82</v>
      </c>
      <c r="H9803" s="362"/>
      <c r="I9803" s="362"/>
      <c r="J9803" s="362"/>
    </row>
    <row r="9804" spans="1:10" x14ac:dyDescent="0.25">
      <c r="A9804" s="362"/>
      <c r="B9804" s="609">
        <v>44775</v>
      </c>
      <c r="C9804" s="362" t="s">
        <v>88</v>
      </c>
      <c r="D9804" s="560">
        <v>183076656</v>
      </c>
      <c r="E9804" s="560"/>
      <c r="F9804" s="560">
        <v>183077000</v>
      </c>
      <c r="G9804" s="560">
        <f t="shared" si="212"/>
        <v>-344</v>
      </c>
      <c r="H9804" s="362"/>
      <c r="I9804" s="362"/>
      <c r="J9804" s="362"/>
    </row>
    <row r="9805" spans="1:10" x14ac:dyDescent="0.25">
      <c r="A9805" s="362"/>
      <c r="B9805" s="609">
        <v>44775</v>
      </c>
      <c r="C9805" s="362" t="s">
        <v>82</v>
      </c>
      <c r="D9805" s="560">
        <v>130804471</v>
      </c>
      <c r="E9805" s="560"/>
      <c r="F9805" s="560">
        <v>130804500</v>
      </c>
      <c r="G9805" s="560">
        <f t="shared" si="212"/>
        <v>-29</v>
      </c>
      <c r="H9805" s="362"/>
      <c r="I9805" s="362"/>
      <c r="J9805" s="362"/>
    </row>
    <row r="9806" spans="1:10" x14ac:dyDescent="0.25">
      <c r="A9806" s="362"/>
      <c r="B9806" s="609">
        <v>44775</v>
      </c>
      <c r="C9806" s="362" t="s">
        <v>80</v>
      </c>
      <c r="D9806" s="560">
        <v>232508131</v>
      </c>
      <c r="E9806" s="560"/>
      <c r="F9806" s="560">
        <v>232508200</v>
      </c>
      <c r="G9806" s="560">
        <f t="shared" si="212"/>
        <v>-69</v>
      </c>
      <c r="H9806" s="362"/>
      <c r="I9806" s="362"/>
      <c r="J9806" s="362"/>
    </row>
    <row r="9807" spans="1:10" x14ac:dyDescent="0.25">
      <c r="A9807" s="362"/>
      <c r="B9807" s="609">
        <v>44775</v>
      </c>
      <c r="C9807" s="362" t="s">
        <v>83</v>
      </c>
      <c r="D9807" s="560">
        <v>235339843</v>
      </c>
      <c r="E9807" s="560"/>
      <c r="F9807" s="560">
        <v>235339900</v>
      </c>
      <c r="G9807" s="560">
        <f t="shared" si="212"/>
        <v>-57</v>
      </c>
      <c r="H9807" s="362"/>
      <c r="I9807" s="362"/>
      <c r="J9807" s="362"/>
    </row>
    <row r="9808" spans="1:10" x14ac:dyDescent="0.25">
      <c r="A9808" s="362"/>
      <c r="B9808" s="609">
        <v>44775</v>
      </c>
      <c r="C9808" s="362" t="s">
        <v>78</v>
      </c>
      <c r="D9808" s="560">
        <v>151166800</v>
      </c>
      <c r="E9808" s="560"/>
      <c r="F9808" s="560">
        <v>151166800</v>
      </c>
      <c r="G9808" s="560">
        <f t="shared" si="212"/>
        <v>0</v>
      </c>
      <c r="H9808" s="362"/>
      <c r="I9808" s="362"/>
      <c r="J9808" s="362"/>
    </row>
    <row r="9809" spans="1:10" x14ac:dyDescent="0.25">
      <c r="A9809" s="362"/>
      <c r="B9809" s="609">
        <v>44775</v>
      </c>
      <c r="C9809" s="362" t="s">
        <v>141</v>
      </c>
      <c r="D9809" s="560">
        <v>91683724</v>
      </c>
      <c r="E9809" s="560"/>
      <c r="F9809" s="560">
        <v>91683800</v>
      </c>
      <c r="G9809" s="560">
        <f t="shared" si="212"/>
        <v>-76</v>
      </c>
      <c r="H9809" s="362"/>
      <c r="I9809" s="362"/>
      <c r="J9809" s="362"/>
    </row>
    <row r="9810" spans="1:10" x14ac:dyDescent="0.25">
      <c r="A9810" s="362"/>
      <c r="B9810" s="609">
        <v>44775</v>
      </c>
      <c r="C9810" s="362" t="s">
        <v>89</v>
      </c>
      <c r="D9810" s="560">
        <v>167426600</v>
      </c>
      <c r="E9810" s="560"/>
      <c r="F9810" s="560">
        <v>167426500</v>
      </c>
      <c r="G9810" s="560">
        <f t="shared" si="212"/>
        <v>100</v>
      </c>
      <c r="H9810" s="362"/>
      <c r="I9810" s="362"/>
      <c r="J9810" s="362"/>
    </row>
    <row r="9811" spans="1:10" x14ac:dyDescent="0.25">
      <c r="A9811" s="362"/>
      <c r="B9811" s="609">
        <v>44775</v>
      </c>
      <c r="C9811" s="362" t="s">
        <v>81</v>
      </c>
      <c r="D9811" s="560">
        <v>123095793</v>
      </c>
      <c r="E9811" s="560"/>
      <c r="F9811" s="560">
        <v>123095800</v>
      </c>
      <c r="G9811" s="560">
        <f t="shared" si="212"/>
        <v>-7</v>
      </c>
      <c r="H9811" s="362"/>
      <c r="I9811" s="362"/>
      <c r="J9811" s="362"/>
    </row>
    <row r="9812" spans="1:10" x14ac:dyDescent="0.25">
      <c r="A9812" s="362"/>
      <c r="B9812" s="609">
        <v>44775</v>
      </c>
      <c r="C9812" s="362" t="s">
        <v>84</v>
      </c>
      <c r="D9812" s="560">
        <v>295415833</v>
      </c>
      <c r="E9812" s="560"/>
      <c r="F9812" s="560">
        <v>295415800</v>
      </c>
      <c r="G9812" s="560">
        <f t="shared" si="212"/>
        <v>33</v>
      </c>
      <c r="H9812" s="362"/>
      <c r="I9812" s="362"/>
      <c r="J9812" s="362"/>
    </row>
    <row r="9813" spans="1:10" x14ac:dyDescent="0.25">
      <c r="A9813" s="362"/>
      <c r="B9813" s="609">
        <v>44775</v>
      </c>
      <c r="C9813" s="362" t="s">
        <v>4751</v>
      </c>
      <c r="D9813" s="560">
        <v>237534800</v>
      </c>
      <c r="E9813" s="560"/>
      <c r="F9813" s="560">
        <v>237534900</v>
      </c>
      <c r="G9813" s="560">
        <f t="shared" si="212"/>
        <v>-100</v>
      </c>
      <c r="H9813" s="362"/>
      <c r="I9813" s="362"/>
      <c r="J9813" s="362"/>
    </row>
    <row r="9814" spans="1:10" x14ac:dyDescent="0.25">
      <c r="A9814" s="362"/>
      <c r="B9814" s="609">
        <v>44775</v>
      </c>
      <c r="C9814" s="362" t="s">
        <v>166</v>
      </c>
      <c r="D9814" s="560">
        <v>130320804</v>
      </c>
      <c r="E9814" s="560"/>
      <c r="F9814" s="560">
        <v>130321000</v>
      </c>
      <c r="G9814" s="560">
        <f t="shared" si="212"/>
        <v>-196</v>
      </c>
      <c r="H9814" s="362"/>
      <c r="I9814" s="362"/>
      <c r="J9814" s="362"/>
    </row>
    <row r="9815" spans="1:10" x14ac:dyDescent="0.25">
      <c r="A9815" s="362"/>
      <c r="B9815" s="609">
        <v>44775</v>
      </c>
      <c r="C9815" s="362" t="s">
        <v>3435</v>
      </c>
      <c r="D9815" s="560">
        <v>35687713</v>
      </c>
      <c r="E9815" s="560"/>
      <c r="F9815" s="560">
        <v>35687800</v>
      </c>
      <c r="G9815" s="560">
        <f t="shared" si="212"/>
        <v>-87</v>
      </c>
      <c r="H9815" s="362"/>
      <c r="I9815" s="362"/>
      <c r="J9815" s="362"/>
    </row>
    <row r="9816" spans="1:10" x14ac:dyDescent="0.25">
      <c r="A9816" s="362"/>
      <c r="B9816" s="609">
        <v>44775</v>
      </c>
      <c r="C9816" s="370" t="s">
        <v>85</v>
      </c>
      <c r="D9816" s="560">
        <v>64576400</v>
      </c>
      <c r="E9816" s="560"/>
      <c r="F9816" s="560">
        <v>64576400</v>
      </c>
      <c r="G9816" s="560">
        <f t="shared" si="212"/>
        <v>0</v>
      </c>
      <c r="H9816" s="362"/>
      <c r="I9816" s="362"/>
      <c r="J9816" s="362"/>
    </row>
    <row r="9817" spans="1:10" x14ac:dyDescent="0.25">
      <c r="A9817" s="530"/>
      <c r="B9817" s="530"/>
      <c r="C9817" s="530"/>
      <c r="D9817" s="562">
        <f>SUM(D9802:D9816)</f>
        <v>2373168709</v>
      </c>
      <c r="E9817" s="562">
        <f t="shared" ref="E9817:G9817" si="214">SUM(E9802:E9816)</f>
        <v>0</v>
      </c>
      <c r="F9817" s="562">
        <f t="shared" si="214"/>
        <v>2373169700</v>
      </c>
      <c r="G9817" s="562">
        <f t="shared" si="214"/>
        <v>-991</v>
      </c>
      <c r="H9817" s="530"/>
      <c r="I9817" s="530"/>
      <c r="J9817" s="530"/>
    </row>
    <row r="9818" spans="1:10" x14ac:dyDescent="0.25">
      <c r="A9818" s="362"/>
      <c r="B9818" s="609">
        <v>44776</v>
      </c>
      <c r="C9818" s="362" t="s">
        <v>86</v>
      </c>
      <c r="D9818" s="560">
        <v>109628244</v>
      </c>
      <c r="E9818" s="560"/>
      <c r="F9818" s="560">
        <v>109628300</v>
      </c>
      <c r="G9818" s="560">
        <f t="shared" si="212"/>
        <v>-56</v>
      </c>
      <c r="H9818" s="362"/>
      <c r="I9818" s="362"/>
      <c r="J9818" s="362"/>
    </row>
    <row r="9819" spans="1:10" x14ac:dyDescent="0.25">
      <c r="A9819" s="362"/>
      <c r="B9819" s="609">
        <v>44776</v>
      </c>
      <c r="C9819" s="362" t="s">
        <v>87</v>
      </c>
      <c r="D9819" s="560">
        <v>359001456</v>
      </c>
      <c r="E9819" s="560"/>
      <c r="F9819" s="560">
        <v>359001500</v>
      </c>
      <c r="G9819" s="560">
        <f t="shared" si="212"/>
        <v>-44</v>
      </c>
      <c r="H9819" s="362"/>
      <c r="I9819" s="362"/>
      <c r="J9819" s="362"/>
    </row>
    <row r="9820" spans="1:10" x14ac:dyDescent="0.25">
      <c r="A9820" s="362"/>
      <c r="B9820" s="609">
        <v>44776</v>
      </c>
      <c r="C9820" s="362" t="s">
        <v>88</v>
      </c>
      <c r="D9820" s="560">
        <v>167223311</v>
      </c>
      <c r="E9820" s="560"/>
      <c r="F9820" s="560">
        <v>167223400</v>
      </c>
      <c r="G9820" s="560">
        <f t="shared" si="212"/>
        <v>-89</v>
      </c>
      <c r="H9820" s="362"/>
      <c r="I9820" s="362"/>
      <c r="J9820" s="362"/>
    </row>
    <row r="9821" spans="1:10" x14ac:dyDescent="0.25">
      <c r="A9821" s="362"/>
      <c r="B9821" s="609">
        <v>44776</v>
      </c>
      <c r="C9821" s="362" t="s">
        <v>82</v>
      </c>
      <c r="D9821" s="560">
        <v>101947038</v>
      </c>
      <c r="E9821" s="560"/>
      <c r="F9821" s="560">
        <v>101947100</v>
      </c>
      <c r="G9821" s="560">
        <f t="shared" si="212"/>
        <v>-62</v>
      </c>
      <c r="H9821" s="362"/>
      <c r="I9821" s="362"/>
      <c r="J9821" s="362"/>
    </row>
    <row r="9822" spans="1:10" x14ac:dyDescent="0.25">
      <c r="A9822" s="362"/>
      <c r="B9822" s="609">
        <v>44776</v>
      </c>
      <c r="C9822" s="362" t="s">
        <v>80</v>
      </c>
      <c r="D9822" s="560">
        <v>576829700</v>
      </c>
      <c r="E9822" s="560"/>
      <c r="F9822" s="560">
        <v>576829700</v>
      </c>
      <c r="G9822" s="560">
        <f t="shared" si="212"/>
        <v>0</v>
      </c>
      <c r="H9822" s="362"/>
      <c r="I9822" s="362"/>
      <c r="J9822" s="362"/>
    </row>
    <row r="9823" spans="1:10" x14ac:dyDescent="0.25">
      <c r="A9823" s="362"/>
      <c r="B9823" s="609">
        <v>44776</v>
      </c>
      <c r="C9823" s="362" t="s">
        <v>83</v>
      </c>
      <c r="D9823" s="560">
        <v>150257303</v>
      </c>
      <c r="E9823" s="560"/>
      <c r="F9823" s="560">
        <v>150257300</v>
      </c>
      <c r="G9823" s="560">
        <f t="shared" si="212"/>
        <v>3</v>
      </c>
      <c r="H9823" s="362"/>
      <c r="I9823" s="362"/>
      <c r="J9823" s="362"/>
    </row>
    <row r="9824" spans="1:10" x14ac:dyDescent="0.25">
      <c r="A9824" s="362"/>
      <c r="B9824" s="609">
        <v>44776</v>
      </c>
      <c r="C9824" s="362" t="s">
        <v>78</v>
      </c>
      <c r="D9824" s="560">
        <v>135780400</v>
      </c>
      <c r="E9824" s="560"/>
      <c r="F9824" s="560">
        <v>135780400</v>
      </c>
      <c r="G9824" s="560">
        <f t="shared" si="212"/>
        <v>0</v>
      </c>
      <c r="H9824" s="362"/>
      <c r="I9824" s="362"/>
      <c r="J9824" s="362"/>
    </row>
    <row r="9825" spans="1:10" x14ac:dyDescent="0.25">
      <c r="A9825" s="362"/>
      <c r="B9825" s="609">
        <v>44776</v>
      </c>
      <c r="C9825" s="362" t="s">
        <v>141</v>
      </c>
      <c r="D9825" s="560">
        <v>171847691</v>
      </c>
      <c r="E9825" s="560"/>
      <c r="F9825" s="560">
        <v>171847700</v>
      </c>
      <c r="G9825" s="560">
        <f t="shared" si="212"/>
        <v>-9</v>
      </c>
      <c r="H9825" s="362"/>
      <c r="I9825" s="362"/>
      <c r="J9825" s="362"/>
    </row>
    <row r="9826" spans="1:10" x14ac:dyDescent="0.25">
      <c r="A9826" s="362"/>
      <c r="B9826" s="609">
        <v>44776</v>
      </c>
      <c r="C9826" s="362" t="s">
        <v>89</v>
      </c>
      <c r="D9826" s="560">
        <v>214108800</v>
      </c>
      <c r="E9826" s="560"/>
      <c r="F9826" s="560">
        <v>214108800</v>
      </c>
      <c r="G9826" s="560">
        <f t="shared" si="212"/>
        <v>0</v>
      </c>
      <c r="H9826" s="362"/>
      <c r="I9826" s="362"/>
      <c r="J9826" s="362"/>
    </row>
    <row r="9827" spans="1:10" x14ac:dyDescent="0.25">
      <c r="A9827" s="362"/>
      <c r="B9827" s="609">
        <v>44776</v>
      </c>
      <c r="C9827" s="362" t="s">
        <v>81</v>
      </c>
      <c r="D9827" s="560">
        <v>175846803</v>
      </c>
      <c r="E9827" s="560"/>
      <c r="F9827" s="560">
        <v>175846800</v>
      </c>
      <c r="G9827" s="560">
        <f t="shared" si="212"/>
        <v>3</v>
      </c>
      <c r="H9827" s="362"/>
      <c r="I9827" s="362"/>
      <c r="J9827" s="362"/>
    </row>
    <row r="9828" spans="1:10" x14ac:dyDescent="0.25">
      <c r="A9828" s="362"/>
      <c r="B9828" s="609">
        <v>44776</v>
      </c>
      <c r="C9828" s="362" t="s">
        <v>84</v>
      </c>
      <c r="D9828" s="560">
        <v>333664291</v>
      </c>
      <c r="E9828" s="560"/>
      <c r="F9828" s="560">
        <v>333664300</v>
      </c>
      <c r="G9828" s="560">
        <f t="shared" si="212"/>
        <v>-9</v>
      </c>
      <c r="H9828" s="362"/>
      <c r="I9828" s="362"/>
      <c r="J9828" s="362"/>
    </row>
    <row r="9829" spans="1:10" x14ac:dyDescent="0.25">
      <c r="A9829" s="362"/>
      <c r="B9829" s="609">
        <v>44776</v>
      </c>
      <c r="C9829" s="362" t="s">
        <v>4751</v>
      </c>
      <c r="D9829" s="560">
        <v>173246000</v>
      </c>
      <c r="E9829" s="560"/>
      <c r="F9829" s="560">
        <v>173246000</v>
      </c>
      <c r="G9829" s="560">
        <f t="shared" si="212"/>
        <v>0</v>
      </c>
      <c r="H9829" s="362"/>
      <c r="I9829" s="362"/>
      <c r="J9829" s="362"/>
    </row>
    <row r="9830" spans="1:10" x14ac:dyDescent="0.25">
      <c r="A9830" s="362"/>
      <c r="B9830" s="609">
        <v>44776</v>
      </c>
      <c r="C9830" s="362" t="s">
        <v>166</v>
      </c>
      <c r="D9830" s="560">
        <v>79317379</v>
      </c>
      <c r="E9830" s="560"/>
      <c r="F9830" s="560">
        <v>79317500</v>
      </c>
      <c r="G9830" s="560">
        <f t="shared" si="212"/>
        <v>-121</v>
      </c>
      <c r="H9830" s="362"/>
      <c r="I9830" s="362"/>
      <c r="J9830" s="362"/>
    </row>
    <row r="9831" spans="1:10" x14ac:dyDescent="0.25">
      <c r="A9831" s="362"/>
      <c r="B9831" s="609">
        <v>44776</v>
      </c>
      <c r="C9831" s="362" t="s">
        <v>3435</v>
      </c>
      <c r="D9831" s="560">
        <v>83216485</v>
      </c>
      <c r="E9831" s="560"/>
      <c r="F9831" s="560">
        <v>83216500</v>
      </c>
      <c r="G9831" s="560">
        <f t="shared" si="212"/>
        <v>-15</v>
      </c>
      <c r="H9831" s="362"/>
      <c r="I9831" s="362"/>
      <c r="J9831" s="362"/>
    </row>
    <row r="9832" spans="1:10" x14ac:dyDescent="0.25">
      <c r="A9832" s="362"/>
      <c r="B9832" s="609">
        <v>44776</v>
      </c>
      <c r="C9832" s="370" t="s">
        <v>85</v>
      </c>
      <c r="D9832" s="560">
        <v>68003700</v>
      </c>
      <c r="E9832" s="560"/>
      <c r="F9832" s="560">
        <v>68003700</v>
      </c>
      <c r="G9832" s="560">
        <f t="shared" si="212"/>
        <v>0</v>
      </c>
      <c r="H9832" s="362"/>
      <c r="I9832" s="362"/>
      <c r="J9832" s="362"/>
    </row>
    <row r="9833" spans="1:10" x14ac:dyDescent="0.25">
      <c r="A9833" s="530"/>
      <c r="B9833" s="530"/>
      <c r="C9833" s="530"/>
      <c r="D9833" s="562">
        <f>SUM(D9818:D9832)</f>
        <v>2899918601</v>
      </c>
      <c r="E9833" s="562">
        <f t="shared" ref="E9833:G9833" si="215">SUM(E9818:E9832)</f>
        <v>0</v>
      </c>
      <c r="F9833" s="562">
        <f t="shared" si="215"/>
        <v>2899919000</v>
      </c>
      <c r="G9833" s="562">
        <f t="shared" si="215"/>
        <v>-399</v>
      </c>
      <c r="H9833" s="530"/>
      <c r="I9833" s="530"/>
      <c r="J9833" s="530"/>
    </row>
    <row r="9834" spans="1:10" x14ac:dyDescent="0.25">
      <c r="A9834" s="362"/>
      <c r="B9834" s="609">
        <v>44777</v>
      </c>
      <c r="C9834" s="362" t="s">
        <v>86</v>
      </c>
      <c r="D9834" s="560">
        <v>97948811</v>
      </c>
      <c r="E9834" s="560"/>
      <c r="F9834" s="560">
        <v>97948900</v>
      </c>
      <c r="G9834" s="560">
        <f t="shared" si="212"/>
        <v>-89</v>
      </c>
      <c r="H9834" s="362"/>
      <c r="I9834" s="362"/>
      <c r="J9834" s="362"/>
    </row>
    <row r="9835" spans="1:10" x14ac:dyDescent="0.25">
      <c r="A9835" s="362"/>
      <c r="B9835" s="609">
        <v>44777</v>
      </c>
      <c r="C9835" s="362" t="s">
        <v>87</v>
      </c>
      <c r="D9835" s="560">
        <v>213147924</v>
      </c>
      <c r="E9835" s="560"/>
      <c r="F9835" s="560">
        <v>213148000</v>
      </c>
      <c r="G9835" s="560">
        <f t="shared" si="212"/>
        <v>-76</v>
      </c>
      <c r="H9835" s="362"/>
      <c r="I9835" s="362"/>
      <c r="J9835" s="362"/>
    </row>
    <row r="9836" spans="1:10" x14ac:dyDescent="0.25">
      <c r="A9836" s="362"/>
      <c r="B9836" s="609">
        <v>44777</v>
      </c>
      <c r="C9836" s="362" t="s">
        <v>88</v>
      </c>
      <c r="D9836" s="560">
        <v>201657453</v>
      </c>
      <c r="E9836" s="560"/>
      <c r="F9836" s="560">
        <v>201657500</v>
      </c>
      <c r="G9836" s="560">
        <f t="shared" si="212"/>
        <v>-47</v>
      </c>
      <c r="H9836" s="362"/>
      <c r="I9836" s="362"/>
      <c r="J9836" s="362"/>
    </row>
    <row r="9837" spans="1:10" x14ac:dyDescent="0.25">
      <c r="A9837" s="362"/>
      <c r="B9837" s="609">
        <v>44777</v>
      </c>
      <c r="C9837" s="362" t="s">
        <v>82</v>
      </c>
      <c r="D9837" s="560">
        <v>117521954</v>
      </c>
      <c r="E9837" s="560"/>
      <c r="F9837" s="560">
        <v>117521900</v>
      </c>
      <c r="G9837" s="560">
        <f t="shared" si="212"/>
        <v>54</v>
      </c>
      <c r="H9837" s="362"/>
      <c r="I9837" s="362"/>
      <c r="J9837" s="362"/>
    </row>
    <row r="9838" spans="1:10" x14ac:dyDescent="0.25">
      <c r="A9838" s="362"/>
      <c r="B9838" s="609">
        <v>44777</v>
      </c>
      <c r="C9838" s="362" t="s">
        <v>80</v>
      </c>
      <c r="D9838" s="560">
        <v>340715100</v>
      </c>
      <c r="E9838" s="560"/>
      <c r="F9838" s="560">
        <v>340715100</v>
      </c>
      <c r="G9838" s="560">
        <f t="shared" si="212"/>
        <v>0</v>
      </c>
      <c r="H9838" s="362"/>
      <c r="I9838" s="362"/>
      <c r="J9838" s="362"/>
    </row>
    <row r="9839" spans="1:10" x14ac:dyDescent="0.25">
      <c r="A9839" s="362"/>
      <c r="B9839" s="609">
        <v>44777</v>
      </c>
      <c r="C9839" s="362" t="s">
        <v>83</v>
      </c>
      <c r="D9839" s="560">
        <v>231537747</v>
      </c>
      <c r="E9839" s="560"/>
      <c r="F9839" s="560">
        <v>232040200</v>
      </c>
      <c r="G9839" s="560">
        <f t="shared" si="212"/>
        <v>-502453</v>
      </c>
      <c r="H9839" s="362"/>
      <c r="I9839" s="362"/>
      <c r="J9839" s="362"/>
    </row>
    <row r="9840" spans="1:10" x14ac:dyDescent="0.25">
      <c r="A9840" s="362"/>
      <c r="B9840" s="609">
        <v>44777</v>
      </c>
      <c r="C9840" s="362" t="s">
        <v>78</v>
      </c>
      <c r="D9840" s="560">
        <v>120927100</v>
      </c>
      <c r="E9840" s="560"/>
      <c r="F9840" s="560">
        <v>120927100</v>
      </c>
      <c r="G9840" s="560">
        <f t="shared" si="212"/>
        <v>0</v>
      </c>
      <c r="H9840" s="362"/>
      <c r="I9840" s="362"/>
      <c r="J9840" s="362"/>
    </row>
    <row r="9841" spans="1:10" x14ac:dyDescent="0.25">
      <c r="A9841" s="362"/>
      <c r="B9841" s="609">
        <v>44777</v>
      </c>
      <c r="C9841" s="362" t="s">
        <v>141</v>
      </c>
      <c r="D9841" s="560">
        <v>121891256</v>
      </c>
      <c r="E9841" s="560"/>
      <c r="F9841" s="560">
        <v>121891300</v>
      </c>
      <c r="G9841" s="560">
        <f t="shared" si="212"/>
        <v>-44</v>
      </c>
      <c r="H9841" s="362"/>
      <c r="I9841" s="362"/>
      <c r="J9841" s="362"/>
    </row>
    <row r="9842" spans="1:10" x14ac:dyDescent="0.25">
      <c r="A9842" s="362"/>
      <c r="B9842" s="609">
        <v>44777</v>
      </c>
      <c r="C9842" s="362" t="s">
        <v>89</v>
      </c>
      <c r="D9842" s="560">
        <v>185558000</v>
      </c>
      <c r="E9842" s="560"/>
      <c r="F9842" s="560">
        <v>185558000</v>
      </c>
      <c r="G9842" s="560">
        <f t="shared" si="212"/>
        <v>0</v>
      </c>
      <c r="H9842" s="362"/>
      <c r="I9842" s="362"/>
      <c r="J9842" s="362"/>
    </row>
    <row r="9843" spans="1:10" x14ac:dyDescent="0.25">
      <c r="A9843" s="362"/>
      <c r="B9843" s="609">
        <v>44777</v>
      </c>
      <c r="C9843" s="362" t="s">
        <v>81</v>
      </c>
      <c r="D9843" s="560">
        <v>115683120</v>
      </c>
      <c r="E9843" s="560"/>
      <c r="F9843" s="560">
        <v>115683200</v>
      </c>
      <c r="G9843" s="560">
        <f t="shared" si="212"/>
        <v>-80</v>
      </c>
      <c r="H9843" s="362"/>
      <c r="I9843" s="362"/>
      <c r="J9843" s="362"/>
    </row>
    <row r="9844" spans="1:10" x14ac:dyDescent="0.25">
      <c r="A9844" s="362"/>
      <c r="B9844" s="609">
        <v>44777</v>
      </c>
      <c r="C9844" s="362" t="s">
        <v>84</v>
      </c>
      <c r="D9844" s="560">
        <v>263374726</v>
      </c>
      <c r="E9844" s="560"/>
      <c r="F9844" s="560">
        <v>263374000</v>
      </c>
      <c r="G9844" s="560">
        <f t="shared" si="212"/>
        <v>726</v>
      </c>
      <c r="H9844" s="362"/>
      <c r="I9844" s="362"/>
      <c r="J9844" s="362"/>
    </row>
    <row r="9845" spans="1:10" x14ac:dyDescent="0.25">
      <c r="A9845" s="362"/>
      <c r="B9845" s="609">
        <v>44777</v>
      </c>
      <c r="C9845" s="362" t="s">
        <v>4751</v>
      </c>
      <c r="D9845" s="560">
        <v>242264900</v>
      </c>
      <c r="E9845" s="560"/>
      <c r="F9845" s="560">
        <v>242265000</v>
      </c>
      <c r="G9845" s="560">
        <f t="shared" si="212"/>
        <v>-100</v>
      </c>
      <c r="H9845" s="362"/>
      <c r="I9845" s="362"/>
      <c r="J9845" s="362"/>
    </row>
    <row r="9846" spans="1:10" x14ac:dyDescent="0.25">
      <c r="A9846" s="362"/>
      <c r="B9846" s="609">
        <v>44777</v>
      </c>
      <c r="C9846" s="362" t="s">
        <v>166</v>
      </c>
      <c r="D9846" s="560">
        <v>81031396</v>
      </c>
      <c r="E9846" s="560"/>
      <c r="F9846" s="560">
        <v>81031500</v>
      </c>
      <c r="G9846" s="560">
        <f t="shared" si="212"/>
        <v>-104</v>
      </c>
      <c r="H9846" s="362"/>
      <c r="I9846" s="362"/>
      <c r="J9846" s="362"/>
    </row>
    <row r="9847" spans="1:10" x14ac:dyDescent="0.25">
      <c r="A9847" s="362"/>
      <c r="B9847" s="609">
        <v>44777</v>
      </c>
      <c r="C9847" s="362" t="s">
        <v>3435</v>
      </c>
      <c r="D9847" s="560">
        <v>39503582</v>
      </c>
      <c r="E9847" s="560"/>
      <c r="F9847" s="560">
        <v>39503600</v>
      </c>
      <c r="G9847" s="560">
        <f t="shared" si="212"/>
        <v>-18</v>
      </c>
      <c r="H9847" s="362"/>
      <c r="I9847" s="362"/>
      <c r="J9847" s="362"/>
    </row>
    <row r="9848" spans="1:10" x14ac:dyDescent="0.25">
      <c r="A9848" s="362"/>
      <c r="B9848" s="609">
        <v>44777</v>
      </c>
      <c r="C9848" s="370" t="s">
        <v>85</v>
      </c>
      <c r="D9848" s="560">
        <v>31087500</v>
      </c>
      <c r="E9848" s="560"/>
      <c r="F9848" s="560">
        <v>31087500</v>
      </c>
      <c r="G9848" s="560">
        <f t="shared" si="212"/>
        <v>0</v>
      </c>
      <c r="H9848" s="362"/>
      <c r="I9848" s="362"/>
      <c r="J9848" s="362"/>
    </row>
    <row r="9849" spans="1:10" x14ac:dyDescent="0.25">
      <c r="A9849" s="530"/>
      <c r="B9849" s="530"/>
      <c r="C9849" s="530"/>
      <c r="D9849" s="562">
        <f>SUM(D9834:D9848)</f>
        <v>2403850569</v>
      </c>
      <c r="E9849" s="562">
        <f t="shared" ref="E9849:G9849" si="216">SUM(E9834:E9848)</f>
        <v>0</v>
      </c>
      <c r="F9849" s="562">
        <f t="shared" si="216"/>
        <v>2404352800</v>
      </c>
      <c r="G9849" s="562">
        <f t="shared" si="216"/>
        <v>-502231</v>
      </c>
      <c r="H9849" s="530"/>
      <c r="I9849" s="530"/>
      <c r="J9849" s="530"/>
    </row>
    <row r="9850" spans="1:10" x14ac:dyDescent="0.25">
      <c r="A9850" s="362"/>
      <c r="B9850" s="609">
        <v>44778</v>
      </c>
      <c r="C9850" s="362" t="s">
        <v>86</v>
      </c>
      <c r="D9850" s="560">
        <v>101761578</v>
      </c>
      <c r="E9850" s="560"/>
      <c r="F9850" s="560">
        <v>101761600</v>
      </c>
      <c r="G9850" s="560">
        <f t="shared" si="212"/>
        <v>-22</v>
      </c>
      <c r="H9850" s="362"/>
      <c r="I9850" s="362"/>
      <c r="J9850" s="362"/>
    </row>
    <row r="9851" spans="1:10" x14ac:dyDescent="0.25">
      <c r="A9851" s="362"/>
      <c r="B9851" s="609">
        <v>44778</v>
      </c>
      <c r="C9851" s="362" t="s">
        <v>87</v>
      </c>
      <c r="D9851" s="560">
        <v>153297875</v>
      </c>
      <c r="E9851" s="560"/>
      <c r="F9851" s="560">
        <v>153298000</v>
      </c>
      <c r="G9851" s="560">
        <f t="shared" si="212"/>
        <v>-125</v>
      </c>
      <c r="H9851" s="362"/>
      <c r="I9851" s="362"/>
      <c r="J9851" s="362"/>
    </row>
    <row r="9852" spans="1:10" x14ac:dyDescent="0.25">
      <c r="A9852" s="362"/>
      <c r="B9852" s="609">
        <v>44778</v>
      </c>
      <c r="C9852" s="362" t="s">
        <v>88</v>
      </c>
      <c r="D9852" s="560">
        <v>194307120</v>
      </c>
      <c r="E9852" s="560"/>
      <c r="F9852" s="560">
        <v>194307200</v>
      </c>
      <c r="G9852" s="560">
        <f t="shared" ref="G9852:G9916" si="217">D9852-F9852</f>
        <v>-80</v>
      </c>
      <c r="H9852" s="362"/>
      <c r="I9852" s="362"/>
      <c r="J9852" s="362"/>
    </row>
    <row r="9853" spans="1:10" x14ac:dyDescent="0.25">
      <c r="A9853" s="362"/>
      <c r="B9853" s="609">
        <v>44778</v>
      </c>
      <c r="C9853" s="362" t="s">
        <v>82</v>
      </c>
      <c r="D9853" s="560">
        <v>97846141</v>
      </c>
      <c r="E9853" s="560"/>
      <c r="F9853" s="560">
        <v>97846200</v>
      </c>
      <c r="G9853" s="560">
        <f t="shared" si="217"/>
        <v>-59</v>
      </c>
      <c r="H9853" s="362"/>
      <c r="I9853" s="362"/>
      <c r="J9853" s="362"/>
    </row>
    <row r="9854" spans="1:10" x14ac:dyDescent="0.25">
      <c r="A9854" s="362"/>
      <c r="B9854" s="609">
        <v>44778</v>
      </c>
      <c r="C9854" s="362" t="s">
        <v>80</v>
      </c>
      <c r="D9854" s="560">
        <v>284394300</v>
      </c>
      <c r="E9854" s="560"/>
      <c r="F9854" s="560">
        <v>284394300</v>
      </c>
      <c r="G9854" s="560">
        <f t="shared" si="217"/>
        <v>0</v>
      </c>
      <c r="H9854" s="362"/>
      <c r="I9854" s="362"/>
      <c r="J9854" s="362"/>
    </row>
    <row r="9855" spans="1:10" x14ac:dyDescent="0.25">
      <c r="A9855" s="362"/>
      <c r="B9855" s="609">
        <v>44778</v>
      </c>
      <c r="C9855" s="362" t="s">
        <v>83</v>
      </c>
      <c r="D9855" s="560">
        <v>234756882</v>
      </c>
      <c r="E9855" s="560"/>
      <c r="F9855" s="560">
        <v>234756900</v>
      </c>
      <c r="G9855" s="560">
        <f t="shared" si="217"/>
        <v>-18</v>
      </c>
      <c r="H9855" s="362"/>
      <c r="I9855" s="362"/>
      <c r="J9855" s="362"/>
    </row>
    <row r="9856" spans="1:10" x14ac:dyDescent="0.25">
      <c r="A9856" s="362"/>
      <c r="B9856" s="609">
        <v>44778</v>
      </c>
      <c r="C9856" s="362" t="s">
        <v>78</v>
      </c>
      <c r="D9856" s="560">
        <v>239464400</v>
      </c>
      <c r="E9856" s="560"/>
      <c r="F9856" s="560">
        <v>239464400</v>
      </c>
      <c r="G9856" s="560">
        <f t="shared" si="217"/>
        <v>0</v>
      </c>
      <c r="H9856" s="362"/>
      <c r="I9856" s="362"/>
      <c r="J9856" s="362"/>
    </row>
    <row r="9857" spans="1:10" x14ac:dyDescent="0.25">
      <c r="A9857" s="362"/>
      <c r="B9857" s="609">
        <v>44778</v>
      </c>
      <c r="C9857" s="362" t="s">
        <v>141</v>
      </c>
      <c r="D9857" s="560">
        <v>105982806</v>
      </c>
      <c r="E9857" s="560"/>
      <c r="F9857" s="560">
        <v>105982900</v>
      </c>
      <c r="G9857" s="560">
        <f t="shared" si="217"/>
        <v>-94</v>
      </c>
      <c r="H9857" s="362"/>
      <c r="I9857" s="362"/>
      <c r="J9857" s="362"/>
    </row>
    <row r="9858" spans="1:10" x14ac:dyDescent="0.25">
      <c r="A9858" s="362"/>
      <c r="B9858" s="609">
        <v>44778</v>
      </c>
      <c r="C9858" s="362" t="s">
        <v>89</v>
      </c>
      <c r="D9858" s="560">
        <v>242391900</v>
      </c>
      <c r="E9858" s="560"/>
      <c r="F9858" s="560">
        <v>242391900</v>
      </c>
      <c r="G9858" s="560">
        <f t="shared" si="217"/>
        <v>0</v>
      </c>
      <c r="H9858" s="362"/>
      <c r="I9858" s="362"/>
      <c r="J9858" s="362"/>
    </row>
    <row r="9859" spans="1:10" x14ac:dyDescent="0.25">
      <c r="A9859" s="362"/>
      <c r="B9859" s="609">
        <v>44778</v>
      </c>
      <c r="C9859" s="362" t="s">
        <v>81</v>
      </c>
      <c r="D9859" s="560">
        <v>94032986</v>
      </c>
      <c r="E9859" s="560"/>
      <c r="F9859" s="560">
        <v>94033000</v>
      </c>
      <c r="G9859" s="560">
        <f t="shared" si="217"/>
        <v>-14</v>
      </c>
      <c r="H9859" s="362"/>
      <c r="I9859" s="362"/>
      <c r="J9859" s="362"/>
    </row>
    <row r="9860" spans="1:10" x14ac:dyDescent="0.25">
      <c r="A9860" s="362"/>
      <c r="B9860" s="609">
        <v>44778</v>
      </c>
      <c r="C9860" s="362" t="s">
        <v>84</v>
      </c>
      <c r="D9860" s="560">
        <v>225810203</v>
      </c>
      <c r="E9860" s="560"/>
      <c r="F9860" s="560">
        <v>225810100</v>
      </c>
      <c r="G9860" s="560">
        <f t="shared" si="217"/>
        <v>103</v>
      </c>
      <c r="H9860" s="362"/>
      <c r="I9860" s="362"/>
      <c r="J9860" s="362"/>
    </row>
    <row r="9861" spans="1:10" x14ac:dyDescent="0.25">
      <c r="A9861" s="362"/>
      <c r="B9861" s="609">
        <v>44778</v>
      </c>
      <c r="C9861" s="362" t="s">
        <v>4751</v>
      </c>
      <c r="D9861" s="560">
        <v>193884200</v>
      </c>
      <c r="E9861" s="560"/>
      <c r="F9861" s="560">
        <v>193884200</v>
      </c>
      <c r="G9861" s="560">
        <f t="shared" si="217"/>
        <v>0</v>
      </c>
      <c r="H9861" s="362"/>
      <c r="I9861" s="362"/>
      <c r="J9861" s="362"/>
    </row>
    <row r="9862" spans="1:10" x14ac:dyDescent="0.25">
      <c r="A9862" s="362"/>
      <c r="B9862" s="609">
        <v>44778</v>
      </c>
      <c r="C9862" s="362" t="s">
        <v>166</v>
      </c>
      <c r="D9862" s="560">
        <v>49903436</v>
      </c>
      <c r="E9862" s="560"/>
      <c r="F9862" s="560">
        <v>49903500</v>
      </c>
      <c r="G9862" s="560">
        <f t="shared" si="217"/>
        <v>-64</v>
      </c>
      <c r="H9862" s="362"/>
      <c r="I9862" s="362"/>
      <c r="J9862" s="362"/>
    </row>
    <row r="9863" spans="1:10" x14ac:dyDescent="0.25">
      <c r="A9863" s="362"/>
      <c r="B9863" s="609">
        <v>44778</v>
      </c>
      <c r="C9863" s="362" t="s">
        <v>3435</v>
      </c>
      <c r="D9863" s="560">
        <v>64147189</v>
      </c>
      <c r="E9863" s="560"/>
      <c r="F9863" s="560">
        <v>64147200</v>
      </c>
      <c r="G9863" s="560">
        <f t="shared" si="217"/>
        <v>-11</v>
      </c>
      <c r="H9863" s="362"/>
      <c r="I9863" s="362"/>
      <c r="J9863" s="362"/>
    </row>
    <row r="9864" spans="1:10" x14ac:dyDescent="0.25">
      <c r="A9864" s="362"/>
      <c r="B9864" s="609">
        <v>44778</v>
      </c>
      <c r="C9864" s="370" t="s">
        <v>85</v>
      </c>
      <c r="D9864" s="560">
        <v>32289200</v>
      </c>
      <c r="E9864" s="560"/>
      <c r="F9864" s="560">
        <v>32289200</v>
      </c>
      <c r="G9864" s="560">
        <f t="shared" si="217"/>
        <v>0</v>
      </c>
      <c r="H9864" s="362"/>
      <c r="I9864" s="362"/>
      <c r="J9864" s="362"/>
    </row>
    <row r="9865" spans="1:10" x14ac:dyDescent="0.25">
      <c r="A9865" s="530"/>
      <c r="B9865" s="530"/>
      <c r="C9865" s="530"/>
      <c r="D9865" s="562">
        <f>SUM(D9850:D9864)</f>
        <v>2314270216</v>
      </c>
      <c r="E9865" s="562">
        <f t="shared" ref="E9865:G9865" si="218">SUM(E9850:E9864)</f>
        <v>0</v>
      </c>
      <c r="F9865" s="562">
        <f t="shared" si="218"/>
        <v>2314270600</v>
      </c>
      <c r="G9865" s="562">
        <f t="shared" si="218"/>
        <v>-384</v>
      </c>
      <c r="H9865" s="530"/>
      <c r="I9865" s="530"/>
      <c r="J9865" s="530"/>
    </row>
    <row r="9866" spans="1:10" x14ac:dyDescent="0.25">
      <c r="A9866" s="362"/>
      <c r="B9866" s="609">
        <v>44779</v>
      </c>
      <c r="C9866" s="362" t="s">
        <v>86</v>
      </c>
      <c r="D9866" s="560">
        <v>64939807</v>
      </c>
      <c r="E9866" s="560"/>
      <c r="F9866" s="560">
        <v>64939900</v>
      </c>
      <c r="G9866" s="560">
        <f t="shared" si="217"/>
        <v>-93</v>
      </c>
      <c r="H9866" s="362"/>
      <c r="I9866" s="362"/>
      <c r="J9866" s="362"/>
    </row>
    <row r="9867" spans="1:10" x14ac:dyDescent="0.25">
      <c r="A9867" s="362"/>
      <c r="B9867" s="609">
        <v>44779</v>
      </c>
      <c r="C9867" s="362" t="s">
        <v>87</v>
      </c>
      <c r="D9867" s="560">
        <v>98912677</v>
      </c>
      <c r="E9867" s="560"/>
      <c r="F9867" s="560">
        <v>98912700</v>
      </c>
      <c r="G9867" s="560">
        <f t="shared" si="217"/>
        <v>-23</v>
      </c>
      <c r="H9867" s="362"/>
      <c r="I9867" s="362"/>
      <c r="J9867" s="362"/>
    </row>
    <row r="9868" spans="1:10" x14ac:dyDescent="0.25">
      <c r="A9868" s="362"/>
      <c r="B9868" s="609">
        <v>44779</v>
      </c>
      <c r="C9868" s="362" t="s">
        <v>88</v>
      </c>
      <c r="D9868" s="560">
        <v>175350431</v>
      </c>
      <c r="E9868" s="560"/>
      <c r="F9868" s="560">
        <v>175350500</v>
      </c>
      <c r="G9868" s="560">
        <f t="shared" si="217"/>
        <v>-69</v>
      </c>
      <c r="H9868" s="362"/>
      <c r="I9868" s="362"/>
      <c r="J9868" s="362"/>
    </row>
    <row r="9869" spans="1:10" x14ac:dyDescent="0.25">
      <c r="A9869" s="362"/>
      <c r="B9869" s="609">
        <v>44779</v>
      </c>
      <c r="C9869" s="362" t="s">
        <v>82</v>
      </c>
      <c r="D9869" s="560">
        <v>130056636</v>
      </c>
      <c r="E9869" s="560"/>
      <c r="F9869" s="560">
        <v>130056700</v>
      </c>
      <c r="G9869" s="560">
        <f t="shared" si="217"/>
        <v>-64</v>
      </c>
      <c r="H9869" s="362"/>
      <c r="I9869" s="362"/>
      <c r="J9869" s="362"/>
    </row>
    <row r="9870" spans="1:10" x14ac:dyDescent="0.25">
      <c r="A9870" s="362"/>
      <c r="B9870" s="609">
        <v>44779</v>
      </c>
      <c r="C9870" s="362" t="s">
        <v>80</v>
      </c>
      <c r="D9870" s="560">
        <v>364759100</v>
      </c>
      <c r="E9870" s="560"/>
      <c r="F9870" s="560">
        <v>364759100</v>
      </c>
      <c r="G9870" s="560">
        <f t="shared" si="217"/>
        <v>0</v>
      </c>
      <c r="H9870" s="362"/>
      <c r="I9870" s="362"/>
      <c r="J9870" s="362"/>
    </row>
    <row r="9871" spans="1:10" x14ac:dyDescent="0.25">
      <c r="A9871" s="362"/>
      <c r="B9871" s="609">
        <v>44779</v>
      </c>
      <c r="C9871" s="362" t="s">
        <v>83</v>
      </c>
      <c r="D9871" s="560">
        <v>166619300</v>
      </c>
      <c r="E9871" s="560"/>
      <c r="F9871" s="560">
        <v>166619300</v>
      </c>
      <c r="G9871" s="560">
        <f t="shared" si="217"/>
        <v>0</v>
      </c>
      <c r="H9871" s="362"/>
      <c r="I9871" s="362"/>
      <c r="J9871" s="362"/>
    </row>
    <row r="9872" spans="1:10" x14ac:dyDescent="0.25">
      <c r="A9872" s="362"/>
      <c r="B9872" s="609">
        <v>44779</v>
      </c>
      <c r="C9872" s="362" t="s">
        <v>78</v>
      </c>
      <c r="D9872" s="560">
        <v>151835900</v>
      </c>
      <c r="E9872" s="560"/>
      <c r="F9872" s="560">
        <v>151835900</v>
      </c>
      <c r="G9872" s="560">
        <f t="shared" si="217"/>
        <v>0</v>
      </c>
      <c r="H9872" s="362"/>
      <c r="I9872" s="362"/>
      <c r="J9872" s="362"/>
    </row>
    <row r="9873" spans="1:10" x14ac:dyDescent="0.25">
      <c r="A9873" s="362"/>
      <c r="B9873" s="609">
        <v>44779</v>
      </c>
      <c r="C9873" s="362" t="s">
        <v>141</v>
      </c>
      <c r="D9873" s="560">
        <v>75248475</v>
      </c>
      <c r="E9873" s="560"/>
      <c r="F9873" s="560">
        <v>75248500</v>
      </c>
      <c r="G9873" s="560">
        <f t="shared" si="217"/>
        <v>-25</v>
      </c>
      <c r="H9873" s="362"/>
      <c r="I9873" s="362"/>
      <c r="J9873" s="362"/>
    </row>
    <row r="9874" spans="1:10" x14ac:dyDescent="0.25">
      <c r="A9874" s="362"/>
      <c r="B9874" s="609">
        <v>44779</v>
      </c>
      <c r="C9874" s="362" t="s">
        <v>89</v>
      </c>
      <c r="D9874" s="560">
        <v>117470200</v>
      </c>
      <c r="E9874" s="560"/>
      <c r="F9874" s="560">
        <v>117470200</v>
      </c>
      <c r="G9874" s="560">
        <f t="shared" si="217"/>
        <v>0</v>
      </c>
      <c r="H9874" s="362"/>
      <c r="I9874" s="362"/>
      <c r="J9874" s="362"/>
    </row>
    <row r="9875" spans="1:10" x14ac:dyDescent="0.25">
      <c r="A9875" s="362"/>
      <c r="B9875" s="609">
        <v>44779</v>
      </c>
      <c r="C9875" s="362" t="s">
        <v>81</v>
      </c>
      <c r="D9875" s="560">
        <v>192733688</v>
      </c>
      <c r="E9875" s="560"/>
      <c r="F9875" s="560">
        <v>192733700</v>
      </c>
      <c r="G9875" s="560">
        <f t="shared" si="217"/>
        <v>-12</v>
      </c>
      <c r="H9875" s="362"/>
      <c r="I9875" s="362"/>
      <c r="J9875" s="362"/>
    </row>
    <row r="9876" spans="1:10" x14ac:dyDescent="0.25">
      <c r="A9876" s="362"/>
      <c r="B9876" s="609">
        <v>44779</v>
      </c>
      <c r="C9876" s="362" t="s">
        <v>84</v>
      </c>
      <c r="D9876" s="560">
        <v>195503588</v>
      </c>
      <c r="E9876" s="560"/>
      <c r="F9876" s="560">
        <v>195503600</v>
      </c>
      <c r="G9876" s="560">
        <f t="shared" si="217"/>
        <v>-12</v>
      </c>
      <c r="H9876" s="362"/>
      <c r="I9876" s="362"/>
      <c r="J9876" s="362"/>
    </row>
    <row r="9877" spans="1:10" x14ac:dyDescent="0.25">
      <c r="A9877" s="362"/>
      <c r="B9877" s="609">
        <v>44779</v>
      </c>
      <c r="C9877" s="362" t="s">
        <v>4751</v>
      </c>
      <c r="D9877" s="560">
        <v>220314300</v>
      </c>
      <c r="E9877" s="560"/>
      <c r="F9877" s="560">
        <v>220314300</v>
      </c>
      <c r="G9877" s="560">
        <f t="shared" si="217"/>
        <v>0</v>
      </c>
      <c r="H9877" s="362"/>
      <c r="I9877" s="362"/>
      <c r="J9877" s="362"/>
    </row>
    <row r="9878" spans="1:10" x14ac:dyDescent="0.25">
      <c r="A9878" s="362"/>
      <c r="B9878" s="609">
        <v>44779</v>
      </c>
      <c r="C9878" s="362" t="s">
        <v>166</v>
      </c>
      <c r="D9878" s="560"/>
      <c r="E9878" s="560"/>
      <c r="F9878" s="560"/>
      <c r="G9878" s="560">
        <f t="shared" si="217"/>
        <v>0</v>
      </c>
      <c r="H9878" s="362"/>
      <c r="I9878" s="362"/>
      <c r="J9878" s="362"/>
    </row>
    <row r="9879" spans="1:10" x14ac:dyDescent="0.25">
      <c r="A9879" s="362"/>
      <c r="B9879" s="609">
        <v>44779</v>
      </c>
      <c r="C9879" s="362" t="s">
        <v>3435</v>
      </c>
      <c r="D9879" s="560"/>
      <c r="E9879" s="560"/>
      <c r="F9879" s="560"/>
      <c r="G9879" s="560">
        <f t="shared" si="217"/>
        <v>0</v>
      </c>
      <c r="H9879" s="362"/>
      <c r="I9879" s="362"/>
      <c r="J9879" s="362"/>
    </row>
    <row r="9880" spans="1:10" x14ac:dyDescent="0.25">
      <c r="A9880" s="362"/>
      <c r="B9880" s="609">
        <v>44779</v>
      </c>
      <c r="C9880" s="370" t="s">
        <v>85</v>
      </c>
      <c r="D9880" s="560">
        <v>56245800</v>
      </c>
      <c r="E9880" s="560"/>
      <c r="F9880" s="560">
        <v>56245800</v>
      </c>
      <c r="G9880" s="560">
        <f t="shared" si="217"/>
        <v>0</v>
      </c>
      <c r="H9880" s="362"/>
      <c r="I9880" s="362"/>
      <c r="J9880" s="362"/>
    </row>
    <row r="9881" spans="1:10" x14ac:dyDescent="0.25">
      <c r="A9881" s="530"/>
      <c r="B9881" s="530"/>
      <c r="C9881" s="530"/>
      <c r="D9881" s="562">
        <f>SUM(D9866:D9880)</f>
        <v>2009989902</v>
      </c>
      <c r="E9881" s="562">
        <f t="shared" ref="E9881:G9881" si="219">SUM(E9866:E9880)</f>
        <v>0</v>
      </c>
      <c r="F9881" s="562">
        <f t="shared" si="219"/>
        <v>2009990200</v>
      </c>
      <c r="G9881" s="562">
        <f t="shared" si="219"/>
        <v>-298</v>
      </c>
      <c r="H9881" s="530"/>
      <c r="I9881" s="530"/>
      <c r="J9881" s="530"/>
    </row>
    <row r="9882" spans="1:10" x14ac:dyDescent="0.25">
      <c r="A9882" s="362"/>
      <c r="B9882" s="609">
        <v>44781</v>
      </c>
      <c r="C9882" s="362" t="s">
        <v>86</v>
      </c>
      <c r="D9882" s="560">
        <v>47087815</v>
      </c>
      <c r="E9882" s="560"/>
      <c r="F9882" s="560">
        <v>47087900</v>
      </c>
      <c r="G9882" s="560">
        <f t="shared" si="217"/>
        <v>-85</v>
      </c>
      <c r="H9882" s="362"/>
      <c r="I9882" s="362"/>
      <c r="J9882" s="362"/>
    </row>
    <row r="9883" spans="1:10" x14ac:dyDescent="0.25">
      <c r="A9883" s="362"/>
      <c r="B9883" s="609">
        <v>44781</v>
      </c>
      <c r="C9883" s="362" t="s">
        <v>87</v>
      </c>
      <c r="D9883" s="560">
        <v>185648201</v>
      </c>
      <c r="E9883" s="560"/>
      <c r="F9883" s="560">
        <v>185648300</v>
      </c>
      <c r="G9883" s="560">
        <f t="shared" si="217"/>
        <v>-99</v>
      </c>
      <c r="H9883" s="362"/>
      <c r="I9883" s="362"/>
      <c r="J9883" s="362"/>
    </row>
    <row r="9884" spans="1:10" x14ac:dyDescent="0.25">
      <c r="A9884" s="362"/>
      <c r="B9884" s="609">
        <v>44781</v>
      </c>
      <c r="C9884" s="362" t="s">
        <v>88</v>
      </c>
      <c r="D9884" s="560">
        <v>622225818</v>
      </c>
      <c r="E9884" s="560"/>
      <c r="F9884" s="560">
        <v>622225900</v>
      </c>
      <c r="G9884" s="560">
        <f t="shared" si="217"/>
        <v>-82</v>
      </c>
      <c r="H9884" s="362"/>
      <c r="I9884" s="362"/>
      <c r="J9884" s="362"/>
    </row>
    <row r="9885" spans="1:10" x14ac:dyDescent="0.25">
      <c r="A9885" s="362"/>
      <c r="B9885" s="609">
        <v>44781</v>
      </c>
      <c r="C9885" s="362" t="s">
        <v>82</v>
      </c>
      <c r="D9885" s="560">
        <v>62447862</v>
      </c>
      <c r="E9885" s="560"/>
      <c r="F9885" s="560">
        <v>62447900</v>
      </c>
      <c r="G9885" s="560">
        <f t="shared" si="217"/>
        <v>-38</v>
      </c>
      <c r="H9885" s="362"/>
      <c r="I9885" s="362"/>
      <c r="J9885" s="362"/>
    </row>
    <row r="9886" spans="1:10" x14ac:dyDescent="0.25">
      <c r="A9886" s="362"/>
      <c r="B9886" s="609">
        <v>44781</v>
      </c>
      <c r="C9886" s="362" t="s">
        <v>80</v>
      </c>
      <c r="D9886" s="560">
        <v>248271100</v>
      </c>
      <c r="E9886" s="560"/>
      <c r="F9886" s="560">
        <v>248271100</v>
      </c>
      <c r="G9886" s="560">
        <f t="shared" si="217"/>
        <v>0</v>
      </c>
      <c r="H9886" s="362"/>
      <c r="I9886" s="362"/>
      <c r="J9886" s="362"/>
    </row>
    <row r="9887" spans="1:10" x14ac:dyDescent="0.25">
      <c r="A9887" s="362"/>
      <c r="B9887" s="609">
        <v>44781</v>
      </c>
      <c r="C9887" s="362" t="s">
        <v>83</v>
      </c>
      <c r="D9887" s="560">
        <v>230888747</v>
      </c>
      <c r="E9887" s="560"/>
      <c r="F9887" s="560">
        <v>230889800</v>
      </c>
      <c r="G9887" s="560">
        <f t="shared" si="217"/>
        <v>-1053</v>
      </c>
      <c r="H9887" s="362"/>
      <c r="I9887" s="362"/>
      <c r="J9887" s="362"/>
    </row>
    <row r="9888" spans="1:10" x14ac:dyDescent="0.25">
      <c r="A9888" s="362"/>
      <c r="B9888" s="609">
        <v>44781</v>
      </c>
      <c r="C9888" s="362" t="s">
        <v>78</v>
      </c>
      <c r="D9888" s="560">
        <v>149221500</v>
      </c>
      <c r="E9888" s="560"/>
      <c r="F9888" s="560">
        <v>149221500</v>
      </c>
      <c r="G9888" s="560">
        <f t="shared" si="217"/>
        <v>0</v>
      </c>
      <c r="H9888" s="362"/>
      <c r="I9888" s="362"/>
      <c r="J9888" s="362"/>
    </row>
    <row r="9889" spans="1:10" x14ac:dyDescent="0.25">
      <c r="A9889" s="362"/>
      <c r="B9889" s="609">
        <v>44781</v>
      </c>
      <c r="C9889" s="362" t="s">
        <v>141</v>
      </c>
      <c r="D9889" s="560">
        <v>97798865</v>
      </c>
      <c r="E9889" s="560"/>
      <c r="F9889" s="560">
        <v>97798900</v>
      </c>
      <c r="G9889" s="560">
        <f t="shared" si="217"/>
        <v>-35</v>
      </c>
      <c r="H9889" s="362"/>
      <c r="I9889" s="362"/>
      <c r="J9889" s="362"/>
    </row>
    <row r="9890" spans="1:10" x14ac:dyDescent="0.25">
      <c r="A9890" s="362"/>
      <c r="B9890" s="609">
        <v>44781</v>
      </c>
      <c r="C9890" s="362" t="s">
        <v>89</v>
      </c>
      <c r="D9890" s="560">
        <v>146046800</v>
      </c>
      <c r="E9890" s="560"/>
      <c r="F9890" s="560">
        <v>146046800</v>
      </c>
      <c r="G9890" s="560">
        <f t="shared" si="217"/>
        <v>0</v>
      </c>
      <c r="H9890" s="362"/>
      <c r="I9890" s="362"/>
      <c r="J9890" s="362"/>
    </row>
    <row r="9891" spans="1:10" x14ac:dyDescent="0.25">
      <c r="A9891" s="362"/>
      <c r="B9891" s="609">
        <v>44781</v>
      </c>
      <c r="C9891" s="362" t="s">
        <v>81</v>
      </c>
      <c r="D9891" s="560">
        <v>234667121</v>
      </c>
      <c r="E9891" s="560"/>
      <c r="F9891" s="560">
        <v>234667200</v>
      </c>
      <c r="G9891" s="560">
        <f t="shared" si="217"/>
        <v>-79</v>
      </c>
      <c r="H9891" s="362"/>
      <c r="I9891" s="362"/>
      <c r="J9891" s="362"/>
    </row>
    <row r="9892" spans="1:10" x14ac:dyDescent="0.25">
      <c r="A9892" s="362"/>
      <c r="B9892" s="609">
        <v>44781</v>
      </c>
      <c r="C9892" s="362" t="s">
        <v>84</v>
      </c>
      <c r="D9892" s="560">
        <v>355814679</v>
      </c>
      <c r="E9892" s="560"/>
      <c r="F9892" s="560">
        <v>355814700</v>
      </c>
      <c r="G9892" s="560">
        <f t="shared" si="217"/>
        <v>-21</v>
      </c>
      <c r="H9892" s="362"/>
      <c r="I9892" s="362"/>
      <c r="J9892" s="362"/>
    </row>
    <row r="9893" spans="1:10" x14ac:dyDescent="0.25">
      <c r="A9893" s="362"/>
      <c r="B9893" s="609">
        <v>44781</v>
      </c>
      <c r="C9893" s="362" t="s">
        <v>4751</v>
      </c>
      <c r="D9893" s="560">
        <v>260656800</v>
      </c>
      <c r="E9893" s="560"/>
      <c r="F9893" s="560">
        <v>260656800</v>
      </c>
      <c r="G9893" s="560">
        <f t="shared" si="217"/>
        <v>0</v>
      </c>
      <c r="H9893" s="362"/>
      <c r="I9893" s="362"/>
      <c r="J9893" s="362"/>
    </row>
    <row r="9894" spans="1:10" x14ac:dyDescent="0.25">
      <c r="A9894" s="362"/>
      <c r="B9894" s="609">
        <v>44781</v>
      </c>
      <c r="C9894" s="362" t="s">
        <v>166</v>
      </c>
      <c r="D9894" s="560">
        <v>87121972</v>
      </c>
      <c r="E9894" s="560"/>
      <c r="F9894" s="560">
        <v>87122000</v>
      </c>
      <c r="G9894" s="560">
        <f t="shared" si="217"/>
        <v>-28</v>
      </c>
      <c r="H9894" s="362"/>
      <c r="I9894" s="362"/>
      <c r="J9894" s="362"/>
    </row>
    <row r="9895" spans="1:10" x14ac:dyDescent="0.25">
      <c r="A9895" s="362"/>
      <c r="B9895" s="609">
        <v>44781</v>
      </c>
      <c r="C9895" s="362" t="s">
        <v>3435</v>
      </c>
      <c r="D9895" s="560">
        <v>24119049</v>
      </c>
      <c r="E9895" s="560"/>
      <c r="F9895" s="560">
        <v>24119100</v>
      </c>
      <c r="G9895" s="560">
        <f t="shared" si="217"/>
        <v>-51</v>
      </c>
      <c r="H9895" s="362"/>
      <c r="I9895" s="362"/>
      <c r="J9895" s="362"/>
    </row>
    <row r="9896" spans="1:10" x14ac:dyDescent="0.25">
      <c r="A9896" s="362"/>
      <c r="B9896" s="609">
        <v>44781</v>
      </c>
      <c r="C9896" s="370" t="s">
        <v>85</v>
      </c>
      <c r="D9896" s="560">
        <v>68434400</v>
      </c>
      <c r="E9896" s="560"/>
      <c r="F9896" s="560">
        <v>68434400</v>
      </c>
      <c r="G9896" s="560">
        <f t="shared" si="217"/>
        <v>0</v>
      </c>
      <c r="H9896" s="362"/>
      <c r="I9896" s="362"/>
      <c r="J9896" s="362"/>
    </row>
    <row r="9897" spans="1:10" x14ac:dyDescent="0.25">
      <c r="A9897" s="362"/>
      <c r="B9897" s="609">
        <v>44781</v>
      </c>
      <c r="C9897" s="370" t="s">
        <v>6299</v>
      </c>
      <c r="D9897" s="560">
        <v>16452543</v>
      </c>
      <c r="E9897" s="560"/>
      <c r="F9897" s="560">
        <v>16452600</v>
      </c>
      <c r="G9897" s="560">
        <f t="shared" si="217"/>
        <v>-57</v>
      </c>
      <c r="H9897" s="362"/>
      <c r="I9897" s="362"/>
      <c r="J9897" s="362"/>
    </row>
    <row r="9898" spans="1:10" x14ac:dyDescent="0.25">
      <c r="A9898" s="530"/>
      <c r="B9898" s="530"/>
      <c r="C9898" s="530"/>
      <c r="D9898" s="562">
        <f>SUM(D9882:D9897)</f>
        <v>2836903272</v>
      </c>
      <c r="E9898" s="562">
        <f t="shared" ref="E9898:G9898" si="220">SUM(E9882:E9896)</f>
        <v>0</v>
      </c>
      <c r="F9898" s="562">
        <f>SUM(F9882:F9897)</f>
        <v>2836904900</v>
      </c>
      <c r="G9898" s="562">
        <f t="shared" si="220"/>
        <v>-1571</v>
      </c>
      <c r="H9898" s="530"/>
      <c r="I9898" s="530"/>
      <c r="J9898" s="530"/>
    </row>
    <row r="9899" spans="1:10" x14ac:dyDescent="0.25">
      <c r="A9899" s="362"/>
      <c r="B9899" s="609">
        <v>44782</v>
      </c>
      <c r="C9899" s="362" t="s">
        <v>86</v>
      </c>
      <c r="D9899" s="560">
        <v>123596646</v>
      </c>
      <c r="E9899" s="560"/>
      <c r="F9899" s="560">
        <v>123596700</v>
      </c>
      <c r="G9899" s="560">
        <f t="shared" si="217"/>
        <v>-54</v>
      </c>
      <c r="H9899" s="362"/>
      <c r="I9899" s="362"/>
      <c r="J9899" s="362"/>
    </row>
    <row r="9900" spans="1:10" x14ac:dyDescent="0.25">
      <c r="A9900" s="362"/>
      <c r="B9900" s="609">
        <v>44782</v>
      </c>
      <c r="C9900" s="362" t="s">
        <v>87</v>
      </c>
      <c r="D9900" s="560">
        <v>208320195</v>
      </c>
      <c r="E9900" s="560"/>
      <c r="F9900" s="560">
        <v>208320700</v>
      </c>
      <c r="G9900" s="560">
        <f t="shared" si="217"/>
        <v>-505</v>
      </c>
      <c r="H9900" s="362"/>
      <c r="I9900" s="362"/>
      <c r="J9900" s="362"/>
    </row>
    <row r="9901" spans="1:10" x14ac:dyDescent="0.25">
      <c r="A9901" s="362"/>
      <c r="B9901" s="609">
        <v>44782</v>
      </c>
      <c r="C9901" s="362" t="s">
        <v>88</v>
      </c>
      <c r="D9901" s="560">
        <v>139509981</v>
      </c>
      <c r="E9901" s="560"/>
      <c r="F9901" s="560">
        <v>139510000</v>
      </c>
      <c r="G9901" s="560">
        <f t="shared" si="217"/>
        <v>-19</v>
      </c>
      <c r="H9901" s="362"/>
      <c r="I9901" s="362"/>
      <c r="J9901" s="362"/>
    </row>
    <row r="9902" spans="1:10" x14ac:dyDescent="0.25">
      <c r="A9902" s="362"/>
      <c r="B9902" s="609">
        <v>44782</v>
      </c>
      <c r="C9902" s="362" t="s">
        <v>82</v>
      </c>
      <c r="D9902" s="560">
        <v>82993469</v>
      </c>
      <c r="E9902" s="560"/>
      <c r="F9902" s="560">
        <v>82993500</v>
      </c>
      <c r="G9902" s="560">
        <f t="shared" si="217"/>
        <v>-31</v>
      </c>
      <c r="H9902" s="362"/>
      <c r="I9902" s="362"/>
      <c r="J9902" s="362"/>
    </row>
    <row r="9903" spans="1:10" x14ac:dyDescent="0.25">
      <c r="A9903" s="362"/>
      <c r="B9903" s="609">
        <v>44782</v>
      </c>
      <c r="C9903" s="362" t="s">
        <v>80</v>
      </c>
      <c r="D9903" s="560">
        <v>294900779</v>
      </c>
      <c r="E9903" s="560"/>
      <c r="F9903" s="560">
        <v>294900900</v>
      </c>
      <c r="G9903" s="560">
        <f t="shared" si="217"/>
        <v>-121</v>
      </c>
      <c r="H9903" s="362"/>
      <c r="I9903" s="362"/>
      <c r="J9903" s="362"/>
    </row>
    <row r="9904" spans="1:10" x14ac:dyDescent="0.25">
      <c r="A9904" s="362"/>
      <c r="B9904" s="609">
        <v>44782</v>
      </c>
      <c r="C9904" s="362" t="s">
        <v>83</v>
      </c>
      <c r="D9904" s="560">
        <v>310100200</v>
      </c>
      <c r="E9904" s="560"/>
      <c r="F9904" s="560">
        <v>310100200</v>
      </c>
      <c r="G9904" s="560">
        <f t="shared" si="217"/>
        <v>0</v>
      </c>
      <c r="H9904" s="362"/>
      <c r="I9904" s="362"/>
      <c r="J9904" s="362"/>
    </row>
    <row r="9905" spans="1:10" x14ac:dyDescent="0.25">
      <c r="A9905" s="362"/>
      <c r="B9905" s="609">
        <v>44782</v>
      </c>
      <c r="C9905" s="362" t="s">
        <v>78</v>
      </c>
      <c r="D9905" s="560">
        <v>152072700</v>
      </c>
      <c r="E9905" s="560"/>
      <c r="F9905" s="560">
        <v>152072700</v>
      </c>
      <c r="G9905" s="560">
        <f t="shared" si="217"/>
        <v>0</v>
      </c>
      <c r="H9905" s="362"/>
      <c r="I9905" s="362"/>
      <c r="J9905" s="362"/>
    </row>
    <row r="9906" spans="1:10" x14ac:dyDescent="0.25">
      <c r="A9906" s="362"/>
      <c r="B9906" s="609">
        <v>44782</v>
      </c>
      <c r="C9906" s="362" t="s">
        <v>141</v>
      </c>
      <c r="D9906" s="560">
        <v>134354721</v>
      </c>
      <c r="E9906" s="560"/>
      <c r="F9906" s="560">
        <v>134354800</v>
      </c>
      <c r="G9906" s="560">
        <f t="shared" si="217"/>
        <v>-79</v>
      </c>
      <c r="H9906" s="362"/>
      <c r="I9906" s="362"/>
      <c r="J9906" s="362"/>
    </row>
    <row r="9907" spans="1:10" x14ac:dyDescent="0.25">
      <c r="A9907" s="362"/>
      <c r="B9907" s="609">
        <v>44782</v>
      </c>
      <c r="C9907" s="362" t="s">
        <v>89</v>
      </c>
      <c r="D9907" s="560">
        <v>228178700</v>
      </c>
      <c r="E9907" s="560"/>
      <c r="F9907" s="560">
        <v>228178700</v>
      </c>
      <c r="G9907" s="560">
        <f t="shared" si="217"/>
        <v>0</v>
      </c>
      <c r="H9907" s="362"/>
      <c r="I9907" s="362"/>
      <c r="J9907" s="362"/>
    </row>
    <row r="9908" spans="1:10" x14ac:dyDescent="0.25">
      <c r="A9908" s="362"/>
      <c r="B9908" s="609">
        <v>44782</v>
      </c>
      <c r="C9908" s="362" t="s">
        <v>81</v>
      </c>
      <c r="D9908" s="560">
        <v>135960800</v>
      </c>
      <c r="E9908" s="560"/>
      <c r="F9908" s="560">
        <v>135960800</v>
      </c>
      <c r="G9908" s="560">
        <f t="shared" si="217"/>
        <v>0</v>
      </c>
      <c r="H9908" s="362"/>
      <c r="I9908" s="362"/>
      <c r="J9908" s="362"/>
    </row>
    <row r="9909" spans="1:10" x14ac:dyDescent="0.25">
      <c r="A9909" s="362"/>
      <c r="B9909" s="609">
        <v>44782</v>
      </c>
      <c r="C9909" s="362" t="s">
        <v>84</v>
      </c>
      <c r="D9909" s="560">
        <v>406279304</v>
      </c>
      <c r="E9909" s="560"/>
      <c r="F9909" s="560">
        <v>406279300</v>
      </c>
      <c r="G9909" s="560">
        <f t="shared" si="217"/>
        <v>4</v>
      </c>
      <c r="H9909" s="362"/>
      <c r="I9909" s="362"/>
      <c r="J9909" s="362"/>
    </row>
    <row r="9910" spans="1:10" x14ac:dyDescent="0.25">
      <c r="A9910" s="362"/>
      <c r="B9910" s="609">
        <v>44782</v>
      </c>
      <c r="C9910" s="362" t="s">
        <v>4751</v>
      </c>
      <c r="D9910" s="560">
        <v>362442900</v>
      </c>
      <c r="E9910" s="560"/>
      <c r="F9910" s="560">
        <v>362442900</v>
      </c>
      <c r="G9910" s="560">
        <f t="shared" si="217"/>
        <v>0</v>
      </c>
      <c r="H9910" s="362"/>
      <c r="I9910" s="362"/>
      <c r="J9910" s="362"/>
    </row>
    <row r="9911" spans="1:10" x14ac:dyDescent="0.25">
      <c r="A9911" s="362"/>
      <c r="B9911" s="609">
        <v>44782</v>
      </c>
      <c r="C9911" s="362" t="s">
        <v>166</v>
      </c>
      <c r="D9911" s="560">
        <v>75542229</v>
      </c>
      <c r="E9911" s="560"/>
      <c r="F9911" s="560">
        <v>75542300</v>
      </c>
      <c r="G9911" s="560">
        <f t="shared" si="217"/>
        <v>-71</v>
      </c>
      <c r="H9911" s="362"/>
      <c r="I9911" s="362"/>
      <c r="J9911" s="362"/>
    </row>
    <row r="9912" spans="1:10" x14ac:dyDescent="0.25">
      <c r="A9912" s="362"/>
      <c r="B9912" s="609">
        <v>44782</v>
      </c>
      <c r="C9912" s="362" t="s">
        <v>3435</v>
      </c>
      <c r="D9912" s="560">
        <v>38267436</v>
      </c>
      <c r="E9912" s="560"/>
      <c r="F9912" s="560">
        <v>38267500</v>
      </c>
      <c r="G9912" s="560">
        <f t="shared" si="217"/>
        <v>-64</v>
      </c>
      <c r="H9912" s="362"/>
      <c r="I9912" s="362"/>
      <c r="J9912" s="362"/>
    </row>
    <row r="9913" spans="1:10" x14ac:dyDescent="0.25">
      <c r="A9913" s="362"/>
      <c r="B9913" s="609">
        <v>44782</v>
      </c>
      <c r="C9913" s="370" t="s">
        <v>85</v>
      </c>
      <c r="D9913" s="560">
        <v>53548900</v>
      </c>
      <c r="E9913" s="560"/>
      <c r="F9913" s="560">
        <v>53548900</v>
      </c>
      <c r="G9913" s="560">
        <f t="shared" si="217"/>
        <v>0</v>
      </c>
      <c r="H9913" s="362"/>
      <c r="I9913" s="362"/>
      <c r="J9913" s="362"/>
    </row>
    <row r="9914" spans="1:10" x14ac:dyDescent="0.25">
      <c r="A9914" s="362"/>
      <c r="B9914" s="609">
        <v>44782</v>
      </c>
      <c r="C9914" s="370" t="s">
        <v>6299</v>
      </c>
      <c r="D9914" s="560">
        <v>6626484</v>
      </c>
      <c r="E9914" s="560"/>
      <c r="F9914" s="560">
        <v>6626500</v>
      </c>
      <c r="G9914" s="560">
        <f t="shared" si="217"/>
        <v>-16</v>
      </c>
      <c r="H9914" s="362"/>
      <c r="I9914" s="362"/>
      <c r="J9914" s="362"/>
    </row>
    <row r="9915" spans="1:10" x14ac:dyDescent="0.25">
      <c r="A9915" s="530"/>
      <c r="B9915" s="530"/>
      <c r="C9915" s="530"/>
      <c r="D9915" s="562">
        <f>SUM(D9899:D9914)</f>
        <v>2752695444</v>
      </c>
      <c r="E9915" s="562">
        <f t="shared" ref="E9915:G9915" si="221">SUM(E9899:E9914)</f>
        <v>0</v>
      </c>
      <c r="F9915" s="562">
        <f t="shared" si="221"/>
        <v>2752696400</v>
      </c>
      <c r="G9915" s="562">
        <f t="shared" si="221"/>
        <v>-956</v>
      </c>
      <c r="H9915" s="530"/>
      <c r="I9915" s="530"/>
      <c r="J9915" s="530"/>
    </row>
    <row r="9916" spans="1:10" x14ac:dyDescent="0.25">
      <c r="A9916" s="362"/>
      <c r="B9916" s="609">
        <v>44783</v>
      </c>
      <c r="C9916" s="362" t="s">
        <v>86</v>
      </c>
      <c r="D9916" s="560">
        <v>42198752</v>
      </c>
      <c r="E9916" s="560"/>
      <c r="F9916" s="560">
        <v>42198800</v>
      </c>
      <c r="G9916" s="560">
        <f t="shared" si="217"/>
        <v>-48</v>
      </c>
      <c r="H9916" s="362"/>
      <c r="I9916" s="362"/>
      <c r="J9916" s="362"/>
    </row>
    <row r="9917" spans="1:10" x14ac:dyDescent="0.25">
      <c r="A9917" s="362"/>
      <c r="B9917" s="609">
        <v>44783</v>
      </c>
      <c r="C9917" s="362" t="s">
        <v>87</v>
      </c>
      <c r="D9917" s="560">
        <v>130816288</v>
      </c>
      <c r="E9917" s="560"/>
      <c r="F9917" s="560">
        <v>130816400</v>
      </c>
      <c r="G9917" s="560">
        <f t="shared" ref="G9917:G9980" si="222">D9917-F9917</f>
        <v>-112</v>
      </c>
      <c r="H9917" s="362"/>
      <c r="I9917" s="362"/>
      <c r="J9917" s="362"/>
    </row>
    <row r="9918" spans="1:10" x14ac:dyDescent="0.25">
      <c r="A9918" s="362"/>
      <c r="B9918" s="609">
        <v>44783</v>
      </c>
      <c r="C9918" s="362" t="s">
        <v>88</v>
      </c>
      <c r="D9918" s="560">
        <v>244486354</v>
      </c>
      <c r="E9918" s="560"/>
      <c r="F9918" s="560">
        <v>244486400</v>
      </c>
      <c r="G9918" s="560">
        <f t="shared" si="222"/>
        <v>-46</v>
      </c>
      <c r="H9918" s="362"/>
      <c r="I9918" s="362"/>
      <c r="J9918" s="362"/>
    </row>
    <row r="9919" spans="1:10" x14ac:dyDescent="0.25">
      <c r="A9919" s="362"/>
      <c r="B9919" s="609">
        <v>44783</v>
      </c>
      <c r="C9919" s="362" t="s">
        <v>82</v>
      </c>
      <c r="D9919" s="560">
        <v>81449819</v>
      </c>
      <c r="E9919" s="560"/>
      <c r="F9919" s="560">
        <v>81449900</v>
      </c>
      <c r="G9919" s="560">
        <f t="shared" si="222"/>
        <v>-81</v>
      </c>
      <c r="H9919" s="362"/>
      <c r="I9919" s="362"/>
      <c r="J9919" s="362"/>
    </row>
    <row r="9920" spans="1:10" x14ac:dyDescent="0.25">
      <c r="A9920" s="362"/>
      <c r="B9920" s="609">
        <v>44783</v>
      </c>
      <c r="C9920" s="362" t="s">
        <v>80</v>
      </c>
      <c r="D9920" s="560">
        <v>292889100</v>
      </c>
      <c r="E9920" s="560"/>
      <c r="F9920" s="560">
        <v>292889100</v>
      </c>
      <c r="G9920" s="560">
        <f t="shared" si="222"/>
        <v>0</v>
      </c>
      <c r="H9920" s="362"/>
      <c r="I9920" s="362"/>
      <c r="J9920" s="362"/>
    </row>
    <row r="9921" spans="1:10" x14ac:dyDescent="0.25">
      <c r="A9921" s="362"/>
      <c r="B9921" s="609">
        <v>44783</v>
      </c>
      <c r="C9921" s="362" t="s">
        <v>83</v>
      </c>
      <c r="D9921" s="560">
        <v>202550912</v>
      </c>
      <c r="E9921" s="560"/>
      <c r="F9921" s="560">
        <v>202550900</v>
      </c>
      <c r="G9921" s="560">
        <f t="shared" si="222"/>
        <v>12</v>
      </c>
      <c r="H9921" s="362"/>
      <c r="I9921" s="362"/>
      <c r="J9921" s="362"/>
    </row>
    <row r="9922" spans="1:10" x14ac:dyDescent="0.25">
      <c r="A9922" s="362"/>
      <c r="B9922" s="609">
        <v>44783</v>
      </c>
      <c r="C9922" s="362" t="s">
        <v>78</v>
      </c>
      <c r="D9922" s="560">
        <v>129087900</v>
      </c>
      <c r="E9922" s="560"/>
      <c r="F9922" s="560">
        <v>129087900</v>
      </c>
      <c r="G9922" s="560">
        <f t="shared" si="222"/>
        <v>0</v>
      </c>
      <c r="H9922" s="362"/>
      <c r="I9922" s="362"/>
      <c r="J9922" s="362"/>
    </row>
    <row r="9923" spans="1:10" x14ac:dyDescent="0.25">
      <c r="A9923" s="362"/>
      <c r="B9923" s="609">
        <v>44783</v>
      </c>
      <c r="C9923" s="362" t="s">
        <v>141</v>
      </c>
      <c r="D9923" s="560">
        <v>200592950</v>
      </c>
      <c r="E9923" s="560"/>
      <c r="F9923" s="560">
        <v>200593000</v>
      </c>
      <c r="G9923" s="560">
        <f t="shared" si="222"/>
        <v>-50</v>
      </c>
      <c r="H9923" s="362"/>
      <c r="I9923" s="362"/>
      <c r="J9923" s="362"/>
    </row>
    <row r="9924" spans="1:10" x14ac:dyDescent="0.25">
      <c r="A9924" s="362"/>
      <c r="B9924" s="609">
        <v>44783</v>
      </c>
      <c r="C9924" s="362" t="s">
        <v>89</v>
      </c>
      <c r="D9924" s="560">
        <v>237694200</v>
      </c>
      <c r="E9924" s="560"/>
      <c r="F9924" s="560">
        <v>237694300</v>
      </c>
      <c r="G9924" s="560">
        <f t="shared" si="222"/>
        <v>-100</v>
      </c>
      <c r="H9924" s="362"/>
      <c r="I9924" s="362"/>
      <c r="J9924" s="362"/>
    </row>
    <row r="9925" spans="1:10" x14ac:dyDescent="0.25">
      <c r="A9925" s="362"/>
      <c r="B9925" s="609">
        <v>44783</v>
      </c>
      <c r="C9925" s="362" t="s">
        <v>81</v>
      </c>
      <c r="D9925" s="560">
        <v>148667469</v>
      </c>
      <c r="E9925" s="560"/>
      <c r="F9925" s="560">
        <v>148667500</v>
      </c>
      <c r="G9925" s="560">
        <f t="shared" si="222"/>
        <v>-31</v>
      </c>
      <c r="H9925" s="362"/>
      <c r="I9925" s="362"/>
      <c r="J9925" s="362"/>
    </row>
    <row r="9926" spans="1:10" x14ac:dyDescent="0.25">
      <c r="A9926" s="362"/>
      <c r="B9926" s="609">
        <v>44783</v>
      </c>
      <c r="C9926" s="362" t="s">
        <v>84</v>
      </c>
      <c r="D9926" s="560">
        <v>328026117</v>
      </c>
      <c r="E9926" s="560"/>
      <c r="F9926" s="560">
        <v>328026200</v>
      </c>
      <c r="G9926" s="560">
        <f t="shared" si="222"/>
        <v>-83</v>
      </c>
      <c r="H9926" s="362"/>
      <c r="I9926" s="362"/>
      <c r="J9926" s="362"/>
    </row>
    <row r="9927" spans="1:10" x14ac:dyDescent="0.25">
      <c r="A9927" s="362"/>
      <c r="B9927" s="609">
        <v>44783</v>
      </c>
      <c r="C9927" s="362" t="s">
        <v>4751</v>
      </c>
      <c r="D9927" s="560">
        <v>207998600</v>
      </c>
      <c r="E9927" s="560"/>
      <c r="F9927" s="560">
        <v>207998600</v>
      </c>
      <c r="G9927" s="560">
        <f t="shared" si="222"/>
        <v>0</v>
      </c>
      <c r="H9927" s="362"/>
      <c r="I9927" s="362"/>
      <c r="J9927" s="362"/>
    </row>
    <row r="9928" spans="1:10" x14ac:dyDescent="0.25">
      <c r="A9928" s="362"/>
      <c r="B9928" s="609">
        <v>44783</v>
      </c>
      <c r="C9928" s="362" t="s">
        <v>166</v>
      </c>
      <c r="D9928" s="560">
        <v>131839003</v>
      </c>
      <c r="E9928" s="560"/>
      <c r="F9928" s="560">
        <v>131839000</v>
      </c>
      <c r="G9928" s="560">
        <f t="shared" si="222"/>
        <v>3</v>
      </c>
      <c r="H9928" s="362"/>
      <c r="I9928" s="362"/>
      <c r="J9928" s="362"/>
    </row>
    <row r="9929" spans="1:10" x14ac:dyDescent="0.25">
      <c r="A9929" s="362"/>
      <c r="B9929" s="609">
        <v>44783</v>
      </c>
      <c r="C9929" s="362" t="s">
        <v>3435</v>
      </c>
      <c r="D9929" s="560">
        <v>70399624</v>
      </c>
      <c r="E9929" s="560"/>
      <c r="F9929" s="560">
        <v>70399700</v>
      </c>
      <c r="G9929" s="560">
        <f t="shared" si="222"/>
        <v>-76</v>
      </c>
      <c r="H9929" s="362"/>
      <c r="I9929" s="362"/>
      <c r="J9929" s="362"/>
    </row>
    <row r="9930" spans="1:10" x14ac:dyDescent="0.25">
      <c r="A9930" s="362"/>
      <c r="B9930" s="609">
        <v>44783</v>
      </c>
      <c r="C9930" s="370" t="s">
        <v>85</v>
      </c>
      <c r="D9930" s="560">
        <v>62778900</v>
      </c>
      <c r="E9930" s="560"/>
      <c r="F9930" s="560">
        <v>62778900</v>
      </c>
      <c r="G9930" s="560">
        <f t="shared" si="222"/>
        <v>0</v>
      </c>
      <c r="H9930" s="362"/>
      <c r="I9930" s="362"/>
      <c r="J9930" s="362"/>
    </row>
    <row r="9931" spans="1:10" x14ac:dyDescent="0.25">
      <c r="A9931" s="362"/>
      <c r="B9931" s="609">
        <v>44783</v>
      </c>
      <c r="C9931" s="370" t="s">
        <v>6299</v>
      </c>
      <c r="D9931" s="560">
        <v>13598925</v>
      </c>
      <c r="E9931" s="560"/>
      <c r="F9931" s="560">
        <v>13599000</v>
      </c>
      <c r="G9931" s="560">
        <f t="shared" si="222"/>
        <v>-75</v>
      </c>
      <c r="H9931" s="362"/>
      <c r="I9931" s="362"/>
      <c r="J9931" s="362"/>
    </row>
    <row r="9932" spans="1:10" x14ac:dyDescent="0.25">
      <c r="A9932" s="530"/>
      <c r="B9932" s="530"/>
      <c r="C9932" s="530"/>
      <c r="D9932" s="562">
        <f>SUM(D9916:D9931)</f>
        <v>2525074913</v>
      </c>
      <c r="E9932" s="562">
        <f t="shared" ref="E9932:G9932" si="223">SUM(E9916:E9931)</f>
        <v>0</v>
      </c>
      <c r="F9932" s="562">
        <f t="shared" si="223"/>
        <v>2525075600</v>
      </c>
      <c r="G9932" s="562">
        <f t="shared" si="223"/>
        <v>-687</v>
      </c>
      <c r="H9932" s="530"/>
      <c r="I9932" s="530"/>
      <c r="J9932" s="530"/>
    </row>
    <row r="9933" spans="1:10" x14ac:dyDescent="0.25">
      <c r="A9933" s="362"/>
      <c r="B9933" s="609">
        <v>44784</v>
      </c>
      <c r="C9933" s="362" t="s">
        <v>86</v>
      </c>
      <c r="D9933" s="560">
        <v>100611317</v>
      </c>
      <c r="E9933" s="560"/>
      <c r="F9933" s="560">
        <v>100611400</v>
      </c>
      <c r="G9933" s="560">
        <f t="shared" si="222"/>
        <v>-83</v>
      </c>
      <c r="H9933" s="362"/>
      <c r="I9933" s="362"/>
      <c r="J9933" s="362"/>
    </row>
    <row r="9934" spans="1:10" x14ac:dyDescent="0.25">
      <c r="A9934" s="362"/>
      <c r="B9934" s="609">
        <v>44784</v>
      </c>
      <c r="C9934" s="362" t="s">
        <v>87</v>
      </c>
      <c r="D9934" s="560">
        <v>218019834</v>
      </c>
      <c r="E9934" s="560"/>
      <c r="F9934" s="560">
        <v>218020000</v>
      </c>
      <c r="G9934" s="560">
        <f t="shared" si="222"/>
        <v>-166</v>
      </c>
      <c r="H9934" s="362"/>
      <c r="I9934" s="362"/>
      <c r="J9934" s="362"/>
    </row>
    <row r="9935" spans="1:10" x14ac:dyDescent="0.25">
      <c r="A9935" s="362"/>
      <c r="B9935" s="609">
        <v>44784</v>
      </c>
      <c r="C9935" s="362" t="s">
        <v>88</v>
      </c>
      <c r="D9935" s="560">
        <v>140648895</v>
      </c>
      <c r="E9935" s="560"/>
      <c r="F9935" s="560">
        <v>140648900</v>
      </c>
      <c r="G9935" s="560">
        <f t="shared" si="222"/>
        <v>-5</v>
      </c>
      <c r="H9935" s="362"/>
      <c r="I9935" s="362"/>
      <c r="J9935" s="362"/>
    </row>
    <row r="9936" spans="1:10" x14ac:dyDescent="0.25">
      <c r="A9936" s="362"/>
      <c r="B9936" s="609">
        <v>44784</v>
      </c>
      <c r="C9936" s="362" t="s">
        <v>82</v>
      </c>
      <c r="D9936" s="560">
        <v>130078886</v>
      </c>
      <c r="E9936" s="560"/>
      <c r="F9936" s="560">
        <v>130078700</v>
      </c>
      <c r="G9936" s="560">
        <f t="shared" si="222"/>
        <v>186</v>
      </c>
      <c r="H9936" s="362"/>
      <c r="I9936" s="362"/>
      <c r="J9936" s="362"/>
    </row>
    <row r="9937" spans="1:13" x14ac:dyDescent="0.25">
      <c r="A9937" s="362"/>
      <c r="B9937" s="609">
        <v>44784</v>
      </c>
      <c r="C9937" s="362" t="s">
        <v>80</v>
      </c>
      <c r="D9937" s="560">
        <v>398188000</v>
      </c>
      <c r="E9937" s="560"/>
      <c r="F9937" s="560">
        <v>398188000</v>
      </c>
      <c r="G9937" s="560">
        <f t="shared" si="222"/>
        <v>0</v>
      </c>
      <c r="H9937" s="362"/>
      <c r="I9937" s="362"/>
      <c r="J9937" s="362"/>
    </row>
    <row r="9938" spans="1:13" x14ac:dyDescent="0.25">
      <c r="A9938" s="362"/>
      <c r="B9938" s="609">
        <v>44784</v>
      </c>
      <c r="C9938" s="362" t="s">
        <v>83</v>
      </c>
      <c r="D9938" s="560">
        <v>152045000</v>
      </c>
      <c r="E9938" s="560"/>
      <c r="F9938" s="560">
        <v>152045200</v>
      </c>
      <c r="G9938" s="560">
        <f t="shared" si="222"/>
        <v>-200</v>
      </c>
      <c r="H9938" s="362"/>
      <c r="I9938" s="362"/>
      <c r="J9938" s="362"/>
    </row>
    <row r="9939" spans="1:13" x14ac:dyDescent="0.25">
      <c r="A9939" s="362"/>
      <c r="B9939" s="609">
        <v>44784</v>
      </c>
      <c r="C9939" s="362" t="s">
        <v>78</v>
      </c>
      <c r="D9939" s="560">
        <v>164296800</v>
      </c>
      <c r="E9939" s="560"/>
      <c r="F9939" s="560">
        <v>164296800</v>
      </c>
      <c r="G9939" s="560">
        <f t="shared" si="222"/>
        <v>0</v>
      </c>
      <c r="H9939" s="362"/>
      <c r="I9939" s="362"/>
      <c r="J9939" s="362"/>
    </row>
    <row r="9940" spans="1:13" x14ac:dyDescent="0.25">
      <c r="A9940" s="362"/>
      <c r="B9940" s="609">
        <v>44784</v>
      </c>
      <c r="C9940" s="362" t="s">
        <v>141</v>
      </c>
      <c r="D9940" s="560">
        <v>140161970</v>
      </c>
      <c r="E9940" s="560"/>
      <c r="F9940" s="560">
        <v>140162000</v>
      </c>
      <c r="G9940" s="560">
        <f t="shared" si="222"/>
        <v>-30</v>
      </c>
      <c r="H9940" s="362"/>
      <c r="I9940" s="362"/>
      <c r="J9940" s="362"/>
    </row>
    <row r="9941" spans="1:13" x14ac:dyDescent="0.25">
      <c r="A9941" s="362"/>
      <c r="B9941" s="609">
        <v>44784</v>
      </c>
      <c r="C9941" s="362" t="s">
        <v>89</v>
      </c>
      <c r="D9941" s="560">
        <v>185364200</v>
      </c>
      <c r="E9941" s="560"/>
      <c r="F9941" s="560">
        <v>185364200</v>
      </c>
      <c r="G9941" s="560">
        <f t="shared" si="222"/>
        <v>0</v>
      </c>
      <c r="H9941" s="362"/>
      <c r="I9941" s="362"/>
      <c r="J9941" s="362"/>
    </row>
    <row r="9942" spans="1:13" x14ac:dyDescent="0.25">
      <c r="A9942" s="362"/>
      <c r="B9942" s="609">
        <v>44784</v>
      </c>
      <c r="C9942" s="362" t="s">
        <v>81</v>
      </c>
      <c r="D9942" s="560">
        <v>271151200</v>
      </c>
      <c r="E9942" s="560"/>
      <c r="F9942" s="560">
        <v>271151200</v>
      </c>
      <c r="G9942" s="560">
        <f t="shared" si="222"/>
        <v>0</v>
      </c>
      <c r="H9942" s="362"/>
      <c r="I9942" s="362"/>
      <c r="J9942" s="362"/>
    </row>
    <row r="9943" spans="1:13" x14ac:dyDescent="0.25">
      <c r="A9943" s="362"/>
      <c r="B9943" s="609">
        <v>44784</v>
      </c>
      <c r="C9943" s="362" t="s">
        <v>84</v>
      </c>
      <c r="D9943" s="560">
        <v>413481453</v>
      </c>
      <c r="E9943" s="560"/>
      <c r="F9943" s="560">
        <v>413481400</v>
      </c>
      <c r="G9943" s="560">
        <f t="shared" si="222"/>
        <v>53</v>
      </c>
      <c r="H9943" s="362"/>
      <c r="I9943" s="362"/>
      <c r="J9943" s="362"/>
    </row>
    <row r="9944" spans="1:13" x14ac:dyDescent="0.25">
      <c r="A9944" s="362"/>
      <c r="B9944" s="609">
        <v>44784</v>
      </c>
      <c r="C9944" s="362" t="s">
        <v>4751</v>
      </c>
      <c r="D9944" s="560">
        <v>310482600</v>
      </c>
      <c r="E9944" s="560"/>
      <c r="F9944" s="560">
        <v>310482600</v>
      </c>
      <c r="G9944" s="560">
        <f t="shared" si="222"/>
        <v>0</v>
      </c>
      <c r="H9944" s="362"/>
      <c r="I9944" s="362"/>
      <c r="J9944" s="362"/>
    </row>
    <row r="9945" spans="1:13" x14ac:dyDescent="0.25">
      <c r="A9945" s="362"/>
      <c r="B9945" s="609">
        <v>44784</v>
      </c>
      <c r="C9945" s="362" t="s">
        <v>166</v>
      </c>
      <c r="D9945" s="560">
        <v>126704984</v>
      </c>
      <c r="E9945" s="560"/>
      <c r="F9945" s="560">
        <v>126705000</v>
      </c>
      <c r="G9945" s="560">
        <f t="shared" si="222"/>
        <v>-16</v>
      </c>
      <c r="H9945" s="362"/>
      <c r="I9945" s="362"/>
      <c r="J9945" s="362"/>
    </row>
    <row r="9946" spans="1:13" x14ac:dyDescent="0.25">
      <c r="A9946" s="362"/>
      <c r="B9946" s="609">
        <v>44784</v>
      </c>
      <c r="C9946" s="362" t="s">
        <v>3435</v>
      </c>
      <c r="D9946" s="560">
        <v>65418195</v>
      </c>
      <c r="E9946" s="560"/>
      <c r="F9946" s="560">
        <v>65418200</v>
      </c>
      <c r="G9946" s="560">
        <f t="shared" si="222"/>
        <v>-5</v>
      </c>
      <c r="H9946" s="362"/>
      <c r="I9946" s="362"/>
      <c r="J9946" s="362"/>
      <c r="M9946" s="254" t="s">
        <v>6110</v>
      </c>
    </row>
    <row r="9947" spans="1:13" x14ac:dyDescent="0.25">
      <c r="A9947" s="362"/>
      <c r="B9947" s="609">
        <v>44784</v>
      </c>
      <c r="C9947" s="370" t="s">
        <v>85</v>
      </c>
      <c r="D9947" s="560">
        <v>53455400</v>
      </c>
      <c r="E9947" s="560"/>
      <c r="F9947" s="560">
        <v>53455400</v>
      </c>
      <c r="G9947" s="560">
        <f t="shared" si="222"/>
        <v>0</v>
      </c>
      <c r="H9947" s="362"/>
      <c r="I9947" s="362"/>
      <c r="J9947" s="362"/>
    </row>
    <row r="9948" spans="1:13" x14ac:dyDescent="0.25">
      <c r="A9948" s="362"/>
      <c r="B9948" s="609">
        <v>44784</v>
      </c>
      <c r="C9948" s="370" t="s">
        <v>6299</v>
      </c>
      <c r="D9948" s="560">
        <v>112178956</v>
      </c>
      <c r="E9948" s="560"/>
      <c r="F9948" s="560">
        <v>112179000</v>
      </c>
      <c r="G9948" s="560">
        <f t="shared" si="222"/>
        <v>-44</v>
      </c>
      <c r="H9948" s="362"/>
      <c r="I9948" s="362"/>
      <c r="J9948" s="362"/>
    </row>
    <row r="9949" spans="1:13" x14ac:dyDescent="0.25">
      <c r="A9949" s="530"/>
      <c r="B9949" s="530"/>
      <c r="C9949" s="530"/>
      <c r="D9949" s="562">
        <f>SUM(D9933:D9948)</f>
        <v>2982287690</v>
      </c>
      <c r="E9949" s="562">
        <f t="shared" ref="E9949:G9949" si="224">SUM(E9933:E9948)</f>
        <v>0</v>
      </c>
      <c r="F9949" s="562">
        <f t="shared" si="224"/>
        <v>2982288000</v>
      </c>
      <c r="G9949" s="562">
        <f t="shared" si="224"/>
        <v>-310</v>
      </c>
      <c r="H9949" s="530"/>
      <c r="I9949" s="530"/>
      <c r="J9949" s="530"/>
    </row>
    <row r="9950" spans="1:13" x14ac:dyDescent="0.25">
      <c r="A9950" s="362"/>
      <c r="B9950" s="609">
        <v>44785</v>
      </c>
      <c r="C9950" s="362" t="s">
        <v>86</v>
      </c>
      <c r="D9950" s="560">
        <v>57940864</v>
      </c>
      <c r="E9950" s="560"/>
      <c r="F9950" s="560">
        <v>57940900</v>
      </c>
      <c r="G9950" s="560">
        <f t="shared" si="222"/>
        <v>-36</v>
      </c>
      <c r="H9950" s="362"/>
      <c r="I9950" s="362"/>
      <c r="J9950" s="362"/>
    </row>
    <row r="9951" spans="1:13" x14ac:dyDescent="0.25">
      <c r="A9951" s="362"/>
      <c r="B9951" s="609">
        <v>44785</v>
      </c>
      <c r="C9951" s="362" t="s">
        <v>87</v>
      </c>
      <c r="D9951" s="560">
        <v>127105324</v>
      </c>
      <c r="E9951" s="560"/>
      <c r="F9951" s="560">
        <v>127106000</v>
      </c>
      <c r="G9951" s="560">
        <f t="shared" si="222"/>
        <v>-676</v>
      </c>
      <c r="H9951" s="362"/>
      <c r="I9951" s="362"/>
      <c r="J9951" s="362"/>
    </row>
    <row r="9952" spans="1:13" x14ac:dyDescent="0.25">
      <c r="A9952" s="362"/>
      <c r="B9952" s="609">
        <v>44785</v>
      </c>
      <c r="C9952" s="362" t="s">
        <v>88</v>
      </c>
      <c r="D9952" s="560">
        <v>108480687</v>
      </c>
      <c r="E9952" s="560"/>
      <c r="F9952" s="560">
        <v>108480700</v>
      </c>
      <c r="G9952" s="560">
        <f t="shared" si="222"/>
        <v>-13</v>
      </c>
      <c r="H9952" s="362"/>
      <c r="I9952" s="362"/>
      <c r="J9952" s="362"/>
    </row>
    <row r="9953" spans="1:10" x14ac:dyDescent="0.25">
      <c r="A9953" s="362"/>
      <c r="B9953" s="609">
        <v>44785</v>
      </c>
      <c r="C9953" s="362" t="s">
        <v>82</v>
      </c>
      <c r="D9953" s="560">
        <v>232427993</v>
      </c>
      <c r="E9953" s="560"/>
      <c r="F9953" s="560">
        <v>232428000</v>
      </c>
      <c r="G9953" s="560">
        <f t="shared" si="222"/>
        <v>-7</v>
      </c>
      <c r="H9953" s="362"/>
      <c r="I9953" s="362"/>
      <c r="J9953" s="362"/>
    </row>
    <row r="9954" spans="1:10" x14ac:dyDescent="0.25">
      <c r="A9954" s="362"/>
      <c r="B9954" s="609">
        <v>44785</v>
      </c>
      <c r="C9954" s="362" t="s">
        <v>80</v>
      </c>
      <c r="D9954" s="560">
        <v>365971100</v>
      </c>
      <c r="E9954" s="560"/>
      <c r="F9954" s="560">
        <v>365971100</v>
      </c>
      <c r="G9954" s="560">
        <f t="shared" si="222"/>
        <v>0</v>
      </c>
      <c r="H9954" s="362"/>
      <c r="I9954" s="362"/>
      <c r="J9954" s="362"/>
    </row>
    <row r="9955" spans="1:10" x14ac:dyDescent="0.25">
      <c r="A9955" s="362"/>
      <c r="B9955" s="609">
        <v>44785</v>
      </c>
      <c r="C9955" s="362" t="s">
        <v>83</v>
      </c>
      <c r="D9955" s="560">
        <v>220504500</v>
      </c>
      <c r="E9955" s="560"/>
      <c r="F9955" s="560">
        <v>220504500</v>
      </c>
      <c r="G9955" s="560">
        <f t="shared" si="222"/>
        <v>0</v>
      </c>
      <c r="H9955" s="362"/>
      <c r="I9955" s="362"/>
      <c r="J9955" s="362"/>
    </row>
    <row r="9956" spans="1:10" x14ac:dyDescent="0.25">
      <c r="A9956" s="362"/>
      <c r="B9956" s="609">
        <v>44785</v>
      </c>
      <c r="C9956" s="362" t="s">
        <v>78</v>
      </c>
      <c r="D9956" s="560">
        <v>139207900</v>
      </c>
      <c r="E9956" s="560"/>
      <c r="F9956" s="560">
        <v>139207900</v>
      </c>
      <c r="G9956" s="560">
        <f t="shared" si="222"/>
        <v>0</v>
      </c>
      <c r="H9956" s="362"/>
      <c r="I9956" s="362"/>
      <c r="J9956" s="362"/>
    </row>
    <row r="9957" spans="1:10" x14ac:dyDescent="0.25">
      <c r="A9957" s="362"/>
      <c r="B9957" s="609">
        <v>44785</v>
      </c>
      <c r="C9957" s="362" t="s">
        <v>141</v>
      </c>
      <c r="D9957" s="560">
        <v>83375463</v>
      </c>
      <c r="E9957" s="560"/>
      <c r="F9957" s="560">
        <v>83375500</v>
      </c>
      <c r="G9957" s="560">
        <f t="shared" si="222"/>
        <v>-37</v>
      </c>
      <c r="H9957" s="362"/>
      <c r="I9957" s="362"/>
      <c r="J9957" s="362"/>
    </row>
    <row r="9958" spans="1:10" x14ac:dyDescent="0.25">
      <c r="A9958" s="362"/>
      <c r="B9958" s="609">
        <v>44785</v>
      </c>
      <c r="C9958" s="362" t="s">
        <v>89</v>
      </c>
      <c r="D9958" s="560">
        <v>212206700</v>
      </c>
      <c r="E9958" s="560"/>
      <c r="F9958" s="560">
        <v>212206700</v>
      </c>
      <c r="G9958" s="560">
        <f t="shared" si="222"/>
        <v>0</v>
      </c>
      <c r="H9958" s="362"/>
      <c r="I9958" s="362"/>
      <c r="J9958" s="362"/>
    </row>
    <row r="9959" spans="1:10" x14ac:dyDescent="0.25">
      <c r="A9959" s="362"/>
      <c r="B9959" s="609">
        <v>44785</v>
      </c>
      <c r="C9959" s="362" t="s">
        <v>81</v>
      </c>
      <c r="D9959" s="560">
        <v>107580076</v>
      </c>
      <c r="E9959" s="560"/>
      <c r="F9959" s="560">
        <v>107580100</v>
      </c>
      <c r="G9959" s="560">
        <f t="shared" si="222"/>
        <v>-24</v>
      </c>
      <c r="H9959" s="362"/>
      <c r="I9959" s="362"/>
      <c r="J9959" s="362"/>
    </row>
    <row r="9960" spans="1:10" x14ac:dyDescent="0.25">
      <c r="A9960" s="362"/>
      <c r="B9960" s="609">
        <v>44785</v>
      </c>
      <c r="C9960" s="362" t="s">
        <v>84</v>
      </c>
      <c r="D9960" s="560">
        <v>639884549</v>
      </c>
      <c r="E9960" s="560"/>
      <c r="F9960" s="560">
        <v>639885100</v>
      </c>
      <c r="G9960" s="560">
        <f t="shared" si="222"/>
        <v>-551</v>
      </c>
      <c r="H9960" s="362"/>
      <c r="I9960" s="362"/>
      <c r="J9960" s="362"/>
    </row>
    <row r="9961" spans="1:10" x14ac:dyDescent="0.25">
      <c r="A9961" s="362"/>
      <c r="B9961" s="609">
        <v>44785</v>
      </c>
      <c r="C9961" s="362" t="s">
        <v>4751</v>
      </c>
      <c r="D9961" s="560">
        <v>178495300</v>
      </c>
      <c r="E9961" s="560"/>
      <c r="F9961" s="560">
        <v>178495500</v>
      </c>
      <c r="G9961" s="560">
        <f t="shared" si="222"/>
        <v>-200</v>
      </c>
      <c r="H9961" s="362"/>
      <c r="I9961" s="362"/>
      <c r="J9961" s="362"/>
    </row>
    <row r="9962" spans="1:10" x14ac:dyDescent="0.25">
      <c r="A9962" s="362"/>
      <c r="B9962" s="609">
        <v>44785</v>
      </c>
      <c r="C9962" s="362" t="s">
        <v>166</v>
      </c>
      <c r="D9962" s="560">
        <v>48425397</v>
      </c>
      <c r="E9962" s="560"/>
      <c r="F9962" s="560">
        <v>48425400</v>
      </c>
      <c r="G9962" s="560">
        <f t="shared" si="222"/>
        <v>-3</v>
      </c>
      <c r="H9962" s="362"/>
      <c r="I9962" s="362"/>
      <c r="J9962" s="362"/>
    </row>
    <row r="9963" spans="1:10" x14ac:dyDescent="0.25">
      <c r="A9963" s="362"/>
      <c r="B9963" s="609">
        <v>44785</v>
      </c>
      <c r="C9963" s="362" t="s">
        <v>3435</v>
      </c>
      <c r="D9963" s="560">
        <v>75585837</v>
      </c>
      <c r="E9963" s="560"/>
      <c r="F9963" s="560">
        <v>75585900</v>
      </c>
      <c r="G9963" s="560">
        <f t="shared" si="222"/>
        <v>-63</v>
      </c>
      <c r="H9963" s="362"/>
      <c r="I9963" s="362"/>
      <c r="J9963" s="362"/>
    </row>
    <row r="9964" spans="1:10" x14ac:dyDescent="0.25">
      <c r="A9964" s="362"/>
      <c r="B9964" s="609">
        <v>44785</v>
      </c>
      <c r="C9964" s="370" t="s">
        <v>85</v>
      </c>
      <c r="D9964" s="560">
        <v>43896100</v>
      </c>
      <c r="E9964" s="560"/>
      <c r="F9964" s="560">
        <v>43896100</v>
      </c>
      <c r="G9964" s="560">
        <f t="shared" si="222"/>
        <v>0</v>
      </c>
      <c r="H9964" s="362"/>
      <c r="I9964" s="362"/>
      <c r="J9964" s="362"/>
    </row>
    <row r="9965" spans="1:10" x14ac:dyDescent="0.25">
      <c r="A9965" s="362"/>
      <c r="B9965" s="609">
        <v>44785</v>
      </c>
      <c r="C9965" s="370" t="s">
        <v>6299</v>
      </c>
      <c r="D9965" s="560">
        <v>19393912</v>
      </c>
      <c r="E9965" s="560"/>
      <c r="F9965" s="560">
        <v>19393900</v>
      </c>
      <c r="G9965" s="560">
        <f t="shared" si="222"/>
        <v>12</v>
      </c>
      <c r="H9965" s="362"/>
      <c r="I9965" s="362"/>
      <c r="J9965" s="362"/>
    </row>
    <row r="9966" spans="1:10" x14ac:dyDescent="0.25">
      <c r="A9966" s="530"/>
      <c r="B9966" s="530"/>
      <c r="C9966" s="530"/>
      <c r="D9966" s="562">
        <f>SUM(D9950:D9965)</f>
        <v>2660481702</v>
      </c>
      <c r="E9966" s="562">
        <f t="shared" ref="E9966:G9966" si="225">SUM(E9950:E9964)</f>
        <v>0</v>
      </c>
      <c r="F9966" s="562">
        <f>SUM(F9950:F9965)</f>
        <v>2660483300</v>
      </c>
      <c r="G9966" s="562">
        <f t="shared" si="225"/>
        <v>-1610</v>
      </c>
      <c r="H9966" s="530"/>
      <c r="I9966" s="530"/>
      <c r="J9966" s="530"/>
    </row>
    <row r="9967" spans="1:10" x14ac:dyDescent="0.25">
      <c r="A9967" s="362"/>
      <c r="B9967" s="609">
        <v>44786</v>
      </c>
      <c r="C9967" s="362" t="s">
        <v>86</v>
      </c>
      <c r="D9967" s="560">
        <v>64446573</v>
      </c>
      <c r="E9967" s="560"/>
      <c r="F9967" s="560">
        <v>64446600</v>
      </c>
      <c r="G9967" s="560">
        <f t="shared" si="222"/>
        <v>-27</v>
      </c>
      <c r="H9967" s="362"/>
      <c r="I9967" s="362"/>
      <c r="J9967" s="362"/>
    </row>
    <row r="9968" spans="1:10" x14ac:dyDescent="0.25">
      <c r="A9968" s="362"/>
      <c r="B9968" s="609">
        <v>44786</v>
      </c>
      <c r="C9968" s="362" t="s">
        <v>87</v>
      </c>
      <c r="D9968" s="560">
        <v>150313489</v>
      </c>
      <c r="E9968" s="560"/>
      <c r="F9968" s="560">
        <v>150313500</v>
      </c>
      <c r="G9968" s="560">
        <f t="shared" si="222"/>
        <v>-11</v>
      </c>
      <c r="H9968" s="362"/>
      <c r="I9968" s="362"/>
      <c r="J9968" s="362"/>
    </row>
    <row r="9969" spans="1:10" x14ac:dyDescent="0.25">
      <c r="A9969" s="362"/>
      <c r="B9969" s="609">
        <v>44786</v>
      </c>
      <c r="C9969" s="362" t="s">
        <v>88</v>
      </c>
      <c r="D9969" s="560">
        <v>160354269</v>
      </c>
      <c r="E9969" s="560"/>
      <c r="F9969" s="560">
        <v>160354300</v>
      </c>
      <c r="G9969" s="560">
        <f t="shared" si="222"/>
        <v>-31</v>
      </c>
      <c r="H9969" s="362"/>
      <c r="I9969" s="362"/>
      <c r="J9969" s="362"/>
    </row>
    <row r="9970" spans="1:10" x14ac:dyDescent="0.25">
      <c r="A9970" s="362"/>
      <c r="B9970" s="609">
        <v>44786</v>
      </c>
      <c r="C9970" s="362" t="s">
        <v>82</v>
      </c>
      <c r="D9970" s="560">
        <v>52112415</v>
      </c>
      <c r="E9970" s="560"/>
      <c r="F9970" s="560">
        <v>52112500</v>
      </c>
      <c r="G9970" s="560">
        <f t="shared" si="222"/>
        <v>-85</v>
      </c>
      <c r="H9970" s="362"/>
      <c r="I9970" s="362"/>
      <c r="J9970" s="362"/>
    </row>
    <row r="9971" spans="1:10" x14ac:dyDescent="0.25">
      <c r="A9971" s="362"/>
      <c r="B9971" s="609">
        <v>44786</v>
      </c>
      <c r="C9971" s="362" t="s">
        <v>80</v>
      </c>
      <c r="D9971" s="560">
        <v>237017300</v>
      </c>
      <c r="E9971" s="560"/>
      <c r="F9971" s="560">
        <v>237017300</v>
      </c>
      <c r="G9971" s="560">
        <f t="shared" si="222"/>
        <v>0</v>
      </c>
      <c r="H9971" s="362"/>
      <c r="I9971" s="362"/>
      <c r="J9971" s="362"/>
    </row>
    <row r="9972" spans="1:10" x14ac:dyDescent="0.25">
      <c r="A9972" s="362"/>
      <c r="B9972" s="609">
        <v>44786</v>
      </c>
      <c r="C9972" s="362" t="s">
        <v>83</v>
      </c>
      <c r="D9972" s="560">
        <v>216327000</v>
      </c>
      <c r="E9972" s="560"/>
      <c r="F9972" s="560">
        <v>216327000</v>
      </c>
      <c r="G9972" s="560">
        <f t="shared" si="222"/>
        <v>0</v>
      </c>
      <c r="H9972" s="362"/>
      <c r="I9972" s="362"/>
      <c r="J9972" s="362"/>
    </row>
    <row r="9973" spans="1:10" x14ac:dyDescent="0.25">
      <c r="A9973" s="362"/>
      <c r="B9973" s="609">
        <v>44786</v>
      </c>
      <c r="C9973" s="362" t="s">
        <v>78</v>
      </c>
      <c r="D9973" s="560">
        <v>221393200</v>
      </c>
      <c r="E9973" s="560"/>
      <c r="F9973" s="560">
        <v>221393200</v>
      </c>
      <c r="G9973" s="560">
        <f t="shared" si="222"/>
        <v>0</v>
      </c>
      <c r="H9973" s="362"/>
      <c r="I9973" s="362"/>
      <c r="J9973" s="362"/>
    </row>
    <row r="9974" spans="1:10" x14ac:dyDescent="0.25">
      <c r="A9974" s="362"/>
      <c r="B9974" s="609">
        <v>44786</v>
      </c>
      <c r="C9974" s="362" t="s">
        <v>141</v>
      </c>
      <c r="D9974" s="560">
        <v>77854442</v>
      </c>
      <c r="E9974" s="560"/>
      <c r="F9974" s="560">
        <v>77854500</v>
      </c>
      <c r="G9974" s="560">
        <f t="shared" si="222"/>
        <v>-58</v>
      </c>
      <c r="H9974" s="362"/>
      <c r="I9974" s="362"/>
      <c r="J9974" s="362"/>
    </row>
    <row r="9975" spans="1:10" x14ac:dyDescent="0.25">
      <c r="A9975" s="362"/>
      <c r="B9975" s="609">
        <v>44786</v>
      </c>
      <c r="C9975" s="362" t="s">
        <v>89</v>
      </c>
      <c r="D9975" s="560">
        <v>112339700</v>
      </c>
      <c r="E9975" s="560"/>
      <c r="F9975" s="560">
        <v>112339700</v>
      </c>
      <c r="G9975" s="560">
        <f t="shared" si="222"/>
        <v>0</v>
      </c>
      <c r="H9975" s="362"/>
      <c r="I9975" s="362"/>
      <c r="J9975" s="362"/>
    </row>
    <row r="9976" spans="1:10" x14ac:dyDescent="0.25">
      <c r="A9976" s="362"/>
      <c r="B9976" s="609">
        <v>44786</v>
      </c>
      <c r="C9976" s="362" t="s">
        <v>81</v>
      </c>
      <c r="D9976" s="560">
        <v>237901956</v>
      </c>
      <c r="E9976" s="560"/>
      <c r="F9976" s="560">
        <v>237902000</v>
      </c>
      <c r="G9976" s="560">
        <f t="shared" si="222"/>
        <v>-44</v>
      </c>
      <c r="H9976" s="362"/>
      <c r="I9976" s="362"/>
      <c r="J9976" s="362"/>
    </row>
    <row r="9977" spans="1:10" x14ac:dyDescent="0.25">
      <c r="A9977" s="362"/>
      <c r="B9977" s="609">
        <v>44786</v>
      </c>
      <c r="C9977" s="362" t="s">
        <v>84</v>
      </c>
      <c r="D9977" s="560">
        <v>284036593</v>
      </c>
      <c r="E9977" s="560"/>
      <c r="F9977" s="560">
        <v>284036500</v>
      </c>
      <c r="G9977" s="560">
        <f t="shared" si="222"/>
        <v>93</v>
      </c>
      <c r="H9977" s="362"/>
      <c r="I9977" s="362"/>
      <c r="J9977" s="362"/>
    </row>
    <row r="9978" spans="1:10" x14ac:dyDescent="0.25">
      <c r="A9978" s="362"/>
      <c r="B9978" s="609">
        <v>44786</v>
      </c>
      <c r="C9978" s="362" t="s">
        <v>4751</v>
      </c>
      <c r="D9978" s="560">
        <v>281529700</v>
      </c>
      <c r="E9978" s="560"/>
      <c r="F9978" s="560">
        <v>281529700</v>
      </c>
      <c r="G9978" s="560">
        <f t="shared" si="222"/>
        <v>0</v>
      </c>
      <c r="H9978" s="362"/>
      <c r="I9978" s="362"/>
      <c r="J9978" s="362"/>
    </row>
    <row r="9979" spans="1:10" x14ac:dyDescent="0.25">
      <c r="A9979" s="362"/>
      <c r="B9979" s="609">
        <v>44786</v>
      </c>
      <c r="C9979" s="362" t="s">
        <v>166</v>
      </c>
      <c r="D9979" s="560"/>
      <c r="E9979" s="560"/>
      <c r="F9979" s="560"/>
      <c r="G9979" s="560">
        <f t="shared" si="222"/>
        <v>0</v>
      </c>
      <c r="H9979" s="362"/>
      <c r="I9979" s="362"/>
      <c r="J9979" s="362"/>
    </row>
    <row r="9980" spans="1:10" x14ac:dyDescent="0.25">
      <c r="A9980" s="362"/>
      <c r="B9980" s="609">
        <v>44786</v>
      </c>
      <c r="C9980" s="362" t="s">
        <v>3435</v>
      </c>
      <c r="D9980" s="560"/>
      <c r="E9980" s="560"/>
      <c r="F9980" s="560"/>
      <c r="G9980" s="560">
        <f t="shared" si="222"/>
        <v>0</v>
      </c>
      <c r="H9980" s="362"/>
      <c r="I9980" s="362"/>
      <c r="J9980" s="362"/>
    </row>
    <row r="9981" spans="1:10" x14ac:dyDescent="0.25">
      <c r="A9981" s="362"/>
      <c r="B9981" s="609">
        <v>44786</v>
      </c>
      <c r="C9981" s="370" t="s">
        <v>85</v>
      </c>
      <c r="D9981" s="560">
        <v>20463300</v>
      </c>
      <c r="E9981" s="560"/>
      <c r="F9981" s="560">
        <v>20463300</v>
      </c>
      <c r="G9981" s="560">
        <f t="shared" ref="G9981:G10044" si="226">D9981-F9981</f>
        <v>0</v>
      </c>
      <c r="H9981" s="362"/>
      <c r="I9981" s="362"/>
      <c r="J9981" s="362"/>
    </row>
    <row r="9982" spans="1:10" x14ac:dyDescent="0.25">
      <c r="A9982" s="362"/>
      <c r="B9982" s="609">
        <v>44786</v>
      </c>
      <c r="C9982" s="370" t="s">
        <v>6299</v>
      </c>
      <c r="D9982" s="560"/>
      <c r="E9982" s="560"/>
      <c r="F9982" s="560">
        <v>180866300</v>
      </c>
      <c r="G9982" s="560">
        <f t="shared" si="226"/>
        <v>-180866300</v>
      </c>
      <c r="H9982" s="362"/>
      <c r="I9982" s="362"/>
      <c r="J9982" s="362"/>
    </row>
    <row r="9983" spans="1:10" x14ac:dyDescent="0.25">
      <c r="A9983" s="530"/>
      <c r="B9983" s="530"/>
      <c r="C9983" s="530"/>
      <c r="D9983" s="562">
        <f>SUM(D9967:D9982)</f>
        <v>2116089937</v>
      </c>
      <c r="E9983" s="562">
        <f t="shared" ref="E9983:G9983" si="227">SUM(E9967:E9982)</f>
        <v>0</v>
      </c>
      <c r="F9983" s="562">
        <f t="shared" si="227"/>
        <v>2296956400</v>
      </c>
      <c r="G9983" s="562">
        <f t="shared" si="227"/>
        <v>-180866463</v>
      </c>
      <c r="H9983" s="530"/>
      <c r="I9983" s="530"/>
      <c r="J9983" s="530"/>
    </row>
    <row r="9984" spans="1:10" x14ac:dyDescent="0.25">
      <c r="A9984" s="362"/>
      <c r="B9984" s="609">
        <v>44788</v>
      </c>
      <c r="C9984" s="362" t="s">
        <v>86</v>
      </c>
      <c r="D9984" s="560">
        <v>64715427</v>
      </c>
      <c r="E9984" s="560"/>
      <c r="F9984" s="560">
        <v>64715800</v>
      </c>
      <c r="G9984" s="560">
        <f t="shared" si="226"/>
        <v>-373</v>
      </c>
      <c r="H9984" s="362"/>
      <c r="I9984" s="362"/>
      <c r="J9984" s="362"/>
    </row>
    <row r="9985" spans="1:10" x14ac:dyDescent="0.25">
      <c r="A9985" s="362"/>
      <c r="B9985" s="609">
        <v>44788</v>
      </c>
      <c r="C9985" s="362" t="s">
        <v>87</v>
      </c>
      <c r="D9985" s="560">
        <v>264777349</v>
      </c>
      <c r="E9985" s="560"/>
      <c r="F9985" s="560">
        <v>264777400</v>
      </c>
      <c r="G9985" s="560">
        <f t="shared" si="226"/>
        <v>-51</v>
      </c>
      <c r="H9985" s="362"/>
      <c r="I9985" s="362"/>
      <c r="J9985" s="362"/>
    </row>
    <row r="9986" spans="1:10" x14ac:dyDescent="0.25">
      <c r="A9986" s="362"/>
      <c r="B9986" s="609">
        <v>44788</v>
      </c>
      <c r="C9986" s="362" t="s">
        <v>88</v>
      </c>
      <c r="D9986" s="560">
        <v>242681620</v>
      </c>
      <c r="E9986" s="560"/>
      <c r="F9986" s="560">
        <v>242681700</v>
      </c>
      <c r="G9986" s="560">
        <f t="shared" si="226"/>
        <v>-80</v>
      </c>
      <c r="H9986" s="362"/>
      <c r="I9986" s="362"/>
      <c r="J9986" s="362"/>
    </row>
    <row r="9987" spans="1:10" x14ac:dyDescent="0.25">
      <c r="A9987" s="362"/>
      <c r="B9987" s="609">
        <v>44788</v>
      </c>
      <c r="C9987" s="362" t="s">
        <v>82</v>
      </c>
      <c r="D9987" s="560">
        <v>60669127</v>
      </c>
      <c r="E9987" s="560"/>
      <c r="F9987" s="560">
        <v>60669200</v>
      </c>
      <c r="G9987" s="560">
        <f t="shared" si="226"/>
        <v>-73</v>
      </c>
      <c r="H9987" s="362"/>
      <c r="I9987" s="362"/>
      <c r="J9987" s="362"/>
    </row>
    <row r="9988" spans="1:10" x14ac:dyDescent="0.25">
      <c r="A9988" s="362"/>
      <c r="B9988" s="609">
        <v>44788</v>
      </c>
      <c r="C9988" s="362" t="s">
        <v>80</v>
      </c>
      <c r="D9988" s="560">
        <v>354731233</v>
      </c>
      <c r="E9988" s="560"/>
      <c r="F9988" s="560">
        <v>354731400</v>
      </c>
      <c r="G9988" s="560">
        <f t="shared" si="226"/>
        <v>-167</v>
      </c>
      <c r="H9988" s="362"/>
      <c r="I9988" s="362"/>
      <c r="J9988" s="362"/>
    </row>
    <row r="9989" spans="1:10" x14ac:dyDescent="0.25">
      <c r="A9989" s="362"/>
      <c r="B9989" s="609">
        <v>44788</v>
      </c>
      <c r="C9989" s="362" t="s">
        <v>83</v>
      </c>
      <c r="D9989" s="560">
        <v>222878800</v>
      </c>
      <c r="E9989" s="560"/>
      <c r="F9989" s="560">
        <v>222878800</v>
      </c>
      <c r="G9989" s="560">
        <f t="shared" si="226"/>
        <v>0</v>
      </c>
      <c r="H9989" s="362"/>
      <c r="I9989" s="362"/>
      <c r="J9989" s="362"/>
    </row>
    <row r="9990" spans="1:10" x14ac:dyDescent="0.25">
      <c r="A9990" s="362"/>
      <c r="B9990" s="609">
        <v>44788</v>
      </c>
      <c r="C9990" s="362" t="s">
        <v>78</v>
      </c>
      <c r="D9990" s="560">
        <v>154777700</v>
      </c>
      <c r="E9990" s="560"/>
      <c r="F9990" s="560">
        <v>154777700</v>
      </c>
      <c r="G9990" s="560">
        <f t="shared" si="226"/>
        <v>0</v>
      </c>
      <c r="H9990" s="362"/>
      <c r="I9990" s="362"/>
      <c r="J9990" s="362"/>
    </row>
    <row r="9991" spans="1:10" x14ac:dyDescent="0.25">
      <c r="A9991" s="362"/>
      <c r="B9991" s="609">
        <v>44788</v>
      </c>
      <c r="C9991" s="362" t="s">
        <v>141</v>
      </c>
      <c r="D9991" s="560">
        <v>202739336</v>
      </c>
      <c r="E9991" s="560"/>
      <c r="F9991" s="560">
        <v>202739400</v>
      </c>
      <c r="G9991" s="560">
        <f t="shared" si="226"/>
        <v>-64</v>
      </c>
      <c r="H9991" s="362"/>
      <c r="I9991" s="362"/>
      <c r="J9991" s="362"/>
    </row>
    <row r="9992" spans="1:10" x14ac:dyDescent="0.25">
      <c r="A9992" s="362"/>
      <c r="B9992" s="609">
        <v>44788</v>
      </c>
      <c r="C9992" s="362" t="s">
        <v>89</v>
      </c>
      <c r="D9992" s="560">
        <v>178315900</v>
      </c>
      <c r="E9992" s="560"/>
      <c r="F9992" s="560">
        <v>178315900</v>
      </c>
      <c r="G9992" s="560">
        <f t="shared" si="226"/>
        <v>0</v>
      </c>
      <c r="H9992" s="362"/>
      <c r="I9992" s="362"/>
      <c r="J9992" s="362"/>
    </row>
    <row r="9993" spans="1:10" x14ac:dyDescent="0.25">
      <c r="A9993" s="362"/>
      <c r="B9993" s="609">
        <v>44788</v>
      </c>
      <c r="C9993" s="362" t="s">
        <v>81</v>
      </c>
      <c r="D9993" s="560">
        <v>142670072</v>
      </c>
      <c r="E9993" s="560"/>
      <c r="F9993" s="560">
        <v>142670100</v>
      </c>
      <c r="G9993" s="560">
        <f t="shared" si="226"/>
        <v>-28</v>
      </c>
      <c r="H9993" s="362"/>
      <c r="I9993" s="362"/>
      <c r="J9993" s="362"/>
    </row>
    <row r="9994" spans="1:10" x14ac:dyDescent="0.25">
      <c r="A9994" s="362"/>
      <c r="B9994" s="609">
        <v>44788</v>
      </c>
      <c r="C9994" s="362" t="s">
        <v>84</v>
      </c>
      <c r="D9994" s="560">
        <v>222002183</v>
      </c>
      <c r="E9994" s="560"/>
      <c r="F9994" s="560">
        <v>222002100</v>
      </c>
      <c r="G9994" s="560">
        <f t="shared" si="226"/>
        <v>83</v>
      </c>
      <c r="H9994" s="362"/>
      <c r="I9994" s="362"/>
      <c r="J9994" s="362"/>
    </row>
    <row r="9995" spans="1:10" x14ac:dyDescent="0.25">
      <c r="A9995" s="362"/>
      <c r="B9995" s="609">
        <v>44788</v>
      </c>
      <c r="C9995" s="362" t="s">
        <v>4751</v>
      </c>
      <c r="D9995" s="560">
        <v>189064100</v>
      </c>
      <c r="E9995" s="560"/>
      <c r="F9995" s="560">
        <v>189064100</v>
      </c>
      <c r="G9995" s="560">
        <f t="shared" si="226"/>
        <v>0</v>
      </c>
      <c r="H9995" s="362"/>
      <c r="I9995" s="362"/>
      <c r="J9995" s="362"/>
    </row>
    <row r="9996" spans="1:10" x14ac:dyDescent="0.25">
      <c r="A9996" s="362"/>
      <c r="B9996" s="609">
        <v>44788</v>
      </c>
      <c r="C9996" s="362" t="s">
        <v>166</v>
      </c>
      <c r="D9996" s="560">
        <v>78794826</v>
      </c>
      <c r="E9996" s="560"/>
      <c r="F9996" s="560">
        <v>78794900</v>
      </c>
      <c r="G9996" s="560">
        <f t="shared" si="226"/>
        <v>-74</v>
      </c>
      <c r="H9996" s="362"/>
      <c r="I9996" s="362"/>
      <c r="J9996" s="362"/>
    </row>
    <row r="9997" spans="1:10" x14ac:dyDescent="0.25">
      <c r="A9997" s="362"/>
      <c r="B9997" s="609">
        <v>44788</v>
      </c>
      <c r="C9997" s="362" t="s">
        <v>3435</v>
      </c>
      <c r="D9997" s="560">
        <v>69294661</v>
      </c>
      <c r="E9997" s="560"/>
      <c r="F9997" s="560">
        <v>69294700</v>
      </c>
      <c r="G9997" s="560">
        <f t="shared" si="226"/>
        <v>-39</v>
      </c>
      <c r="H9997" s="362"/>
      <c r="I9997" s="362"/>
      <c r="J9997" s="362"/>
    </row>
    <row r="9998" spans="1:10" x14ac:dyDescent="0.25">
      <c r="A9998" s="362"/>
      <c r="B9998" s="609">
        <v>44788</v>
      </c>
      <c r="C9998" s="370" t="s">
        <v>85</v>
      </c>
      <c r="D9998" s="560">
        <v>53316700</v>
      </c>
      <c r="E9998" s="560"/>
      <c r="F9998" s="560">
        <v>53316700</v>
      </c>
      <c r="G9998" s="560">
        <f t="shared" si="226"/>
        <v>0</v>
      </c>
      <c r="H9998" s="362"/>
      <c r="I9998" s="362"/>
      <c r="J9998" s="362"/>
    </row>
    <row r="9999" spans="1:10" x14ac:dyDescent="0.25">
      <c r="A9999" s="362"/>
      <c r="B9999" s="609">
        <v>44788</v>
      </c>
      <c r="C9999" s="370" t="s">
        <v>6299</v>
      </c>
      <c r="D9999" s="560">
        <v>30819341</v>
      </c>
      <c r="E9999" s="560"/>
      <c r="F9999" s="560">
        <v>30819300</v>
      </c>
      <c r="G9999" s="560">
        <f t="shared" si="226"/>
        <v>41</v>
      </c>
      <c r="H9999" s="362"/>
      <c r="I9999" s="362"/>
      <c r="J9999" s="362"/>
    </row>
    <row r="10000" spans="1:10" x14ac:dyDescent="0.25">
      <c r="A10000" s="530"/>
      <c r="B10000" s="530"/>
      <c r="C10000" s="530"/>
      <c r="D10000" s="562">
        <f>SUM(D9984:D9999)</f>
        <v>2532248375</v>
      </c>
      <c r="E10000" s="562">
        <f t="shared" ref="E10000:G10000" si="228">SUM(E9984:E9999)</f>
        <v>0</v>
      </c>
      <c r="F10000" s="562">
        <f t="shared" si="228"/>
        <v>2532249200</v>
      </c>
      <c r="G10000" s="562">
        <f t="shared" si="228"/>
        <v>-825</v>
      </c>
      <c r="H10000" s="530"/>
      <c r="I10000" s="530"/>
      <c r="J10000" s="530"/>
    </row>
    <row r="10001" spans="1:10" x14ac:dyDescent="0.25">
      <c r="A10001" s="362"/>
      <c r="B10001" s="609">
        <v>44789</v>
      </c>
      <c r="C10001" s="362" t="s">
        <v>86</v>
      </c>
      <c r="D10001" s="560">
        <v>184613336</v>
      </c>
      <c r="E10001" s="560"/>
      <c r="F10001" s="560"/>
      <c r="G10001" s="560">
        <f t="shared" si="226"/>
        <v>184613336</v>
      </c>
      <c r="H10001" s="362"/>
      <c r="I10001" s="362"/>
      <c r="J10001" s="362"/>
    </row>
    <row r="10002" spans="1:10" x14ac:dyDescent="0.25">
      <c r="A10002" s="362"/>
      <c r="B10002" s="609">
        <v>44789</v>
      </c>
      <c r="C10002" s="362" t="s">
        <v>87</v>
      </c>
      <c r="D10002" s="560">
        <v>375872610</v>
      </c>
      <c r="E10002" s="560"/>
      <c r="F10002" s="560"/>
      <c r="G10002" s="560">
        <f t="shared" si="226"/>
        <v>375872610</v>
      </c>
      <c r="H10002" s="362"/>
      <c r="I10002" s="362"/>
      <c r="J10002" s="362"/>
    </row>
    <row r="10003" spans="1:10" x14ac:dyDescent="0.25">
      <c r="A10003" s="362"/>
      <c r="B10003" s="609">
        <v>44789</v>
      </c>
      <c r="C10003" s="362" t="s">
        <v>88</v>
      </c>
      <c r="D10003" s="560">
        <v>387485675</v>
      </c>
      <c r="E10003" s="560"/>
      <c r="F10003" s="560"/>
      <c r="G10003" s="560">
        <f t="shared" si="226"/>
        <v>387485675</v>
      </c>
      <c r="H10003" s="362"/>
      <c r="I10003" s="362"/>
      <c r="J10003" s="362"/>
    </row>
    <row r="10004" spans="1:10" x14ac:dyDescent="0.25">
      <c r="A10004" s="362"/>
      <c r="B10004" s="609">
        <v>44789</v>
      </c>
      <c r="C10004" s="362" t="s">
        <v>82</v>
      </c>
      <c r="D10004" s="560">
        <v>117677000</v>
      </c>
      <c r="E10004" s="560"/>
      <c r="F10004" s="560"/>
      <c r="G10004" s="560">
        <f t="shared" si="226"/>
        <v>117677000</v>
      </c>
      <c r="H10004" s="362"/>
      <c r="I10004" s="362"/>
      <c r="J10004" s="362"/>
    </row>
    <row r="10005" spans="1:10" x14ac:dyDescent="0.25">
      <c r="A10005" s="362"/>
      <c r="B10005" s="609">
        <v>44789</v>
      </c>
      <c r="C10005" s="362" t="s">
        <v>80</v>
      </c>
      <c r="D10005" s="560">
        <v>286034400</v>
      </c>
      <c r="E10005" s="560"/>
      <c r="F10005" s="560"/>
      <c r="G10005" s="560">
        <f t="shared" si="226"/>
        <v>286034400</v>
      </c>
      <c r="H10005" s="362"/>
      <c r="I10005" s="362"/>
      <c r="J10005" s="362"/>
    </row>
    <row r="10006" spans="1:10" x14ac:dyDescent="0.25">
      <c r="A10006" s="362"/>
      <c r="B10006" s="609">
        <v>44789</v>
      </c>
      <c r="C10006" s="362" t="s">
        <v>83</v>
      </c>
      <c r="D10006" s="560">
        <v>313419392</v>
      </c>
      <c r="E10006" s="560"/>
      <c r="F10006" s="560"/>
      <c r="G10006" s="560">
        <f t="shared" si="226"/>
        <v>313419392</v>
      </c>
      <c r="H10006" s="362"/>
      <c r="I10006" s="362"/>
      <c r="J10006" s="362"/>
    </row>
    <row r="10007" spans="1:10" x14ac:dyDescent="0.25">
      <c r="A10007" s="362"/>
      <c r="B10007" s="609">
        <v>44789</v>
      </c>
      <c r="C10007" s="362" t="s">
        <v>78</v>
      </c>
      <c r="D10007" s="560">
        <v>159577800</v>
      </c>
      <c r="E10007" s="560"/>
      <c r="F10007" s="560"/>
      <c r="G10007" s="560">
        <f t="shared" si="226"/>
        <v>159577800</v>
      </c>
      <c r="H10007" s="362"/>
      <c r="I10007" s="362"/>
      <c r="J10007" s="362"/>
    </row>
    <row r="10008" spans="1:10" x14ac:dyDescent="0.25">
      <c r="A10008" s="362"/>
      <c r="B10008" s="609">
        <v>44789</v>
      </c>
      <c r="C10008" s="362" t="s">
        <v>141</v>
      </c>
      <c r="D10008" s="560">
        <v>76158665</v>
      </c>
      <c r="E10008" s="560"/>
      <c r="F10008" s="560"/>
      <c r="G10008" s="560">
        <f t="shared" si="226"/>
        <v>76158665</v>
      </c>
      <c r="H10008" s="362"/>
      <c r="I10008" s="362"/>
      <c r="J10008" s="362"/>
    </row>
    <row r="10009" spans="1:10" x14ac:dyDescent="0.25">
      <c r="A10009" s="362"/>
      <c r="B10009" s="609">
        <v>44789</v>
      </c>
      <c r="C10009" s="362" t="s">
        <v>89</v>
      </c>
      <c r="D10009" s="560">
        <v>273546000</v>
      </c>
      <c r="E10009" s="560"/>
      <c r="F10009" s="560"/>
      <c r="G10009" s="560">
        <f t="shared" si="226"/>
        <v>273546000</v>
      </c>
      <c r="H10009" s="362"/>
      <c r="I10009" s="362"/>
      <c r="J10009" s="362"/>
    </row>
    <row r="10010" spans="1:10" x14ac:dyDescent="0.25">
      <c r="A10010" s="362"/>
      <c r="B10010" s="609">
        <v>44789</v>
      </c>
      <c r="C10010" s="362" t="s">
        <v>81</v>
      </c>
      <c r="D10010" s="560">
        <v>179356032</v>
      </c>
      <c r="E10010" s="560"/>
      <c r="F10010" s="560"/>
      <c r="G10010" s="560">
        <f t="shared" si="226"/>
        <v>179356032</v>
      </c>
      <c r="H10010" s="362"/>
      <c r="I10010" s="362"/>
      <c r="J10010" s="362"/>
    </row>
    <row r="10011" spans="1:10" x14ac:dyDescent="0.25">
      <c r="A10011" s="362"/>
      <c r="B10011" s="609">
        <v>44789</v>
      </c>
      <c r="C10011" s="362" t="s">
        <v>84</v>
      </c>
      <c r="D10011" s="560">
        <v>302467316</v>
      </c>
      <c r="E10011" s="560"/>
      <c r="F10011" s="560"/>
      <c r="G10011" s="560">
        <f t="shared" si="226"/>
        <v>302467316</v>
      </c>
      <c r="H10011" s="362"/>
      <c r="I10011" s="362"/>
      <c r="J10011" s="362"/>
    </row>
    <row r="10012" spans="1:10" x14ac:dyDescent="0.25">
      <c r="A10012" s="362"/>
      <c r="B10012" s="609">
        <v>44789</v>
      </c>
      <c r="C10012" s="362" t="s">
        <v>4751</v>
      </c>
      <c r="D10012" s="560">
        <v>200029200</v>
      </c>
      <c r="E10012" s="560"/>
      <c r="F10012" s="560"/>
      <c r="G10012" s="560">
        <f t="shared" si="226"/>
        <v>200029200</v>
      </c>
      <c r="H10012" s="362"/>
      <c r="I10012" s="362"/>
      <c r="J10012" s="362"/>
    </row>
    <row r="10013" spans="1:10" x14ac:dyDescent="0.25">
      <c r="A10013" s="362"/>
      <c r="B10013" s="609">
        <v>44789</v>
      </c>
      <c r="C10013" s="362" t="s">
        <v>166</v>
      </c>
      <c r="D10013" s="560"/>
      <c r="E10013" s="560"/>
      <c r="F10013" s="560"/>
      <c r="G10013" s="560">
        <f t="shared" si="226"/>
        <v>0</v>
      </c>
      <c r="H10013" s="362"/>
      <c r="I10013" s="362"/>
      <c r="J10013" s="362"/>
    </row>
    <row r="10014" spans="1:10" x14ac:dyDescent="0.25">
      <c r="A10014" s="362"/>
      <c r="B10014" s="609">
        <v>44789</v>
      </c>
      <c r="C10014" s="362" t="s">
        <v>3435</v>
      </c>
      <c r="D10014" s="560"/>
      <c r="E10014" s="560"/>
      <c r="F10014" s="560"/>
      <c r="G10014" s="560">
        <f t="shared" si="226"/>
        <v>0</v>
      </c>
      <c r="H10014" s="362"/>
      <c r="I10014" s="362"/>
      <c r="J10014" s="362"/>
    </row>
    <row r="10015" spans="1:10" x14ac:dyDescent="0.25">
      <c r="A10015" s="362"/>
      <c r="B10015" s="609">
        <v>44789</v>
      </c>
      <c r="C10015" s="370" t="s">
        <v>85</v>
      </c>
      <c r="D10015" s="560">
        <v>47188500</v>
      </c>
      <c r="E10015" s="560"/>
      <c r="F10015" s="560"/>
      <c r="G10015" s="560">
        <f t="shared" si="226"/>
        <v>47188500</v>
      </c>
      <c r="H10015" s="362"/>
      <c r="I10015" s="362"/>
      <c r="J10015" s="362"/>
    </row>
    <row r="10016" spans="1:10" x14ac:dyDescent="0.25">
      <c r="A10016" s="362"/>
      <c r="B10016" s="609">
        <v>44789</v>
      </c>
      <c r="C10016" s="370" t="s">
        <v>6299</v>
      </c>
      <c r="D10016" s="560">
        <v>59341268</v>
      </c>
      <c r="E10016" s="560"/>
      <c r="F10016" s="560"/>
      <c r="G10016" s="560">
        <f t="shared" si="226"/>
        <v>59341268</v>
      </c>
      <c r="H10016" s="362"/>
      <c r="I10016" s="362"/>
      <c r="J10016" s="362"/>
    </row>
    <row r="10017" spans="1:10" x14ac:dyDescent="0.25">
      <c r="A10017" s="530"/>
      <c r="B10017" s="530"/>
      <c r="C10017" s="530"/>
      <c r="D10017" s="562">
        <f>SUM(D10001:D10016)</f>
        <v>2962767194</v>
      </c>
      <c r="E10017" s="562">
        <f t="shared" ref="E10017:G10017" si="229">SUM(E10001:E10016)</f>
        <v>0</v>
      </c>
      <c r="F10017" s="562">
        <f t="shared" si="229"/>
        <v>0</v>
      </c>
      <c r="G10017" s="562">
        <f t="shared" si="229"/>
        <v>2962767194</v>
      </c>
      <c r="H10017" s="530"/>
      <c r="I10017" s="530"/>
      <c r="J10017" s="530"/>
    </row>
    <row r="10018" spans="1:10" x14ac:dyDescent="0.25">
      <c r="A10018" s="362"/>
      <c r="B10018" s="609">
        <v>44791</v>
      </c>
      <c r="C10018" s="362" t="s">
        <v>86</v>
      </c>
      <c r="D10018" s="560">
        <v>119096950</v>
      </c>
      <c r="E10018" s="560"/>
      <c r="F10018" s="560">
        <v>119097000</v>
      </c>
      <c r="G10018" s="560">
        <f t="shared" si="226"/>
        <v>-50</v>
      </c>
      <c r="H10018" s="362"/>
      <c r="I10018" s="362"/>
      <c r="J10018" s="362"/>
    </row>
    <row r="10019" spans="1:10" x14ac:dyDescent="0.25">
      <c r="A10019" s="362"/>
      <c r="B10019" s="609">
        <v>44791</v>
      </c>
      <c r="C10019" s="362" t="s">
        <v>87</v>
      </c>
      <c r="D10019" s="560">
        <v>187609585</v>
      </c>
      <c r="E10019" s="560"/>
      <c r="F10019" s="560">
        <v>187609700</v>
      </c>
      <c r="G10019" s="560">
        <f t="shared" si="226"/>
        <v>-115</v>
      </c>
      <c r="H10019" s="362"/>
      <c r="I10019" s="362"/>
      <c r="J10019" s="362"/>
    </row>
    <row r="10020" spans="1:10" x14ac:dyDescent="0.25">
      <c r="A10020" s="362"/>
      <c r="B10020" s="609">
        <v>44791</v>
      </c>
      <c r="C10020" s="362" t="s">
        <v>88</v>
      </c>
      <c r="D10020" s="560">
        <v>575459805</v>
      </c>
      <c r="E10020" s="560"/>
      <c r="F10020" s="560">
        <v>575459900</v>
      </c>
      <c r="G10020" s="560">
        <f t="shared" si="226"/>
        <v>-95</v>
      </c>
      <c r="H10020" s="362"/>
      <c r="I10020" s="362"/>
      <c r="J10020" s="362"/>
    </row>
    <row r="10021" spans="1:10" x14ac:dyDescent="0.25">
      <c r="A10021" s="362"/>
      <c r="B10021" s="609">
        <v>44791</v>
      </c>
      <c r="C10021" s="362" t="s">
        <v>82</v>
      </c>
      <c r="D10021" s="560">
        <v>167099310</v>
      </c>
      <c r="E10021" s="560"/>
      <c r="F10021" s="560">
        <v>167099400</v>
      </c>
      <c r="G10021" s="560">
        <f t="shared" si="226"/>
        <v>-90</v>
      </c>
      <c r="H10021" s="362"/>
      <c r="I10021" s="362"/>
      <c r="J10021" s="362"/>
    </row>
    <row r="10022" spans="1:10" x14ac:dyDescent="0.25">
      <c r="A10022" s="362"/>
      <c r="B10022" s="609">
        <v>44791</v>
      </c>
      <c r="C10022" s="362" t="s">
        <v>80</v>
      </c>
      <c r="D10022" s="560">
        <v>457403116</v>
      </c>
      <c r="E10022" s="560"/>
      <c r="F10022" s="560">
        <v>457389800</v>
      </c>
      <c r="G10022" s="560">
        <f t="shared" si="226"/>
        <v>13316</v>
      </c>
      <c r="H10022" s="362"/>
      <c r="I10022" s="362"/>
      <c r="J10022" s="362"/>
    </row>
    <row r="10023" spans="1:10" x14ac:dyDescent="0.25">
      <c r="A10023" s="362"/>
      <c r="B10023" s="609">
        <v>44791</v>
      </c>
      <c r="C10023" s="362" t="s">
        <v>83</v>
      </c>
      <c r="D10023" s="560">
        <v>181856500</v>
      </c>
      <c r="E10023" s="560"/>
      <c r="F10023" s="560">
        <v>181856500</v>
      </c>
      <c r="G10023" s="560">
        <f t="shared" si="226"/>
        <v>0</v>
      </c>
      <c r="H10023" s="362"/>
      <c r="I10023" s="362"/>
      <c r="J10023" s="362"/>
    </row>
    <row r="10024" spans="1:10" x14ac:dyDescent="0.25">
      <c r="A10024" s="362"/>
      <c r="B10024" s="609">
        <v>44791</v>
      </c>
      <c r="C10024" s="362" t="s">
        <v>78</v>
      </c>
      <c r="D10024" s="560">
        <v>119549400</v>
      </c>
      <c r="E10024" s="560"/>
      <c r="F10024" s="560">
        <v>119549400</v>
      </c>
      <c r="G10024" s="560">
        <f t="shared" si="226"/>
        <v>0</v>
      </c>
      <c r="H10024" s="362"/>
      <c r="I10024" s="362"/>
      <c r="J10024" s="362"/>
    </row>
    <row r="10025" spans="1:10" x14ac:dyDescent="0.25">
      <c r="A10025" s="362"/>
      <c r="B10025" s="609">
        <v>44791</v>
      </c>
      <c r="C10025" s="362" t="s">
        <v>141</v>
      </c>
      <c r="D10025" s="560">
        <v>226714471</v>
      </c>
      <c r="E10025" s="560"/>
      <c r="F10025" s="560">
        <v>226714500</v>
      </c>
      <c r="G10025" s="560">
        <f t="shared" si="226"/>
        <v>-29</v>
      </c>
      <c r="H10025" s="362"/>
      <c r="I10025" s="362"/>
      <c r="J10025" s="362"/>
    </row>
    <row r="10026" spans="1:10" x14ac:dyDescent="0.25">
      <c r="A10026" s="362"/>
      <c r="B10026" s="609">
        <v>44791</v>
      </c>
      <c r="C10026" s="362" t="s">
        <v>89</v>
      </c>
      <c r="D10026" s="560">
        <v>264199500</v>
      </c>
      <c r="E10026" s="560"/>
      <c r="F10026" s="560">
        <v>264199500</v>
      </c>
      <c r="G10026" s="560">
        <f t="shared" si="226"/>
        <v>0</v>
      </c>
      <c r="H10026" s="362"/>
      <c r="I10026" s="362"/>
      <c r="J10026" s="362"/>
    </row>
    <row r="10027" spans="1:10" x14ac:dyDescent="0.25">
      <c r="A10027" s="362"/>
      <c r="B10027" s="609">
        <v>44791</v>
      </c>
      <c r="C10027" s="362" t="s">
        <v>81</v>
      </c>
      <c r="D10027" s="560">
        <v>196940484</v>
      </c>
      <c r="E10027" s="560"/>
      <c r="F10027" s="560">
        <v>197040500</v>
      </c>
      <c r="G10027" s="560">
        <f t="shared" si="226"/>
        <v>-100016</v>
      </c>
      <c r="H10027" s="362"/>
      <c r="I10027" s="362"/>
      <c r="J10027" s="362"/>
    </row>
    <row r="10028" spans="1:10" x14ac:dyDescent="0.25">
      <c r="A10028" s="362"/>
      <c r="B10028" s="609">
        <v>44791</v>
      </c>
      <c r="C10028" s="362" t="s">
        <v>84</v>
      </c>
      <c r="D10028" s="560">
        <v>495449289</v>
      </c>
      <c r="E10028" s="560"/>
      <c r="F10028" s="560">
        <v>495449300</v>
      </c>
      <c r="G10028" s="560">
        <f t="shared" si="226"/>
        <v>-11</v>
      </c>
      <c r="H10028" s="362"/>
      <c r="I10028" s="362"/>
      <c r="J10028" s="362"/>
    </row>
    <row r="10029" spans="1:10" x14ac:dyDescent="0.25">
      <c r="A10029" s="362"/>
      <c r="B10029" s="609">
        <v>44791</v>
      </c>
      <c r="C10029" s="362" t="s">
        <v>4751</v>
      </c>
      <c r="D10029" s="560">
        <v>317815700</v>
      </c>
      <c r="E10029" s="560"/>
      <c r="F10029" s="560">
        <v>317815700</v>
      </c>
      <c r="G10029" s="560">
        <f t="shared" si="226"/>
        <v>0</v>
      </c>
      <c r="H10029" s="362"/>
      <c r="I10029" s="362"/>
      <c r="J10029" s="362"/>
    </row>
    <row r="10030" spans="1:10" x14ac:dyDescent="0.25">
      <c r="A10030" s="362"/>
      <c r="B10030" s="609">
        <v>44791</v>
      </c>
      <c r="C10030" s="362" t="s">
        <v>166</v>
      </c>
      <c r="D10030" s="560">
        <v>185315418</v>
      </c>
      <c r="E10030" s="560"/>
      <c r="F10030" s="560">
        <v>185315500</v>
      </c>
      <c r="G10030" s="560">
        <f t="shared" si="226"/>
        <v>-82</v>
      </c>
      <c r="H10030" s="362"/>
      <c r="I10030" s="362"/>
      <c r="J10030" s="362"/>
    </row>
    <row r="10031" spans="1:10" x14ac:dyDescent="0.25">
      <c r="A10031" s="362"/>
      <c r="B10031" s="609">
        <v>44791</v>
      </c>
      <c r="C10031" s="362" t="s">
        <v>3435</v>
      </c>
      <c r="D10031" s="560">
        <v>37592936</v>
      </c>
      <c r="E10031" s="560"/>
      <c r="F10031" s="560">
        <v>37593000</v>
      </c>
      <c r="G10031" s="560">
        <f t="shared" si="226"/>
        <v>-64</v>
      </c>
      <c r="H10031" s="362"/>
      <c r="I10031" s="362"/>
      <c r="J10031" s="362"/>
    </row>
    <row r="10032" spans="1:10" x14ac:dyDescent="0.25">
      <c r="A10032" s="362"/>
      <c r="B10032" s="609">
        <v>44791</v>
      </c>
      <c r="C10032" s="370" t="s">
        <v>85</v>
      </c>
      <c r="D10032" s="560">
        <v>72012000</v>
      </c>
      <c r="E10032" s="560"/>
      <c r="F10032" s="560">
        <v>72012000</v>
      </c>
      <c r="G10032" s="560">
        <f t="shared" si="226"/>
        <v>0</v>
      </c>
      <c r="H10032" s="362"/>
      <c r="I10032" s="362"/>
      <c r="J10032" s="362"/>
    </row>
    <row r="10033" spans="1:10" x14ac:dyDescent="0.25">
      <c r="A10033" s="370"/>
      <c r="B10033" s="850">
        <v>44791</v>
      </c>
      <c r="C10033" s="370" t="s">
        <v>6299</v>
      </c>
      <c r="D10033" s="563">
        <v>88520135</v>
      </c>
      <c r="E10033" s="563"/>
      <c r="F10033" s="563">
        <v>88520200</v>
      </c>
      <c r="G10033" s="560">
        <f t="shared" si="226"/>
        <v>-65</v>
      </c>
      <c r="H10033" s="370"/>
      <c r="I10033" s="370"/>
      <c r="J10033" s="370"/>
    </row>
    <row r="10034" spans="1:10" x14ac:dyDescent="0.25">
      <c r="A10034" s="530"/>
      <c r="B10034" s="530"/>
      <c r="C10034" s="530"/>
      <c r="D10034" s="562">
        <f>SUM(D10018:D10033)</f>
        <v>3692634599</v>
      </c>
      <c r="E10034" s="562">
        <f t="shared" ref="E10034:G10034" si="230">SUM(E10018:E10033)</f>
        <v>0</v>
      </c>
      <c r="F10034" s="562">
        <f t="shared" si="230"/>
        <v>3692721900</v>
      </c>
      <c r="G10034" s="562">
        <f t="shared" si="230"/>
        <v>-87301</v>
      </c>
      <c r="H10034" s="530"/>
      <c r="I10034" s="530"/>
      <c r="J10034" s="530"/>
    </row>
    <row r="10035" spans="1:10" x14ac:dyDescent="0.25">
      <c r="A10035" s="362"/>
      <c r="B10035" s="609">
        <v>44792</v>
      </c>
      <c r="C10035" s="362" t="s">
        <v>86</v>
      </c>
      <c r="D10035" s="560">
        <v>162991605</v>
      </c>
      <c r="E10035" s="560"/>
      <c r="F10035" s="560">
        <v>162991600</v>
      </c>
      <c r="G10035" s="560">
        <f t="shared" si="226"/>
        <v>5</v>
      </c>
      <c r="H10035" s="362"/>
      <c r="I10035" s="362"/>
      <c r="J10035" s="362"/>
    </row>
    <row r="10036" spans="1:10" x14ac:dyDescent="0.25">
      <c r="A10036" s="362"/>
      <c r="B10036" s="609">
        <v>44792</v>
      </c>
      <c r="C10036" s="362" t="s">
        <v>87</v>
      </c>
      <c r="D10036" s="560">
        <v>180767740</v>
      </c>
      <c r="E10036" s="560"/>
      <c r="F10036" s="560">
        <v>180767800</v>
      </c>
      <c r="G10036" s="560">
        <f t="shared" si="226"/>
        <v>-60</v>
      </c>
      <c r="H10036" s="362"/>
      <c r="I10036" s="362"/>
      <c r="J10036" s="362"/>
    </row>
    <row r="10037" spans="1:10" x14ac:dyDescent="0.25">
      <c r="A10037" s="362"/>
      <c r="B10037" s="609">
        <v>44792</v>
      </c>
      <c r="C10037" s="362" t="s">
        <v>88</v>
      </c>
      <c r="D10037" s="560">
        <v>124374020</v>
      </c>
      <c r="E10037" s="560"/>
      <c r="F10037" s="560">
        <v>124374100</v>
      </c>
      <c r="G10037" s="560">
        <f t="shared" si="226"/>
        <v>-80</v>
      </c>
      <c r="H10037" s="362"/>
      <c r="I10037" s="362"/>
      <c r="J10037" s="362"/>
    </row>
    <row r="10038" spans="1:10" x14ac:dyDescent="0.25">
      <c r="A10038" s="362"/>
      <c r="B10038" s="609">
        <v>44792</v>
      </c>
      <c r="C10038" s="362" t="s">
        <v>82</v>
      </c>
      <c r="D10038" s="560">
        <v>113795343</v>
      </c>
      <c r="E10038" s="560"/>
      <c r="F10038" s="560">
        <v>113795400</v>
      </c>
      <c r="G10038" s="560">
        <f t="shared" si="226"/>
        <v>-57</v>
      </c>
      <c r="H10038" s="362"/>
      <c r="I10038" s="362"/>
      <c r="J10038" s="362"/>
    </row>
    <row r="10039" spans="1:10" x14ac:dyDescent="0.25">
      <c r="A10039" s="362"/>
      <c r="B10039" s="609">
        <v>44792</v>
      </c>
      <c r="C10039" s="362" t="s">
        <v>80</v>
      </c>
      <c r="D10039" s="560">
        <v>340560210</v>
      </c>
      <c r="E10039" s="560"/>
      <c r="F10039" s="560">
        <v>340533200</v>
      </c>
      <c r="G10039" s="560">
        <f t="shared" si="226"/>
        <v>27010</v>
      </c>
      <c r="H10039" s="362"/>
      <c r="I10039" s="362"/>
      <c r="J10039" s="362"/>
    </row>
    <row r="10040" spans="1:10" x14ac:dyDescent="0.25">
      <c r="A10040" s="362"/>
      <c r="B10040" s="609">
        <v>44792</v>
      </c>
      <c r="C10040" s="362" t="s">
        <v>83</v>
      </c>
      <c r="D10040" s="560">
        <v>253551000</v>
      </c>
      <c r="E10040" s="560"/>
      <c r="F10040" s="560">
        <v>253551000</v>
      </c>
      <c r="G10040" s="560">
        <f t="shared" si="226"/>
        <v>0</v>
      </c>
      <c r="H10040" s="362"/>
      <c r="I10040" s="362"/>
      <c r="J10040" s="362"/>
    </row>
    <row r="10041" spans="1:10" x14ac:dyDescent="0.25">
      <c r="A10041" s="362"/>
      <c r="B10041" s="609">
        <v>44792</v>
      </c>
      <c r="C10041" s="362" t="s">
        <v>78</v>
      </c>
      <c r="D10041" s="560">
        <v>216061200</v>
      </c>
      <c r="E10041" s="560"/>
      <c r="F10041" s="560">
        <v>216061200</v>
      </c>
      <c r="G10041" s="560">
        <f t="shared" si="226"/>
        <v>0</v>
      </c>
      <c r="H10041" s="362"/>
      <c r="I10041" s="362"/>
      <c r="J10041" s="362"/>
    </row>
    <row r="10042" spans="1:10" x14ac:dyDescent="0.25">
      <c r="A10042" s="362"/>
      <c r="B10042" s="609">
        <v>44792</v>
      </c>
      <c r="C10042" s="362" t="s">
        <v>141</v>
      </c>
      <c r="D10042" s="560">
        <v>118949338</v>
      </c>
      <c r="E10042" s="560"/>
      <c r="F10042" s="560">
        <v>118949400</v>
      </c>
      <c r="G10042" s="560">
        <f t="shared" si="226"/>
        <v>-62</v>
      </c>
      <c r="H10042" s="362"/>
      <c r="I10042" s="362"/>
      <c r="J10042" s="362"/>
    </row>
    <row r="10043" spans="1:10" x14ac:dyDescent="0.25">
      <c r="A10043" s="362"/>
      <c r="B10043" s="609">
        <v>44792</v>
      </c>
      <c r="C10043" s="362" t="s">
        <v>89</v>
      </c>
      <c r="D10043" s="560">
        <v>249927900</v>
      </c>
      <c r="E10043" s="560"/>
      <c r="F10043" s="560">
        <v>249927900</v>
      </c>
      <c r="G10043" s="560">
        <f t="shared" si="226"/>
        <v>0</v>
      </c>
      <c r="H10043" s="362"/>
      <c r="I10043" s="362"/>
      <c r="J10043" s="362"/>
    </row>
    <row r="10044" spans="1:10" x14ac:dyDescent="0.25">
      <c r="A10044" s="362"/>
      <c r="B10044" s="609">
        <v>44792</v>
      </c>
      <c r="C10044" s="362" t="s">
        <v>81</v>
      </c>
      <c r="D10044" s="560">
        <v>138506353</v>
      </c>
      <c r="E10044" s="560"/>
      <c r="F10044" s="560">
        <v>138506400</v>
      </c>
      <c r="G10044" s="560">
        <f t="shared" si="226"/>
        <v>-47</v>
      </c>
      <c r="H10044" s="362"/>
      <c r="I10044" s="362"/>
      <c r="J10044" s="362"/>
    </row>
    <row r="10045" spans="1:10" x14ac:dyDescent="0.25">
      <c r="A10045" s="362"/>
      <c r="B10045" s="609">
        <v>44792</v>
      </c>
      <c r="C10045" s="362" t="s">
        <v>84</v>
      </c>
      <c r="D10045" s="560">
        <v>337597944</v>
      </c>
      <c r="E10045" s="560"/>
      <c r="F10045" s="560">
        <v>337597900</v>
      </c>
      <c r="G10045" s="560">
        <f t="shared" ref="G10045:G10108" si="231">D10045-F10045</f>
        <v>44</v>
      </c>
      <c r="H10045" s="362"/>
      <c r="I10045" s="362"/>
      <c r="J10045" s="362"/>
    </row>
    <row r="10046" spans="1:10" x14ac:dyDescent="0.25">
      <c r="A10046" s="362"/>
      <c r="B10046" s="609">
        <v>44792</v>
      </c>
      <c r="C10046" s="362" t="s">
        <v>4751</v>
      </c>
      <c r="D10046" s="560">
        <v>168161500</v>
      </c>
      <c r="E10046" s="560"/>
      <c r="F10046" s="560">
        <v>168161500</v>
      </c>
      <c r="G10046" s="560">
        <f t="shared" si="231"/>
        <v>0</v>
      </c>
      <c r="H10046" s="362"/>
      <c r="I10046" s="362"/>
      <c r="J10046" s="362"/>
    </row>
    <row r="10047" spans="1:10" x14ac:dyDescent="0.25">
      <c r="A10047" s="362"/>
      <c r="B10047" s="609">
        <v>44792</v>
      </c>
      <c r="C10047" s="362" t="s">
        <v>6301</v>
      </c>
      <c r="D10047" s="560">
        <v>88919551</v>
      </c>
      <c r="E10047" s="560"/>
      <c r="F10047" s="560">
        <v>88919500</v>
      </c>
      <c r="G10047" s="560">
        <f t="shared" si="231"/>
        <v>51</v>
      </c>
      <c r="H10047" s="362"/>
      <c r="I10047" s="362"/>
      <c r="J10047" s="362"/>
    </row>
    <row r="10048" spans="1:10" x14ac:dyDescent="0.25">
      <c r="A10048" s="362"/>
      <c r="B10048" s="609">
        <v>44792</v>
      </c>
      <c r="C10048" s="362" t="s">
        <v>3435</v>
      </c>
      <c r="D10048" s="560">
        <v>22991190</v>
      </c>
      <c r="E10048" s="560"/>
      <c r="F10048" s="560">
        <v>22991200</v>
      </c>
      <c r="G10048" s="560">
        <f t="shared" si="231"/>
        <v>-10</v>
      </c>
      <c r="H10048" s="362"/>
      <c r="I10048" s="362"/>
      <c r="J10048" s="362"/>
    </row>
    <row r="10049" spans="1:10" x14ac:dyDescent="0.25">
      <c r="A10049" s="362"/>
      <c r="B10049" s="609">
        <v>44792</v>
      </c>
      <c r="C10049" s="370" t="s">
        <v>85</v>
      </c>
      <c r="D10049" s="560">
        <v>30534700</v>
      </c>
      <c r="E10049" s="560"/>
      <c r="F10049" s="560">
        <v>30534700</v>
      </c>
      <c r="G10049" s="560">
        <f t="shared" si="231"/>
        <v>0</v>
      </c>
      <c r="H10049" s="362"/>
      <c r="I10049" s="362"/>
      <c r="J10049" s="362"/>
    </row>
    <row r="10050" spans="1:10" x14ac:dyDescent="0.25">
      <c r="A10050" s="362"/>
      <c r="B10050" s="609">
        <v>44792</v>
      </c>
      <c r="C10050" s="370" t="s">
        <v>6299</v>
      </c>
      <c r="D10050" s="560">
        <v>191296331</v>
      </c>
      <c r="E10050" s="560"/>
      <c r="F10050" s="560">
        <v>191296400</v>
      </c>
      <c r="G10050" s="560">
        <f t="shared" si="231"/>
        <v>-69</v>
      </c>
      <c r="H10050" s="362"/>
      <c r="I10050" s="362"/>
      <c r="J10050" s="362"/>
    </row>
    <row r="10051" spans="1:10" x14ac:dyDescent="0.25">
      <c r="A10051" s="530"/>
      <c r="B10051" s="530"/>
      <c r="C10051" s="530"/>
      <c r="D10051" s="630">
        <f>SUM(D10035:D10050)</f>
        <v>2738985925</v>
      </c>
      <c r="E10051" s="630">
        <f t="shared" ref="E10051:G10051" si="232">SUM(E10035:E10050)</f>
        <v>0</v>
      </c>
      <c r="F10051" s="630">
        <f t="shared" si="232"/>
        <v>2738959200</v>
      </c>
      <c r="G10051" s="630">
        <f t="shared" si="232"/>
        <v>26725</v>
      </c>
      <c r="H10051" s="530"/>
      <c r="I10051" s="530"/>
      <c r="J10051" s="530"/>
    </row>
    <row r="10052" spans="1:10" x14ac:dyDescent="0.25">
      <c r="A10052" s="362"/>
      <c r="B10052" s="609">
        <v>44793</v>
      </c>
      <c r="C10052" s="362" t="s">
        <v>86</v>
      </c>
      <c r="D10052" s="560">
        <v>124590523</v>
      </c>
      <c r="E10052" s="560"/>
      <c r="F10052" s="560">
        <v>124590500</v>
      </c>
      <c r="G10052" s="560">
        <f t="shared" si="231"/>
        <v>23</v>
      </c>
      <c r="H10052" s="362"/>
      <c r="I10052" s="362"/>
      <c r="J10052" s="362"/>
    </row>
    <row r="10053" spans="1:10" x14ac:dyDescent="0.25">
      <c r="A10053" s="362"/>
      <c r="B10053" s="609">
        <v>44793</v>
      </c>
      <c r="C10053" s="362" t="s">
        <v>87</v>
      </c>
      <c r="D10053" s="560">
        <v>294254629</v>
      </c>
      <c r="E10053" s="560"/>
      <c r="F10053" s="560">
        <v>294254700</v>
      </c>
      <c r="G10053" s="560">
        <f t="shared" si="231"/>
        <v>-71</v>
      </c>
      <c r="H10053" s="362"/>
      <c r="I10053" s="362"/>
      <c r="J10053" s="362"/>
    </row>
    <row r="10054" spans="1:10" x14ac:dyDescent="0.25">
      <c r="A10054" s="362"/>
      <c r="B10054" s="609">
        <v>44793</v>
      </c>
      <c r="C10054" s="362" t="s">
        <v>88</v>
      </c>
      <c r="D10054" s="560">
        <v>106305057</v>
      </c>
      <c r="E10054" s="560"/>
      <c r="F10054" s="560">
        <v>106305100</v>
      </c>
      <c r="G10054" s="560">
        <f t="shared" si="231"/>
        <v>-43</v>
      </c>
      <c r="H10054" s="362"/>
      <c r="I10054" s="362"/>
      <c r="J10054" s="362"/>
    </row>
    <row r="10055" spans="1:10" x14ac:dyDescent="0.25">
      <c r="A10055" s="362"/>
      <c r="B10055" s="609">
        <v>44793</v>
      </c>
      <c r="C10055" s="362" t="s">
        <v>82</v>
      </c>
      <c r="D10055" s="560">
        <v>95251256</v>
      </c>
      <c r="E10055" s="560"/>
      <c r="F10055" s="560">
        <v>95251300</v>
      </c>
      <c r="G10055" s="560">
        <f t="shared" si="231"/>
        <v>-44</v>
      </c>
      <c r="H10055" s="362"/>
      <c r="I10055" s="362"/>
      <c r="J10055" s="362"/>
    </row>
    <row r="10056" spans="1:10" x14ac:dyDescent="0.25">
      <c r="A10056" s="362"/>
      <c r="B10056" s="609">
        <v>44793</v>
      </c>
      <c r="C10056" s="362" t="s">
        <v>80</v>
      </c>
      <c r="D10056" s="560">
        <v>292521071</v>
      </c>
      <c r="E10056" s="560"/>
      <c r="F10056" s="560">
        <v>292488100</v>
      </c>
      <c r="G10056" s="560">
        <f t="shared" si="231"/>
        <v>32971</v>
      </c>
      <c r="H10056" s="362"/>
      <c r="I10056" s="362"/>
      <c r="J10056" s="362"/>
    </row>
    <row r="10057" spans="1:10" x14ac:dyDescent="0.25">
      <c r="A10057" s="362"/>
      <c r="B10057" s="609">
        <v>44793</v>
      </c>
      <c r="C10057" s="362" t="s">
        <v>83</v>
      </c>
      <c r="D10057" s="560">
        <v>136361900</v>
      </c>
      <c r="E10057" s="560"/>
      <c r="F10057" s="560">
        <v>136361900</v>
      </c>
      <c r="G10057" s="560">
        <f t="shared" si="231"/>
        <v>0</v>
      </c>
      <c r="H10057" s="362"/>
      <c r="I10057" s="362"/>
      <c r="J10057" s="362"/>
    </row>
    <row r="10058" spans="1:10" x14ac:dyDescent="0.25">
      <c r="A10058" s="362"/>
      <c r="B10058" s="609">
        <v>44793</v>
      </c>
      <c r="C10058" s="362" t="s">
        <v>78</v>
      </c>
      <c r="D10058" s="560">
        <v>192925300</v>
      </c>
      <c r="E10058" s="560"/>
      <c r="F10058" s="560">
        <v>192925300</v>
      </c>
      <c r="G10058" s="560">
        <f t="shared" si="231"/>
        <v>0</v>
      </c>
      <c r="H10058" s="362"/>
      <c r="I10058" s="362"/>
      <c r="J10058" s="362"/>
    </row>
    <row r="10059" spans="1:10" x14ac:dyDescent="0.25">
      <c r="A10059" s="362"/>
      <c r="B10059" s="609">
        <v>44793</v>
      </c>
      <c r="C10059" s="362" t="s">
        <v>141</v>
      </c>
      <c r="D10059" s="560">
        <v>58197142</v>
      </c>
      <c r="E10059" s="560"/>
      <c r="F10059" s="560">
        <v>58197200</v>
      </c>
      <c r="G10059" s="560">
        <f t="shared" si="231"/>
        <v>-58</v>
      </c>
      <c r="H10059" s="362"/>
      <c r="I10059" s="362"/>
      <c r="J10059" s="362"/>
    </row>
    <row r="10060" spans="1:10" x14ac:dyDescent="0.25">
      <c r="A10060" s="362"/>
      <c r="B10060" s="609">
        <v>44793</v>
      </c>
      <c r="C10060" s="362" t="s">
        <v>89</v>
      </c>
      <c r="D10060" s="560">
        <v>146360300</v>
      </c>
      <c r="E10060" s="560"/>
      <c r="F10060" s="560">
        <v>146360300</v>
      </c>
      <c r="G10060" s="560">
        <f t="shared" si="231"/>
        <v>0</v>
      </c>
      <c r="H10060" s="362"/>
      <c r="I10060" s="362"/>
      <c r="J10060" s="362"/>
    </row>
    <row r="10061" spans="1:10" x14ac:dyDescent="0.25">
      <c r="A10061" s="362"/>
      <c r="B10061" s="609">
        <v>44793</v>
      </c>
      <c r="C10061" s="362" t="s">
        <v>81</v>
      </c>
      <c r="D10061" s="560">
        <v>172937054</v>
      </c>
      <c r="E10061" s="560"/>
      <c r="F10061" s="560">
        <v>172937054</v>
      </c>
      <c r="G10061" s="560">
        <f t="shared" si="231"/>
        <v>0</v>
      </c>
      <c r="H10061" s="362"/>
      <c r="I10061" s="362"/>
      <c r="J10061" s="362"/>
    </row>
    <row r="10062" spans="1:10" x14ac:dyDescent="0.25">
      <c r="A10062" s="362"/>
      <c r="B10062" s="609">
        <v>44793</v>
      </c>
      <c r="C10062" s="362" t="s">
        <v>84</v>
      </c>
      <c r="D10062" s="560">
        <v>220516604</v>
      </c>
      <c r="E10062" s="560"/>
      <c r="F10062" s="560">
        <v>220516400</v>
      </c>
      <c r="G10062" s="560">
        <f t="shared" si="231"/>
        <v>204</v>
      </c>
      <c r="H10062" s="362"/>
      <c r="I10062" s="362"/>
      <c r="J10062" s="362"/>
    </row>
    <row r="10063" spans="1:10" x14ac:dyDescent="0.25">
      <c r="A10063" s="362"/>
      <c r="B10063" s="609">
        <v>44793</v>
      </c>
      <c r="C10063" s="362" t="s">
        <v>4751</v>
      </c>
      <c r="D10063" s="560">
        <v>208723000</v>
      </c>
      <c r="E10063" s="560"/>
      <c r="F10063" s="560">
        <v>208723000</v>
      </c>
      <c r="G10063" s="560">
        <f t="shared" si="231"/>
        <v>0</v>
      </c>
      <c r="H10063" s="362"/>
      <c r="I10063" s="362"/>
      <c r="J10063" s="362"/>
    </row>
    <row r="10064" spans="1:10" x14ac:dyDescent="0.25">
      <c r="A10064" s="362"/>
      <c r="B10064" s="609">
        <v>44793</v>
      </c>
      <c r="C10064" s="362" t="s">
        <v>6301</v>
      </c>
      <c r="D10064" s="560">
        <v>47244277</v>
      </c>
      <c r="E10064" s="560"/>
      <c r="F10064" s="560">
        <v>47244300</v>
      </c>
      <c r="G10064" s="560">
        <f t="shared" si="231"/>
        <v>-23</v>
      </c>
      <c r="H10064" s="362"/>
      <c r="I10064" s="362"/>
      <c r="J10064" s="362"/>
    </row>
    <row r="10065" spans="1:10" x14ac:dyDescent="0.25">
      <c r="A10065" s="362"/>
      <c r="B10065" s="609">
        <v>44793</v>
      </c>
      <c r="C10065" s="362" t="s">
        <v>3435</v>
      </c>
      <c r="D10065" s="560"/>
      <c r="E10065" s="560"/>
      <c r="F10065" s="560"/>
      <c r="G10065" s="560">
        <f t="shared" si="231"/>
        <v>0</v>
      </c>
      <c r="H10065" s="362"/>
      <c r="I10065" s="362"/>
      <c r="J10065" s="362"/>
    </row>
    <row r="10066" spans="1:10" x14ac:dyDescent="0.25">
      <c r="A10066" s="362"/>
      <c r="B10066" s="609">
        <v>44793</v>
      </c>
      <c r="C10066" s="370" t="s">
        <v>85</v>
      </c>
      <c r="D10066" s="560">
        <v>44038300</v>
      </c>
      <c r="E10066" s="560"/>
      <c r="F10066" s="560">
        <v>44038300</v>
      </c>
      <c r="G10066" s="560">
        <f t="shared" si="231"/>
        <v>0</v>
      </c>
      <c r="H10066" s="362"/>
      <c r="I10066" s="362"/>
      <c r="J10066" s="362"/>
    </row>
    <row r="10067" spans="1:10" x14ac:dyDescent="0.25">
      <c r="A10067" s="362"/>
      <c r="B10067" s="609">
        <v>44793</v>
      </c>
      <c r="C10067" s="370" t="s">
        <v>6299</v>
      </c>
      <c r="D10067" s="560">
        <v>16700449</v>
      </c>
      <c r="E10067" s="560"/>
      <c r="F10067" s="560">
        <v>16700400</v>
      </c>
      <c r="G10067" s="560">
        <f t="shared" si="231"/>
        <v>49</v>
      </c>
      <c r="H10067" s="362"/>
      <c r="I10067" s="362"/>
      <c r="J10067" s="362"/>
    </row>
    <row r="10068" spans="1:10" x14ac:dyDescent="0.25">
      <c r="A10068" s="530"/>
      <c r="B10068" s="530"/>
      <c r="C10068" s="530"/>
      <c r="D10068" s="562">
        <f>SUM(D10052:D10067)</f>
        <v>2156926862</v>
      </c>
      <c r="E10068" s="562">
        <f t="shared" ref="E10068:G10068" si="233">SUM(E10052:E10067)</f>
        <v>0</v>
      </c>
      <c r="F10068" s="562">
        <f t="shared" si="233"/>
        <v>2156893854</v>
      </c>
      <c r="G10068" s="562">
        <f t="shared" si="233"/>
        <v>33008</v>
      </c>
      <c r="H10068" s="530"/>
      <c r="I10068" s="530"/>
      <c r="J10068" s="530"/>
    </row>
    <row r="10069" spans="1:10" x14ac:dyDescent="0.25">
      <c r="A10069" s="362"/>
      <c r="B10069" s="609">
        <v>44795</v>
      </c>
      <c r="C10069" s="362" t="s">
        <v>86</v>
      </c>
      <c r="D10069" s="560">
        <v>83335584</v>
      </c>
      <c r="E10069" s="560"/>
      <c r="F10069" s="560">
        <v>83335584</v>
      </c>
      <c r="G10069" s="560">
        <f t="shared" si="231"/>
        <v>0</v>
      </c>
      <c r="H10069" s="362"/>
      <c r="I10069" s="362"/>
      <c r="J10069" s="362"/>
    </row>
    <row r="10070" spans="1:10" x14ac:dyDescent="0.25">
      <c r="A10070" s="362"/>
      <c r="B10070" s="609">
        <v>44795</v>
      </c>
      <c r="C10070" s="362" t="s">
        <v>87</v>
      </c>
      <c r="D10070" s="560">
        <v>181243449</v>
      </c>
      <c r="E10070" s="560"/>
      <c r="F10070" s="560">
        <v>181243500</v>
      </c>
      <c r="G10070" s="560">
        <f t="shared" si="231"/>
        <v>-51</v>
      </c>
      <c r="H10070" s="362"/>
      <c r="I10070" s="362"/>
      <c r="J10070" s="362"/>
    </row>
    <row r="10071" spans="1:10" x14ac:dyDescent="0.25">
      <c r="A10071" s="362"/>
      <c r="B10071" s="609">
        <v>44795</v>
      </c>
      <c r="C10071" s="362" t="s">
        <v>88</v>
      </c>
      <c r="D10071" s="560">
        <v>161755402</v>
      </c>
      <c r="E10071" s="560"/>
      <c r="F10071" s="560">
        <v>161755500</v>
      </c>
      <c r="G10071" s="560">
        <f t="shared" si="231"/>
        <v>-98</v>
      </c>
      <c r="H10071" s="362"/>
      <c r="I10071" s="362"/>
      <c r="J10071" s="362"/>
    </row>
    <row r="10072" spans="1:10" x14ac:dyDescent="0.25">
      <c r="A10072" s="362"/>
      <c r="B10072" s="609">
        <v>44795</v>
      </c>
      <c r="C10072" s="362" t="s">
        <v>82</v>
      </c>
      <c r="D10072" s="560">
        <v>46768211</v>
      </c>
      <c r="E10072" s="560"/>
      <c r="F10072" s="560">
        <v>46768300</v>
      </c>
      <c r="G10072" s="560">
        <f t="shared" si="231"/>
        <v>-89</v>
      </c>
      <c r="H10072" s="362"/>
      <c r="I10072" s="362"/>
      <c r="J10072" s="362"/>
    </row>
    <row r="10073" spans="1:10" x14ac:dyDescent="0.25">
      <c r="A10073" s="362"/>
      <c r="B10073" s="609">
        <v>44795</v>
      </c>
      <c r="C10073" s="362" t="s">
        <v>80</v>
      </c>
      <c r="D10073" s="560">
        <v>261573900</v>
      </c>
      <c r="E10073" s="560"/>
      <c r="F10073" s="560">
        <v>261573900</v>
      </c>
      <c r="G10073" s="560">
        <f t="shared" si="231"/>
        <v>0</v>
      </c>
      <c r="H10073" s="362"/>
      <c r="I10073" s="362"/>
      <c r="J10073" s="362"/>
    </row>
    <row r="10074" spans="1:10" x14ac:dyDescent="0.25">
      <c r="A10074" s="362"/>
      <c r="B10074" s="609">
        <v>44795</v>
      </c>
      <c r="C10074" s="362" t="s">
        <v>83</v>
      </c>
      <c r="D10074" s="560">
        <v>242061745</v>
      </c>
      <c r="E10074" s="560"/>
      <c r="F10074" s="560">
        <v>242061800</v>
      </c>
      <c r="G10074" s="560">
        <f t="shared" si="231"/>
        <v>-55</v>
      </c>
      <c r="H10074" s="362"/>
      <c r="I10074" s="362"/>
      <c r="J10074" s="362"/>
    </row>
    <row r="10075" spans="1:10" x14ac:dyDescent="0.25">
      <c r="A10075" s="362"/>
      <c r="B10075" s="609">
        <v>44795</v>
      </c>
      <c r="C10075" s="362" t="s">
        <v>78</v>
      </c>
      <c r="D10075" s="560">
        <v>88520700</v>
      </c>
      <c r="E10075" s="560"/>
      <c r="F10075" s="560">
        <v>88520700</v>
      </c>
      <c r="G10075" s="560">
        <f t="shared" si="231"/>
        <v>0</v>
      </c>
      <c r="H10075" s="362"/>
      <c r="I10075" s="362"/>
      <c r="J10075" s="362"/>
    </row>
    <row r="10076" spans="1:10" x14ac:dyDescent="0.25">
      <c r="A10076" s="362"/>
      <c r="B10076" s="609">
        <v>44795</v>
      </c>
      <c r="C10076" s="362" t="s">
        <v>141</v>
      </c>
      <c r="D10076" s="560">
        <v>67256064</v>
      </c>
      <c r="E10076" s="560"/>
      <c r="F10076" s="560">
        <v>67256100</v>
      </c>
      <c r="G10076" s="560">
        <f t="shared" si="231"/>
        <v>-36</v>
      </c>
      <c r="H10076" s="362"/>
      <c r="I10076" s="362"/>
      <c r="J10076" s="362"/>
    </row>
    <row r="10077" spans="1:10" x14ac:dyDescent="0.25">
      <c r="A10077" s="362"/>
      <c r="B10077" s="609">
        <v>44795</v>
      </c>
      <c r="C10077" s="362" t="s">
        <v>89</v>
      </c>
      <c r="D10077" s="560">
        <v>205695400</v>
      </c>
      <c r="E10077" s="560"/>
      <c r="F10077" s="560">
        <v>205695400</v>
      </c>
      <c r="G10077" s="560">
        <f t="shared" si="231"/>
        <v>0</v>
      </c>
      <c r="H10077" s="362"/>
      <c r="I10077" s="362"/>
      <c r="J10077" s="362"/>
    </row>
    <row r="10078" spans="1:10" x14ac:dyDescent="0.25">
      <c r="A10078" s="362"/>
      <c r="B10078" s="609">
        <v>44795</v>
      </c>
      <c r="C10078" s="362" t="s">
        <v>81</v>
      </c>
      <c r="D10078" s="560">
        <v>98267895</v>
      </c>
      <c r="E10078" s="560"/>
      <c r="F10078" s="560">
        <v>98267900</v>
      </c>
      <c r="G10078" s="560">
        <f t="shared" si="231"/>
        <v>-5</v>
      </c>
      <c r="H10078" s="362"/>
      <c r="I10078" s="362"/>
      <c r="J10078" s="362"/>
    </row>
    <row r="10079" spans="1:10" x14ac:dyDescent="0.25">
      <c r="A10079" s="362"/>
      <c r="B10079" s="609">
        <v>44795</v>
      </c>
      <c r="C10079" s="362" t="s">
        <v>84</v>
      </c>
      <c r="D10079" s="560">
        <v>355543192</v>
      </c>
      <c r="E10079" s="560"/>
      <c r="F10079" s="560">
        <v>355543192</v>
      </c>
      <c r="G10079" s="560">
        <f t="shared" si="231"/>
        <v>0</v>
      </c>
      <c r="H10079" s="362"/>
      <c r="I10079" s="362"/>
      <c r="J10079" s="362"/>
    </row>
    <row r="10080" spans="1:10" x14ac:dyDescent="0.25">
      <c r="A10080" s="362"/>
      <c r="B10080" s="609">
        <v>44795</v>
      </c>
      <c r="C10080" s="362" t="s">
        <v>4751</v>
      </c>
      <c r="D10080" s="560">
        <v>214785400</v>
      </c>
      <c r="E10080" s="560"/>
      <c r="F10080" s="560">
        <v>214785400</v>
      </c>
      <c r="G10080" s="560">
        <f t="shared" si="231"/>
        <v>0</v>
      </c>
      <c r="H10080" s="362"/>
      <c r="I10080" s="362"/>
      <c r="J10080" s="362"/>
    </row>
    <row r="10081" spans="1:10" x14ac:dyDescent="0.25">
      <c r="A10081" s="362"/>
      <c r="B10081" s="609">
        <v>44795</v>
      </c>
      <c r="C10081" s="362" t="s">
        <v>6301</v>
      </c>
      <c r="D10081" s="560">
        <v>91591891</v>
      </c>
      <c r="E10081" s="560"/>
      <c r="F10081" s="560">
        <v>91591900</v>
      </c>
      <c r="G10081" s="560">
        <f t="shared" si="231"/>
        <v>-9</v>
      </c>
      <c r="H10081" s="362"/>
      <c r="I10081" s="362"/>
      <c r="J10081" s="362"/>
    </row>
    <row r="10082" spans="1:10" x14ac:dyDescent="0.25">
      <c r="A10082" s="362"/>
      <c r="B10082" s="609">
        <v>44795</v>
      </c>
      <c r="C10082" s="362" t="s">
        <v>3435</v>
      </c>
      <c r="D10082" s="560">
        <v>25267729</v>
      </c>
      <c r="E10082" s="560"/>
      <c r="F10082" s="560">
        <v>25267800</v>
      </c>
      <c r="G10082" s="560">
        <f t="shared" si="231"/>
        <v>-71</v>
      </c>
      <c r="H10082" s="362"/>
      <c r="I10082" s="362"/>
      <c r="J10082" s="362"/>
    </row>
    <row r="10083" spans="1:10" x14ac:dyDescent="0.25">
      <c r="A10083" s="362"/>
      <c r="B10083" s="609">
        <v>44795</v>
      </c>
      <c r="C10083" s="370" t="s">
        <v>85</v>
      </c>
      <c r="D10083" s="560">
        <v>63820000</v>
      </c>
      <c r="E10083" s="560"/>
      <c r="F10083" s="560">
        <v>63820000</v>
      </c>
      <c r="G10083" s="560">
        <f t="shared" si="231"/>
        <v>0</v>
      </c>
      <c r="H10083" s="362"/>
      <c r="I10083" s="362"/>
      <c r="J10083" s="362"/>
    </row>
    <row r="10084" spans="1:10" x14ac:dyDescent="0.25">
      <c r="A10084" s="362"/>
      <c r="B10084" s="609">
        <v>44795</v>
      </c>
      <c r="C10084" s="370" t="s">
        <v>6299</v>
      </c>
      <c r="D10084" s="560">
        <v>18210602</v>
      </c>
      <c r="E10084" s="560"/>
      <c r="F10084" s="560">
        <v>18210600</v>
      </c>
      <c r="G10084" s="560">
        <f t="shared" si="231"/>
        <v>2</v>
      </c>
      <c r="H10084" s="362"/>
      <c r="I10084" s="362"/>
      <c r="J10084" s="362"/>
    </row>
    <row r="10085" spans="1:10" x14ac:dyDescent="0.25">
      <c r="A10085" s="530"/>
      <c r="B10085" s="530"/>
      <c r="C10085" s="530"/>
      <c r="D10085" s="562">
        <f>SUM(D10069:D10084)</f>
        <v>2205697164</v>
      </c>
      <c r="E10085" s="562">
        <f t="shared" ref="E10085:G10085" si="234">SUM(E10069:E10084)</f>
        <v>0</v>
      </c>
      <c r="F10085" s="562">
        <f t="shared" si="234"/>
        <v>2205697576</v>
      </c>
      <c r="G10085" s="562">
        <f t="shared" si="234"/>
        <v>-412</v>
      </c>
      <c r="H10085" s="530"/>
      <c r="I10085" s="530"/>
      <c r="J10085" s="530"/>
    </row>
    <row r="10086" spans="1:10" x14ac:dyDescent="0.25">
      <c r="A10086" s="362"/>
      <c r="B10086" s="609">
        <v>44796</v>
      </c>
      <c r="C10086" s="362" t="s">
        <v>86</v>
      </c>
      <c r="D10086" s="560">
        <v>73431156</v>
      </c>
      <c r="E10086" s="560"/>
      <c r="F10086" s="560">
        <v>73431000</v>
      </c>
      <c r="G10086" s="560">
        <f t="shared" si="231"/>
        <v>156</v>
      </c>
      <c r="H10086" s="362"/>
      <c r="I10086" s="362"/>
      <c r="J10086" s="362"/>
    </row>
    <row r="10087" spans="1:10" x14ac:dyDescent="0.25">
      <c r="A10087" s="362"/>
      <c r="B10087" s="609">
        <v>44796</v>
      </c>
      <c r="C10087" s="362" t="s">
        <v>87</v>
      </c>
      <c r="D10087" s="560">
        <v>102286322</v>
      </c>
      <c r="E10087" s="560"/>
      <c r="F10087" s="560">
        <v>102286400</v>
      </c>
      <c r="G10087" s="560">
        <f t="shared" si="231"/>
        <v>-78</v>
      </c>
      <c r="H10087" s="362"/>
      <c r="I10087" s="362"/>
      <c r="J10087" s="362"/>
    </row>
    <row r="10088" spans="1:10" x14ac:dyDescent="0.25">
      <c r="A10088" s="362"/>
      <c r="B10088" s="609">
        <v>44796</v>
      </c>
      <c r="C10088" s="362" t="s">
        <v>88</v>
      </c>
      <c r="D10088" s="560">
        <v>264968117</v>
      </c>
      <c r="E10088" s="560"/>
      <c r="F10088" s="560">
        <v>264968100</v>
      </c>
      <c r="G10088" s="560">
        <f t="shared" si="231"/>
        <v>17</v>
      </c>
      <c r="H10088" s="362"/>
      <c r="I10088" s="362"/>
      <c r="J10088" s="362"/>
    </row>
    <row r="10089" spans="1:10" x14ac:dyDescent="0.25">
      <c r="A10089" s="362"/>
      <c r="B10089" s="609">
        <v>44796</v>
      </c>
      <c r="C10089" s="362" t="s">
        <v>82</v>
      </c>
      <c r="D10089" s="560">
        <v>174519711</v>
      </c>
      <c r="E10089" s="560"/>
      <c r="F10089" s="560">
        <v>174519800</v>
      </c>
      <c r="G10089" s="560">
        <f t="shared" si="231"/>
        <v>-89</v>
      </c>
      <c r="H10089" s="362"/>
      <c r="I10089" s="362"/>
      <c r="J10089" s="362"/>
    </row>
    <row r="10090" spans="1:10" x14ac:dyDescent="0.25">
      <c r="A10090" s="362"/>
      <c r="B10090" s="609">
        <v>44796</v>
      </c>
      <c r="C10090" s="362" t="s">
        <v>80</v>
      </c>
      <c r="D10090" s="560">
        <v>295279500</v>
      </c>
      <c r="E10090" s="560"/>
      <c r="F10090" s="560">
        <v>295279500</v>
      </c>
      <c r="G10090" s="560">
        <f t="shared" si="231"/>
        <v>0</v>
      </c>
      <c r="H10090" s="362"/>
      <c r="I10090" s="362"/>
      <c r="J10090" s="362"/>
    </row>
    <row r="10091" spans="1:10" x14ac:dyDescent="0.25">
      <c r="A10091" s="362"/>
      <c r="B10091" s="609">
        <v>44796</v>
      </c>
      <c r="C10091" s="362" t="s">
        <v>83</v>
      </c>
      <c r="D10091" s="560">
        <v>255363084</v>
      </c>
      <c r="E10091" s="560"/>
      <c r="F10091" s="560">
        <v>255363000</v>
      </c>
      <c r="G10091" s="560">
        <f t="shared" si="231"/>
        <v>84</v>
      </c>
      <c r="H10091" s="362"/>
      <c r="I10091" s="362"/>
      <c r="J10091" s="362"/>
    </row>
    <row r="10092" spans="1:10" x14ac:dyDescent="0.25">
      <c r="A10092" s="362"/>
      <c r="B10092" s="609">
        <v>44796</v>
      </c>
      <c r="C10092" s="362" t="s">
        <v>78</v>
      </c>
      <c r="D10092" s="560">
        <v>140760700</v>
      </c>
      <c r="E10092" s="560"/>
      <c r="F10092" s="560">
        <v>140760700</v>
      </c>
      <c r="G10092" s="560">
        <f t="shared" si="231"/>
        <v>0</v>
      </c>
      <c r="H10092" s="362"/>
      <c r="I10092" s="362"/>
      <c r="J10092" s="362"/>
    </row>
    <row r="10093" spans="1:10" x14ac:dyDescent="0.25">
      <c r="A10093" s="362"/>
      <c r="B10093" s="609">
        <v>44796</v>
      </c>
      <c r="C10093" s="362" t="s">
        <v>141</v>
      </c>
      <c r="D10093" s="560">
        <v>126683164</v>
      </c>
      <c r="E10093" s="560"/>
      <c r="F10093" s="560">
        <v>126683200</v>
      </c>
      <c r="G10093" s="560">
        <f t="shared" si="231"/>
        <v>-36</v>
      </c>
      <c r="H10093" s="362"/>
      <c r="I10093" s="362"/>
      <c r="J10093" s="362"/>
    </row>
    <row r="10094" spans="1:10" x14ac:dyDescent="0.25">
      <c r="A10094" s="362"/>
      <c r="B10094" s="609">
        <v>44796</v>
      </c>
      <c r="C10094" s="362" t="s">
        <v>89</v>
      </c>
      <c r="D10094" s="560">
        <v>203990600</v>
      </c>
      <c r="E10094" s="560"/>
      <c r="F10094" s="560">
        <v>203990600</v>
      </c>
      <c r="G10094" s="560">
        <f t="shared" si="231"/>
        <v>0</v>
      </c>
      <c r="H10094" s="362"/>
      <c r="I10094" s="362"/>
      <c r="J10094" s="362"/>
    </row>
    <row r="10095" spans="1:10" x14ac:dyDescent="0.25">
      <c r="A10095" s="362"/>
      <c r="B10095" s="609">
        <v>44796</v>
      </c>
      <c r="C10095" s="362" t="s">
        <v>81</v>
      </c>
      <c r="D10095" s="560">
        <v>111974004</v>
      </c>
      <c r="E10095" s="560"/>
      <c r="F10095" s="560">
        <v>111974000</v>
      </c>
      <c r="G10095" s="560">
        <f t="shared" si="231"/>
        <v>4</v>
      </c>
      <c r="H10095" s="362"/>
      <c r="I10095" s="362"/>
      <c r="J10095" s="362"/>
    </row>
    <row r="10096" spans="1:10" x14ac:dyDescent="0.25">
      <c r="A10096" s="362"/>
      <c r="B10096" s="609">
        <v>44796</v>
      </c>
      <c r="C10096" s="362" t="s">
        <v>84</v>
      </c>
      <c r="D10096" s="560">
        <v>314104953</v>
      </c>
      <c r="E10096" s="560"/>
      <c r="F10096" s="560">
        <v>314105000</v>
      </c>
      <c r="G10096" s="560">
        <f t="shared" si="231"/>
        <v>-47</v>
      </c>
      <c r="H10096" s="362"/>
      <c r="I10096" s="362"/>
      <c r="J10096" s="362"/>
    </row>
    <row r="10097" spans="1:10" x14ac:dyDescent="0.25">
      <c r="A10097" s="362"/>
      <c r="B10097" s="609">
        <v>44796</v>
      </c>
      <c r="C10097" s="362" t="s">
        <v>4751</v>
      </c>
      <c r="D10097" s="560">
        <v>268969600</v>
      </c>
      <c r="E10097" s="560"/>
      <c r="F10097" s="560">
        <v>268969600</v>
      </c>
      <c r="G10097" s="560">
        <f t="shared" si="231"/>
        <v>0</v>
      </c>
      <c r="H10097" s="362"/>
      <c r="I10097" s="362"/>
      <c r="J10097" s="362"/>
    </row>
    <row r="10098" spans="1:10" x14ac:dyDescent="0.25">
      <c r="A10098" s="362"/>
      <c r="B10098" s="609">
        <v>44796</v>
      </c>
      <c r="C10098" s="362" t="s">
        <v>6301</v>
      </c>
      <c r="D10098" s="560">
        <v>109382937</v>
      </c>
      <c r="E10098" s="560"/>
      <c r="F10098" s="560">
        <v>109383000</v>
      </c>
      <c r="G10098" s="560">
        <f t="shared" si="231"/>
        <v>-63</v>
      </c>
      <c r="H10098" s="362"/>
      <c r="I10098" s="362"/>
      <c r="J10098" s="362"/>
    </row>
    <row r="10099" spans="1:10" x14ac:dyDescent="0.25">
      <c r="A10099" s="362"/>
      <c r="B10099" s="609">
        <v>44796</v>
      </c>
      <c r="C10099" s="362" t="s">
        <v>3435</v>
      </c>
      <c r="D10099" s="560">
        <v>42031379</v>
      </c>
      <c r="E10099" s="560"/>
      <c r="F10099" s="560">
        <v>42031400</v>
      </c>
      <c r="G10099" s="560">
        <f t="shared" si="231"/>
        <v>-21</v>
      </c>
      <c r="H10099" s="362"/>
      <c r="I10099" s="362"/>
      <c r="J10099" s="362"/>
    </row>
    <row r="10100" spans="1:10" x14ac:dyDescent="0.25">
      <c r="A10100" s="362"/>
      <c r="B10100" s="609">
        <v>44796</v>
      </c>
      <c r="C10100" s="370" t="s">
        <v>85</v>
      </c>
      <c r="D10100" s="560">
        <v>45623900</v>
      </c>
      <c r="E10100" s="560"/>
      <c r="F10100" s="560">
        <v>45623900</v>
      </c>
      <c r="G10100" s="560">
        <f t="shared" si="231"/>
        <v>0</v>
      </c>
      <c r="H10100" s="362"/>
      <c r="I10100" s="362"/>
      <c r="J10100" s="362"/>
    </row>
    <row r="10101" spans="1:10" x14ac:dyDescent="0.25">
      <c r="A10101" s="362"/>
      <c r="B10101" s="609">
        <v>44796</v>
      </c>
      <c r="C10101" s="370" t="s">
        <v>6299</v>
      </c>
      <c r="D10101" s="560">
        <v>11264354</v>
      </c>
      <c r="E10101" s="560"/>
      <c r="F10101" s="560">
        <v>11264400</v>
      </c>
      <c r="G10101" s="560">
        <f t="shared" si="231"/>
        <v>-46</v>
      </c>
      <c r="H10101" s="362"/>
      <c r="I10101" s="362"/>
      <c r="J10101" s="362"/>
    </row>
    <row r="10102" spans="1:10" x14ac:dyDescent="0.25">
      <c r="A10102" s="530"/>
      <c r="B10102" s="530"/>
      <c r="C10102" s="530"/>
      <c r="D10102" s="562">
        <f>SUM(D10086:D10101)</f>
        <v>2540633481</v>
      </c>
      <c r="E10102" s="562">
        <f t="shared" ref="E10102:G10102" si="235">SUM(E10086:E10101)</f>
        <v>0</v>
      </c>
      <c r="F10102" s="562">
        <f t="shared" si="235"/>
        <v>2540633600</v>
      </c>
      <c r="G10102" s="562">
        <f t="shared" si="235"/>
        <v>-119</v>
      </c>
      <c r="H10102" s="530"/>
      <c r="I10102" s="530"/>
      <c r="J10102" s="530"/>
    </row>
    <row r="10103" spans="1:10" x14ac:dyDescent="0.25">
      <c r="A10103" s="362"/>
      <c r="B10103" s="609">
        <v>44797</v>
      </c>
      <c r="C10103" s="362" t="s">
        <v>86</v>
      </c>
      <c r="D10103" s="560">
        <v>79174542</v>
      </c>
      <c r="E10103" s="560"/>
      <c r="F10103" s="560">
        <v>79174700</v>
      </c>
      <c r="G10103" s="560">
        <f t="shared" si="231"/>
        <v>-158</v>
      </c>
      <c r="H10103" s="362"/>
      <c r="I10103" s="362"/>
      <c r="J10103" s="362"/>
    </row>
    <row r="10104" spans="1:10" x14ac:dyDescent="0.25">
      <c r="A10104" s="362"/>
      <c r="B10104" s="609">
        <v>44797</v>
      </c>
      <c r="C10104" s="362" t="s">
        <v>87</v>
      </c>
      <c r="D10104" s="560">
        <v>173628998</v>
      </c>
      <c r="E10104" s="560"/>
      <c r="F10104" s="560">
        <v>173629000</v>
      </c>
      <c r="G10104" s="560">
        <f t="shared" si="231"/>
        <v>-2</v>
      </c>
      <c r="H10104" s="362"/>
      <c r="I10104" s="362"/>
      <c r="J10104" s="362"/>
    </row>
    <row r="10105" spans="1:10" x14ac:dyDescent="0.25">
      <c r="A10105" s="362"/>
      <c r="B10105" s="609">
        <v>44797</v>
      </c>
      <c r="C10105" s="362" t="s">
        <v>88</v>
      </c>
      <c r="D10105" s="560">
        <v>210995335</v>
      </c>
      <c r="E10105" s="560"/>
      <c r="F10105" s="560">
        <v>210995300</v>
      </c>
      <c r="G10105" s="560">
        <f t="shared" si="231"/>
        <v>35</v>
      </c>
      <c r="H10105" s="362"/>
      <c r="I10105" s="362"/>
      <c r="J10105" s="362"/>
    </row>
    <row r="10106" spans="1:10" x14ac:dyDescent="0.25">
      <c r="A10106" s="362"/>
      <c r="B10106" s="609">
        <v>44797</v>
      </c>
      <c r="C10106" s="362" t="s">
        <v>82</v>
      </c>
      <c r="D10106" s="560">
        <v>91388260</v>
      </c>
      <c r="E10106" s="560"/>
      <c r="F10106" s="560">
        <v>91388300</v>
      </c>
      <c r="G10106" s="560">
        <f t="shared" si="231"/>
        <v>-40</v>
      </c>
      <c r="H10106" s="362"/>
      <c r="I10106" s="362"/>
      <c r="J10106" s="362"/>
    </row>
    <row r="10107" spans="1:10" x14ac:dyDescent="0.25">
      <c r="A10107" s="362"/>
      <c r="B10107" s="609">
        <v>44797</v>
      </c>
      <c r="C10107" s="362" t="s">
        <v>80</v>
      </c>
      <c r="D10107" s="560">
        <v>347810682</v>
      </c>
      <c r="E10107" s="560"/>
      <c r="F10107" s="560">
        <v>347811600</v>
      </c>
      <c r="G10107" s="560">
        <f t="shared" si="231"/>
        <v>-918</v>
      </c>
      <c r="H10107" s="362"/>
      <c r="I10107" s="362"/>
      <c r="J10107" s="362"/>
    </row>
    <row r="10108" spans="1:10" x14ac:dyDescent="0.25">
      <c r="A10108" s="362"/>
      <c r="B10108" s="609">
        <v>44797</v>
      </c>
      <c r="C10108" s="362" t="s">
        <v>83</v>
      </c>
      <c r="D10108" s="560">
        <v>270304500</v>
      </c>
      <c r="E10108" s="560"/>
      <c r="F10108" s="560">
        <v>270304500</v>
      </c>
      <c r="G10108" s="560">
        <f t="shared" si="231"/>
        <v>0</v>
      </c>
      <c r="H10108" s="362"/>
      <c r="I10108" s="362"/>
      <c r="J10108" s="362"/>
    </row>
    <row r="10109" spans="1:10" x14ac:dyDescent="0.25">
      <c r="A10109" s="362"/>
      <c r="B10109" s="609">
        <v>44797</v>
      </c>
      <c r="C10109" s="362" t="s">
        <v>78</v>
      </c>
      <c r="D10109" s="560">
        <v>157765200</v>
      </c>
      <c r="E10109" s="560"/>
      <c r="F10109" s="560">
        <v>157765200</v>
      </c>
      <c r="G10109" s="560">
        <f t="shared" ref="G10109:G10172" si="236">D10109-F10109</f>
        <v>0</v>
      </c>
      <c r="H10109" s="362"/>
      <c r="I10109" s="362"/>
      <c r="J10109" s="362"/>
    </row>
    <row r="10110" spans="1:10" x14ac:dyDescent="0.25">
      <c r="A10110" s="362"/>
      <c r="B10110" s="609">
        <v>44797</v>
      </c>
      <c r="C10110" s="362" t="s">
        <v>141</v>
      </c>
      <c r="D10110" s="560">
        <v>143786870</v>
      </c>
      <c r="E10110" s="560"/>
      <c r="F10110" s="560">
        <v>143786900</v>
      </c>
      <c r="G10110" s="560">
        <f t="shared" si="236"/>
        <v>-30</v>
      </c>
      <c r="H10110" s="362"/>
      <c r="I10110" s="362"/>
      <c r="J10110" s="362"/>
    </row>
    <row r="10111" spans="1:10" x14ac:dyDescent="0.25">
      <c r="A10111" s="362"/>
      <c r="B10111" s="609">
        <v>44797</v>
      </c>
      <c r="C10111" s="362" t="s">
        <v>89</v>
      </c>
      <c r="D10111" s="560">
        <v>210810900</v>
      </c>
      <c r="E10111" s="560"/>
      <c r="F10111" s="560">
        <v>210810900</v>
      </c>
      <c r="G10111" s="560">
        <f t="shared" si="236"/>
        <v>0</v>
      </c>
      <c r="H10111" s="362"/>
      <c r="I10111" s="362"/>
      <c r="J10111" s="362"/>
    </row>
    <row r="10112" spans="1:10" x14ac:dyDescent="0.25">
      <c r="A10112" s="362"/>
      <c r="B10112" s="609">
        <v>44797</v>
      </c>
      <c r="C10112" s="362" t="s">
        <v>81</v>
      </c>
      <c r="D10112" s="560">
        <v>212556633</v>
      </c>
      <c r="E10112" s="560"/>
      <c r="F10112" s="560">
        <v>212556633</v>
      </c>
      <c r="G10112" s="560">
        <f t="shared" si="236"/>
        <v>0</v>
      </c>
      <c r="H10112" s="362"/>
      <c r="I10112" s="362"/>
      <c r="J10112" s="362"/>
    </row>
    <row r="10113" spans="1:10" x14ac:dyDescent="0.25">
      <c r="A10113" s="362"/>
      <c r="B10113" s="609">
        <v>44797</v>
      </c>
      <c r="C10113" s="362" t="s">
        <v>84</v>
      </c>
      <c r="D10113" s="560">
        <v>383400232</v>
      </c>
      <c r="E10113" s="560"/>
      <c r="F10113" s="560">
        <v>383400300</v>
      </c>
      <c r="G10113" s="560">
        <f t="shared" si="236"/>
        <v>-68</v>
      </c>
      <c r="H10113" s="362"/>
      <c r="I10113" s="362"/>
      <c r="J10113" s="362"/>
    </row>
    <row r="10114" spans="1:10" x14ac:dyDescent="0.25">
      <c r="A10114" s="362"/>
      <c r="B10114" s="609">
        <v>44797</v>
      </c>
      <c r="C10114" s="362" t="s">
        <v>4751</v>
      </c>
      <c r="D10114" s="560">
        <v>225012400</v>
      </c>
      <c r="E10114" s="560"/>
      <c r="F10114" s="560">
        <v>225012300</v>
      </c>
      <c r="G10114" s="560">
        <f t="shared" si="236"/>
        <v>100</v>
      </c>
      <c r="H10114" s="362"/>
      <c r="I10114" s="362"/>
      <c r="J10114" s="362"/>
    </row>
    <row r="10115" spans="1:10" x14ac:dyDescent="0.25">
      <c r="A10115" s="362"/>
      <c r="B10115" s="609">
        <v>44797</v>
      </c>
      <c r="C10115" s="362" t="s">
        <v>6301</v>
      </c>
      <c r="D10115" s="560">
        <v>66430313</v>
      </c>
      <c r="E10115" s="560"/>
      <c r="F10115" s="560">
        <v>66430500</v>
      </c>
      <c r="G10115" s="560">
        <f t="shared" si="236"/>
        <v>-187</v>
      </c>
      <c r="H10115" s="362"/>
      <c r="I10115" s="362"/>
      <c r="J10115" s="362"/>
    </row>
    <row r="10116" spans="1:10" x14ac:dyDescent="0.25">
      <c r="A10116" s="362"/>
      <c r="B10116" s="609">
        <v>44797</v>
      </c>
      <c r="C10116" s="362" t="s">
        <v>3435</v>
      </c>
      <c r="D10116" s="560">
        <v>96668775</v>
      </c>
      <c r="E10116" s="560"/>
      <c r="F10116" s="560">
        <v>96668800</v>
      </c>
      <c r="G10116" s="560">
        <f t="shared" si="236"/>
        <v>-25</v>
      </c>
      <c r="H10116" s="362"/>
      <c r="I10116" s="362"/>
      <c r="J10116" s="362"/>
    </row>
    <row r="10117" spans="1:10" x14ac:dyDescent="0.25">
      <c r="A10117" s="362"/>
      <c r="B10117" s="609">
        <v>44797</v>
      </c>
      <c r="C10117" s="370" t="s">
        <v>85</v>
      </c>
      <c r="D10117" s="560">
        <v>56842800</v>
      </c>
      <c r="E10117" s="560"/>
      <c r="F10117" s="560">
        <v>56842800</v>
      </c>
      <c r="G10117" s="560">
        <f t="shared" si="236"/>
        <v>0</v>
      </c>
      <c r="H10117" s="362"/>
      <c r="I10117" s="362"/>
      <c r="J10117" s="362"/>
    </row>
    <row r="10118" spans="1:10" x14ac:dyDescent="0.25">
      <c r="A10118" s="362"/>
      <c r="B10118" s="609">
        <v>44797</v>
      </c>
      <c r="C10118" s="370" t="s">
        <v>6299</v>
      </c>
      <c r="D10118" s="560">
        <v>20576024</v>
      </c>
      <c r="E10118" s="560"/>
      <c r="F10118" s="560">
        <v>20576100</v>
      </c>
      <c r="G10118" s="560">
        <f t="shared" si="236"/>
        <v>-76</v>
      </c>
      <c r="H10118" s="362"/>
      <c r="I10118" s="362"/>
      <c r="J10118" s="362"/>
    </row>
    <row r="10119" spans="1:10" x14ac:dyDescent="0.25">
      <c r="A10119" s="530"/>
      <c r="B10119" s="530"/>
      <c r="C10119" s="530"/>
      <c r="D10119" s="562">
        <f>SUM(D10103:D10118)</f>
        <v>2747152464</v>
      </c>
      <c r="E10119" s="562">
        <f t="shared" ref="E10119:G10119" si="237">SUM(E10103:E10118)</f>
        <v>0</v>
      </c>
      <c r="F10119" s="562">
        <f t="shared" si="237"/>
        <v>2747153833</v>
      </c>
      <c r="G10119" s="562">
        <f t="shared" si="237"/>
        <v>-1369</v>
      </c>
      <c r="H10119" s="530"/>
      <c r="I10119" s="530"/>
      <c r="J10119" s="530"/>
    </row>
    <row r="10120" spans="1:10" x14ac:dyDescent="0.25">
      <c r="A10120" s="362"/>
      <c r="B10120" s="609">
        <v>44798</v>
      </c>
      <c r="C10120" s="362" t="s">
        <v>86</v>
      </c>
      <c r="D10120" s="560">
        <v>190019640</v>
      </c>
      <c r="E10120" s="560"/>
      <c r="F10120" s="560">
        <v>190019700</v>
      </c>
      <c r="G10120" s="560">
        <f t="shared" si="236"/>
        <v>-60</v>
      </c>
      <c r="H10120" s="362"/>
      <c r="I10120" s="362"/>
      <c r="J10120" s="362"/>
    </row>
    <row r="10121" spans="1:10" x14ac:dyDescent="0.25">
      <c r="A10121" s="362"/>
      <c r="B10121" s="609">
        <v>44798</v>
      </c>
      <c r="C10121" s="362" t="s">
        <v>87</v>
      </c>
      <c r="D10121" s="560">
        <v>186269445</v>
      </c>
      <c r="E10121" s="560"/>
      <c r="F10121" s="560">
        <v>186269400</v>
      </c>
      <c r="G10121" s="560">
        <f t="shared" si="236"/>
        <v>45</v>
      </c>
      <c r="H10121" s="362"/>
      <c r="I10121" s="362"/>
      <c r="J10121" s="362"/>
    </row>
    <row r="10122" spans="1:10" x14ac:dyDescent="0.25">
      <c r="A10122" s="362"/>
      <c r="B10122" s="609">
        <v>44798</v>
      </c>
      <c r="C10122" s="362" t="s">
        <v>88</v>
      </c>
      <c r="D10122" s="560">
        <v>432830979</v>
      </c>
      <c r="E10122" s="560"/>
      <c r="F10122" s="560">
        <v>432831000</v>
      </c>
      <c r="G10122" s="560">
        <f t="shared" si="236"/>
        <v>-21</v>
      </c>
      <c r="H10122" s="362"/>
      <c r="I10122" s="362"/>
      <c r="J10122" s="362"/>
    </row>
    <row r="10123" spans="1:10" x14ac:dyDescent="0.25">
      <c r="A10123" s="362"/>
      <c r="B10123" s="609">
        <v>44798</v>
      </c>
      <c r="C10123" s="362" t="s">
        <v>82</v>
      </c>
      <c r="D10123" s="560">
        <v>162047524</v>
      </c>
      <c r="E10123" s="560"/>
      <c r="F10123" s="560">
        <v>162047600</v>
      </c>
      <c r="G10123" s="560">
        <f t="shared" si="236"/>
        <v>-76</v>
      </c>
      <c r="H10123" s="362"/>
      <c r="I10123" s="362"/>
      <c r="J10123" s="362"/>
    </row>
    <row r="10124" spans="1:10" x14ac:dyDescent="0.25">
      <c r="A10124" s="362"/>
      <c r="B10124" s="609">
        <v>44798</v>
      </c>
      <c r="C10124" s="362" t="s">
        <v>80</v>
      </c>
      <c r="D10124" s="560">
        <v>385072500</v>
      </c>
      <c r="E10124" s="560"/>
      <c r="F10124" s="560">
        <v>385072500</v>
      </c>
      <c r="G10124" s="560">
        <f t="shared" si="236"/>
        <v>0</v>
      </c>
      <c r="H10124" s="362"/>
      <c r="I10124" s="362"/>
      <c r="J10124" s="362"/>
    </row>
    <row r="10125" spans="1:10" x14ac:dyDescent="0.25">
      <c r="A10125" s="362"/>
      <c r="B10125" s="609">
        <v>44798</v>
      </c>
      <c r="C10125" s="362" t="s">
        <v>83</v>
      </c>
      <c r="D10125" s="560">
        <v>206005721</v>
      </c>
      <c r="E10125" s="560"/>
      <c r="F10125" s="560">
        <v>206005700</v>
      </c>
      <c r="G10125" s="560">
        <f t="shared" si="236"/>
        <v>21</v>
      </c>
      <c r="H10125" s="362"/>
      <c r="I10125" s="362"/>
      <c r="J10125" s="362"/>
    </row>
    <row r="10126" spans="1:10" x14ac:dyDescent="0.25">
      <c r="A10126" s="362"/>
      <c r="B10126" s="609">
        <v>44798</v>
      </c>
      <c r="C10126" s="362" t="s">
        <v>78</v>
      </c>
      <c r="D10126" s="560">
        <v>96382200</v>
      </c>
      <c r="E10126" s="560"/>
      <c r="F10126" s="560">
        <v>96382200</v>
      </c>
      <c r="G10126" s="560">
        <f t="shared" si="236"/>
        <v>0</v>
      </c>
      <c r="H10126" s="362"/>
      <c r="I10126" s="362"/>
      <c r="J10126" s="362"/>
    </row>
    <row r="10127" spans="1:10" x14ac:dyDescent="0.25">
      <c r="A10127" s="362"/>
      <c r="B10127" s="609">
        <v>44798</v>
      </c>
      <c r="C10127" s="362" t="s">
        <v>141</v>
      </c>
      <c r="D10127" s="560">
        <v>140377904</v>
      </c>
      <c r="E10127" s="560"/>
      <c r="F10127" s="560">
        <v>140378000</v>
      </c>
      <c r="G10127" s="560">
        <f t="shared" si="236"/>
        <v>-96</v>
      </c>
      <c r="H10127" s="362"/>
      <c r="I10127" s="362"/>
      <c r="J10127" s="362"/>
    </row>
    <row r="10128" spans="1:10" x14ac:dyDescent="0.25">
      <c r="A10128" s="362"/>
      <c r="B10128" s="609">
        <v>44798</v>
      </c>
      <c r="C10128" s="362" t="s">
        <v>89</v>
      </c>
      <c r="D10128" s="560">
        <v>214636500</v>
      </c>
      <c r="E10128" s="560"/>
      <c r="F10128" s="560">
        <v>214636500</v>
      </c>
      <c r="G10128" s="560">
        <f t="shared" si="236"/>
        <v>0</v>
      </c>
      <c r="H10128" s="362"/>
      <c r="I10128" s="362"/>
      <c r="J10128" s="362"/>
    </row>
    <row r="10129" spans="1:10" x14ac:dyDescent="0.25">
      <c r="A10129" s="362"/>
      <c r="B10129" s="609">
        <v>44798</v>
      </c>
      <c r="C10129" s="362" t="s">
        <v>81</v>
      </c>
      <c r="D10129" s="560">
        <v>190973161</v>
      </c>
      <c r="E10129" s="560"/>
      <c r="F10129" s="560">
        <v>190973200</v>
      </c>
      <c r="G10129" s="560">
        <f t="shared" si="236"/>
        <v>-39</v>
      </c>
      <c r="H10129" s="362"/>
      <c r="I10129" s="362"/>
      <c r="J10129" s="362"/>
    </row>
    <row r="10130" spans="1:10" x14ac:dyDescent="0.25">
      <c r="A10130" s="362"/>
      <c r="B10130" s="609">
        <v>44798</v>
      </c>
      <c r="C10130" s="362" t="s">
        <v>84</v>
      </c>
      <c r="D10130" s="560">
        <v>420305133</v>
      </c>
      <c r="E10130" s="560"/>
      <c r="F10130" s="560">
        <v>420305000</v>
      </c>
      <c r="G10130" s="560">
        <f t="shared" si="236"/>
        <v>133</v>
      </c>
      <c r="H10130" s="362"/>
      <c r="I10130" s="362"/>
      <c r="J10130" s="362"/>
    </row>
    <row r="10131" spans="1:10" x14ac:dyDescent="0.25">
      <c r="A10131" s="362"/>
      <c r="B10131" s="609">
        <v>44798</v>
      </c>
      <c r="C10131" s="362" t="s">
        <v>4751</v>
      </c>
      <c r="D10131" s="560">
        <v>288078200</v>
      </c>
      <c r="E10131" s="560"/>
      <c r="F10131" s="560">
        <v>288078200</v>
      </c>
      <c r="G10131" s="560">
        <f t="shared" si="236"/>
        <v>0</v>
      </c>
      <c r="H10131" s="362"/>
      <c r="I10131" s="362"/>
      <c r="J10131" s="362"/>
    </row>
    <row r="10132" spans="1:10" x14ac:dyDescent="0.25">
      <c r="A10132" s="362"/>
      <c r="B10132" s="609">
        <v>44798</v>
      </c>
      <c r="C10132" s="362" t="s">
        <v>6301</v>
      </c>
      <c r="D10132" s="560">
        <v>224460732</v>
      </c>
      <c r="E10132" s="560"/>
      <c r="F10132" s="560">
        <v>224460700</v>
      </c>
      <c r="G10132" s="560">
        <f t="shared" si="236"/>
        <v>32</v>
      </c>
      <c r="H10132" s="362"/>
      <c r="I10132" s="362"/>
      <c r="J10132" s="362"/>
    </row>
    <row r="10133" spans="1:10" x14ac:dyDescent="0.25">
      <c r="A10133" s="362"/>
      <c r="B10133" s="609">
        <v>44798</v>
      </c>
      <c r="C10133" s="362" t="s">
        <v>3435</v>
      </c>
      <c r="D10133" s="560">
        <v>45707612</v>
      </c>
      <c r="E10133" s="560"/>
      <c r="F10133" s="560">
        <v>45707700</v>
      </c>
      <c r="G10133" s="560">
        <f t="shared" si="236"/>
        <v>-88</v>
      </c>
      <c r="H10133" s="362"/>
      <c r="I10133" s="362"/>
      <c r="J10133" s="362"/>
    </row>
    <row r="10134" spans="1:10" x14ac:dyDescent="0.25">
      <c r="A10134" s="362"/>
      <c r="B10134" s="609">
        <v>44798</v>
      </c>
      <c r="C10134" s="370" t="s">
        <v>85</v>
      </c>
      <c r="D10134" s="560">
        <v>46740500</v>
      </c>
      <c r="E10134" s="560"/>
      <c r="F10134" s="560">
        <v>46740500</v>
      </c>
      <c r="G10134" s="560">
        <f t="shared" si="236"/>
        <v>0</v>
      </c>
      <c r="H10134" s="362"/>
      <c r="I10134" s="362"/>
      <c r="J10134" s="362"/>
    </row>
    <row r="10135" spans="1:10" x14ac:dyDescent="0.25">
      <c r="A10135" s="362"/>
      <c r="B10135" s="609">
        <v>44798</v>
      </c>
      <c r="C10135" s="370" t="s">
        <v>6299</v>
      </c>
      <c r="D10135" s="560">
        <v>93011104</v>
      </c>
      <c r="E10135" s="560"/>
      <c r="F10135" s="560">
        <v>93011200</v>
      </c>
      <c r="G10135" s="560">
        <f t="shared" si="236"/>
        <v>-96</v>
      </c>
      <c r="H10135" s="362"/>
      <c r="I10135" s="362"/>
      <c r="J10135" s="362"/>
    </row>
    <row r="10136" spans="1:10" x14ac:dyDescent="0.25">
      <c r="A10136" s="530"/>
      <c r="B10136" s="530"/>
      <c r="C10136" s="530"/>
      <c r="D10136" s="562">
        <f>SUM(D10120:D10135)</f>
        <v>3322918855</v>
      </c>
      <c r="E10136" s="562">
        <f t="shared" ref="E10136:G10136" si="238">SUM(E10120:E10135)</f>
        <v>0</v>
      </c>
      <c r="F10136" s="562">
        <f t="shared" si="238"/>
        <v>3322919100</v>
      </c>
      <c r="G10136" s="562">
        <f t="shared" si="238"/>
        <v>-245</v>
      </c>
      <c r="H10136" s="530"/>
      <c r="I10136" s="530"/>
      <c r="J10136" s="530"/>
    </row>
    <row r="10137" spans="1:10" x14ac:dyDescent="0.25">
      <c r="A10137" s="362"/>
      <c r="B10137" s="609">
        <v>44799</v>
      </c>
      <c r="C10137" s="362" t="s">
        <v>86</v>
      </c>
      <c r="D10137" s="560">
        <v>123159646</v>
      </c>
      <c r="E10137" s="560"/>
      <c r="F10137" s="562">
        <v>123159600</v>
      </c>
      <c r="G10137" s="560">
        <f t="shared" si="236"/>
        <v>46</v>
      </c>
      <c r="H10137" s="362"/>
      <c r="I10137" s="362"/>
      <c r="J10137" s="362"/>
    </row>
    <row r="10138" spans="1:10" x14ac:dyDescent="0.25">
      <c r="A10138" s="362"/>
      <c r="B10138" s="609">
        <v>44799</v>
      </c>
      <c r="C10138" s="362" t="s">
        <v>87</v>
      </c>
      <c r="D10138" s="560">
        <v>139245171</v>
      </c>
      <c r="E10138" s="560"/>
      <c r="F10138" s="562">
        <v>139245200</v>
      </c>
      <c r="G10138" s="560">
        <f t="shared" si="236"/>
        <v>-29</v>
      </c>
      <c r="H10138" s="362"/>
      <c r="I10138" s="362"/>
      <c r="J10138" s="362"/>
    </row>
    <row r="10139" spans="1:10" x14ac:dyDescent="0.25">
      <c r="A10139" s="362"/>
      <c r="B10139" s="609">
        <v>44799</v>
      </c>
      <c r="C10139" s="362" t="s">
        <v>88</v>
      </c>
      <c r="D10139" s="560">
        <v>244821741</v>
      </c>
      <c r="E10139" s="560"/>
      <c r="F10139" s="562">
        <v>244821800</v>
      </c>
      <c r="G10139" s="560">
        <f t="shared" si="236"/>
        <v>-59</v>
      </c>
      <c r="H10139" s="362"/>
      <c r="I10139" s="362"/>
      <c r="J10139" s="362"/>
    </row>
    <row r="10140" spans="1:10" x14ac:dyDescent="0.25">
      <c r="A10140" s="362"/>
      <c r="B10140" s="609">
        <v>44799</v>
      </c>
      <c r="C10140" s="362" t="s">
        <v>82</v>
      </c>
      <c r="D10140" s="560">
        <v>129734703</v>
      </c>
      <c r="E10140" s="560"/>
      <c r="F10140" s="562">
        <v>129734800</v>
      </c>
      <c r="G10140" s="560">
        <f t="shared" si="236"/>
        <v>-97</v>
      </c>
      <c r="H10140" s="362"/>
      <c r="I10140" s="362"/>
      <c r="J10140" s="362"/>
    </row>
    <row r="10141" spans="1:10" x14ac:dyDescent="0.25">
      <c r="A10141" s="362"/>
      <c r="B10141" s="609">
        <v>44799</v>
      </c>
      <c r="C10141" s="362" t="s">
        <v>80</v>
      </c>
      <c r="D10141" s="560">
        <v>238003200</v>
      </c>
      <c r="E10141" s="560"/>
      <c r="F10141" s="562">
        <v>238003200</v>
      </c>
      <c r="G10141" s="560">
        <f t="shared" si="236"/>
        <v>0</v>
      </c>
      <c r="H10141" s="362"/>
      <c r="I10141" s="362"/>
      <c r="J10141" s="362"/>
    </row>
    <row r="10142" spans="1:10" x14ac:dyDescent="0.25">
      <c r="A10142" s="362"/>
      <c r="B10142" s="609">
        <v>44799</v>
      </c>
      <c r="C10142" s="362" t="s">
        <v>83</v>
      </c>
      <c r="D10142" s="560">
        <v>248192600</v>
      </c>
      <c r="E10142" s="560"/>
      <c r="F10142" s="562">
        <v>248192600</v>
      </c>
      <c r="G10142" s="560">
        <f t="shared" si="236"/>
        <v>0</v>
      </c>
      <c r="H10142" s="362"/>
      <c r="I10142" s="362"/>
      <c r="J10142" s="362"/>
    </row>
    <row r="10143" spans="1:10" x14ac:dyDescent="0.25">
      <c r="A10143" s="362"/>
      <c r="B10143" s="609">
        <v>44799</v>
      </c>
      <c r="C10143" s="362" t="s">
        <v>78</v>
      </c>
      <c r="D10143" s="560">
        <v>86232600</v>
      </c>
      <c r="E10143" s="560"/>
      <c r="F10143" s="562">
        <v>86232600</v>
      </c>
      <c r="G10143" s="560">
        <f t="shared" si="236"/>
        <v>0</v>
      </c>
      <c r="H10143" s="362"/>
      <c r="I10143" s="362"/>
      <c r="J10143" s="362"/>
    </row>
    <row r="10144" spans="1:10" x14ac:dyDescent="0.25">
      <c r="A10144" s="362"/>
      <c r="B10144" s="609">
        <v>44799</v>
      </c>
      <c r="C10144" s="362" t="s">
        <v>141</v>
      </c>
      <c r="D10144" s="560">
        <v>92863183</v>
      </c>
      <c r="E10144" s="560"/>
      <c r="F10144" s="562">
        <v>92863200</v>
      </c>
      <c r="G10144" s="560">
        <f t="shared" si="236"/>
        <v>-17</v>
      </c>
      <c r="H10144" s="362"/>
      <c r="I10144" s="362"/>
      <c r="J10144" s="362"/>
    </row>
    <row r="10145" spans="1:10" x14ac:dyDescent="0.25">
      <c r="A10145" s="362"/>
      <c r="B10145" s="609">
        <v>44799</v>
      </c>
      <c r="C10145" s="362" t="s">
        <v>89</v>
      </c>
      <c r="D10145" s="560">
        <v>203859400</v>
      </c>
      <c r="E10145" s="560"/>
      <c r="F10145" s="562">
        <v>203859400</v>
      </c>
      <c r="G10145" s="560">
        <f t="shared" si="236"/>
        <v>0</v>
      </c>
      <c r="H10145" s="362"/>
      <c r="I10145" s="362"/>
      <c r="J10145" s="362"/>
    </row>
    <row r="10146" spans="1:10" x14ac:dyDescent="0.25">
      <c r="A10146" s="362"/>
      <c r="B10146" s="609">
        <v>44799</v>
      </c>
      <c r="C10146" s="362" t="s">
        <v>81</v>
      </c>
      <c r="D10146" s="560">
        <v>97437188</v>
      </c>
      <c r="E10146" s="560"/>
      <c r="F10146" s="562">
        <v>97437200</v>
      </c>
      <c r="G10146" s="560">
        <f t="shared" si="236"/>
        <v>-12</v>
      </c>
      <c r="H10146" s="362"/>
      <c r="I10146" s="362"/>
      <c r="J10146" s="362"/>
    </row>
    <row r="10147" spans="1:10" x14ac:dyDescent="0.25">
      <c r="A10147" s="362"/>
      <c r="B10147" s="609">
        <v>44799</v>
      </c>
      <c r="C10147" s="362" t="s">
        <v>84</v>
      </c>
      <c r="D10147" s="560">
        <v>689572860</v>
      </c>
      <c r="E10147" s="560"/>
      <c r="F10147" s="562">
        <v>689571700</v>
      </c>
      <c r="G10147" s="560">
        <f t="shared" si="236"/>
        <v>1160</v>
      </c>
      <c r="H10147" s="362"/>
      <c r="I10147" s="362"/>
      <c r="J10147" s="362"/>
    </row>
    <row r="10148" spans="1:10" x14ac:dyDescent="0.25">
      <c r="A10148" s="362"/>
      <c r="B10148" s="609">
        <v>44799</v>
      </c>
      <c r="C10148" s="362" t="s">
        <v>4751</v>
      </c>
      <c r="D10148" s="560">
        <v>186480400</v>
      </c>
      <c r="E10148" s="560"/>
      <c r="F10148" s="562">
        <v>186480400</v>
      </c>
      <c r="G10148" s="560">
        <f t="shared" si="236"/>
        <v>0</v>
      </c>
      <c r="H10148" s="362"/>
      <c r="I10148" s="362"/>
      <c r="J10148" s="362"/>
    </row>
    <row r="10149" spans="1:10" x14ac:dyDescent="0.25">
      <c r="A10149" s="362"/>
      <c r="B10149" s="609">
        <v>44799</v>
      </c>
      <c r="C10149" s="362" t="s">
        <v>6301</v>
      </c>
      <c r="D10149" s="560">
        <v>67361649</v>
      </c>
      <c r="E10149" s="560"/>
      <c r="F10149" s="562">
        <v>67361600</v>
      </c>
      <c r="G10149" s="560">
        <f t="shared" si="236"/>
        <v>49</v>
      </c>
      <c r="H10149" s="362"/>
      <c r="I10149" s="362"/>
      <c r="J10149" s="362"/>
    </row>
    <row r="10150" spans="1:10" x14ac:dyDescent="0.25">
      <c r="A10150" s="362"/>
      <c r="B10150" s="609">
        <v>44799</v>
      </c>
      <c r="C10150" s="362" t="s">
        <v>3435</v>
      </c>
      <c r="D10150" s="560">
        <v>123765659</v>
      </c>
      <c r="E10150" s="560"/>
      <c r="F10150" s="562">
        <v>123765700</v>
      </c>
      <c r="G10150" s="560">
        <f t="shared" si="236"/>
        <v>-41</v>
      </c>
      <c r="H10150" s="362"/>
      <c r="I10150" s="362"/>
      <c r="J10150" s="362"/>
    </row>
    <row r="10151" spans="1:10" x14ac:dyDescent="0.25">
      <c r="A10151" s="362"/>
      <c r="B10151" s="609">
        <v>44799</v>
      </c>
      <c r="C10151" s="370" t="s">
        <v>85</v>
      </c>
      <c r="D10151" s="560">
        <v>46340100</v>
      </c>
      <c r="E10151" s="560"/>
      <c r="F10151" s="562">
        <v>46340100</v>
      </c>
      <c r="G10151" s="560">
        <f t="shared" si="236"/>
        <v>0</v>
      </c>
      <c r="H10151" s="362"/>
      <c r="I10151" s="362"/>
      <c r="J10151" s="362"/>
    </row>
    <row r="10152" spans="1:10" x14ac:dyDescent="0.25">
      <c r="A10152" s="362"/>
      <c r="B10152" s="609">
        <v>44799</v>
      </c>
      <c r="C10152" s="370" t="s">
        <v>6299</v>
      </c>
      <c r="D10152" s="560">
        <v>30473803</v>
      </c>
      <c r="E10152" s="560"/>
      <c r="F10152" s="562">
        <v>30473800</v>
      </c>
      <c r="G10152" s="560">
        <f t="shared" si="236"/>
        <v>3</v>
      </c>
      <c r="H10152" s="362"/>
      <c r="I10152" s="362"/>
      <c r="J10152" s="362"/>
    </row>
    <row r="10153" spans="1:10" x14ac:dyDescent="0.25">
      <c r="A10153" s="530"/>
      <c r="B10153" s="530"/>
      <c r="C10153" s="530"/>
      <c r="D10153" s="562">
        <f>SUM(D10137:D10152)</f>
        <v>2747543903</v>
      </c>
      <c r="E10153" s="562">
        <f t="shared" ref="E10153:H10153" si="239">SUM(E10137:E10152)</f>
        <v>0</v>
      </c>
      <c r="F10153" s="562">
        <f t="shared" si="239"/>
        <v>2747542900</v>
      </c>
      <c r="G10153" s="562">
        <f t="shared" si="239"/>
        <v>1003</v>
      </c>
      <c r="H10153" s="562">
        <f t="shared" si="239"/>
        <v>0</v>
      </c>
      <c r="I10153" s="530"/>
      <c r="J10153" s="530"/>
    </row>
    <row r="10154" spans="1:10" x14ac:dyDescent="0.25">
      <c r="A10154" s="362"/>
      <c r="B10154" s="609">
        <v>44800</v>
      </c>
      <c r="C10154" s="362" t="s">
        <v>86</v>
      </c>
      <c r="D10154" s="560">
        <v>218003195</v>
      </c>
      <c r="E10154" s="560"/>
      <c r="F10154" s="562">
        <v>218004200</v>
      </c>
      <c r="G10154" s="560">
        <f t="shared" si="236"/>
        <v>-1005</v>
      </c>
      <c r="H10154" s="362"/>
      <c r="I10154" s="362"/>
      <c r="J10154" s="362"/>
    </row>
    <row r="10155" spans="1:10" x14ac:dyDescent="0.25">
      <c r="A10155" s="362"/>
      <c r="B10155" s="609">
        <v>44800</v>
      </c>
      <c r="C10155" s="362" t="s">
        <v>87</v>
      </c>
      <c r="D10155" s="560">
        <v>75889788</v>
      </c>
      <c r="E10155" s="560"/>
      <c r="F10155" s="562">
        <v>75888900</v>
      </c>
      <c r="G10155" s="560">
        <f t="shared" si="236"/>
        <v>888</v>
      </c>
      <c r="H10155" s="362"/>
      <c r="I10155" s="362"/>
      <c r="J10155" s="362"/>
    </row>
    <row r="10156" spans="1:10" x14ac:dyDescent="0.25">
      <c r="A10156" s="362"/>
      <c r="B10156" s="609">
        <v>44800</v>
      </c>
      <c r="C10156" s="362" t="s">
        <v>88</v>
      </c>
      <c r="D10156" s="560">
        <v>222459304</v>
      </c>
      <c r="E10156" s="560"/>
      <c r="F10156" s="562">
        <v>222459400</v>
      </c>
      <c r="G10156" s="560">
        <f t="shared" si="236"/>
        <v>-96</v>
      </c>
      <c r="H10156" s="362"/>
      <c r="I10156" s="362"/>
      <c r="J10156" s="362"/>
    </row>
    <row r="10157" spans="1:10" x14ac:dyDescent="0.25">
      <c r="A10157" s="362"/>
      <c r="B10157" s="609">
        <v>44800</v>
      </c>
      <c r="C10157" s="362" t="s">
        <v>82</v>
      </c>
      <c r="D10157" s="560">
        <v>54487434</v>
      </c>
      <c r="E10157" s="560"/>
      <c r="F10157" s="562">
        <v>54487600</v>
      </c>
      <c r="G10157" s="560">
        <f t="shared" si="236"/>
        <v>-166</v>
      </c>
      <c r="H10157" s="362"/>
      <c r="I10157" s="362"/>
      <c r="J10157" s="362"/>
    </row>
    <row r="10158" spans="1:10" x14ac:dyDescent="0.25">
      <c r="A10158" s="362"/>
      <c r="B10158" s="609">
        <v>44800</v>
      </c>
      <c r="C10158" s="362" t="s">
        <v>80</v>
      </c>
      <c r="D10158" s="560">
        <v>232762942</v>
      </c>
      <c r="E10158" s="560"/>
      <c r="F10158" s="560">
        <v>232762942</v>
      </c>
      <c r="G10158" s="560">
        <f t="shared" si="236"/>
        <v>0</v>
      </c>
      <c r="H10158" s="362"/>
      <c r="I10158" s="362"/>
      <c r="J10158" s="362"/>
    </row>
    <row r="10159" spans="1:10" x14ac:dyDescent="0.25">
      <c r="A10159" s="362"/>
      <c r="B10159" s="609">
        <v>44800</v>
      </c>
      <c r="C10159" s="362" t="s">
        <v>83</v>
      </c>
      <c r="D10159" s="560">
        <v>152043200</v>
      </c>
      <c r="E10159" s="560"/>
      <c r="F10159" s="562">
        <v>152043200</v>
      </c>
      <c r="G10159" s="560">
        <f t="shared" si="236"/>
        <v>0</v>
      </c>
      <c r="H10159" s="362"/>
      <c r="I10159" s="362"/>
      <c r="J10159" s="362"/>
    </row>
    <row r="10160" spans="1:10" x14ac:dyDescent="0.25">
      <c r="A10160" s="362"/>
      <c r="B10160" s="609">
        <v>44800</v>
      </c>
      <c r="C10160" s="362" t="s">
        <v>78</v>
      </c>
      <c r="D10160" s="560">
        <v>130604900</v>
      </c>
      <c r="E10160" s="560"/>
      <c r="F10160" s="562">
        <v>130604900</v>
      </c>
      <c r="G10160" s="560">
        <f t="shared" si="236"/>
        <v>0</v>
      </c>
      <c r="H10160" s="362"/>
      <c r="I10160" s="362"/>
      <c r="J10160" s="362"/>
    </row>
    <row r="10161" spans="1:10" x14ac:dyDescent="0.25">
      <c r="A10161" s="362"/>
      <c r="B10161" s="609">
        <v>44800</v>
      </c>
      <c r="C10161" s="362" t="s">
        <v>141</v>
      </c>
      <c r="D10161" s="560">
        <v>51222212</v>
      </c>
      <c r="E10161" s="560"/>
      <c r="F10161" s="562">
        <v>51222300</v>
      </c>
      <c r="G10161" s="560">
        <f t="shared" si="236"/>
        <v>-88</v>
      </c>
      <c r="H10161" s="362"/>
      <c r="I10161" s="362"/>
      <c r="J10161" s="362"/>
    </row>
    <row r="10162" spans="1:10" x14ac:dyDescent="0.25">
      <c r="A10162" s="362"/>
      <c r="B10162" s="609">
        <v>44800</v>
      </c>
      <c r="C10162" s="362" t="s">
        <v>89</v>
      </c>
      <c r="D10162" s="560">
        <v>221938000</v>
      </c>
      <c r="E10162" s="560"/>
      <c r="F10162" s="562">
        <v>221938000</v>
      </c>
      <c r="G10162" s="560">
        <f t="shared" si="236"/>
        <v>0</v>
      </c>
      <c r="H10162" s="362"/>
      <c r="I10162" s="362"/>
      <c r="J10162" s="362"/>
    </row>
    <row r="10163" spans="1:10" x14ac:dyDescent="0.25">
      <c r="A10163" s="362"/>
      <c r="B10163" s="609">
        <v>44800</v>
      </c>
      <c r="C10163" s="362" t="s">
        <v>81</v>
      </c>
      <c r="D10163" s="560">
        <v>192596921</v>
      </c>
      <c r="E10163" s="560"/>
      <c r="F10163" s="562">
        <f>22983000+169614000</f>
        <v>192597000</v>
      </c>
      <c r="G10163" s="560">
        <f t="shared" si="236"/>
        <v>-79</v>
      </c>
      <c r="H10163" s="362"/>
      <c r="I10163" s="362"/>
      <c r="J10163" s="362"/>
    </row>
    <row r="10164" spans="1:10" x14ac:dyDescent="0.25">
      <c r="A10164" s="362"/>
      <c r="B10164" s="609">
        <v>44800</v>
      </c>
      <c r="C10164" s="362" t="s">
        <v>84</v>
      </c>
      <c r="D10164" s="560">
        <v>393765977</v>
      </c>
      <c r="E10164" s="560"/>
      <c r="F10164" s="562">
        <v>393765900</v>
      </c>
      <c r="G10164" s="560">
        <f t="shared" si="236"/>
        <v>77</v>
      </c>
      <c r="H10164" s="362"/>
      <c r="I10164" s="362"/>
      <c r="J10164" s="362"/>
    </row>
    <row r="10165" spans="1:10" x14ac:dyDescent="0.25">
      <c r="A10165" s="362"/>
      <c r="B10165" s="609">
        <v>44800</v>
      </c>
      <c r="C10165" s="362" t="s">
        <v>4751</v>
      </c>
      <c r="D10165" s="560">
        <v>190099900</v>
      </c>
      <c r="E10165" s="560"/>
      <c r="F10165" s="562">
        <v>190099900</v>
      </c>
      <c r="G10165" s="560">
        <f t="shared" si="236"/>
        <v>0</v>
      </c>
      <c r="H10165" s="362"/>
      <c r="I10165" s="362"/>
      <c r="J10165" s="362"/>
    </row>
    <row r="10166" spans="1:10" x14ac:dyDescent="0.25">
      <c r="A10166" s="362"/>
      <c r="B10166" s="609">
        <v>44800</v>
      </c>
      <c r="C10166" s="362" t="s">
        <v>6301</v>
      </c>
      <c r="D10166" s="560">
        <v>28480934</v>
      </c>
      <c r="E10166" s="560"/>
      <c r="F10166" s="562">
        <v>28481000</v>
      </c>
      <c r="G10166" s="560">
        <f t="shared" si="236"/>
        <v>-66</v>
      </c>
      <c r="H10166" s="362"/>
      <c r="I10166" s="362"/>
      <c r="J10166" s="362"/>
    </row>
    <row r="10167" spans="1:10" x14ac:dyDescent="0.25">
      <c r="A10167" s="362"/>
      <c r="B10167" s="609">
        <v>44800</v>
      </c>
      <c r="C10167" s="362" t="s">
        <v>3435</v>
      </c>
      <c r="D10167" s="560"/>
      <c r="E10167" s="560"/>
      <c r="F10167" s="560"/>
      <c r="G10167" s="560">
        <f t="shared" si="236"/>
        <v>0</v>
      </c>
      <c r="H10167" s="362"/>
      <c r="I10167" s="362"/>
      <c r="J10167" s="362"/>
    </row>
    <row r="10168" spans="1:10" x14ac:dyDescent="0.25">
      <c r="A10168" s="362"/>
      <c r="B10168" s="609">
        <v>44800</v>
      </c>
      <c r="C10168" s="370" t="s">
        <v>85</v>
      </c>
      <c r="D10168" s="560">
        <v>31280800</v>
      </c>
      <c r="E10168" s="560"/>
      <c r="F10168" s="562">
        <v>31280800</v>
      </c>
      <c r="G10168" s="560">
        <f t="shared" si="236"/>
        <v>0</v>
      </c>
      <c r="H10168" s="362"/>
      <c r="I10168" s="362"/>
      <c r="J10168" s="362"/>
    </row>
    <row r="10169" spans="1:10" x14ac:dyDescent="0.25">
      <c r="A10169" s="362"/>
      <c r="B10169" s="609">
        <v>44800</v>
      </c>
      <c r="C10169" s="370" t="s">
        <v>6299</v>
      </c>
      <c r="D10169" s="560">
        <v>56552272</v>
      </c>
      <c r="E10169" s="560"/>
      <c r="F10169" s="562">
        <v>56552300</v>
      </c>
      <c r="G10169" s="560">
        <f t="shared" si="236"/>
        <v>-28</v>
      </c>
      <c r="H10169" s="362"/>
      <c r="I10169" s="362"/>
      <c r="J10169" s="362"/>
    </row>
    <row r="10170" spans="1:10" x14ac:dyDescent="0.25">
      <c r="A10170" s="530"/>
      <c r="B10170" s="530"/>
      <c r="C10170" s="530"/>
      <c r="D10170" s="562">
        <f>SUM(D10154:D10169)</f>
        <v>2252187779</v>
      </c>
      <c r="E10170" s="562">
        <f t="shared" ref="E10170:G10170" si="240">SUM(E10154:E10169)</f>
        <v>0</v>
      </c>
      <c r="F10170" s="562">
        <f t="shared" si="240"/>
        <v>2252188342</v>
      </c>
      <c r="G10170" s="562">
        <f t="shared" si="240"/>
        <v>-563</v>
      </c>
      <c r="H10170" s="530"/>
      <c r="I10170" s="530"/>
      <c r="J10170" s="530"/>
    </row>
    <row r="10171" spans="1:10" x14ac:dyDescent="0.25">
      <c r="A10171" s="362"/>
      <c r="B10171" s="609">
        <v>44802</v>
      </c>
      <c r="C10171" s="362" t="s">
        <v>86</v>
      </c>
      <c r="D10171" s="560">
        <v>201626571</v>
      </c>
      <c r="E10171" s="560"/>
      <c r="F10171" s="560">
        <v>201626500</v>
      </c>
      <c r="G10171" s="560">
        <f t="shared" si="236"/>
        <v>71</v>
      </c>
      <c r="H10171" s="362"/>
      <c r="I10171" s="362"/>
      <c r="J10171" s="362"/>
    </row>
    <row r="10172" spans="1:10" x14ac:dyDescent="0.25">
      <c r="A10172" s="362"/>
      <c r="B10172" s="609">
        <v>44802</v>
      </c>
      <c r="C10172" s="362" t="s">
        <v>87</v>
      </c>
      <c r="D10172" s="560">
        <v>270350138</v>
      </c>
      <c r="E10172" s="560"/>
      <c r="F10172" s="560">
        <v>270350200</v>
      </c>
      <c r="G10172" s="560">
        <f t="shared" si="236"/>
        <v>-62</v>
      </c>
      <c r="H10172" s="362"/>
      <c r="I10172" s="362"/>
      <c r="J10172" s="362"/>
    </row>
    <row r="10173" spans="1:10" x14ac:dyDescent="0.25">
      <c r="A10173" s="362"/>
      <c r="B10173" s="609">
        <v>44802</v>
      </c>
      <c r="C10173" s="362" t="s">
        <v>88</v>
      </c>
      <c r="D10173" s="560">
        <v>176348319</v>
      </c>
      <c r="E10173" s="560"/>
      <c r="F10173" s="560">
        <v>176348400</v>
      </c>
      <c r="G10173" s="560">
        <f t="shared" ref="G10173:G10236" si="241">D10173-F10173</f>
        <v>-81</v>
      </c>
      <c r="H10173" s="362"/>
      <c r="I10173" s="362"/>
      <c r="J10173" s="362"/>
    </row>
    <row r="10174" spans="1:10" x14ac:dyDescent="0.25">
      <c r="A10174" s="362"/>
      <c r="B10174" s="609">
        <v>44802</v>
      </c>
      <c r="C10174" s="362" t="s">
        <v>82</v>
      </c>
      <c r="D10174" s="560">
        <v>58754922</v>
      </c>
      <c r="E10174" s="560"/>
      <c r="F10174" s="560">
        <v>58755000</v>
      </c>
      <c r="G10174" s="560">
        <f t="shared" si="241"/>
        <v>-78</v>
      </c>
      <c r="H10174" s="362"/>
      <c r="I10174" s="362"/>
      <c r="J10174" s="362"/>
    </row>
    <row r="10175" spans="1:10" x14ac:dyDescent="0.25">
      <c r="A10175" s="362"/>
      <c r="B10175" s="609">
        <v>44802</v>
      </c>
      <c r="C10175" s="362" t="s">
        <v>80</v>
      </c>
      <c r="D10175" s="560">
        <v>162187876</v>
      </c>
      <c r="E10175" s="560"/>
      <c r="F10175" s="560">
        <v>162187800</v>
      </c>
      <c r="G10175" s="560">
        <f t="shared" si="241"/>
        <v>76</v>
      </c>
      <c r="H10175" s="362"/>
      <c r="I10175" s="362"/>
      <c r="J10175" s="362"/>
    </row>
    <row r="10176" spans="1:10" x14ac:dyDescent="0.25">
      <c r="A10176" s="362"/>
      <c r="B10176" s="609">
        <v>44802</v>
      </c>
      <c r="C10176" s="362" t="s">
        <v>83</v>
      </c>
      <c r="D10176" s="560">
        <v>325084456</v>
      </c>
      <c r="E10176" s="560"/>
      <c r="F10176" s="560">
        <v>325084400</v>
      </c>
      <c r="G10176" s="560">
        <f t="shared" si="241"/>
        <v>56</v>
      </c>
      <c r="H10176" s="362"/>
      <c r="I10176" s="362"/>
      <c r="J10176" s="362"/>
    </row>
    <row r="10177" spans="1:10" x14ac:dyDescent="0.25">
      <c r="A10177" s="362"/>
      <c r="B10177" s="609">
        <v>44802</v>
      </c>
      <c r="C10177" s="362" t="s">
        <v>78</v>
      </c>
      <c r="D10177" s="560">
        <v>118276800</v>
      </c>
      <c r="E10177" s="560"/>
      <c r="F10177" s="560">
        <v>118276800</v>
      </c>
      <c r="G10177" s="560">
        <f t="shared" si="241"/>
        <v>0</v>
      </c>
      <c r="H10177" s="362"/>
      <c r="I10177" s="362"/>
      <c r="J10177" s="362"/>
    </row>
    <row r="10178" spans="1:10" x14ac:dyDescent="0.25">
      <c r="A10178" s="362"/>
      <c r="B10178" s="609">
        <v>44802</v>
      </c>
      <c r="C10178" s="362" t="s">
        <v>141</v>
      </c>
      <c r="D10178" s="560">
        <v>152841552</v>
      </c>
      <c r="E10178" s="560"/>
      <c r="F10178" s="560">
        <v>152841600</v>
      </c>
      <c r="G10178" s="560">
        <f t="shared" si="241"/>
        <v>-48</v>
      </c>
      <c r="H10178" s="362"/>
      <c r="I10178" s="362"/>
      <c r="J10178" s="362"/>
    </row>
    <row r="10179" spans="1:10" x14ac:dyDescent="0.25">
      <c r="A10179" s="362"/>
      <c r="B10179" s="609">
        <v>44802</v>
      </c>
      <c r="C10179" s="362" t="s">
        <v>89</v>
      </c>
      <c r="D10179" s="560">
        <v>158352700</v>
      </c>
      <c r="E10179" s="560"/>
      <c r="F10179" s="560">
        <v>158352700</v>
      </c>
      <c r="G10179" s="560">
        <f t="shared" si="241"/>
        <v>0</v>
      </c>
      <c r="H10179" s="362"/>
      <c r="I10179" s="362"/>
      <c r="J10179" s="362"/>
    </row>
    <row r="10180" spans="1:10" x14ac:dyDescent="0.25">
      <c r="A10180" s="362"/>
      <c r="B10180" s="609">
        <v>44802</v>
      </c>
      <c r="C10180" s="362" t="s">
        <v>81</v>
      </c>
      <c r="D10180" s="560">
        <v>164320061</v>
      </c>
      <c r="E10180" s="560"/>
      <c r="F10180" s="560">
        <v>164320100</v>
      </c>
      <c r="G10180" s="560">
        <f t="shared" si="241"/>
        <v>-39</v>
      </c>
      <c r="H10180" s="362"/>
      <c r="I10180" s="362"/>
      <c r="J10180" s="362"/>
    </row>
    <row r="10181" spans="1:10" x14ac:dyDescent="0.25">
      <c r="A10181" s="362"/>
      <c r="B10181" s="609">
        <v>44802</v>
      </c>
      <c r="C10181" s="362" t="s">
        <v>84</v>
      </c>
      <c r="D10181" s="560">
        <v>491817474</v>
      </c>
      <c r="E10181" s="560"/>
      <c r="F10181" s="560">
        <v>491817500</v>
      </c>
      <c r="G10181" s="560">
        <f t="shared" si="241"/>
        <v>-26</v>
      </c>
      <c r="H10181" s="362"/>
      <c r="I10181" s="362"/>
      <c r="J10181" s="362"/>
    </row>
    <row r="10182" spans="1:10" x14ac:dyDescent="0.25">
      <c r="A10182" s="362"/>
      <c r="B10182" s="609">
        <v>44802</v>
      </c>
      <c r="C10182" s="362" t="s">
        <v>4751</v>
      </c>
      <c r="D10182" s="560">
        <v>177867900</v>
      </c>
      <c r="E10182" s="560"/>
      <c r="F10182" s="560">
        <v>177867900</v>
      </c>
      <c r="G10182" s="560">
        <f t="shared" si="241"/>
        <v>0</v>
      </c>
      <c r="H10182" s="362"/>
      <c r="I10182" s="362"/>
      <c r="J10182" s="362"/>
    </row>
    <row r="10183" spans="1:10" x14ac:dyDescent="0.25">
      <c r="A10183" s="362"/>
      <c r="B10183" s="609">
        <v>44802</v>
      </c>
      <c r="C10183" s="362" t="s">
        <v>6301</v>
      </c>
      <c r="D10183" s="560">
        <v>116237068</v>
      </c>
      <c r="E10183" s="560"/>
      <c r="F10183" s="560">
        <v>116237100</v>
      </c>
      <c r="G10183" s="560">
        <f t="shared" si="241"/>
        <v>-32</v>
      </c>
      <c r="H10183" s="362"/>
      <c r="I10183" s="362"/>
      <c r="J10183" s="362"/>
    </row>
    <row r="10184" spans="1:10" x14ac:dyDescent="0.25">
      <c r="A10184" s="362"/>
      <c r="B10184" s="609">
        <v>44802</v>
      </c>
      <c r="C10184" s="362" t="s">
        <v>3435</v>
      </c>
      <c r="D10184" s="560">
        <v>13849978</v>
      </c>
      <c r="E10184" s="560"/>
      <c r="F10184" s="560">
        <v>13850000</v>
      </c>
      <c r="G10184" s="560">
        <f t="shared" si="241"/>
        <v>-22</v>
      </c>
      <c r="H10184" s="362"/>
      <c r="I10184" s="362"/>
      <c r="J10184" s="362"/>
    </row>
    <row r="10185" spans="1:10" x14ac:dyDescent="0.25">
      <c r="A10185" s="362"/>
      <c r="B10185" s="609">
        <v>44802</v>
      </c>
      <c r="C10185" s="370" t="s">
        <v>85</v>
      </c>
      <c r="D10185" s="560">
        <v>64738100</v>
      </c>
      <c r="E10185" s="560"/>
      <c r="F10185" s="560">
        <v>64738100</v>
      </c>
      <c r="G10185" s="560">
        <f t="shared" si="241"/>
        <v>0</v>
      </c>
      <c r="H10185" s="362"/>
      <c r="I10185" s="362"/>
      <c r="J10185" s="362"/>
    </row>
    <row r="10186" spans="1:10" x14ac:dyDescent="0.25">
      <c r="A10186" s="362"/>
      <c r="B10186" s="609">
        <v>44802</v>
      </c>
      <c r="C10186" s="370" t="s">
        <v>6299</v>
      </c>
      <c r="D10186" s="560">
        <v>28694529</v>
      </c>
      <c r="E10186" s="560"/>
      <c r="F10186" s="560">
        <v>28694600</v>
      </c>
      <c r="G10186" s="560">
        <f t="shared" si="241"/>
        <v>-71</v>
      </c>
      <c r="H10186" s="362"/>
      <c r="I10186" s="362"/>
      <c r="J10186" s="362"/>
    </row>
    <row r="10187" spans="1:10" x14ac:dyDescent="0.25">
      <c r="A10187" s="530"/>
      <c r="B10187" s="530"/>
      <c r="C10187" s="530"/>
      <c r="D10187" s="562">
        <f>SUM(D10171:D10186)</f>
        <v>2681348444</v>
      </c>
      <c r="E10187" s="562">
        <f t="shared" ref="E10187:G10187" si="242">SUM(E10171:E10186)</f>
        <v>0</v>
      </c>
      <c r="F10187" s="562">
        <f t="shared" si="242"/>
        <v>2681348700</v>
      </c>
      <c r="G10187" s="562">
        <f t="shared" si="242"/>
        <v>-256</v>
      </c>
      <c r="H10187" s="530"/>
      <c r="I10187" s="530"/>
      <c r="J10187" s="530"/>
    </row>
    <row r="10188" spans="1:10" x14ac:dyDescent="0.25">
      <c r="A10188" s="362"/>
      <c r="B10188" s="609">
        <v>44803</v>
      </c>
      <c r="C10188" s="362" t="s">
        <v>86</v>
      </c>
      <c r="D10188" s="560">
        <v>92967809</v>
      </c>
      <c r="E10188" s="560"/>
      <c r="F10188" s="560">
        <v>92967900</v>
      </c>
      <c r="G10188" s="560">
        <f t="shared" si="241"/>
        <v>-91</v>
      </c>
      <c r="H10188" s="362"/>
      <c r="I10188" s="362"/>
      <c r="J10188" s="362"/>
    </row>
    <row r="10189" spans="1:10" x14ac:dyDescent="0.25">
      <c r="A10189" s="362"/>
      <c r="B10189" s="609">
        <v>44803</v>
      </c>
      <c r="C10189" s="362" t="s">
        <v>87</v>
      </c>
      <c r="D10189" s="560">
        <v>172459153</v>
      </c>
      <c r="E10189" s="560"/>
      <c r="F10189" s="560">
        <v>172459200</v>
      </c>
      <c r="G10189" s="560">
        <f t="shared" si="241"/>
        <v>-47</v>
      </c>
      <c r="H10189" s="362"/>
      <c r="I10189" s="362"/>
      <c r="J10189" s="362"/>
    </row>
    <row r="10190" spans="1:10" x14ac:dyDescent="0.25">
      <c r="A10190" s="362"/>
      <c r="B10190" s="609">
        <v>44803</v>
      </c>
      <c r="C10190" s="362" t="s">
        <v>88</v>
      </c>
      <c r="D10190" s="560">
        <v>159298747</v>
      </c>
      <c r="E10190" s="560"/>
      <c r="F10190" s="560">
        <v>158298800</v>
      </c>
      <c r="G10190" s="560">
        <f t="shared" si="241"/>
        <v>999947</v>
      </c>
      <c r="H10190" s="362"/>
      <c r="I10190" s="362"/>
      <c r="J10190" s="362"/>
    </row>
    <row r="10191" spans="1:10" x14ac:dyDescent="0.25">
      <c r="A10191" s="362"/>
      <c r="B10191" s="609">
        <v>44803</v>
      </c>
      <c r="C10191" s="362" t="s">
        <v>82</v>
      </c>
      <c r="D10191" s="560">
        <v>66657627</v>
      </c>
      <c r="E10191" s="560"/>
      <c r="F10191" s="560">
        <v>66657700</v>
      </c>
      <c r="G10191" s="560">
        <f t="shared" si="241"/>
        <v>-73</v>
      </c>
      <c r="H10191" s="362"/>
      <c r="I10191" s="362"/>
      <c r="J10191" s="362"/>
    </row>
    <row r="10192" spans="1:10" x14ac:dyDescent="0.25">
      <c r="A10192" s="362"/>
      <c r="B10192" s="609">
        <v>44803</v>
      </c>
      <c r="C10192" s="362" t="s">
        <v>80</v>
      </c>
      <c r="D10192" s="560">
        <v>220126666</v>
      </c>
      <c r="E10192" s="560"/>
      <c r="F10192" s="560">
        <v>220126100</v>
      </c>
      <c r="G10192" s="560">
        <f t="shared" si="241"/>
        <v>566</v>
      </c>
      <c r="H10192" s="362"/>
      <c r="I10192" s="362"/>
      <c r="J10192" s="362"/>
    </row>
    <row r="10193" spans="1:10" x14ac:dyDescent="0.25">
      <c r="A10193" s="362"/>
      <c r="B10193" s="609">
        <v>44803</v>
      </c>
      <c r="C10193" s="362" t="s">
        <v>83</v>
      </c>
      <c r="D10193" s="560">
        <v>284324500</v>
      </c>
      <c r="E10193" s="560"/>
      <c r="F10193" s="560">
        <v>284324500</v>
      </c>
      <c r="G10193" s="560">
        <f t="shared" si="241"/>
        <v>0</v>
      </c>
      <c r="H10193" s="362"/>
      <c r="I10193" s="362"/>
      <c r="J10193" s="362"/>
    </row>
    <row r="10194" spans="1:10" x14ac:dyDescent="0.25">
      <c r="A10194" s="362"/>
      <c r="B10194" s="609">
        <v>44803</v>
      </c>
      <c r="C10194" s="362" t="s">
        <v>78</v>
      </c>
      <c r="D10194" s="560">
        <v>197404600</v>
      </c>
      <c r="E10194" s="560"/>
      <c r="F10194" s="560">
        <v>197404600</v>
      </c>
      <c r="G10194" s="560">
        <f t="shared" si="241"/>
        <v>0</v>
      </c>
      <c r="H10194" s="362"/>
      <c r="I10194" s="362"/>
      <c r="J10194" s="362"/>
    </row>
    <row r="10195" spans="1:10" x14ac:dyDescent="0.25">
      <c r="A10195" s="362"/>
      <c r="B10195" s="609">
        <v>44803</v>
      </c>
      <c r="C10195" s="362" t="s">
        <v>141</v>
      </c>
      <c r="D10195" s="560">
        <v>111385494</v>
      </c>
      <c r="E10195" s="560"/>
      <c r="F10195" s="560">
        <v>111385500</v>
      </c>
      <c r="G10195" s="560">
        <f t="shared" si="241"/>
        <v>-6</v>
      </c>
      <c r="H10195" s="362"/>
      <c r="I10195" s="362"/>
      <c r="J10195" s="362"/>
    </row>
    <row r="10196" spans="1:10" x14ac:dyDescent="0.25">
      <c r="A10196" s="362"/>
      <c r="B10196" s="609">
        <v>44803</v>
      </c>
      <c r="C10196" s="362" t="s">
        <v>89</v>
      </c>
      <c r="D10196" s="560">
        <v>131365900</v>
      </c>
      <c r="E10196" s="560"/>
      <c r="F10196" s="560">
        <v>131365900</v>
      </c>
      <c r="G10196" s="560">
        <f t="shared" si="241"/>
        <v>0</v>
      </c>
      <c r="H10196" s="362"/>
      <c r="I10196" s="362"/>
      <c r="J10196" s="362"/>
    </row>
    <row r="10197" spans="1:10" x14ac:dyDescent="0.25">
      <c r="A10197" s="362"/>
      <c r="B10197" s="609">
        <v>44803</v>
      </c>
      <c r="C10197" s="362" t="s">
        <v>81</v>
      </c>
      <c r="D10197" s="560">
        <v>171831905</v>
      </c>
      <c r="E10197" s="560"/>
      <c r="F10197" s="560">
        <v>171831900</v>
      </c>
      <c r="G10197" s="560">
        <f t="shared" si="241"/>
        <v>5</v>
      </c>
      <c r="H10197" s="362"/>
      <c r="I10197" s="362"/>
      <c r="J10197" s="362"/>
    </row>
    <row r="10198" spans="1:10" x14ac:dyDescent="0.25">
      <c r="A10198" s="362"/>
      <c r="B10198" s="609">
        <v>44803</v>
      </c>
      <c r="C10198" s="362" t="s">
        <v>84</v>
      </c>
      <c r="D10198" s="560">
        <v>269976137</v>
      </c>
      <c r="E10198" s="560"/>
      <c r="F10198" s="560">
        <v>269976200</v>
      </c>
      <c r="G10198" s="560">
        <f t="shared" si="241"/>
        <v>-63</v>
      </c>
      <c r="H10198" s="362"/>
      <c r="I10198" s="362"/>
      <c r="J10198" s="362"/>
    </row>
    <row r="10199" spans="1:10" x14ac:dyDescent="0.25">
      <c r="A10199" s="362"/>
      <c r="B10199" s="609">
        <v>44803</v>
      </c>
      <c r="C10199" s="362" t="s">
        <v>4751</v>
      </c>
      <c r="D10199" s="560">
        <v>249069000</v>
      </c>
      <c r="E10199" s="560"/>
      <c r="F10199" s="560">
        <v>267189000</v>
      </c>
      <c r="G10199" s="560">
        <f t="shared" si="241"/>
        <v>-18120000</v>
      </c>
      <c r="H10199" s="362"/>
      <c r="I10199" s="362"/>
      <c r="J10199" s="362"/>
    </row>
    <row r="10200" spans="1:10" x14ac:dyDescent="0.25">
      <c r="A10200" s="362"/>
      <c r="B10200" s="609">
        <v>44803</v>
      </c>
      <c r="C10200" s="362" t="s">
        <v>6301</v>
      </c>
      <c r="D10200" s="560">
        <v>108962317</v>
      </c>
      <c r="E10200" s="560"/>
      <c r="F10200" s="560">
        <v>108962500</v>
      </c>
      <c r="G10200" s="560">
        <f t="shared" si="241"/>
        <v>-183</v>
      </c>
      <c r="H10200" s="362"/>
      <c r="I10200" s="362"/>
      <c r="J10200" s="362"/>
    </row>
    <row r="10201" spans="1:10" x14ac:dyDescent="0.25">
      <c r="A10201" s="362"/>
      <c r="B10201" s="609">
        <v>44803</v>
      </c>
      <c r="C10201" s="362" t="s">
        <v>3435</v>
      </c>
      <c r="D10201" s="560">
        <v>62210930</v>
      </c>
      <c r="E10201" s="560"/>
      <c r="F10201" s="560">
        <v>62211000</v>
      </c>
      <c r="G10201" s="560">
        <f t="shared" si="241"/>
        <v>-70</v>
      </c>
      <c r="H10201" s="362"/>
      <c r="I10201" s="362"/>
      <c r="J10201" s="362"/>
    </row>
    <row r="10202" spans="1:10" x14ac:dyDescent="0.25">
      <c r="A10202" s="362"/>
      <c r="B10202" s="609">
        <v>44803</v>
      </c>
      <c r="C10202" s="370" t="s">
        <v>85</v>
      </c>
      <c r="D10202" s="560">
        <v>56357300</v>
      </c>
      <c r="E10202" s="560"/>
      <c r="F10202" s="560">
        <v>56357300</v>
      </c>
      <c r="G10202" s="560">
        <f t="shared" si="241"/>
        <v>0</v>
      </c>
      <c r="H10202" s="362"/>
      <c r="I10202" s="362"/>
      <c r="J10202" s="362"/>
    </row>
    <row r="10203" spans="1:10" x14ac:dyDescent="0.25">
      <c r="A10203" s="362"/>
      <c r="B10203" s="609">
        <v>44803</v>
      </c>
      <c r="C10203" s="370" t="s">
        <v>6299</v>
      </c>
      <c r="D10203" s="560">
        <v>24609082</v>
      </c>
      <c r="E10203" s="560"/>
      <c r="F10203" s="560">
        <v>24609100</v>
      </c>
      <c r="G10203" s="560">
        <f t="shared" si="241"/>
        <v>-18</v>
      </c>
      <c r="H10203" s="362"/>
      <c r="I10203" s="362"/>
      <c r="J10203" s="362"/>
    </row>
    <row r="10204" spans="1:10" x14ac:dyDescent="0.25">
      <c r="A10204" s="530"/>
      <c r="B10204" s="530"/>
      <c r="C10204" s="530"/>
      <c r="D10204" s="630">
        <f>SUM(D10188:D10203)</f>
        <v>2379007167</v>
      </c>
      <c r="E10204" s="630">
        <f t="shared" ref="E10204:G10204" si="243">SUM(E10188:E10203)</f>
        <v>0</v>
      </c>
      <c r="F10204" s="630">
        <f t="shared" si="243"/>
        <v>2396127200</v>
      </c>
      <c r="G10204" s="630">
        <f t="shared" si="243"/>
        <v>-17120033</v>
      </c>
      <c r="H10204" s="530"/>
      <c r="I10204" s="530"/>
      <c r="J10204" s="530"/>
    </row>
    <row r="10205" spans="1:10" x14ac:dyDescent="0.25">
      <c r="A10205" s="362"/>
      <c r="B10205" s="609">
        <v>44804</v>
      </c>
      <c r="C10205" s="362" t="s">
        <v>86</v>
      </c>
      <c r="D10205" s="560">
        <v>39529796</v>
      </c>
      <c r="E10205" s="560"/>
      <c r="F10205" s="560">
        <v>39529800</v>
      </c>
      <c r="G10205" s="560">
        <f t="shared" si="241"/>
        <v>-4</v>
      </c>
      <c r="H10205" s="362"/>
      <c r="I10205" s="362"/>
      <c r="J10205" s="362"/>
    </row>
    <row r="10206" spans="1:10" x14ac:dyDescent="0.25">
      <c r="A10206" s="362"/>
      <c r="B10206" s="609">
        <v>44804</v>
      </c>
      <c r="C10206" s="362" t="s">
        <v>87</v>
      </c>
      <c r="D10206" s="560">
        <v>137505502</v>
      </c>
      <c r="E10206" s="560"/>
      <c r="F10206" s="560">
        <v>137505500</v>
      </c>
      <c r="G10206" s="560">
        <f t="shared" si="241"/>
        <v>2</v>
      </c>
      <c r="H10206" s="362"/>
      <c r="I10206" s="362"/>
      <c r="J10206" s="362"/>
    </row>
    <row r="10207" spans="1:10" x14ac:dyDescent="0.25">
      <c r="A10207" s="362"/>
      <c r="B10207" s="609">
        <v>44804</v>
      </c>
      <c r="C10207" s="362" t="s">
        <v>88</v>
      </c>
      <c r="D10207" s="560">
        <v>173691813</v>
      </c>
      <c r="E10207" s="560"/>
      <c r="F10207" s="560">
        <v>173691900</v>
      </c>
      <c r="G10207" s="560">
        <f t="shared" si="241"/>
        <v>-87</v>
      </c>
      <c r="H10207" s="362"/>
      <c r="I10207" s="362"/>
      <c r="J10207" s="362"/>
    </row>
    <row r="10208" spans="1:10" x14ac:dyDescent="0.25">
      <c r="A10208" s="362"/>
      <c r="B10208" s="609">
        <v>44804</v>
      </c>
      <c r="C10208" s="362" t="s">
        <v>82</v>
      </c>
      <c r="D10208" s="560">
        <v>67110713</v>
      </c>
      <c r="E10208" s="560"/>
      <c r="F10208" s="560">
        <v>67110800</v>
      </c>
      <c r="G10208" s="560">
        <f t="shared" si="241"/>
        <v>-87</v>
      </c>
      <c r="H10208" s="362"/>
      <c r="I10208" s="362"/>
      <c r="J10208" s="362"/>
    </row>
    <row r="10209" spans="1:10" x14ac:dyDescent="0.25">
      <c r="A10209" s="362"/>
      <c r="B10209" s="609">
        <v>44804</v>
      </c>
      <c r="C10209" s="362" t="s">
        <v>80</v>
      </c>
      <c r="D10209" s="560">
        <v>302826000</v>
      </c>
      <c r="E10209" s="560"/>
      <c r="F10209" s="560">
        <v>302826000</v>
      </c>
      <c r="G10209" s="560">
        <f t="shared" si="241"/>
        <v>0</v>
      </c>
      <c r="H10209" s="362"/>
      <c r="I10209" s="362"/>
      <c r="J10209" s="362"/>
    </row>
    <row r="10210" spans="1:10" x14ac:dyDescent="0.25">
      <c r="A10210" s="362"/>
      <c r="B10210" s="609">
        <v>44804</v>
      </c>
      <c r="C10210" s="362" t="s">
        <v>83</v>
      </c>
      <c r="D10210" s="560">
        <v>190205700</v>
      </c>
      <c r="E10210" s="560"/>
      <c r="F10210" s="560">
        <v>190205700</v>
      </c>
      <c r="G10210" s="560">
        <f t="shared" si="241"/>
        <v>0</v>
      </c>
      <c r="H10210" s="362"/>
      <c r="I10210" s="362"/>
      <c r="J10210" s="362"/>
    </row>
    <row r="10211" spans="1:10" x14ac:dyDescent="0.25">
      <c r="A10211" s="362"/>
      <c r="B10211" s="609">
        <v>44804</v>
      </c>
      <c r="C10211" s="362" t="s">
        <v>78</v>
      </c>
      <c r="D10211" s="560">
        <v>88927600</v>
      </c>
      <c r="E10211" s="560"/>
      <c r="F10211" s="560">
        <v>88927600</v>
      </c>
      <c r="G10211" s="560">
        <f t="shared" si="241"/>
        <v>0</v>
      </c>
      <c r="H10211" s="362"/>
      <c r="I10211" s="362"/>
      <c r="J10211" s="362"/>
    </row>
    <row r="10212" spans="1:10" x14ac:dyDescent="0.25">
      <c r="A10212" s="362"/>
      <c r="B10212" s="609">
        <v>44804</v>
      </c>
      <c r="C10212" s="362" t="s">
        <v>141</v>
      </c>
      <c r="D10212" s="560">
        <v>165894016</v>
      </c>
      <c r="E10212" s="560"/>
      <c r="F10212" s="560">
        <v>165894100</v>
      </c>
      <c r="G10212" s="560">
        <f t="shared" si="241"/>
        <v>-84</v>
      </c>
      <c r="H10212" s="362"/>
      <c r="I10212" s="362"/>
      <c r="J10212" s="362"/>
    </row>
    <row r="10213" spans="1:10" x14ac:dyDescent="0.25">
      <c r="A10213" s="362"/>
      <c r="B10213" s="609">
        <v>44804</v>
      </c>
      <c r="C10213" s="362" t="s">
        <v>89</v>
      </c>
      <c r="D10213" s="560">
        <v>91562800</v>
      </c>
      <c r="E10213" s="560"/>
      <c r="F10213" s="560">
        <v>91562800</v>
      </c>
      <c r="G10213" s="560">
        <f t="shared" si="241"/>
        <v>0</v>
      </c>
      <c r="H10213" s="362"/>
      <c r="I10213" s="362"/>
      <c r="J10213" s="362"/>
    </row>
    <row r="10214" spans="1:10" x14ac:dyDescent="0.25">
      <c r="A10214" s="362"/>
      <c r="B10214" s="609">
        <v>44804</v>
      </c>
      <c r="C10214" s="362" t="s">
        <v>81</v>
      </c>
      <c r="D10214" s="560">
        <v>191920782</v>
      </c>
      <c r="E10214" s="560"/>
      <c r="F10214" s="560">
        <v>191920800</v>
      </c>
      <c r="G10214" s="560">
        <f t="shared" si="241"/>
        <v>-18</v>
      </c>
      <c r="H10214" s="362"/>
      <c r="I10214" s="362"/>
      <c r="J10214" s="362"/>
    </row>
    <row r="10215" spans="1:10" x14ac:dyDescent="0.25">
      <c r="A10215" s="362"/>
      <c r="B10215" s="609">
        <v>44804</v>
      </c>
      <c r="C10215" s="362" t="s">
        <v>84</v>
      </c>
      <c r="D10215" s="560">
        <v>154743059</v>
      </c>
      <c r="E10215" s="560"/>
      <c r="F10215" s="560">
        <v>154743100</v>
      </c>
      <c r="G10215" s="560">
        <f t="shared" si="241"/>
        <v>-41</v>
      </c>
      <c r="H10215" s="362"/>
      <c r="I10215" s="362"/>
      <c r="J10215" s="362"/>
    </row>
    <row r="10216" spans="1:10" x14ac:dyDescent="0.25">
      <c r="A10216" s="362"/>
      <c r="B10216" s="609">
        <v>44804</v>
      </c>
      <c r="C10216" s="362" t="s">
        <v>4751</v>
      </c>
      <c r="D10216" s="560">
        <v>83210600</v>
      </c>
      <c r="E10216" s="560"/>
      <c r="F10216" s="560">
        <v>83210600</v>
      </c>
      <c r="G10216" s="560">
        <f t="shared" si="241"/>
        <v>0</v>
      </c>
      <c r="H10216" s="362"/>
      <c r="I10216" s="362"/>
      <c r="J10216" s="362"/>
    </row>
    <row r="10217" spans="1:10" x14ac:dyDescent="0.25">
      <c r="A10217" s="362"/>
      <c r="B10217" s="609">
        <v>44804</v>
      </c>
      <c r="C10217" s="362" t="s">
        <v>6301</v>
      </c>
      <c r="D10217" s="560">
        <v>30606847</v>
      </c>
      <c r="E10217" s="560"/>
      <c r="F10217" s="560">
        <v>30607000</v>
      </c>
      <c r="G10217" s="560">
        <f t="shared" si="241"/>
        <v>-153</v>
      </c>
      <c r="H10217" s="362"/>
      <c r="I10217" s="362"/>
      <c r="J10217" s="362"/>
    </row>
    <row r="10218" spans="1:10" x14ac:dyDescent="0.25">
      <c r="A10218" s="362"/>
      <c r="B10218" s="609">
        <v>44804</v>
      </c>
      <c r="C10218" s="362" t="s">
        <v>3435</v>
      </c>
      <c r="D10218" s="560">
        <v>56444979</v>
      </c>
      <c r="E10218" s="560"/>
      <c r="F10218" s="560">
        <v>56445000</v>
      </c>
      <c r="G10218" s="560">
        <f t="shared" si="241"/>
        <v>-21</v>
      </c>
      <c r="H10218" s="362"/>
      <c r="I10218" s="362"/>
      <c r="J10218" s="362"/>
    </row>
    <row r="10219" spans="1:10" x14ac:dyDescent="0.25">
      <c r="A10219" s="362"/>
      <c r="B10219" s="609">
        <v>44804</v>
      </c>
      <c r="C10219" s="370" t="s">
        <v>85</v>
      </c>
      <c r="D10219" s="560">
        <v>9623400</v>
      </c>
      <c r="E10219" s="560"/>
      <c r="F10219" s="560">
        <v>9623400</v>
      </c>
      <c r="G10219" s="560">
        <f t="shared" si="241"/>
        <v>0</v>
      </c>
      <c r="H10219" s="362"/>
      <c r="I10219" s="362"/>
      <c r="J10219" s="362"/>
    </row>
    <row r="10220" spans="1:10" x14ac:dyDescent="0.25">
      <c r="A10220" s="362"/>
      <c r="B10220" s="609">
        <v>44804</v>
      </c>
      <c r="C10220" s="370" t="s">
        <v>6299</v>
      </c>
      <c r="D10220" s="560">
        <v>52791072</v>
      </c>
      <c r="E10220" s="560"/>
      <c r="F10220" s="560">
        <v>52791200</v>
      </c>
      <c r="G10220" s="560">
        <f t="shared" si="241"/>
        <v>-128</v>
      </c>
      <c r="H10220" s="362"/>
      <c r="I10220" s="362"/>
      <c r="J10220" s="362"/>
    </row>
    <row r="10221" spans="1:10" x14ac:dyDescent="0.25">
      <c r="A10221" s="530"/>
      <c r="B10221" s="530"/>
      <c r="C10221" s="530"/>
      <c r="D10221" s="562">
        <f>SUM(D10205:D10220)</f>
        <v>1836594679</v>
      </c>
      <c r="E10221" s="562"/>
      <c r="F10221" s="562"/>
      <c r="G10221" s="562"/>
      <c r="H10221" s="530"/>
      <c r="I10221" s="530"/>
      <c r="J10221" s="530"/>
    </row>
    <row r="10222" spans="1:10" x14ac:dyDescent="0.25">
      <c r="A10222" s="362"/>
      <c r="B10222" s="609">
        <v>44805</v>
      </c>
      <c r="C10222" s="362" t="s">
        <v>86</v>
      </c>
      <c r="D10222" s="560">
        <v>64617895</v>
      </c>
      <c r="E10222" s="560"/>
      <c r="F10222" s="560">
        <v>64617900</v>
      </c>
      <c r="G10222" s="560">
        <f t="shared" si="241"/>
        <v>-5</v>
      </c>
      <c r="H10222" s="362"/>
      <c r="I10222" s="362"/>
      <c r="J10222" s="362"/>
    </row>
    <row r="10223" spans="1:10" x14ac:dyDescent="0.25">
      <c r="A10223" s="362"/>
      <c r="B10223" s="609">
        <v>44805</v>
      </c>
      <c r="C10223" s="362" t="s">
        <v>87</v>
      </c>
      <c r="D10223" s="560">
        <v>184602818</v>
      </c>
      <c r="E10223" s="560"/>
      <c r="F10223" s="560">
        <v>184602800</v>
      </c>
      <c r="G10223" s="560">
        <f t="shared" si="241"/>
        <v>18</v>
      </c>
      <c r="H10223" s="362"/>
      <c r="I10223" s="362"/>
      <c r="J10223" s="362"/>
    </row>
    <row r="10224" spans="1:10" x14ac:dyDescent="0.25">
      <c r="A10224" s="362"/>
      <c r="B10224" s="609">
        <v>44805</v>
      </c>
      <c r="C10224" s="362" t="s">
        <v>88</v>
      </c>
      <c r="D10224" s="560">
        <v>269920208</v>
      </c>
      <c r="E10224" s="560"/>
      <c r="F10224" s="560">
        <v>269920300</v>
      </c>
      <c r="G10224" s="560">
        <f t="shared" si="241"/>
        <v>-92</v>
      </c>
      <c r="H10224" s="362"/>
      <c r="I10224" s="362"/>
      <c r="J10224" s="362"/>
    </row>
    <row r="10225" spans="1:10" x14ac:dyDescent="0.25">
      <c r="A10225" s="362"/>
      <c r="B10225" s="609">
        <v>44805</v>
      </c>
      <c r="C10225" s="362" t="s">
        <v>82</v>
      </c>
      <c r="D10225" s="560">
        <v>129144181</v>
      </c>
      <c r="E10225" s="560"/>
      <c r="F10225" s="560">
        <v>129144400</v>
      </c>
      <c r="G10225" s="560">
        <f t="shared" si="241"/>
        <v>-219</v>
      </c>
      <c r="H10225" s="362"/>
      <c r="I10225" s="362"/>
      <c r="J10225" s="362"/>
    </row>
    <row r="10226" spans="1:10" x14ac:dyDescent="0.25">
      <c r="A10226" s="362"/>
      <c r="B10226" s="609">
        <v>44805</v>
      </c>
      <c r="C10226" s="362" t="s">
        <v>80</v>
      </c>
      <c r="D10226" s="560">
        <v>282577478</v>
      </c>
      <c r="E10226" s="560"/>
      <c r="F10226" s="560">
        <v>282581400</v>
      </c>
      <c r="G10226" s="560">
        <f t="shared" si="241"/>
        <v>-3922</v>
      </c>
      <c r="H10226" s="362"/>
      <c r="I10226" s="362"/>
      <c r="J10226" s="362"/>
    </row>
    <row r="10227" spans="1:10" x14ac:dyDescent="0.25">
      <c r="A10227" s="362"/>
      <c r="B10227" s="609">
        <v>44805</v>
      </c>
      <c r="C10227" s="362" t="s">
        <v>83</v>
      </c>
      <c r="D10227" s="560">
        <v>238670750</v>
      </c>
      <c r="E10227" s="560"/>
      <c r="F10227" s="560">
        <v>238670700</v>
      </c>
      <c r="G10227" s="560">
        <f t="shared" si="241"/>
        <v>50</v>
      </c>
      <c r="H10227" s="362"/>
      <c r="I10227" s="362"/>
      <c r="J10227" s="362"/>
    </row>
    <row r="10228" spans="1:10" x14ac:dyDescent="0.25">
      <c r="A10228" s="362"/>
      <c r="B10228" s="609">
        <v>44805</v>
      </c>
      <c r="C10228" s="362" t="s">
        <v>78</v>
      </c>
      <c r="D10228" s="560">
        <v>127592800</v>
      </c>
      <c r="E10228" s="560"/>
      <c r="F10228" s="560">
        <v>127592800</v>
      </c>
      <c r="G10228" s="560">
        <f t="shared" si="241"/>
        <v>0</v>
      </c>
      <c r="H10228" s="362"/>
      <c r="I10228" s="362"/>
      <c r="J10228" s="362"/>
    </row>
    <row r="10229" spans="1:10" x14ac:dyDescent="0.25">
      <c r="A10229" s="362"/>
      <c r="B10229" s="609">
        <v>44805</v>
      </c>
      <c r="C10229" s="362" t="s">
        <v>141</v>
      </c>
      <c r="D10229" s="560">
        <v>78556935</v>
      </c>
      <c r="E10229" s="560"/>
      <c r="F10229" s="560">
        <v>78557000</v>
      </c>
      <c r="G10229" s="560">
        <f t="shared" si="241"/>
        <v>-65</v>
      </c>
      <c r="H10229" s="362"/>
      <c r="I10229" s="362"/>
      <c r="J10229" s="362"/>
    </row>
    <row r="10230" spans="1:10" x14ac:dyDescent="0.25">
      <c r="A10230" s="362"/>
      <c r="B10230" s="609">
        <v>44805</v>
      </c>
      <c r="C10230" s="362" t="s">
        <v>89</v>
      </c>
      <c r="D10230" s="560">
        <v>181288100</v>
      </c>
      <c r="E10230" s="560"/>
      <c r="F10230" s="560">
        <v>181288100</v>
      </c>
      <c r="G10230" s="560">
        <f t="shared" si="241"/>
        <v>0</v>
      </c>
      <c r="H10230" s="362"/>
      <c r="I10230" s="362"/>
      <c r="J10230" s="362"/>
    </row>
    <row r="10231" spans="1:10" x14ac:dyDescent="0.25">
      <c r="A10231" s="362"/>
      <c r="B10231" s="609">
        <v>44805</v>
      </c>
      <c r="C10231" s="362" t="s">
        <v>81</v>
      </c>
      <c r="D10231" s="560">
        <v>57094022</v>
      </c>
      <c r="E10231" s="560"/>
      <c r="F10231" s="560">
        <v>57094100</v>
      </c>
      <c r="G10231" s="560">
        <f t="shared" si="241"/>
        <v>-78</v>
      </c>
      <c r="H10231" s="362"/>
      <c r="I10231" s="362"/>
      <c r="J10231" s="362"/>
    </row>
    <row r="10232" spans="1:10" x14ac:dyDescent="0.25">
      <c r="A10232" s="362"/>
      <c r="B10232" s="609">
        <v>44805</v>
      </c>
      <c r="C10232" s="362" t="s">
        <v>84</v>
      </c>
      <c r="D10232" s="560">
        <v>196027211</v>
      </c>
      <c r="E10232" s="560"/>
      <c r="F10232" s="560">
        <v>196026400</v>
      </c>
      <c r="G10232" s="560">
        <f t="shared" si="241"/>
        <v>811</v>
      </c>
      <c r="H10232" s="362"/>
      <c r="I10232" s="362"/>
      <c r="J10232" s="362"/>
    </row>
    <row r="10233" spans="1:10" x14ac:dyDescent="0.25">
      <c r="A10233" s="362"/>
      <c r="B10233" s="609">
        <v>44805</v>
      </c>
      <c r="C10233" s="362" t="s">
        <v>4751</v>
      </c>
      <c r="D10233" s="560">
        <v>182676300</v>
      </c>
      <c r="E10233" s="560"/>
      <c r="F10233" s="560">
        <v>182676300</v>
      </c>
      <c r="G10233" s="560">
        <f t="shared" si="241"/>
        <v>0</v>
      </c>
      <c r="H10233" s="362"/>
      <c r="I10233" s="362"/>
      <c r="J10233" s="362"/>
    </row>
    <row r="10234" spans="1:10" x14ac:dyDescent="0.25">
      <c r="A10234" s="362"/>
      <c r="B10234" s="609">
        <v>44805</v>
      </c>
      <c r="C10234" s="362" t="s">
        <v>6301</v>
      </c>
      <c r="D10234" s="560">
        <v>101329463</v>
      </c>
      <c r="E10234" s="560"/>
      <c r="F10234" s="560">
        <v>101329500</v>
      </c>
      <c r="G10234" s="560">
        <f t="shared" si="241"/>
        <v>-37</v>
      </c>
      <c r="H10234" s="362"/>
      <c r="I10234" s="362"/>
      <c r="J10234" s="362"/>
    </row>
    <row r="10235" spans="1:10" x14ac:dyDescent="0.25">
      <c r="A10235" s="362"/>
      <c r="B10235" s="609">
        <v>44805</v>
      </c>
      <c r="C10235" s="362" t="s">
        <v>3435</v>
      </c>
      <c r="D10235" s="560">
        <v>69731833</v>
      </c>
      <c r="E10235" s="560"/>
      <c r="F10235" s="560">
        <v>69731900</v>
      </c>
      <c r="G10235" s="560">
        <f t="shared" si="241"/>
        <v>-67</v>
      </c>
      <c r="H10235" s="362"/>
      <c r="I10235" s="362"/>
      <c r="J10235" s="362"/>
    </row>
    <row r="10236" spans="1:10" x14ac:dyDescent="0.25">
      <c r="A10236" s="362"/>
      <c r="B10236" s="609">
        <v>44805</v>
      </c>
      <c r="C10236" s="370" t="s">
        <v>85</v>
      </c>
      <c r="D10236" s="560">
        <v>34614400</v>
      </c>
      <c r="E10236" s="560"/>
      <c r="F10236" s="560">
        <v>34614400</v>
      </c>
      <c r="G10236" s="560">
        <f t="shared" si="241"/>
        <v>0</v>
      </c>
      <c r="H10236" s="362"/>
      <c r="I10236" s="362"/>
      <c r="J10236" s="362"/>
    </row>
    <row r="10237" spans="1:10" x14ac:dyDescent="0.25">
      <c r="A10237" s="362"/>
      <c r="B10237" s="609">
        <v>44805</v>
      </c>
      <c r="C10237" s="370" t="s">
        <v>6299</v>
      </c>
      <c r="D10237" s="560">
        <v>78668580</v>
      </c>
      <c r="E10237" s="560"/>
      <c r="F10237" s="560">
        <v>78668600</v>
      </c>
      <c r="G10237" s="560">
        <f t="shared" ref="G10237:G10300" si="244">D10237-F10237</f>
        <v>-20</v>
      </c>
      <c r="H10237" s="362"/>
      <c r="I10237" s="362"/>
      <c r="J10237" s="362"/>
    </row>
    <row r="10238" spans="1:10" x14ac:dyDescent="0.25">
      <c r="A10238" s="530"/>
      <c r="B10238" s="530"/>
      <c r="C10238" s="530"/>
      <c r="D10238" s="562">
        <f>SUM(D10222:D10237)</f>
        <v>2277112974</v>
      </c>
      <c r="E10238" s="562">
        <f t="shared" ref="E10238:G10238" si="245">SUM(E10222:E10237)</f>
        <v>0</v>
      </c>
      <c r="F10238" s="562">
        <f t="shared" si="245"/>
        <v>2277116600</v>
      </c>
      <c r="G10238" s="562">
        <f t="shared" si="245"/>
        <v>-3626</v>
      </c>
      <c r="H10238" s="530"/>
      <c r="I10238" s="530"/>
      <c r="J10238" s="530"/>
    </row>
    <row r="10239" spans="1:10" x14ac:dyDescent="0.25">
      <c r="A10239" s="362"/>
      <c r="B10239" s="609">
        <v>44806</v>
      </c>
      <c r="C10239" s="362" t="s">
        <v>86</v>
      </c>
      <c r="D10239" s="560">
        <v>83713441</v>
      </c>
      <c r="E10239" s="560"/>
      <c r="F10239" s="560">
        <v>83713500</v>
      </c>
      <c r="G10239" s="560">
        <f t="shared" si="244"/>
        <v>-59</v>
      </c>
      <c r="H10239" s="362"/>
      <c r="I10239" s="362"/>
      <c r="J10239" s="362"/>
    </row>
    <row r="10240" spans="1:10" x14ac:dyDescent="0.25">
      <c r="A10240" s="362"/>
      <c r="B10240" s="609">
        <v>44806</v>
      </c>
      <c r="C10240" s="362" t="s">
        <v>87</v>
      </c>
      <c r="D10240" s="560">
        <v>175445039</v>
      </c>
      <c r="E10240" s="560"/>
      <c r="F10240" s="560">
        <v>175445100</v>
      </c>
      <c r="G10240" s="560">
        <f t="shared" si="244"/>
        <v>-61</v>
      </c>
      <c r="H10240" s="362"/>
      <c r="I10240" s="362"/>
      <c r="J10240" s="362"/>
    </row>
    <row r="10241" spans="1:10" x14ac:dyDescent="0.25">
      <c r="A10241" s="362"/>
      <c r="B10241" s="609">
        <v>44806</v>
      </c>
      <c r="C10241" s="362" t="s">
        <v>88</v>
      </c>
      <c r="D10241" s="560">
        <v>141107026</v>
      </c>
      <c r="E10241" s="560"/>
      <c r="F10241" s="560">
        <v>141107100</v>
      </c>
      <c r="G10241" s="560">
        <f t="shared" si="244"/>
        <v>-74</v>
      </c>
      <c r="H10241" s="362"/>
      <c r="I10241" s="362"/>
      <c r="J10241" s="362"/>
    </row>
    <row r="10242" spans="1:10" x14ac:dyDescent="0.25">
      <c r="A10242" s="362"/>
      <c r="B10242" s="609">
        <v>44806</v>
      </c>
      <c r="C10242" s="362" t="s">
        <v>82</v>
      </c>
      <c r="D10242" s="560">
        <v>166923712</v>
      </c>
      <c r="E10242" s="560"/>
      <c r="F10242" s="560">
        <v>166923700</v>
      </c>
      <c r="G10242" s="560">
        <f t="shared" si="244"/>
        <v>12</v>
      </c>
      <c r="H10242" s="362"/>
      <c r="I10242" s="362"/>
      <c r="J10242" s="362"/>
    </row>
    <row r="10243" spans="1:10" x14ac:dyDescent="0.25">
      <c r="A10243" s="362"/>
      <c r="B10243" s="609">
        <v>44806</v>
      </c>
      <c r="C10243" s="362" t="s">
        <v>80</v>
      </c>
      <c r="D10243" s="560">
        <v>252548000</v>
      </c>
      <c r="E10243" s="560"/>
      <c r="F10243" s="560">
        <v>252548000</v>
      </c>
      <c r="G10243" s="560">
        <f t="shared" si="244"/>
        <v>0</v>
      </c>
      <c r="H10243" s="362"/>
      <c r="I10243" s="362"/>
      <c r="J10243" s="362"/>
    </row>
    <row r="10244" spans="1:10" x14ac:dyDescent="0.25">
      <c r="A10244" s="362"/>
      <c r="B10244" s="609">
        <v>44806</v>
      </c>
      <c r="C10244" s="362" t="s">
        <v>83</v>
      </c>
      <c r="D10244" s="560">
        <v>144019244</v>
      </c>
      <c r="E10244" s="560"/>
      <c r="F10244" s="560">
        <v>144019200</v>
      </c>
      <c r="G10244" s="560">
        <f t="shared" si="244"/>
        <v>44</v>
      </c>
      <c r="H10244" s="362"/>
      <c r="I10244" s="362"/>
      <c r="J10244" s="362"/>
    </row>
    <row r="10245" spans="1:10" x14ac:dyDescent="0.25">
      <c r="A10245" s="362"/>
      <c r="B10245" s="609">
        <v>44806</v>
      </c>
      <c r="C10245" s="362" t="s">
        <v>78</v>
      </c>
      <c r="D10245" s="560">
        <v>158172000</v>
      </c>
      <c r="E10245" s="560"/>
      <c r="F10245" s="560">
        <v>158172000</v>
      </c>
      <c r="G10245" s="560">
        <f t="shared" si="244"/>
        <v>0</v>
      </c>
      <c r="H10245" s="362"/>
      <c r="I10245" s="362"/>
      <c r="J10245" s="362"/>
    </row>
    <row r="10246" spans="1:10" x14ac:dyDescent="0.25">
      <c r="A10246" s="362"/>
      <c r="B10246" s="609">
        <v>44806</v>
      </c>
      <c r="C10246" s="362" t="s">
        <v>141</v>
      </c>
      <c r="D10246" s="560">
        <v>123742327</v>
      </c>
      <c r="E10246" s="560"/>
      <c r="F10246" s="560">
        <v>123742400</v>
      </c>
      <c r="G10246" s="560">
        <f t="shared" si="244"/>
        <v>-73</v>
      </c>
      <c r="H10246" s="362"/>
      <c r="I10246" s="362"/>
      <c r="J10246" s="362"/>
    </row>
    <row r="10247" spans="1:10" x14ac:dyDescent="0.25">
      <c r="A10247" s="362"/>
      <c r="B10247" s="609">
        <v>44806</v>
      </c>
      <c r="C10247" s="362" t="s">
        <v>89</v>
      </c>
      <c r="D10247" s="560">
        <v>219521300</v>
      </c>
      <c r="E10247" s="560"/>
      <c r="F10247" s="560">
        <v>219521300</v>
      </c>
      <c r="G10247" s="560">
        <f t="shared" si="244"/>
        <v>0</v>
      </c>
      <c r="H10247" s="362"/>
      <c r="I10247" s="362"/>
      <c r="J10247" s="362"/>
    </row>
    <row r="10248" spans="1:10" x14ac:dyDescent="0.25">
      <c r="A10248" s="362"/>
      <c r="B10248" s="609">
        <v>44806</v>
      </c>
      <c r="C10248" s="362" t="s">
        <v>81</v>
      </c>
      <c r="D10248" s="560">
        <v>88599438</v>
      </c>
      <c r="E10248" s="560"/>
      <c r="F10248" s="560">
        <v>88589500</v>
      </c>
      <c r="G10248" s="560">
        <f t="shared" si="244"/>
        <v>9938</v>
      </c>
      <c r="H10248" s="362"/>
      <c r="I10248" s="362"/>
      <c r="J10248" s="362"/>
    </row>
    <row r="10249" spans="1:10" x14ac:dyDescent="0.25">
      <c r="A10249" s="362"/>
      <c r="B10249" s="609">
        <v>44806</v>
      </c>
      <c r="C10249" s="362" t="s">
        <v>84</v>
      </c>
      <c r="D10249" s="560">
        <v>226876100</v>
      </c>
      <c r="E10249" s="560"/>
      <c r="F10249" s="560">
        <v>226876100</v>
      </c>
      <c r="G10249" s="560">
        <f t="shared" si="244"/>
        <v>0</v>
      </c>
      <c r="H10249" s="362"/>
      <c r="I10249" s="362"/>
      <c r="J10249" s="362"/>
    </row>
    <row r="10250" spans="1:10" x14ac:dyDescent="0.25">
      <c r="A10250" s="362"/>
      <c r="B10250" s="609">
        <v>44806</v>
      </c>
      <c r="C10250" s="362" t="s">
        <v>4751</v>
      </c>
      <c r="D10250" s="560">
        <v>130791500</v>
      </c>
      <c r="E10250" s="560"/>
      <c r="F10250" s="560">
        <v>130791500</v>
      </c>
      <c r="G10250" s="560">
        <f t="shared" si="244"/>
        <v>0</v>
      </c>
      <c r="H10250" s="362"/>
      <c r="I10250" s="362"/>
      <c r="J10250" s="362"/>
    </row>
    <row r="10251" spans="1:10" x14ac:dyDescent="0.25">
      <c r="A10251" s="362"/>
      <c r="B10251" s="609">
        <v>44806</v>
      </c>
      <c r="C10251" s="362" t="s">
        <v>6301</v>
      </c>
      <c r="D10251" s="560">
        <v>105016503</v>
      </c>
      <c r="E10251" s="560"/>
      <c r="F10251" s="560">
        <v>105016500</v>
      </c>
      <c r="G10251" s="560">
        <f t="shared" si="244"/>
        <v>3</v>
      </c>
      <c r="H10251" s="362"/>
      <c r="I10251" s="362"/>
      <c r="J10251" s="362"/>
    </row>
    <row r="10252" spans="1:10" x14ac:dyDescent="0.25">
      <c r="A10252" s="362"/>
      <c r="B10252" s="609">
        <v>44806</v>
      </c>
      <c r="C10252" s="362" t="s">
        <v>3435</v>
      </c>
      <c r="D10252" s="560">
        <v>16453164</v>
      </c>
      <c r="E10252" s="560"/>
      <c r="F10252" s="560">
        <v>16453200</v>
      </c>
      <c r="G10252" s="560">
        <f t="shared" si="244"/>
        <v>-36</v>
      </c>
      <c r="H10252" s="362"/>
      <c r="I10252" s="362"/>
      <c r="J10252" s="362"/>
    </row>
    <row r="10253" spans="1:10" x14ac:dyDescent="0.25">
      <c r="A10253" s="362"/>
      <c r="B10253" s="609">
        <v>44806</v>
      </c>
      <c r="C10253" s="370" t="s">
        <v>85</v>
      </c>
      <c r="D10253" s="560">
        <v>26562800</v>
      </c>
      <c r="E10253" s="560"/>
      <c r="F10253" s="560">
        <v>26562800</v>
      </c>
      <c r="G10253" s="560">
        <f t="shared" si="244"/>
        <v>0</v>
      </c>
      <c r="H10253" s="362"/>
      <c r="I10253" s="362"/>
      <c r="J10253" s="362"/>
    </row>
    <row r="10254" spans="1:10" x14ac:dyDescent="0.25">
      <c r="A10254" s="362"/>
      <c r="B10254" s="609">
        <v>44806</v>
      </c>
      <c r="C10254" s="370" t="s">
        <v>6299</v>
      </c>
      <c r="D10254" s="362">
        <v>28268462</v>
      </c>
      <c r="E10254" s="362"/>
      <c r="F10254" s="362">
        <v>28268600</v>
      </c>
      <c r="G10254" s="560">
        <f t="shared" si="244"/>
        <v>-138</v>
      </c>
      <c r="H10254" s="362"/>
      <c r="I10254" s="362"/>
      <c r="J10254" s="362"/>
    </row>
    <row r="10255" spans="1:10" x14ac:dyDescent="0.25">
      <c r="A10255" s="530"/>
      <c r="B10255" s="530"/>
      <c r="C10255" s="530"/>
      <c r="D10255" s="630">
        <f>SUM(D10239:D10254)</f>
        <v>2087760056</v>
      </c>
      <c r="E10255" s="630">
        <f t="shared" ref="E10255:G10255" si="246">SUM(E10239:E10254)</f>
        <v>0</v>
      </c>
      <c r="F10255" s="630">
        <f t="shared" si="246"/>
        <v>2087750500</v>
      </c>
      <c r="G10255" s="630">
        <f t="shared" si="246"/>
        <v>9556</v>
      </c>
      <c r="H10255" s="530"/>
      <c r="I10255" s="530"/>
      <c r="J10255" s="530"/>
    </row>
    <row r="10256" spans="1:10" x14ac:dyDescent="0.25">
      <c r="A10256" s="362"/>
      <c r="B10256" s="609">
        <v>44807</v>
      </c>
      <c r="C10256" s="362" t="s">
        <v>86</v>
      </c>
      <c r="D10256" s="560">
        <v>91527954</v>
      </c>
      <c r="E10256" s="560"/>
      <c r="F10256" s="560">
        <v>91527900</v>
      </c>
      <c r="G10256" s="560">
        <f t="shared" si="244"/>
        <v>54</v>
      </c>
      <c r="H10256" s="362"/>
      <c r="I10256" s="362"/>
      <c r="J10256" s="362"/>
    </row>
    <row r="10257" spans="1:10" x14ac:dyDescent="0.25">
      <c r="A10257" s="362"/>
      <c r="B10257" s="609">
        <v>44807</v>
      </c>
      <c r="C10257" s="362" t="s">
        <v>87</v>
      </c>
      <c r="D10257" s="560">
        <v>82516508</v>
      </c>
      <c r="E10257" s="560"/>
      <c r="F10257" s="560">
        <v>82516700</v>
      </c>
      <c r="G10257" s="560">
        <f t="shared" si="244"/>
        <v>-192</v>
      </c>
      <c r="H10257" s="362"/>
      <c r="I10257" s="362"/>
      <c r="J10257" s="362"/>
    </row>
    <row r="10258" spans="1:10" x14ac:dyDescent="0.25">
      <c r="A10258" s="362"/>
      <c r="B10258" s="609">
        <v>44807</v>
      </c>
      <c r="C10258" s="362" t="s">
        <v>88</v>
      </c>
      <c r="D10258" s="560">
        <v>112654386</v>
      </c>
      <c r="E10258" s="560"/>
      <c r="F10258" s="560">
        <v>112654400</v>
      </c>
      <c r="G10258" s="560">
        <f t="shared" si="244"/>
        <v>-14</v>
      </c>
      <c r="H10258" s="362"/>
      <c r="I10258" s="362"/>
      <c r="J10258" s="362"/>
    </row>
    <row r="10259" spans="1:10" x14ac:dyDescent="0.25">
      <c r="A10259" s="362"/>
      <c r="B10259" s="609">
        <v>44807</v>
      </c>
      <c r="C10259" s="362" t="s">
        <v>82</v>
      </c>
      <c r="D10259" s="560">
        <v>77035462</v>
      </c>
      <c r="E10259" s="560"/>
      <c r="F10259" s="560">
        <v>77035600</v>
      </c>
      <c r="G10259" s="560">
        <f t="shared" si="244"/>
        <v>-138</v>
      </c>
      <c r="H10259" s="362"/>
      <c r="I10259" s="362"/>
      <c r="J10259" s="362"/>
    </row>
    <row r="10260" spans="1:10" x14ac:dyDescent="0.25">
      <c r="A10260" s="362"/>
      <c r="B10260" s="609">
        <v>44807</v>
      </c>
      <c r="C10260" s="362" t="s">
        <v>80</v>
      </c>
      <c r="D10260" s="560">
        <v>321293200</v>
      </c>
      <c r="E10260" s="560"/>
      <c r="F10260" s="560">
        <v>321293200</v>
      </c>
      <c r="G10260" s="560">
        <f t="shared" si="244"/>
        <v>0</v>
      </c>
      <c r="H10260" s="362"/>
      <c r="I10260" s="362"/>
      <c r="J10260" s="362"/>
    </row>
    <row r="10261" spans="1:10" x14ac:dyDescent="0.25">
      <c r="A10261" s="362"/>
      <c r="B10261" s="609">
        <v>44807</v>
      </c>
      <c r="C10261" s="362" t="s">
        <v>83</v>
      </c>
      <c r="D10261" s="560">
        <v>276108800</v>
      </c>
      <c r="E10261" s="560"/>
      <c r="F10261" s="560">
        <v>276108800</v>
      </c>
      <c r="G10261" s="560">
        <f t="shared" si="244"/>
        <v>0</v>
      </c>
      <c r="H10261" s="362"/>
      <c r="I10261" s="362"/>
      <c r="J10261" s="362"/>
    </row>
    <row r="10262" spans="1:10" x14ac:dyDescent="0.25">
      <c r="A10262" s="362"/>
      <c r="B10262" s="609">
        <v>44807</v>
      </c>
      <c r="C10262" s="362" t="s">
        <v>78</v>
      </c>
      <c r="D10262" s="560">
        <v>116221200</v>
      </c>
      <c r="E10262" s="560"/>
      <c r="F10262" s="560">
        <v>116221200</v>
      </c>
      <c r="G10262" s="560">
        <f t="shared" si="244"/>
        <v>0</v>
      </c>
      <c r="H10262" s="362"/>
      <c r="I10262" s="362"/>
      <c r="J10262" s="362"/>
    </row>
    <row r="10263" spans="1:10" x14ac:dyDescent="0.25">
      <c r="A10263" s="362"/>
      <c r="B10263" s="609">
        <v>44807</v>
      </c>
      <c r="C10263" s="362" t="s">
        <v>141</v>
      </c>
      <c r="D10263" s="560">
        <v>77808000</v>
      </c>
      <c r="E10263" s="560"/>
      <c r="F10263" s="560">
        <v>77808000</v>
      </c>
      <c r="G10263" s="560">
        <f t="shared" si="244"/>
        <v>0</v>
      </c>
      <c r="H10263" s="362"/>
      <c r="I10263" s="362"/>
      <c r="J10263" s="362"/>
    </row>
    <row r="10264" spans="1:10" x14ac:dyDescent="0.25">
      <c r="A10264" s="362"/>
      <c r="B10264" s="609">
        <v>44807</v>
      </c>
      <c r="C10264" s="362" t="s">
        <v>89</v>
      </c>
      <c r="D10264" s="560">
        <v>109421400</v>
      </c>
      <c r="E10264" s="560"/>
      <c r="F10264" s="560">
        <v>109421400</v>
      </c>
      <c r="G10264" s="560">
        <f t="shared" si="244"/>
        <v>0</v>
      </c>
      <c r="H10264" s="362"/>
      <c r="I10264" s="362"/>
      <c r="J10264" s="362"/>
    </row>
    <row r="10265" spans="1:10" x14ac:dyDescent="0.25">
      <c r="A10265" s="362"/>
      <c r="B10265" s="609">
        <v>44807</v>
      </c>
      <c r="C10265" s="362" t="s">
        <v>81</v>
      </c>
      <c r="D10265" s="560">
        <v>153645246</v>
      </c>
      <c r="E10265" s="560"/>
      <c r="F10265" s="560">
        <v>153645300</v>
      </c>
      <c r="G10265" s="560">
        <f t="shared" si="244"/>
        <v>-54</v>
      </c>
      <c r="H10265" s="362"/>
      <c r="I10265" s="362"/>
      <c r="J10265" s="362"/>
    </row>
    <row r="10266" spans="1:10" x14ac:dyDescent="0.25">
      <c r="A10266" s="362"/>
      <c r="B10266" s="609">
        <v>44807</v>
      </c>
      <c r="C10266" s="362" t="s">
        <v>84</v>
      </c>
      <c r="D10266" s="560">
        <v>243494376</v>
      </c>
      <c r="E10266" s="560"/>
      <c r="F10266" s="560">
        <v>243494400</v>
      </c>
      <c r="G10266" s="560">
        <f t="shared" si="244"/>
        <v>-24</v>
      </c>
      <c r="H10266" s="362"/>
      <c r="I10266" s="362"/>
      <c r="J10266" s="362"/>
    </row>
    <row r="10267" spans="1:10" x14ac:dyDescent="0.25">
      <c r="A10267" s="362"/>
      <c r="B10267" s="609">
        <v>44807</v>
      </c>
      <c r="C10267" s="362" t="s">
        <v>4751</v>
      </c>
      <c r="D10267" s="560">
        <v>198613900</v>
      </c>
      <c r="E10267" s="560"/>
      <c r="F10267" s="560">
        <v>198613900</v>
      </c>
      <c r="G10267" s="560">
        <f t="shared" si="244"/>
        <v>0</v>
      </c>
      <c r="H10267" s="362"/>
      <c r="I10267" s="362"/>
      <c r="J10267" s="362"/>
    </row>
    <row r="10268" spans="1:10" x14ac:dyDescent="0.25">
      <c r="A10268" s="362"/>
      <c r="B10268" s="609">
        <v>44807</v>
      </c>
      <c r="C10268" s="362" t="s">
        <v>6301</v>
      </c>
      <c r="D10268" s="560">
        <v>20077991</v>
      </c>
      <c r="E10268" s="560"/>
      <c r="F10268" s="560">
        <v>20078000</v>
      </c>
      <c r="G10268" s="560">
        <f t="shared" si="244"/>
        <v>-9</v>
      </c>
      <c r="H10268" s="362"/>
      <c r="I10268" s="362"/>
      <c r="J10268" s="362"/>
    </row>
    <row r="10269" spans="1:10" x14ac:dyDescent="0.25">
      <c r="A10269" s="362"/>
      <c r="B10269" s="609">
        <v>44807</v>
      </c>
      <c r="C10269" s="362" t="s">
        <v>3435</v>
      </c>
      <c r="D10269" s="560"/>
      <c r="E10269" s="560"/>
      <c r="F10269" s="560"/>
      <c r="G10269" s="560">
        <f t="shared" si="244"/>
        <v>0</v>
      </c>
      <c r="H10269" s="362"/>
      <c r="I10269" s="362"/>
      <c r="J10269" s="362"/>
    </row>
    <row r="10270" spans="1:10" x14ac:dyDescent="0.25">
      <c r="A10270" s="362"/>
      <c r="B10270" s="609">
        <v>44807</v>
      </c>
      <c r="C10270" s="370" t="s">
        <v>85</v>
      </c>
      <c r="D10270" s="560">
        <v>41983800</v>
      </c>
      <c r="E10270" s="560"/>
      <c r="F10270" s="560">
        <v>41983800</v>
      </c>
      <c r="G10270" s="560">
        <f t="shared" si="244"/>
        <v>0</v>
      </c>
      <c r="H10270" s="362"/>
      <c r="I10270" s="362"/>
      <c r="J10270" s="362"/>
    </row>
    <row r="10271" spans="1:10" x14ac:dyDescent="0.25">
      <c r="A10271" s="362"/>
      <c r="B10271" s="609">
        <v>44807</v>
      </c>
      <c r="C10271" s="370" t="s">
        <v>6299</v>
      </c>
      <c r="D10271" s="560">
        <v>123661016</v>
      </c>
      <c r="E10271" s="560"/>
      <c r="F10271" s="560">
        <v>123661000</v>
      </c>
      <c r="G10271" s="560">
        <f t="shared" si="244"/>
        <v>16</v>
      </c>
      <c r="H10271" s="362"/>
      <c r="I10271" s="362"/>
      <c r="J10271" s="362"/>
    </row>
    <row r="10272" spans="1:10" x14ac:dyDescent="0.25">
      <c r="A10272" s="530"/>
      <c r="B10272" s="530"/>
      <c r="C10272" s="530"/>
      <c r="D10272" s="562">
        <f>SUM(D10256:D10271)</f>
        <v>2046063239</v>
      </c>
      <c r="E10272" s="562">
        <f t="shared" ref="E10272:G10272" si="247">SUM(E10256:E10271)</f>
        <v>0</v>
      </c>
      <c r="F10272" s="562">
        <f t="shared" si="247"/>
        <v>2046063600</v>
      </c>
      <c r="G10272" s="562">
        <f t="shared" si="247"/>
        <v>-361</v>
      </c>
      <c r="H10272" s="530"/>
      <c r="I10272" s="530"/>
      <c r="J10272" s="530"/>
    </row>
    <row r="10273" spans="1:10" x14ac:dyDescent="0.25">
      <c r="A10273" s="362"/>
      <c r="B10273" s="609">
        <v>44809</v>
      </c>
      <c r="C10273" s="362" t="s">
        <v>86</v>
      </c>
      <c r="D10273" s="560">
        <v>76587894</v>
      </c>
      <c r="E10273" s="560"/>
      <c r="F10273" s="560">
        <v>76587900</v>
      </c>
      <c r="G10273" s="560">
        <f t="shared" si="244"/>
        <v>-6</v>
      </c>
      <c r="H10273" s="362"/>
      <c r="I10273" s="362"/>
      <c r="J10273" s="362"/>
    </row>
    <row r="10274" spans="1:10" x14ac:dyDescent="0.25">
      <c r="A10274" s="362"/>
      <c r="B10274" s="609">
        <v>44809</v>
      </c>
      <c r="C10274" s="362" t="s">
        <v>87</v>
      </c>
      <c r="D10274" s="560">
        <v>142593898</v>
      </c>
      <c r="E10274" s="560"/>
      <c r="F10274" s="560">
        <v>142593900</v>
      </c>
      <c r="G10274" s="560">
        <f t="shared" si="244"/>
        <v>-2</v>
      </c>
      <c r="H10274" s="362"/>
      <c r="I10274" s="362"/>
      <c r="J10274" s="362"/>
    </row>
    <row r="10275" spans="1:10" x14ac:dyDescent="0.25">
      <c r="A10275" s="362"/>
      <c r="B10275" s="609">
        <v>44809</v>
      </c>
      <c r="C10275" s="362" t="s">
        <v>88</v>
      </c>
      <c r="D10275" s="560">
        <v>200552513</v>
      </c>
      <c r="E10275" s="560"/>
      <c r="F10275" s="560">
        <v>200552600</v>
      </c>
      <c r="G10275" s="560">
        <f t="shared" si="244"/>
        <v>-87</v>
      </c>
      <c r="H10275" s="362"/>
      <c r="I10275" s="362"/>
      <c r="J10275" s="362"/>
    </row>
    <row r="10276" spans="1:10" x14ac:dyDescent="0.25">
      <c r="A10276" s="362"/>
      <c r="B10276" s="609">
        <v>44809</v>
      </c>
      <c r="C10276" s="362" t="s">
        <v>82</v>
      </c>
      <c r="D10276" s="560">
        <v>55716050</v>
      </c>
      <c r="E10276" s="560"/>
      <c r="F10276" s="560">
        <v>55716100</v>
      </c>
      <c r="G10276" s="560">
        <f t="shared" si="244"/>
        <v>-50</v>
      </c>
      <c r="H10276" s="362"/>
      <c r="I10276" s="362"/>
      <c r="J10276" s="362"/>
    </row>
    <row r="10277" spans="1:10" x14ac:dyDescent="0.25">
      <c r="A10277" s="362"/>
      <c r="B10277" s="609">
        <v>44809</v>
      </c>
      <c r="C10277" s="362" t="s">
        <v>80</v>
      </c>
      <c r="D10277" s="560">
        <v>696114252</v>
      </c>
      <c r="E10277" s="560"/>
      <c r="F10277" s="560">
        <v>696114200</v>
      </c>
      <c r="G10277" s="560">
        <f t="shared" si="244"/>
        <v>52</v>
      </c>
      <c r="H10277" s="362"/>
      <c r="I10277" s="362"/>
      <c r="J10277" s="362"/>
    </row>
    <row r="10278" spans="1:10" x14ac:dyDescent="0.25">
      <c r="A10278" s="362"/>
      <c r="B10278" s="609">
        <v>44809</v>
      </c>
      <c r="C10278" s="362" t="s">
        <v>83</v>
      </c>
      <c r="D10278" s="560">
        <v>195190854</v>
      </c>
      <c r="E10278" s="560"/>
      <c r="F10278" s="560">
        <v>195190900</v>
      </c>
      <c r="G10278" s="560">
        <f t="shared" si="244"/>
        <v>-46</v>
      </c>
      <c r="H10278" s="362"/>
      <c r="I10278" s="362"/>
      <c r="J10278" s="362"/>
    </row>
    <row r="10279" spans="1:10" x14ac:dyDescent="0.25">
      <c r="A10279" s="362"/>
      <c r="B10279" s="609">
        <v>44809</v>
      </c>
      <c r="C10279" s="362" t="s">
        <v>78</v>
      </c>
      <c r="D10279" s="560">
        <v>98603000</v>
      </c>
      <c r="E10279" s="560"/>
      <c r="F10279" s="560">
        <v>98603000</v>
      </c>
      <c r="G10279" s="560">
        <f t="shared" si="244"/>
        <v>0</v>
      </c>
      <c r="H10279" s="362"/>
      <c r="I10279" s="362"/>
      <c r="J10279" s="362"/>
    </row>
    <row r="10280" spans="1:10" x14ac:dyDescent="0.25">
      <c r="A10280" s="362"/>
      <c r="B10280" s="609">
        <v>44809</v>
      </c>
      <c r="C10280" s="362" t="s">
        <v>141</v>
      </c>
      <c r="D10280" s="560">
        <v>88230160</v>
      </c>
      <c r="E10280" s="560"/>
      <c r="F10280" s="560">
        <v>88230200</v>
      </c>
      <c r="G10280" s="560">
        <f t="shared" si="244"/>
        <v>-40</v>
      </c>
      <c r="H10280" s="362"/>
      <c r="I10280" s="362"/>
      <c r="J10280" s="362"/>
    </row>
    <row r="10281" spans="1:10" x14ac:dyDescent="0.25">
      <c r="A10281" s="362"/>
      <c r="B10281" s="609">
        <v>44809</v>
      </c>
      <c r="C10281" s="362" t="s">
        <v>89</v>
      </c>
      <c r="D10281" s="560">
        <v>151959400</v>
      </c>
      <c r="E10281" s="560"/>
      <c r="F10281" s="560">
        <v>151959400</v>
      </c>
      <c r="G10281" s="560">
        <f t="shared" si="244"/>
        <v>0</v>
      </c>
      <c r="H10281" s="362"/>
      <c r="I10281" s="362"/>
      <c r="J10281" s="362"/>
    </row>
    <row r="10282" spans="1:10" x14ac:dyDescent="0.25">
      <c r="A10282" s="362"/>
      <c r="B10282" s="609">
        <v>44809</v>
      </c>
      <c r="C10282" s="362" t="s">
        <v>81</v>
      </c>
      <c r="D10282" s="560">
        <v>95172382</v>
      </c>
      <c r="E10282" s="560"/>
      <c r="F10282" s="560">
        <v>95172400</v>
      </c>
      <c r="G10282" s="560">
        <f t="shared" si="244"/>
        <v>-18</v>
      </c>
      <c r="H10282" s="362"/>
      <c r="I10282" s="362"/>
      <c r="J10282" s="362"/>
    </row>
    <row r="10283" spans="1:10" x14ac:dyDescent="0.25">
      <c r="A10283" s="362"/>
      <c r="B10283" s="609">
        <v>44809</v>
      </c>
      <c r="C10283" s="362" t="s">
        <v>84</v>
      </c>
      <c r="D10283" s="560">
        <v>389904487</v>
      </c>
      <c r="E10283" s="560"/>
      <c r="F10283" s="560">
        <v>389904500</v>
      </c>
      <c r="G10283" s="560">
        <f t="shared" si="244"/>
        <v>-13</v>
      </c>
      <c r="H10283" s="362"/>
      <c r="I10283" s="362"/>
      <c r="J10283" s="362"/>
    </row>
    <row r="10284" spans="1:10" x14ac:dyDescent="0.25">
      <c r="A10284" s="362"/>
      <c r="B10284" s="609">
        <v>44809</v>
      </c>
      <c r="C10284" s="362" t="s">
        <v>4751</v>
      </c>
      <c r="D10284" s="560">
        <v>192423700</v>
      </c>
      <c r="E10284" s="560"/>
      <c r="F10284" s="560">
        <v>192423700</v>
      </c>
      <c r="G10284" s="560">
        <f t="shared" si="244"/>
        <v>0</v>
      </c>
      <c r="H10284" s="362"/>
      <c r="I10284" s="362"/>
      <c r="J10284" s="362"/>
    </row>
    <row r="10285" spans="1:10" x14ac:dyDescent="0.25">
      <c r="A10285" s="362"/>
      <c r="B10285" s="609">
        <v>44809</v>
      </c>
      <c r="C10285" s="362" t="s">
        <v>6301</v>
      </c>
      <c r="D10285" s="560">
        <v>70275767</v>
      </c>
      <c r="E10285" s="560"/>
      <c r="F10285" s="560">
        <v>70276000</v>
      </c>
      <c r="G10285" s="560">
        <f t="shared" si="244"/>
        <v>-233</v>
      </c>
      <c r="H10285" s="362"/>
      <c r="I10285" s="362"/>
      <c r="J10285" s="362"/>
    </row>
    <row r="10286" spans="1:10" x14ac:dyDescent="0.25">
      <c r="A10286" s="362"/>
      <c r="B10286" s="609">
        <v>44809</v>
      </c>
      <c r="C10286" s="362" t="s">
        <v>3435</v>
      </c>
      <c r="D10286" s="560">
        <v>30414740</v>
      </c>
      <c r="E10286" s="560"/>
      <c r="F10286" s="560">
        <v>30414800</v>
      </c>
      <c r="G10286" s="560">
        <f t="shared" si="244"/>
        <v>-60</v>
      </c>
      <c r="H10286" s="362"/>
      <c r="I10286" s="362"/>
      <c r="J10286" s="362"/>
    </row>
    <row r="10287" spans="1:10" x14ac:dyDescent="0.25">
      <c r="A10287" s="362"/>
      <c r="B10287" s="609">
        <v>44809</v>
      </c>
      <c r="C10287" s="370" t="s">
        <v>85</v>
      </c>
      <c r="D10287" s="560">
        <v>67979200</v>
      </c>
      <c r="E10287" s="560"/>
      <c r="F10287" s="560">
        <v>67979200</v>
      </c>
      <c r="G10287" s="560">
        <f t="shared" si="244"/>
        <v>0</v>
      </c>
      <c r="H10287" s="362"/>
      <c r="I10287" s="362"/>
      <c r="J10287" s="362"/>
    </row>
    <row r="10288" spans="1:10" x14ac:dyDescent="0.25">
      <c r="A10288" s="362"/>
      <c r="B10288" s="609">
        <v>44809</v>
      </c>
      <c r="C10288" s="370" t="s">
        <v>6299</v>
      </c>
      <c r="D10288" s="560">
        <v>21955541</v>
      </c>
      <c r="E10288" s="560"/>
      <c r="F10288" s="560">
        <v>21955600</v>
      </c>
      <c r="G10288" s="560">
        <f t="shared" si="244"/>
        <v>-59</v>
      </c>
      <c r="H10288" s="362"/>
      <c r="I10288" s="362"/>
      <c r="J10288" s="362"/>
    </row>
    <row r="10289" spans="1:10" x14ac:dyDescent="0.25">
      <c r="A10289" s="530"/>
      <c r="B10289" s="530"/>
      <c r="C10289" s="530"/>
      <c r="D10289" s="562">
        <f>SUM(D10273:D10288)</f>
        <v>2573673838</v>
      </c>
      <c r="E10289" s="562">
        <f t="shared" ref="E10289:G10289" si="248">SUM(E10273:E10288)</f>
        <v>0</v>
      </c>
      <c r="F10289" s="562">
        <f t="shared" si="248"/>
        <v>2573674400</v>
      </c>
      <c r="G10289" s="562">
        <f t="shared" si="248"/>
        <v>-562</v>
      </c>
      <c r="H10289" s="530"/>
      <c r="I10289" s="530"/>
      <c r="J10289" s="530"/>
    </row>
    <row r="10290" spans="1:10" x14ac:dyDescent="0.25">
      <c r="A10290" s="362"/>
      <c r="B10290" s="609">
        <v>44810</v>
      </c>
      <c r="C10290" s="362" t="s">
        <v>86</v>
      </c>
      <c r="D10290" s="560">
        <v>59295197</v>
      </c>
      <c r="E10290" s="560"/>
      <c r="F10290" s="560">
        <v>59295200</v>
      </c>
      <c r="G10290" s="560">
        <f t="shared" si="244"/>
        <v>-3</v>
      </c>
      <c r="H10290" s="362"/>
      <c r="I10290" s="362"/>
      <c r="J10290" s="362"/>
    </row>
    <row r="10291" spans="1:10" x14ac:dyDescent="0.25">
      <c r="A10291" s="362"/>
      <c r="B10291" s="609">
        <v>44810</v>
      </c>
      <c r="C10291" s="362" t="s">
        <v>87</v>
      </c>
      <c r="D10291" s="560">
        <v>178085597</v>
      </c>
      <c r="E10291" s="560"/>
      <c r="F10291" s="560">
        <v>178085600</v>
      </c>
      <c r="G10291" s="560">
        <f t="shared" si="244"/>
        <v>-3</v>
      </c>
      <c r="H10291" s="362"/>
      <c r="I10291" s="362"/>
      <c r="J10291" s="362"/>
    </row>
    <row r="10292" spans="1:10" x14ac:dyDescent="0.25">
      <c r="A10292" s="362"/>
      <c r="B10292" s="609">
        <v>44810</v>
      </c>
      <c r="C10292" s="362" t="s">
        <v>88</v>
      </c>
      <c r="D10292" s="560">
        <v>233858112</v>
      </c>
      <c r="E10292" s="560"/>
      <c r="F10292" s="560">
        <v>233858200</v>
      </c>
      <c r="G10292" s="560">
        <f t="shared" si="244"/>
        <v>-88</v>
      </c>
      <c r="H10292" s="362"/>
      <c r="I10292" s="362"/>
      <c r="J10292" s="362"/>
    </row>
    <row r="10293" spans="1:10" x14ac:dyDescent="0.25">
      <c r="A10293" s="362"/>
      <c r="B10293" s="609">
        <v>44810</v>
      </c>
      <c r="C10293" s="362" t="s">
        <v>82</v>
      </c>
      <c r="D10293" s="560">
        <v>84804185</v>
      </c>
      <c r="E10293" s="560"/>
      <c r="F10293" s="560">
        <v>84804200</v>
      </c>
      <c r="G10293" s="560">
        <f t="shared" si="244"/>
        <v>-15</v>
      </c>
      <c r="H10293" s="362"/>
      <c r="I10293" s="362"/>
      <c r="J10293" s="362"/>
    </row>
    <row r="10294" spans="1:10" x14ac:dyDescent="0.25">
      <c r="A10294" s="362"/>
      <c r="B10294" s="609">
        <v>44810</v>
      </c>
      <c r="C10294" s="362" t="s">
        <v>80</v>
      </c>
      <c r="D10294" s="560">
        <v>548005100</v>
      </c>
      <c r="E10294" s="560"/>
      <c r="F10294" s="560">
        <v>548005100</v>
      </c>
      <c r="G10294" s="560">
        <f t="shared" si="244"/>
        <v>0</v>
      </c>
      <c r="H10294" s="362"/>
      <c r="I10294" s="362"/>
      <c r="J10294" s="362"/>
    </row>
    <row r="10295" spans="1:10" x14ac:dyDescent="0.25">
      <c r="A10295" s="362"/>
      <c r="B10295" s="609">
        <v>44810</v>
      </c>
      <c r="C10295" s="362" t="s">
        <v>83</v>
      </c>
      <c r="D10295" s="560">
        <v>365253400</v>
      </c>
      <c r="E10295" s="560"/>
      <c r="F10295" s="560">
        <v>365253400</v>
      </c>
      <c r="G10295" s="560">
        <f t="shared" si="244"/>
        <v>0</v>
      </c>
      <c r="H10295" s="362"/>
      <c r="I10295" s="362"/>
      <c r="J10295" s="362"/>
    </row>
    <row r="10296" spans="1:10" x14ac:dyDescent="0.25">
      <c r="A10296" s="362"/>
      <c r="B10296" s="609">
        <v>44810</v>
      </c>
      <c r="C10296" s="362" t="s">
        <v>78</v>
      </c>
      <c r="D10296" s="560">
        <v>180898600</v>
      </c>
      <c r="E10296" s="560"/>
      <c r="F10296" s="560">
        <v>180898600</v>
      </c>
      <c r="G10296" s="560">
        <f t="shared" si="244"/>
        <v>0</v>
      </c>
      <c r="H10296" s="362"/>
      <c r="I10296" s="362"/>
      <c r="J10296" s="362"/>
    </row>
    <row r="10297" spans="1:10" x14ac:dyDescent="0.25">
      <c r="A10297" s="362"/>
      <c r="B10297" s="609">
        <v>44810</v>
      </c>
      <c r="C10297" s="362" t="s">
        <v>141</v>
      </c>
      <c r="D10297" s="560">
        <v>112479801</v>
      </c>
      <c r="E10297" s="560"/>
      <c r="F10297" s="560">
        <v>112479900</v>
      </c>
      <c r="G10297" s="560">
        <f t="shared" si="244"/>
        <v>-99</v>
      </c>
      <c r="H10297" s="362"/>
      <c r="I10297" s="362"/>
      <c r="J10297" s="362"/>
    </row>
    <row r="10298" spans="1:10" x14ac:dyDescent="0.25">
      <c r="A10298" s="362"/>
      <c r="B10298" s="609">
        <v>44810</v>
      </c>
      <c r="C10298" s="362" t="s">
        <v>89</v>
      </c>
      <c r="D10298" s="560">
        <v>225680100</v>
      </c>
      <c r="E10298" s="560"/>
      <c r="F10298" s="560">
        <v>225680400</v>
      </c>
      <c r="G10298" s="560">
        <f t="shared" si="244"/>
        <v>-300</v>
      </c>
      <c r="H10298" s="362"/>
      <c r="I10298" s="362"/>
      <c r="J10298" s="362"/>
    </row>
    <row r="10299" spans="1:10" x14ac:dyDescent="0.25">
      <c r="A10299" s="362"/>
      <c r="B10299" s="609">
        <v>44810</v>
      </c>
      <c r="C10299" s="362" t="s">
        <v>81</v>
      </c>
      <c r="D10299" s="560">
        <v>81533322</v>
      </c>
      <c r="E10299" s="560"/>
      <c r="F10299" s="560">
        <v>81533400</v>
      </c>
      <c r="G10299" s="560">
        <f t="shared" si="244"/>
        <v>-78</v>
      </c>
      <c r="H10299" s="362"/>
      <c r="I10299" s="362"/>
      <c r="J10299" s="362"/>
    </row>
    <row r="10300" spans="1:10" x14ac:dyDescent="0.25">
      <c r="A10300" s="362"/>
      <c r="B10300" s="609">
        <v>44810</v>
      </c>
      <c r="C10300" s="362" t="s">
        <v>84</v>
      </c>
      <c r="D10300" s="560">
        <v>333950306</v>
      </c>
      <c r="E10300" s="560"/>
      <c r="F10300" s="560">
        <v>333949800</v>
      </c>
      <c r="G10300" s="560">
        <f t="shared" si="244"/>
        <v>506</v>
      </c>
      <c r="H10300" s="362"/>
      <c r="I10300" s="362"/>
      <c r="J10300" s="362"/>
    </row>
    <row r="10301" spans="1:10" x14ac:dyDescent="0.25">
      <c r="A10301" s="362"/>
      <c r="B10301" s="609">
        <v>44810</v>
      </c>
      <c r="C10301" s="362" t="s">
        <v>4751</v>
      </c>
      <c r="D10301" s="560">
        <v>231320600</v>
      </c>
      <c r="E10301" s="560"/>
      <c r="F10301" s="560">
        <v>231320600</v>
      </c>
      <c r="G10301" s="560">
        <f t="shared" ref="G10301:G10364" si="249">D10301-F10301</f>
        <v>0</v>
      </c>
      <c r="H10301" s="362"/>
      <c r="I10301" s="362"/>
      <c r="J10301" s="362"/>
    </row>
    <row r="10302" spans="1:10" x14ac:dyDescent="0.25">
      <c r="A10302" s="362"/>
      <c r="B10302" s="609">
        <v>44810</v>
      </c>
      <c r="C10302" s="362" t="s">
        <v>6301</v>
      </c>
      <c r="D10302" s="560">
        <v>148533287</v>
      </c>
      <c r="E10302" s="560"/>
      <c r="F10302" s="560">
        <v>148533300</v>
      </c>
      <c r="G10302" s="560">
        <f t="shared" si="249"/>
        <v>-13</v>
      </c>
      <c r="H10302" s="362"/>
      <c r="I10302" s="362"/>
      <c r="J10302" s="362"/>
    </row>
    <row r="10303" spans="1:10" x14ac:dyDescent="0.25">
      <c r="A10303" s="362"/>
      <c r="B10303" s="609">
        <v>44810</v>
      </c>
      <c r="C10303" s="362" t="s">
        <v>3435</v>
      </c>
      <c r="D10303" s="560">
        <v>165421348</v>
      </c>
      <c r="E10303" s="560"/>
      <c r="F10303" s="560">
        <v>165421400</v>
      </c>
      <c r="G10303" s="560">
        <f t="shared" si="249"/>
        <v>-52</v>
      </c>
      <c r="H10303" s="362"/>
      <c r="I10303" s="362"/>
      <c r="J10303" s="362"/>
    </row>
    <row r="10304" spans="1:10" x14ac:dyDescent="0.25">
      <c r="A10304" s="362"/>
      <c r="B10304" s="609">
        <v>44810</v>
      </c>
      <c r="C10304" s="370" t="s">
        <v>85</v>
      </c>
      <c r="D10304" s="560">
        <v>48705400</v>
      </c>
      <c r="E10304" s="560"/>
      <c r="F10304" s="560">
        <v>48705400</v>
      </c>
      <c r="G10304" s="560">
        <f t="shared" si="249"/>
        <v>0</v>
      </c>
      <c r="H10304" s="362"/>
      <c r="I10304" s="362"/>
      <c r="J10304" s="362"/>
    </row>
    <row r="10305" spans="1:10" x14ac:dyDescent="0.25">
      <c r="A10305" s="362"/>
      <c r="B10305" s="609">
        <v>44810</v>
      </c>
      <c r="C10305" s="370" t="s">
        <v>6299</v>
      </c>
      <c r="D10305" s="560">
        <v>15457780</v>
      </c>
      <c r="E10305" s="560"/>
      <c r="F10305" s="560">
        <v>15457800</v>
      </c>
      <c r="G10305" s="560">
        <f t="shared" si="249"/>
        <v>-20</v>
      </c>
      <c r="H10305" s="362"/>
      <c r="I10305" s="362"/>
      <c r="J10305" s="362"/>
    </row>
    <row r="10306" spans="1:10" x14ac:dyDescent="0.25">
      <c r="A10306" s="530"/>
      <c r="B10306" s="530"/>
      <c r="C10306" s="530"/>
      <c r="D10306" s="562">
        <f>SUM(D10290:D10305)</f>
        <v>3013282135</v>
      </c>
      <c r="E10306" s="562">
        <f t="shared" ref="E10306:G10306" si="250">SUM(E10290:E10305)</f>
        <v>0</v>
      </c>
      <c r="F10306" s="562">
        <f t="shared" si="250"/>
        <v>3013282300</v>
      </c>
      <c r="G10306" s="562">
        <f t="shared" si="250"/>
        <v>-165</v>
      </c>
      <c r="H10306" s="530"/>
      <c r="I10306" s="530"/>
      <c r="J10306" s="530"/>
    </row>
    <row r="10307" spans="1:10" x14ac:dyDescent="0.25">
      <c r="A10307" s="362"/>
      <c r="B10307" s="609">
        <v>44811</v>
      </c>
      <c r="C10307" s="362" t="s">
        <v>86</v>
      </c>
      <c r="D10307" s="560">
        <v>72163751</v>
      </c>
      <c r="E10307" s="560"/>
      <c r="F10307" s="560">
        <v>72163800</v>
      </c>
      <c r="G10307" s="560">
        <f t="shared" si="249"/>
        <v>-49</v>
      </c>
      <c r="H10307" s="362"/>
      <c r="I10307" s="362"/>
      <c r="J10307" s="362"/>
    </row>
    <row r="10308" spans="1:10" x14ac:dyDescent="0.25">
      <c r="A10308" s="362"/>
      <c r="B10308" s="609">
        <v>44811</v>
      </c>
      <c r="C10308" s="362" t="s">
        <v>87</v>
      </c>
      <c r="D10308" s="560">
        <v>137339022</v>
      </c>
      <c r="E10308" s="560"/>
      <c r="F10308" s="560">
        <v>137339000</v>
      </c>
      <c r="G10308" s="560">
        <f t="shared" si="249"/>
        <v>22</v>
      </c>
      <c r="H10308" s="362"/>
      <c r="I10308" s="362"/>
      <c r="J10308" s="362"/>
    </row>
    <row r="10309" spans="1:10" x14ac:dyDescent="0.25">
      <c r="A10309" s="362"/>
      <c r="B10309" s="609">
        <v>44811</v>
      </c>
      <c r="C10309" s="362" t="s">
        <v>88</v>
      </c>
      <c r="D10309" s="560">
        <v>152587378</v>
      </c>
      <c r="E10309" s="560"/>
      <c r="F10309" s="560">
        <v>152587400</v>
      </c>
      <c r="G10309" s="560">
        <f t="shared" si="249"/>
        <v>-22</v>
      </c>
      <c r="H10309" s="362"/>
      <c r="I10309" s="362"/>
      <c r="J10309" s="362"/>
    </row>
    <row r="10310" spans="1:10" x14ac:dyDescent="0.25">
      <c r="A10310" s="362"/>
      <c r="B10310" s="609">
        <v>44811</v>
      </c>
      <c r="C10310" s="362" t="s">
        <v>82</v>
      </c>
      <c r="D10310" s="560">
        <v>107085757</v>
      </c>
      <c r="E10310" s="560"/>
      <c r="F10310" s="560">
        <v>107085700</v>
      </c>
      <c r="G10310" s="560">
        <f t="shared" si="249"/>
        <v>57</v>
      </c>
      <c r="H10310" s="362"/>
      <c r="I10310" s="362"/>
      <c r="J10310" s="362"/>
    </row>
    <row r="10311" spans="1:10" x14ac:dyDescent="0.25">
      <c r="A10311" s="362"/>
      <c r="B10311" s="609">
        <v>44811</v>
      </c>
      <c r="C10311" s="362" t="s">
        <v>80</v>
      </c>
      <c r="D10311" s="560">
        <v>228789510</v>
      </c>
      <c r="E10311" s="560"/>
      <c r="F10311" s="560">
        <v>228789600</v>
      </c>
      <c r="G10311" s="560">
        <f t="shared" si="249"/>
        <v>-90</v>
      </c>
      <c r="H10311" s="362"/>
      <c r="I10311" s="362"/>
      <c r="J10311" s="362"/>
    </row>
    <row r="10312" spans="1:10" x14ac:dyDescent="0.25">
      <c r="A10312" s="362"/>
      <c r="B10312" s="609">
        <v>44811</v>
      </c>
      <c r="C10312" s="362" t="s">
        <v>83</v>
      </c>
      <c r="D10312" s="560">
        <v>168104600</v>
      </c>
      <c r="E10312" s="560"/>
      <c r="F10312" s="560">
        <v>168104600</v>
      </c>
      <c r="G10312" s="560">
        <f t="shared" si="249"/>
        <v>0</v>
      </c>
      <c r="H10312" s="362"/>
      <c r="I10312" s="362"/>
      <c r="J10312" s="362"/>
    </row>
    <row r="10313" spans="1:10" x14ac:dyDescent="0.25">
      <c r="A10313" s="362"/>
      <c r="B10313" s="609">
        <v>44811</v>
      </c>
      <c r="C10313" s="362" t="s">
        <v>78</v>
      </c>
      <c r="D10313" s="560">
        <v>136298700</v>
      </c>
      <c r="E10313" s="560"/>
      <c r="F10313" s="560">
        <v>136298700</v>
      </c>
      <c r="G10313" s="560">
        <f t="shared" si="249"/>
        <v>0</v>
      </c>
      <c r="H10313" s="362"/>
      <c r="I10313" s="362"/>
      <c r="J10313" s="362"/>
    </row>
    <row r="10314" spans="1:10" x14ac:dyDescent="0.25">
      <c r="A10314" s="362"/>
      <c r="B10314" s="609">
        <v>44811</v>
      </c>
      <c r="C10314" s="362" t="s">
        <v>141</v>
      </c>
      <c r="D10314" s="560">
        <v>172269008</v>
      </c>
      <c r="E10314" s="560"/>
      <c r="F10314" s="560">
        <v>172269100</v>
      </c>
      <c r="G10314" s="560">
        <f t="shared" si="249"/>
        <v>-92</v>
      </c>
      <c r="H10314" s="362"/>
      <c r="I10314" s="362"/>
      <c r="J10314" s="362"/>
    </row>
    <row r="10315" spans="1:10" x14ac:dyDescent="0.25">
      <c r="A10315" s="362"/>
      <c r="B10315" s="609">
        <v>44811</v>
      </c>
      <c r="C10315" s="362" t="s">
        <v>89</v>
      </c>
      <c r="D10315" s="560">
        <v>242033100</v>
      </c>
      <c r="E10315" s="560"/>
      <c r="F10315" s="560">
        <v>242033100</v>
      </c>
      <c r="G10315" s="560">
        <f t="shared" si="249"/>
        <v>0</v>
      </c>
      <c r="H10315" s="362"/>
      <c r="I10315" s="362"/>
      <c r="J10315" s="362"/>
    </row>
    <row r="10316" spans="1:10" x14ac:dyDescent="0.25">
      <c r="A10316" s="362"/>
      <c r="B10316" s="609">
        <v>44811</v>
      </c>
      <c r="C10316" s="362" t="s">
        <v>81</v>
      </c>
      <c r="D10316" s="560">
        <v>129428847</v>
      </c>
      <c r="E10316" s="560"/>
      <c r="F10316" s="560">
        <v>129428900</v>
      </c>
      <c r="G10316" s="560">
        <f t="shared" si="249"/>
        <v>-53</v>
      </c>
      <c r="H10316" s="362"/>
      <c r="I10316" s="362"/>
      <c r="J10316" s="362"/>
    </row>
    <row r="10317" spans="1:10" x14ac:dyDescent="0.25">
      <c r="A10317" s="362"/>
      <c r="B10317" s="609">
        <v>44811</v>
      </c>
      <c r="C10317" s="362" t="s">
        <v>84</v>
      </c>
      <c r="D10317" s="560">
        <v>356642278</v>
      </c>
      <c r="E10317" s="560"/>
      <c r="F10317" s="560">
        <v>356642200</v>
      </c>
      <c r="G10317" s="560">
        <f t="shared" si="249"/>
        <v>78</v>
      </c>
      <c r="H10317" s="362"/>
      <c r="I10317" s="362"/>
      <c r="J10317" s="362"/>
    </row>
    <row r="10318" spans="1:10" x14ac:dyDescent="0.25">
      <c r="A10318" s="362"/>
      <c r="B10318" s="609">
        <v>44811</v>
      </c>
      <c r="C10318" s="362" t="s">
        <v>4751</v>
      </c>
      <c r="D10318" s="560">
        <v>176984200</v>
      </c>
      <c r="E10318" s="560"/>
      <c r="F10318" s="560">
        <v>176984200</v>
      </c>
      <c r="G10318" s="560">
        <f t="shared" si="249"/>
        <v>0</v>
      </c>
      <c r="H10318" s="362"/>
      <c r="I10318" s="362"/>
      <c r="J10318" s="362"/>
    </row>
    <row r="10319" spans="1:10" x14ac:dyDescent="0.25">
      <c r="A10319" s="362"/>
      <c r="B10319" s="609">
        <v>44811</v>
      </c>
      <c r="C10319" s="362" t="s">
        <v>6301</v>
      </c>
      <c r="D10319" s="560">
        <v>102575483</v>
      </c>
      <c r="E10319" s="560"/>
      <c r="F10319" s="560">
        <v>102575500</v>
      </c>
      <c r="G10319" s="560">
        <f t="shared" si="249"/>
        <v>-17</v>
      </c>
      <c r="H10319" s="362"/>
      <c r="I10319" s="362"/>
      <c r="J10319" s="362"/>
    </row>
    <row r="10320" spans="1:10" x14ac:dyDescent="0.25">
      <c r="A10320" s="362"/>
      <c r="B10320" s="609">
        <v>44811</v>
      </c>
      <c r="C10320" s="362" t="s">
        <v>3435</v>
      </c>
      <c r="D10320" s="560">
        <v>46857659</v>
      </c>
      <c r="E10320" s="560"/>
      <c r="F10320" s="560">
        <v>46857700</v>
      </c>
      <c r="G10320" s="560">
        <f t="shared" si="249"/>
        <v>-41</v>
      </c>
      <c r="H10320" s="362"/>
      <c r="I10320" s="362"/>
      <c r="J10320" s="362"/>
    </row>
    <row r="10321" spans="1:10" x14ac:dyDescent="0.25">
      <c r="A10321" s="362"/>
      <c r="B10321" s="609">
        <v>44811</v>
      </c>
      <c r="C10321" s="370" t="s">
        <v>85</v>
      </c>
      <c r="D10321" s="560">
        <v>55535700</v>
      </c>
      <c r="E10321" s="560"/>
      <c r="F10321" s="560">
        <v>55535700</v>
      </c>
      <c r="G10321" s="560">
        <f t="shared" si="249"/>
        <v>0</v>
      </c>
      <c r="H10321" s="362"/>
      <c r="I10321" s="362"/>
      <c r="J10321" s="362"/>
    </row>
    <row r="10322" spans="1:10" x14ac:dyDescent="0.25">
      <c r="A10322" s="362"/>
      <c r="B10322" s="609">
        <v>44811</v>
      </c>
      <c r="C10322" s="370" t="s">
        <v>6299</v>
      </c>
      <c r="D10322" s="560">
        <v>56683490</v>
      </c>
      <c r="E10322" s="560"/>
      <c r="F10322" s="560">
        <v>56683500</v>
      </c>
      <c r="G10322" s="560">
        <f t="shared" si="249"/>
        <v>-10</v>
      </c>
      <c r="H10322" s="362"/>
      <c r="I10322" s="362"/>
      <c r="J10322" s="362"/>
    </row>
    <row r="10323" spans="1:10" x14ac:dyDescent="0.25">
      <c r="A10323" s="530"/>
      <c r="B10323" s="530"/>
      <c r="C10323" s="530"/>
      <c r="D10323" s="562">
        <f>SUM(D10307:D10322)</f>
        <v>2341378483</v>
      </c>
      <c r="E10323" s="562">
        <f t="shared" ref="E10323:G10323" si="251">SUM(E10307:E10322)</f>
        <v>0</v>
      </c>
      <c r="F10323" s="562">
        <f t="shared" si="251"/>
        <v>2341378700</v>
      </c>
      <c r="G10323" s="562">
        <f t="shared" si="251"/>
        <v>-217</v>
      </c>
      <c r="H10323" s="530"/>
      <c r="I10323" s="530"/>
      <c r="J10323" s="530"/>
    </row>
    <row r="10324" spans="1:10" x14ac:dyDescent="0.25">
      <c r="A10324" s="362"/>
      <c r="B10324" s="609">
        <v>44812</v>
      </c>
      <c r="C10324" s="362" t="s">
        <v>86</v>
      </c>
      <c r="D10324" s="560">
        <v>91364761</v>
      </c>
      <c r="E10324" s="560"/>
      <c r="F10324" s="560">
        <v>91364800</v>
      </c>
      <c r="G10324" s="560">
        <f t="shared" si="249"/>
        <v>-39</v>
      </c>
      <c r="H10324" s="362"/>
      <c r="I10324" s="362"/>
      <c r="J10324" s="362"/>
    </row>
    <row r="10325" spans="1:10" x14ac:dyDescent="0.25">
      <c r="A10325" s="362"/>
      <c r="B10325" s="609">
        <v>44812</v>
      </c>
      <c r="C10325" s="362" t="s">
        <v>87</v>
      </c>
      <c r="D10325" s="560">
        <v>164878191</v>
      </c>
      <c r="E10325" s="560"/>
      <c r="F10325" s="560">
        <v>164877500</v>
      </c>
      <c r="G10325" s="560">
        <f t="shared" si="249"/>
        <v>691</v>
      </c>
      <c r="H10325" s="362"/>
      <c r="I10325" s="362"/>
      <c r="J10325" s="362"/>
    </row>
    <row r="10326" spans="1:10" x14ac:dyDescent="0.25">
      <c r="A10326" s="362"/>
      <c r="B10326" s="609">
        <v>44812</v>
      </c>
      <c r="C10326" s="362" t="s">
        <v>88</v>
      </c>
      <c r="D10326" s="560">
        <v>137248741</v>
      </c>
      <c r="E10326" s="560"/>
      <c r="F10326" s="560">
        <v>137248800</v>
      </c>
      <c r="G10326" s="560">
        <f t="shared" si="249"/>
        <v>-59</v>
      </c>
      <c r="H10326" s="362"/>
      <c r="I10326" s="362"/>
      <c r="J10326" s="362"/>
    </row>
    <row r="10327" spans="1:10" x14ac:dyDescent="0.25">
      <c r="A10327" s="362"/>
      <c r="B10327" s="609">
        <v>44812</v>
      </c>
      <c r="C10327" s="362" t="s">
        <v>82</v>
      </c>
      <c r="D10327" s="560">
        <v>156763263</v>
      </c>
      <c r="E10327" s="560"/>
      <c r="F10327" s="560">
        <v>156763300</v>
      </c>
      <c r="G10327" s="560">
        <f t="shared" si="249"/>
        <v>-37</v>
      </c>
      <c r="H10327" s="362"/>
      <c r="I10327" s="362"/>
      <c r="J10327" s="362"/>
    </row>
    <row r="10328" spans="1:10" x14ac:dyDescent="0.25">
      <c r="A10328" s="362"/>
      <c r="B10328" s="609">
        <v>44812</v>
      </c>
      <c r="C10328" s="362" t="s">
        <v>80</v>
      </c>
      <c r="D10328" s="560">
        <v>304455100</v>
      </c>
      <c r="E10328" s="560"/>
      <c r="F10328" s="560">
        <v>304455100</v>
      </c>
      <c r="G10328" s="560">
        <f t="shared" si="249"/>
        <v>0</v>
      </c>
      <c r="H10328" s="362"/>
      <c r="I10328" s="362"/>
      <c r="J10328" s="362"/>
    </row>
    <row r="10329" spans="1:10" x14ac:dyDescent="0.25">
      <c r="A10329" s="362"/>
      <c r="B10329" s="609">
        <v>44812</v>
      </c>
      <c r="C10329" s="362" t="s">
        <v>83</v>
      </c>
      <c r="D10329" s="560">
        <v>280947700</v>
      </c>
      <c r="E10329" s="560"/>
      <c r="F10329" s="560">
        <v>280947700</v>
      </c>
      <c r="G10329" s="560">
        <f t="shared" si="249"/>
        <v>0</v>
      </c>
      <c r="H10329" s="362"/>
      <c r="I10329" s="362"/>
      <c r="J10329" s="362"/>
    </row>
    <row r="10330" spans="1:10" x14ac:dyDescent="0.25">
      <c r="A10330" s="362"/>
      <c r="B10330" s="609">
        <v>44812</v>
      </c>
      <c r="C10330" s="362" t="s">
        <v>78</v>
      </c>
      <c r="D10330" s="560">
        <v>163992200</v>
      </c>
      <c r="E10330" s="560"/>
      <c r="F10330" s="560">
        <v>163992200</v>
      </c>
      <c r="G10330" s="560">
        <f t="shared" si="249"/>
        <v>0</v>
      </c>
      <c r="H10330" s="362"/>
      <c r="I10330" s="362"/>
      <c r="J10330" s="362"/>
    </row>
    <row r="10331" spans="1:10" x14ac:dyDescent="0.25">
      <c r="A10331" s="362"/>
      <c r="B10331" s="609">
        <v>44812</v>
      </c>
      <c r="C10331" s="362" t="s">
        <v>141</v>
      </c>
      <c r="D10331" s="560">
        <v>104398837</v>
      </c>
      <c r="E10331" s="560"/>
      <c r="F10331" s="560">
        <v>104398900</v>
      </c>
      <c r="G10331" s="560">
        <f t="shared" si="249"/>
        <v>-63</v>
      </c>
      <c r="H10331" s="362"/>
      <c r="I10331" s="362"/>
      <c r="J10331" s="362"/>
    </row>
    <row r="10332" spans="1:10" x14ac:dyDescent="0.25">
      <c r="A10332" s="362"/>
      <c r="B10332" s="609">
        <v>44812</v>
      </c>
      <c r="C10332" s="362" t="s">
        <v>89</v>
      </c>
      <c r="D10332" s="560">
        <v>229278300</v>
      </c>
      <c r="E10332" s="560"/>
      <c r="F10332" s="560">
        <v>229278300</v>
      </c>
      <c r="G10332" s="560">
        <f t="shared" si="249"/>
        <v>0</v>
      </c>
      <c r="H10332" s="362"/>
      <c r="I10332" s="362"/>
      <c r="J10332" s="362"/>
    </row>
    <row r="10333" spans="1:10" x14ac:dyDescent="0.25">
      <c r="A10333" s="362"/>
      <c r="B10333" s="609">
        <v>44812</v>
      </c>
      <c r="C10333" s="362" t="s">
        <v>81</v>
      </c>
      <c r="D10333" s="560">
        <v>197596759</v>
      </c>
      <c r="E10333" s="560"/>
      <c r="F10333" s="560">
        <v>197596800</v>
      </c>
      <c r="G10333" s="560">
        <f t="shared" si="249"/>
        <v>-41</v>
      </c>
      <c r="H10333" s="362"/>
      <c r="I10333" s="362"/>
      <c r="J10333" s="362"/>
    </row>
    <row r="10334" spans="1:10" x14ac:dyDescent="0.25">
      <c r="A10334" s="362"/>
      <c r="B10334" s="609">
        <v>44812</v>
      </c>
      <c r="C10334" s="362" t="s">
        <v>84</v>
      </c>
      <c r="D10334" s="560">
        <v>376376406</v>
      </c>
      <c r="E10334" s="560"/>
      <c r="F10334" s="560">
        <v>376376600</v>
      </c>
      <c r="G10334" s="560">
        <f t="shared" si="249"/>
        <v>-194</v>
      </c>
      <c r="H10334" s="362"/>
      <c r="I10334" s="362"/>
      <c r="J10334" s="362"/>
    </row>
    <row r="10335" spans="1:10" x14ac:dyDescent="0.25">
      <c r="A10335" s="362"/>
      <c r="B10335" s="609">
        <v>44812</v>
      </c>
      <c r="C10335" s="362" t="s">
        <v>4751</v>
      </c>
      <c r="D10335" s="560">
        <v>282825700</v>
      </c>
      <c r="E10335" s="560"/>
      <c r="F10335" s="560">
        <v>282825700</v>
      </c>
      <c r="G10335" s="560">
        <f t="shared" si="249"/>
        <v>0</v>
      </c>
      <c r="H10335" s="362"/>
      <c r="I10335" s="362"/>
      <c r="J10335" s="362"/>
    </row>
    <row r="10336" spans="1:10" x14ac:dyDescent="0.25">
      <c r="A10336" s="362"/>
      <c r="B10336" s="609">
        <v>44812</v>
      </c>
      <c r="C10336" s="362" t="s">
        <v>6301</v>
      </c>
      <c r="D10336" s="560">
        <v>192054201</v>
      </c>
      <c r="E10336" s="560"/>
      <c r="F10336" s="560">
        <v>192054200</v>
      </c>
      <c r="G10336" s="560">
        <f t="shared" si="249"/>
        <v>1</v>
      </c>
      <c r="H10336" s="362"/>
      <c r="I10336" s="362"/>
      <c r="J10336" s="362"/>
    </row>
    <row r="10337" spans="1:12" x14ac:dyDescent="0.25">
      <c r="A10337" s="362"/>
      <c r="B10337" s="609">
        <v>44812</v>
      </c>
      <c r="C10337" s="362" t="s">
        <v>3435</v>
      </c>
      <c r="D10337" s="560">
        <v>53796126</v>
      </c>
      <c r="E10337" s="560"/>
      <c r="F10337" s="560">
        <v>53796200</v>
      </c>
      <c r="G10337" s="560">
        <f t="shared" si="249"/>
        <v>-74</v>
      </c>
      <c r="H10337" s="362"/>
      <c r="I10337" s="362"/>
      <c r="J10337" s="362"/>
    </row>
    <row r="10338" spans="1:12" x14ac:dyDescent="0.25">
      <c r="A10338" s="362"/>
      <c r="B10338" s="609">
        <v>44812</v>
      </c>
      <c r="C10338" s="370" t="s">
        <v>85</v>
      </c>
      <c r="D10338" s="560">
        <v>32544700</v>
      </c>
      <c r="E10338" s="560"/>
      <c r="F10338" s="560">
        <v>32544700</v>
      </c>
      <c r="G10338" s="560">
        <f t="shared" si="249"/>
        <v>0</v>
      </c>
      <c r="H10338" s="362"/>
      <c r="I10338" s="362"/>
      <c r="J10338" s="362"/>
    </row>
    <row r="10339" spans="1:12" x14ac:dyDescent="0.25">
      <c r="A10339" s="362"/>
      <c r="B10339" s="609">
        <v>44812</v>
      </c>
      <c r="C10339" s="370" t="s">
        <v>6299</v>
      </c>
      <c r="D10339" s="560">
        <v>72820335</v>
      </c>
      <c r="E10339" s="560"/>
      <c r="F10339" s="560">
        <v>72820400</v>
      </c>
      <c r="G10339" s="560">
        <f t="shared" si="249"/>
        <v>-65</v>
      </c>
      <c r="H10339" s="362"/>
      <c r="I10339" s="362"/>
      <c r="J10339" s="362"/>
    </row>
    <row r="10340" spans="1:12" x14ac:dyDescent="0.25">
      <c r="A10340" s="530"/>
      <c r="B10340" s="530"/>
      <c r="C10340" s="530"/>
      <c r="D10340" s="562">
        <f>SUM(D10324:D10339)</f>
        <v>2841341320</v>
      </c>
      <c r="E10340" s="562">
        <f t="shared" ref="E10340:G10340" si="252">SUM(E10324:E10339)</f>
        <v>0</v>
      </c>
      <c r="F10340" s="562">
        <f t="shared" si="252"/>
        <v>2841341200</v>
      </c>
      <c r="G10340" s="562">
        <f t="shared" si="252"/>
        <v>120</v>
      </c>
      <c r="H10340" s="530"/>
      <c r="I10340" s="530"/>
      <c r="J10340" s="530"/>
    </row>
    <row r="10341" spans="1:12" x14ac:dyDescent="0.25">
      <c r="A10341" s="362"/>
      <c r="B10341" s="609">
        <v>44813</v>
      </c>
      <c r="C10341" s="362" t="s">
        <v>86</v>
      </c>
      <c r="D10341" s="560">
        <v>111050763</v>
      </c>
      <c r="E10341" s="560"/>
      <c r="F10341" s="560">
        <v>111050800</v>
      </c>
      <c r="G10341" s="560">
        <f t="shared" si="249"/>
        <v>-37</v>
      </c>
      <c r="H10341" s="362"/>
      <c r="I10341" s="362"/>
      <c r="J10341" s="362"/>
    </row>
    <row r="10342" spans="1:12" x14ac:dyDescent="0.25">
      <c r="A10342" s="362"/>
      <c r="B10342" s="609">
        <v>44813</v>
      </c>
      <c r="C10342" s="362" t="s">
        <v>87</v>
      </c>
      <c r="D10342" s="560">
        <v>126409945</v>
      </c>
      <c r="E10342" s="560"/>
      <c r="F10342" s="560">
        <v>126420000</v>
      </c>
      <c r="G10342" s="560">
        <f t="shared" si="249"/>
        <v>-10055</v>
      </c>
      <c r="H10342" s="362"/>
      <c r="I10342" s="362"/>
      <c r="J10342" s="362"/>
    </row>
    <row r="10343" spans="1:12" x14ac:dyDescent="0.25">
      <c r="A10343" s="362"/>
      <c r="B10343" s="609">
        <v>44813</v>
      </c>
      <c r="C10343" s="362" t="s">
        <v>88</v>
      </c>
      <c r="D10343" s="560">
        <v>145377335</v>
      </c>
      <c r="E10343" s="560"/>
      <c r="F10343" s="560">
        <v>145377400</v>
      </c>
      <c r="G10343" s="560">
        <f t="shared" si="249"/>
        <v>-65</v>
      </c>
      <c r="H10343" s="362"/>
      <c r="I10343" s="362"/>
      <c r="J10343" s="362"/>
    </row>
    <row r="10344" spans="1:12" x14ac:dyDescent="0.25">
      <c r="A10344" s="362"/>
      <c r="B10344" s="609">
        <v>44813</v>
      </c>
      <c r="C10344" s="362" t="s">
        <v>82</v>
      </c>
      <c r="D10344" s="560">
        <v>101342074</v>
      </c>
      <c r="E10344" s="560"/>
      <c r="F10344" s="560">
        <v>101342100</v>
      </c>
      <c r="G10344" s="560">
        <f t="shared" si="249"/>
        <v>-26</v>
      </c>
      <c r="H10344" s="362"/>
      <c r="I10344" s="362"/>
      <c r="J10344" s="362"/>
    </row>
    <row r="10345" spans="1:12" x14ac:dyDescent="0.25">
      <c r="A10345" s="362"/>
      <c r="B10345" s="609">
        <v>44813</v>
      </c>
      <c r="C10345" s="362" t="s">
        <v>80</v>
      </c>
      <c r="D10345" s="560">
        <v>473715900</v>
      </c>
      <c r="E10345" s="560"/>
      <c r="F10345" s="560">
        <v>473715900</v>
      </c>
      <c r="G10345" s="560">
        <f t="shared" si="249"/>
        <v>0</v>
      </c>
      <c r="H10345" s="362"/>
      <c r="I10345" s="362"/>
      <c r="J10345" s="362"/>
    </row>
    <row r="10346" spans="1:12" x14ac:dyDescent="0.25">
      <c r="A10346" s="362"/>
      <c r="B10346" s="609">
        <v>44813</v>
      </c>
      <c r="C10346" s="362" t="s">
        <v>83</v>
      </c>
      <c r="D10346" s="560">
        <v>181001557</v>
      </c>
      <c r="E10346" s="560"/>
      <c r="F10346" s="560">
        <v>181001600</v>
      </c>
      <c r="G10346" s="560">
        <f t="shared" si="249"/>
        <v>-43</v>
      </c>
      <c r="H10346" s="362"/>
      <c r="I10346" s="362"/>
      <c r="J10346" s="362"/>
    </row>
    <row r="10347" spans="1:12" x14ac:dyDescent="0.25">
      <c r="A10347" s="362"/>
      <c r="B10347" s="609">
        <v>44813</v>
      </c>
      <c r="C10347" s="362" t="s">
        <v>78</v>
      </c>
      <c r="D10347" s="560">
        <v>138984300</v>
      </c>
      <c r="E10347" s="560"/>
      <c r="F10347" s="560">
        <v>138984300</v>
      </c>
      <c r="G10347" s="560">
        <f t="shared" si="249"/>
        <v>0</v>
      </c>
      <c r="H10347" s="362"/>
      <c r="I10347" s="362"/>
      <c r="J10347" s="362"/>
    </row>
    <row r="10348" spans="1:12" x14ac:dyDescent="0.25">
      <c r="A10348" s="362"/>
      <c r="B10348" s="609">
        <v>44813</v>
      </c>
      <c r="C10348" s="362" t="s">
        <v>141</v>
      </c>
      <c r="D10348" s="560">
        <v>93568858</v>
      </c>
      <c r="E10348" s="560"/>
      <c r="F10348" s="560">
        <v>93568900</v>
      </c>
      <c r="G10348" s="560">
        <f t="shared" si="249"/>
        <v>-42</v>
      </c>
      <c r="H10348" s="362"/>
      <c r="I10348" s="362"/>
      <c r="J10348" s="362"/>
    </row>
    <row r="10349" spans="1:12" x14ac:dyDescent="0.25">
      <c r="A10349" s="362"/>
      <c r="B10349" s="609">
        <v>44813</v>
      </c>
      <c r="C10349" s="362" t="s">
        <v>89</v>
      </c>
      <c r="D10349" s="560">
        <v>191804100</v>
      </c>
      <c r="E10349" s="560"/>
      <c r="F10349" s="560">
        <v>191804100</v>
      </c>
      <c r="G10349" s="560">
        <f t="shared" si="249"/>
        <v>0</v>
      </c>
      <c r="H10349" s="362"/>
      <c r="I10349" s="362"/>
      <c r="J10349" s="362"/>
      <c r="L10349" s="254">
        <v>8567867</v>
      </c>
    </row>
    <row r="10350" spans="1:12" x14ac:dyDescent="0.25">
      <c r="A10350" s="362"/>
      <c r="B10350" s="609">
        <v>44813</v>
      </c>
      <c r="C10350" s="362" t="s">
        <v>81</v>
      </c>
      <c r="D10350" s="560">
        <v>78522321</v>
      </c>
      <c r="E10350" s="560"/>
      <c r="F10350" s="560">
        <v>78522400</v>
      </c>
      <c r="G10350" s="560">
        <f t="shared" si="249"/>
        <v>-79</v>
      </c>
      <c r="H10350" s="362"/>
      <c r="I10350" s="362"/>
      <c r="J10350" s="362"/>
    </row>
    <row r="10351" spans="1:12" x14ac:dyDescent="0.25">
      <c r="A10351" s="362"/>
      <c r="B10351" s="609">
        <v>44813</v>
      </c>
      <c r="C10351" s="362" t="s">
        <v>84</v>
      </c>
      <c r="D10351" s="560">
        <v>252122229</v>
      </c>
      <c r="E10351" s="560"/>
      <c r="F10351" s="560">
        <v>252122400</v>
      </c>
      <c r="G10351" s="560">
        <f t="shared" si="249"/>
        <v>-171</v>
      </c>
      <c r="H10351" s="362"/>
      <c r="I10351" s="362"/>
      <c r="J10351" s="362"/>
      <c r="L10351" s="254" t="s">
        <v>6308</v>
      </c>
    </row>
    <row r="10352" spans="1:12" x14ac:dyDescent="0.25">
      <c r="A10352" s="362"/>
      <c r="B10352" s="609">
        <v>44813</v>
      </c>
      <c r="C10352" s="362" t="s">
        <v>4751</v>
      </c>
      <c r="D10352" s="560">
        <v>227850300</v>
      </c>
      <c r="E10352" s="560"/>
      <c r="F10352" s="560">
        <v>227850300</v>
      </c>
      <c r="G10352" s="560">
        <f t="shared" si="249"/>
        <v>0</v>
      </c>
      <c r="H10352" s="362"/>
      <c r="I10352" s="362"/>
      <c r="J10352" s="362"/>
    </row>
    <row r="10353" spans="1:10" x14ac:dyDescent="0.25">
      <c r="A10353" s="362"/>
      <c r="B10353" s="609">
        <v>44813</v>
      </c>
      <c r="C10353" s="362" t="s">
        <v>6301</v>
      </c>
      <c r="D10353" s="560">
        <v>68892047</v>
      </c>
      <c r="E10353" s="560"/>
      <c r="F10353" s="560">
        <v>68892000</v>
      </c>
      <c r="G10353" s="560">
        <f t="shared" si="249"/>
        <v>47</v>
      </c>
      <c r="H10353" s="362"/>
      <c r="I10353" s="362"/>
      <c r="J10353" s="362"/>
    </row>
    <row r="10354" spans="1:10" x14ac:dyDescent="0.25">
      <c r="A10354" s="362"/>
      <c r="B10354" s="609">
        <v>44813</v>
      </c>
      <c r="C10354" s="362" t="s">
        <v>3435</v>
      </c>
      <c r="D10354" s="560">
        <v>77302625</v>
      </c>
      <c r="E10354" s="560"/>
      <c r="F10354" s="560">
        <v>77302700</v>
      </c>
      <c r="G10354" s="560">
        <f t="shared" si="249"/>
        <v>-75</v>
      </c>
      <c r="H10354" s="362"/>
      <c r="I10354" s="362"/>
      <c r="J10354" s="362"/>
    </row>
    <row r="10355" spans="1:10" x14ac:dyDescent="0.25">
      <c r="A10355" s="362"/>
      <c r="B10355" s="609">
        <v>44813</v>
      </c>
      <c r="C10355" s="370" t="s">
        <v>85</v>
      </c>
      <c r="D10355" s="560">
        <v>35175400</v>
      </c>
      <c r="E10355" s="560"/>
      <c r="F10355" s="560">
        <v>35175400</v>
      </c>
      <c r="G10355" s="560">
        <f t="shared" si="249"/>
        <v>0</v>
      </c>
      <c r="H10355" s="362"/>
      <c r="I10355" s="362"/>
      <c r="J10355" s="362"/>
    </row>
    <row r="10356" spans="1:10" x14ac:dyDescent="0.25">
      <c r="A10356" s="362"/>
      <c r="B10356" s="609">
        <v>44813</v>
      </c>
      <c r="C10356" s="370" t="s">
        <v>6299</v>
      </c>
      <c r="D10356" s="560">
        <v>21350838</v>
      </c>
      <c r="E10356" s="560"/>
      <c r="F10356" s="560">
        <v>21350900</v>
      </c>
      <c r="G10356" s="560">
        <f t="shared" si="249"/>
        <v>-62</v>
      </c>
      <c r="H10356" s="362"/>
      <c r="I10356" s="362"/>
      <c r="J10356" s="362"/>
    </row>
    <row r="10357" spans="1:10" x14ac:dyDescent="0.25">
      <c r="A10357" s="530"/>
      <c r="B10357" s="530"/>
      <c r="C10357" s="530"/>
      <c r="D10357" s="562">
        <f>SUM(D10341:D10356)</f>
        <v>2324470592</v>
      </c>
      <c r="E10357" s="562">
        <f t="shared" ref="E10357:G10357" si="253">SUM(E10341:E10356)</f>
        <v>0</v>
      </c>
      <c r="F10357" s="562">
        <f t="shared" si="253"/>
        <v>2324481200</v>
      </c>
      <c r="G10357" s="562">
        <f t="shared" si="253"/>
        <v>-10608</v>
      </c>
      <c r="H10357" s="530"/>
      <c r="I10357" s="530"/>
      <c r="J10357" s="530"/>
    </row>
    <row r="10358" spans="1:10" x14ac:dyDescent="0.25">
      <c r="A10358" s="362"/>
      <c r="B10358" s="609">
        <v>44814</v>
      </c>
      <c r="C10358" s="362" t="s">
        <v>86</v>
      </c>
      <c r="D10358" s="560">
        <v>112621802</v>
      </c>
      <c r="E10358" s="560"/>
      <c r="F10358" s="560">
        <v>132798700</v>
      </c>
      <c r="G10358" s="560">
        <f t="shared" si="249"/>
        <v>-20176898</v>
      </c>
      <c r="H10358" s="362"/>
      <c r="I10358" s="362"/>
      <c r="J10358" s="362"/>
    </row>
    <row r="10359" spans="1:10" x14ac:dyDescent="0.25">
      <c r="A10359" s="362"/>
      <c r="B10359" s="609">
        <v>44814</v>
      </c>
      <c r="C10359" s="362" t="s">
        <v>87</v>
      </c>
      <c r="D10359" s="560">
        <v>172049193</v>
      </c>
      <c r="E10359" s="560"/>
      <c r="F10359" s="560">
        <v>172049300</v>
      </c>
      <c r="G10359" s="560">
        <f t="shared" si="249"/>
        <v>-107</v>
      </c>
      <c r="H10359" s="362"/>
      <c r="I10359" s="362"/>
      <c r="J10359" s="362"/>
    </row>
    <row r="10360" spans="1:10" x14ac:dyDescent="0.25">
      <c r="A10360" s="362"/>
      <c r="B10360" s="609">
        <v>44814</v>
      </c>
      <c r="C10360" s="362" t="s">
        <v>88</v>
      </c>
      <c r="D10360" s="560">
        <v>162747434</v>
      </c>
      <c r="E10360" s="560"/>
      <c r="F10360" s="560">
        <v>162747500</v>
      </c>
      <c r="G10360" s="560">
        <f t="shared" si="249"/>
        <v>-66</v>
      </c>
      <c r="H10360" s="362"/>
      <c r="I10360" s="362"/>
      <c r="J10360" s="362"/>
    </row>
    <row r="10361" spans="1:10" x14ac:dyDescent="0.25">
      <c r="A10361" s="362"/>
      <c r="B10361" s="609">
        <v>44814</v>
      </c>
      <c r="C10361" s="362" t="s">
        <v>82</v>
      </c>
      <c r="D10361" s="560">
        <v>127558123</v>
      </c>
      <c r="E10361" s="560"/>
      <c r="F10361" s="560">
        <v>127558300</v>
      </c>
      <c r="G10361" s="560">
        <f t="shared" si="249"/>
        <v>-177</v>
      </c>
      <c r="H10361" s="362"/>
      <c r="I10361" s="362"/>
      <c r="J10361" s="362"/>
    </row>
    <row r="10362" spans="1:10" x14ac:dyDescent="0.25">
      <c r="A10362" s="362"/>
      <c r="B10362" s="609">
        <v>44814</v>
      </c>
      <c r="C10362" s="362" t="s">
        <v>80</v>
      </c>
      <c r="D10362" s="560">
        <v>312468500</v>
      </c>
      <c r="E10362" s="560"/>
      <c r="F10362" s="560">
        <v>312468500</v>
      </c>
      <c r="G10362" s="560">
        <f t="shared" si="249"/>
        <v>0</v>
      </c>
      <c r="H10362" s="362"/>
      <c r="I10362" s="362"/>
      <c r="J10362" s="362"/>
    </row>
    <row r="10363" spans="1:10" x14ac:dyDescent="0.25">
      <c r="A10363" s="362"/>
      <c r="B10363" s="609">
        <v>44814</v>
      </c>
      <c r="C10363" s="362" t="s">
        <v>83</v>
      </c>
      <c r="D10363" s="560">
        <v>273015000</v>
      </c>
      <c r="E10363" s="560"/>
      <c r="F10363" s="560">
        <v>273015000</v>
      </c>
      <c r="G10363" s="560">
        <f t="shared" si="249"/>
        <v>0</v>
      </c>
      <c r="H10363" s="362"/>
      <c r="I10363" s="362"/>
      <c r="J10363" s="362"/>
    </row>
    <row r="10364" spans="1:10" x14ac:dyDescent="0.25">
      <c r="A10364" s="362"/>
      <c r="B10364" s="609">
        <v>44814</v>
      </c>
      <c r="C10364" s="362" t="s">
        <v>78</v>
      </c>
      <c r="D10364" s="560">
        <v>260118600</v>
      </c>
      <c r="E10364" s="560"/>
      <c r="F10364" s="560">
        <v>260118600</v>
      </c>
      <c r="G10364" s="560">
        <f t="shared" si="249"/>
        <v>0</v>
      </c>
      <c r="H10364" s="362"/>
      <c r="I10364" s="362"/>
      <c r="J10364" s="362"/>
    </row>
    <row r="10365" spans="1:10" x14ac:dyDescent="0.25">
      <c r="A10365" s="362"/>
      <c r="B10365" s="609">
        <v>44814</v>
      </c>
      <c r="C10365" s="362" t="s">
        <v>141</v>
      </c>
      <c r="D10365" s="560">
        <v>63341701</v>
      </c>
      <c r="E10365" s="560"/>
      <c r="F10365" s="560">
        <v>63341800</v>
      </c>
      <c r="G10365" s="560">
        <f t="shared" ref="G10365:G10392" si="254">D10365-F10365</f>
        <v>-99</v>
      </c>
      <c r="H10365" s="362"/>
      <c r="I10365" s="362"/>
      <c r="J10365" s="362"/>
    </row>
    <row r="10366" spans="1:10" x14ac:dyDescent="0.25">
      <c r="A10366" s="362"/>
      <c r="B10366" s="609">
        <v>44814</v>
      </c>
      <c r="C10366" s="362" t="s">
        <v>89</v>
      </c>
      <c r="D10366" s="560">
        <v>143011300</v>
      </c>
      <c r="E10366" s="560"/>
      <c r="F10366" s="560">
        <v>143011300</v>
      </c>
      <c r="G10366" s="560">
        <f t="shared" si="254"/>
        <v>0</v>
      </c>
      <c r="H10366" s="362"/>
      <c r="I10366" s="362"/>
      <c r="J10366" s="362"/>
    </row>
    <row r="10367" spans="1:10" x14ac:dyDescent="0.25">
      <c r="A10367" s="362"/>
      <c r="B10367" s="609">
        <v>44814</v>
      </c>
      <c r="C10367" s="362" t="s">
        <v>81</v>
      </c>
      <c r="D10367" s="560">
        <v>129147031</v>
      </c>
      <c r="E10367" s="560"/>
      <c r="F10367" s="560">
        <v>129147100</v>
      </c>
      <c r="G10367" s="560">
        <f t="shared" si="254"/>
        <v>-69</v>
      </c>
      <c r="H10367" s="362"/>
      <c r="I10367" s="362"/>
      <c r="J10367" s="362"/>
    </row>
    <row r="10368" spans="1:10" x14ac:dyDescent="0.25">
      <c r="A10368" s="362"/>
      <c r="B10368" s="609">
        <v>44814</v>
      </c>
      <c r="C10368" s="362" t="s">
        <v>84</v>
      </c>
      <c r="D10368" s="560">
        <v>318334606</v>
      </c>
      <c r="E10368" s="560"/>
      <c r="F10368" s="560">
        <v>318333900</v>
      </c>
      <c r="G10368" s="560">
        <f t="shared" si="254"/>
        <v>706</v>
      </c>
      <c r="H10368" s="362"/>
      <c r="I10368" s="362"/>
      <c r="J10368" s="362"/>
    </row>
    <row r="10369" spans="1:10" x14ac:dyDescent="0.25">
      <c r="A10369" s="362"/>
      <c r="B10369" s="609">
        <v>44814</v>
      </c>
      <c r="C10369" s="362" t="s">
        <v>4751</v>
      </c>
      <c r="D10369" s="560">
        <v>194497700</v>
      </c>
      <c r="E10369" s="560"/>
      <c r="F10369" s="560">
        <v>194497700</v>
      </c>
      <c r="G10369" s="560">
        <f t="shared" si="254"/>
        <v>0</v>
      </c>
      <c r="H10369" s="362"/>
      <c r="I10369" s="362"/>
      <c r="J10369" s="362"/>
    </row>
    <row r="10370" spans="1:10" x14ac:dyDescent="0.25">
      <c r="A10370" s="362"/>
      <c r="B10370" s="609">
        <v>44814</v>
      </c>
      <c r="C10370" s="362" t="s">
        <v>6301</v>
      </c>
      <c r="D10370" s="560">
        <v>49308166</v>
      </c>
      <c r="E10370" s="560"/>
      <c r="F10370" s="560">
        <v>49308200</v>
      </c>
      <c r="G10370" s="560">
        <f t="shared" si="254"/>
        <v>-34</v>
      </c>
      <c r="H10370" s="362"/>
      <c r="I10370" s="362"/>
      <c r="J10370" s="362"/>
    </row>
    <row r="10371" spans="1:10" x14ac:dyDescent="0.25">
      <c r="A10371" s="362"/>
      <c r="B10371" s="609">
        <v>44814</v>
      </c>
      <c r="C10371" s="362" t="s">
        <v>3435</v>
      </c>
      <c r="D10371" s="560"/>
      <c r="E10371" s="560"/>
      <c r="F10371" s="560"/>
      <c r="G10371" s="560">
        <f t="shared" si="254"/>
        <v>0</v>
      </c>
      <c r="H10371" s="362"/>
      <c r="I10371" s="362"/>
      <c r="J10371" s="362"/>
    </row>
    <row r="10372" spans="1:10" x14ac:dyDescent="0.25">
      <c r="A10372" s="362"/>
      <c r="B10372" s="609">
        <v>44814</v>
      </c>
      <c r="C10372" s="370" t="s">
        <v>85</v>
      </c>
      <c r="D10372" s="560">
        <v>21897100</v>
      </c>
      <c r="E10372" s="560"/>
      <c r="F10372" s="560">
        <v>21897100</v>
      </c>
      <c r="G10372" s="560">
        <f t="shared" si="254"/>
        <v>0</v>
      </c>
      <c r="H10372" s="362"/>
      <c r="I10372" s="362"/>
      <c r="J10372" s="362"/>
    </row>
    <row r="10373" spans="1:10" x14ac:dyDescent="0.25">
      <c r="A10373" s="362"/>
      <c r="B10373" s="609">
        <v>44814</v>
      </c>
      <c r="C10373" s="370" t="s">
        <v>6299</v>
      </c>
      <c r="D10373" s="560">
        <v>28217510</v>
      </c>
      <c r="E10373" s="560"/>
      <c r="F10373" s="560">
        <v>28217600</v>
      </c>
      <c r="G10373" s="560">
        <f t="shared" si="254"/>
        <v>-90</v>
      </c>
      <c r="H10373" s="362"/>
      <c r="I10373" s="362"/>
      <c r="J10373" s="362"/>
    </row>
    <row r="10374" spans="1:10" x14ac:dyDescent="0.25">
      <c r="A10374" s="530"/>
      <c r="B10374" s="530"/>
      <c r="C10374" s="530"/>
      <c r="D10374" s="562">
        <f>SUM(D10358:D10373)</f>
        <v>2368333766</v>
      </c>
      <c r="E10374" s="562">
        <f t="shared" ref="E10374:G10374" si="255">SUM(E10358:E10373)</f>
        <v>0</v>
      </c>
      <c r="F10374" s="562">
        <f t="shared" si="255"/>
        <v>2388510600</v>
      </c>
      <c r="G10374" s="562">
        <f t="shared" si="255"/>
        <v>-20176834</v>
      </c>
      <c r="H10374" s="530"/>
      <c r="I10374" s="530"/>
      <c r="J10374" s="530"/>
    </row>
    <row r="10375" spans="1:10" x14ac:dyDescent="0.25">
      <c r="A10375" s="362"/>
      <c r="B10375" s="609">
        <v>44816</v>
      </c>
      <c r="C10375" s="362" t="s">
        <v>86</v>
      </c>
      <c r="D10375" s="560">
        <v>61848921</v>
      </c>
      <c r="E10375" s="560"/>
      <c r="F10375" s="560">
        <v>61848900</v>
      </c>
      <c r="G10375" s="560">
        <f t="shared" si="254"/>
        <v>21</v>
      </c>
      <c r="H10375" s="362"/>
      <c r="I10375" s="362"/>
      <c r="J10375" s="362"/>
    </row>
    <row r="10376" spans="1:10" x14ac:dyDescent="0.25">
      <c r="A10376" s="362"/>
      <c r="B10376" s="609">
        <v>44816</v>
      </c>
      <c r="C10376" s="362" t="s">
        <v>87</v>
      </c>
      <c r="D10376" s="560">
        <v>37099927</v>
      </c>
      <c r="E10376" s="560"/>
      <c r="F10376" s="560">
        <v>37100000</v>
      </c>
      <c r="G10376" s="560">
        <f t="shared" si="254"/>
        <v>-73</v>
      </c>
      <c r="H10376" s="362"/>
      <c r="I10376" s="362"/>
      <c r="J10376" s="362"/>
    </row>
    <row r="10377" spans="1:10" x14ac:dyDescent="0.25">
      <c r="A10377" s="362"/>
      <c r="B10377" s="609">
        <v>44816</v>
      </c>
      <c r="C10377" s="362" t="s">
        <v>88</v>
      </c>
      <c r="D10377" s="560">
        <v>167769306</v>
      </c>
      <c r="E10377" s="560"/>
      <c r="F10377" s="560">
        <v>167769400</v>
      </c>
      <c r="G10377" s="560">
        <f t="shared" si="254"/>
        <v>-94</v>
      </c>
      <c r="H10377" s="362"/>
      <c r="I10377" s="362"/>
      <c r="J10377" s="362"/>
    </row>
    <row r="10378" spans="1:10" x14ac:dyDescent="0.25">
      <c r="A10378" s="362"/>
      <c r="B10378" s="609">
        <v>44816</v>
      </c>
      <c r="C10378" s="362" t="s">
        <v>82</v>
      </c>
      <c r="D10378" s="560">
        <v>68408296</v>
      </c>
      <c r="E10378" s="560"/>
      <c r="F10378" s="560">
        <v>68408300</v>
      </c>
      <c r="G10378" s="560">
        <f t="shared" si="254"/>
        <v>-4</v>
      </c>
      <c r="H10378" s="362"/>
      <c r="I10378" s="362"/>
      <c r="J10378" s="362"/>
    </row>
    <row r="10379" spans="1:10" x14ac:dyDescent="0.25">
      <c r="A10379" s="362"/>
      <c r="B10379" s="609">
        <v>44816</v>
      </c>
      <c r="C10379" s="362" t="s">
        <v>80</v>
      </c>
      <c r="D10379" s="560">
        <v>248535329</v>
      </c>
      <c r="E10379" s="560"/>
      <c r="F10379" s="560">
        <v>248531700</v>
      </c>
      <c r="G10379" s="560">
        <f t="shared" si="254"/>
        <v>3629</v>
      </c>
      <c r="H10379" s="362"/>
      <c r="I10379" s="362"/>
      <c r="J10379" s="362"/>
    </row>
    <row r="10380" spans="1:10" x14ac:dyDescent="0.25">
      <c r="A10380" s="362"/>
      <c r="B10380" s="609">
        <v>44816</v>
      </c>
      <c r="C10380" s="362" t="s">
        <v>83</v>
      </c>
      <c r="D10380" s="560">
        <v>385083300</v>
      </c>
      <c r="E10380" s="560"/>
      <c r="F10380" s="560">
        <v>385083300</v>
      </c>
      <c r="G10380" s="560">
        <f t="shared" si="254"/>
        <v>0</v>
      </c>
      <c r="H10380" s="362"/>
      <c r="I10380" s="362"/>
      <c r="J10380" s="362"/>
    </row>
    <row r="10381" spans="1:10" x14ac:dyDescent="0.25">
      <c r="A10381" s="362"/>
      <c r="B10381" s="609">
        <v>44816</v>
      </c>
      <c r="C10381" s="362" t="s">
        <v>78</v>
      </c>
      <c r="D10381" s="560">
        <v>158325700</v>
      </c>
      <c r="E10381" s="560"/>
      <c r="F10381" s="560">
        <v>158325700</v>
      </c>
      <c r="G10381" s="560">
        <f t="shared" si="254"/>
        <v>0</v>
      </c>
      <c r="H10381" s="362"/>
      <c r="I10381" s="362"/>
      <c r="J10381" s="362"/>
    </row>
    <row r="10382" spans="1:10" x14ac:dyDescent="0.25">
      <c r="A10382" s="362"/>
      <c r="B10382" s="609">
        <v>44816</v>
      </c>
      <c r="C10382" s="362" t="s">
        <v>141</v>
      </c>
      <c r="D10382" s="560">
        <v>119801164</v>
      </c>
      <c r="E10382" s="560"/>
      <c r="F10382" s="560">
        <v>119801200</v>
      </c>
      <c r="G10382" s="560">
        <f t="shared" si="254"/>
        <v>-36</v>
      </c>
      <c r="H10382" s="362"/>
      <c r="I10382" s="362"/>
      <c r="J10382" s="362"/>
    </row>
    <row r="10383" spans="1:10" x14ac:dyDescent="0.25">
      <c r="A10383" s="362"/>
      <c r="B10383" s="609">
        <v>44816</v>
      </c>
      <c r="C10383" s="362" t="s">
        <v>89</v>
      </c>
      <c r="D10383" s="560">
        <v>178145600</v>
      </c>
      <c r="E10383" s="560"/>
      <c r="F10383" s="560">
        <v>178145600</v>
      </c>
      <c r="G10383" s="560">
        <f t="shared" si="254"/>
        <v>0</v>
      </c>
      <c r="H10383" s="362"/>
      <c r="I10383" s="362"/>
      <c r="J10383" s="362"/>
    </row>
    <row r="10384" spans="1:10" x14ac:dyDescent="0.25">
      <c r="A10384" s="362"/>
      <c r="B10384" s="609">
        <v>44816</v>
      </c>
      <c r="C10384" s="362" t="s">
        <v>81</v>
      </c>
      <c r="D10384" s="560">
        <v>168939104</v>
      </c>
      <c r="E10384" s="560"/>
      <c r="F10384" s="560">
        <v>168939100</v>
      </c>
      <c r="G10384" s="560">
        <f t="shared" si="254"/>
        <v>4</v>
      </c>
      <c r="H10384" s="362"/>
      <c r="I10384" s="362"/>
      <c r="J10384" s="362"/>
    </row>
    <row r="10385" spans="1:10" x14ac:dyDescent="0.25">
      <c r="A10385" s="362"/>
      <c r="B10385" s="609">
        <v>44816</v>
      </c>
      <c r="C10385" s="362" t="s">
        <v>84</v>
      </c>
      <c r="D10385" s="560">
        <v>305072903</v>
      </c>
      <c r="E10385" s="560"/>
      <c r="F10385" s="560">
        <v>305072900</v>
      </c>
      <c r="G10385" s="560">
        <f t="shared" si="254"/>
        <v>3</v>
      </c>
      <c r="H10385" s="362"/>
      <c r="I10385" s="362"/>
      <c r="J10385" s="362"/>
    </row>
    <row r="10386" spans="1:10" x14ac:dyDescent="0.25">
      <c r="A10386" s="362"/>
      <c r="B10386" s="609">
        <v>44816</v>
      </c>
      <c r="C10386" s="362" t="s">
        <v>4751</v>
      </c>
      <c r="D10386" s="560">
        <v>247113700</v>
      </c>
      <c r="E10386" s="560"/>
      <c r="F10386" s="560">
        <v>247113700</v>
      </c>
      <c r="G10386" s="560">
        <f t="shared" si="254"/>
        <v>0</v>
      </c>
      <c r="H10386" s="362"/>
      <c r="I10386" s="362"/>
      <c r="J10386" s="362"/>
    </row>
    <row r="10387" spans="1:10" x14ac:dyDescent="0.25">
      <c r="A10387" s="362"/>
      <c r="B10387" s="609">
        <v>44816</v>
      </c>
      <c r="C10387" s="362" t="s">
        <v>6301</v>
      </c>
      <c r="D10387" s="560">
        <v>54737780</v>
      </c>
      <c r="E10387" s="560"/>
      <c r="F10387" s="560">
        <v>54737800</v>
      </c>
      <c r="G10387" s="560">
        <f t="shared" si="254"/>
        <v>-20</v>
      </c>
      <c r="H10387" s="362"/>
      <c r="I10387" s="362"/>
      <c r="J10387" s="362"/>
    </row>
    <row r="10388" spans="1:10" x14ac:dyDescent="0.25">
      <c r="A10388" s="362"/>
      <c r="B10388" s="609">
        <v>44816</v>
      </c>
      <c r="C10388" s="362" t="s">
        <v>3435</v>
      </c>
      <c r="D10388" s="560">
        <v>102141956</v>
      </c>
      <c r="E10388" s="560"/>
      <c r="F10388" s="560">
        <v>102142000</v>
      </c>
      <c r="G10388" s="560">
        <f t="shared" si="254"/>
        <v>-44</v>
      </c>
      <c r="H10388" s="362"/>
      <c r="I10388" s="362"/>
      <c r="J10388" s="362"/>
    </row>
    <row r="10389" spans="1:10" x14ac:dyDescent="0.25">
      <c r="A10389" s="362"/>
      <c r="B10389" s="609">
        <v>44816</v>
      </c>
      <c r="C10389" s="370" t="s">
        <v>85</v>
      </c>
      <c r="D10389" s="560">
        <v>62210400</v>
      </c>
      <c r="E10389" s="560"/>
      <c r="F10389" s="560">
        <v>62210400</v>
      </c>
      <c r="G10389" s="560">
        <f t="shared" si="254"/>
        <v>0</v>
      </c>
      <c r="H10389" s="362"/>
      <c r="I10389" s="362"/>
      <c r="J10389" s="362"/>
    </row>
    <row r="10390" spans="1:10" x14ac:dyDescent="0.25">
      <c r="A10390" s="362"/>
      <c r="B10390" s="609">
        <v>44816</v>
      </c>
      <c r="C10390" s="370" t="s">
        <v>6299</v>
      </c>
      <c r="D10390" s="560">
        <v>48632525</v>
      </c>
      <c r="E10390" s="560"/>
      <c r="F10390" s="560">
        <v>48632600</v>
      </c>
      <c r="G10390" s="560">
        <f t="shared" si="254"/>
        <v>-75</v>
      </c>
      <c r="H10390" s="362"/>
      <c r="I10390" s="362"/>
      <c r="J10390" s="362"/>
    </row>
    <row r="10391" spans="1:10" x14ac:dyDescent="0.25">
      <c r="A10391" s="530"/>
      <c r="B10391" s="530"/>
      <c r="C10391" s="530"/>
      <c r="D10391" s="630">
        <f>SUM(D10375:D10390)</f>
        <v>2413865911</v>
      </c>
      <c r="E10391" s="630">
        <f t="shared" ref="E10391:G10391" si="256">SUM(E10375:E10390)</f>
        <v>0</v>
      </c>
      <c r="F10391" s="630">
        <f t="shared" si="256"/>
        <v>2413862600</v>
      </c>
      <c r="G10391" s="630">
        <f t="shared" si="256"/>
        <v>3311</v>
      </c>
      <c r="H10391" s="530"/>
      <c r="I10391" s="530"/>
      <c r="J10391" s="530"/>
    </row>
    <row r="10392" spans="1:10" x14ac:dyDescent="0.25">
      <c r="A10392" s="362"/>
      <c r="B10392" s="609">
        <v>44817</v>
      </c>
      <c r="C10392" s="362" t="s">
        <v>86</v>
      </c>
      <c r="D10392" s="560">
        <v>198675179</v>
      </c>
      <c r="E10392" s="560"/>
      <c r="F10392" s="560">
        <v>198675200</v>
      </c>
      <c r="G10392" s="560">
        <f t="shared" si="254"/>
        <v>-21</v>
      </c>
      <c r="H10392" s="362"/>
      <c r="I10392" s="362"/>
      <c r="J10392" s="362"/>
    </row>
    <row r="10393" spans="1:10" x14ac:dyDescent="0.25">
      <c r="A10393" s="362"/>
      <c r="B10393" s="609">
        <v>44817</v>
      </c>
      <c r="C10393" s="362" t="s">
        <v>87</v>
      </c>
      <c r="D10393" s="560">
        <v>153342073</v>
      </c>
      <c r="E10393" s="560"/>
      <c r="F10393" s="560">
        <v>153342200</v>
      </c>
      <c r="G10393" s="560">
        <f t="shared" ref="G10393:G10456" si="257">D10393-F10393</f>
        <v>-127</v>
      </c>
      <c r="H10393" s="362"/>
      <c r="I10393" s="362"/>
      <c r="J10393" s="362"/>
    </row>
    <row r="10394" spans="1:10" x14ac:dyDescent="0.25">
      <c r="A10394" s="362"/>
      <c r="B10394" s="609">
        <v>44817</v>
      </c>
      <c r="C10394" s="362" t="s">
        <v>88</v>
      </c>
      <c r="D10394" s="560">
        <v>173266918</v>
      </c>
      <c r="E10394" s="560"/>
      <c r="F10394" s="560">
        <v>173267000</v>
      </c>
      <c r="G10394" s="560">
        <f t="shared" si="257"/>
        <v>-82</v>
      </c>
      <c r="H10394" s="362"/>
      <c r="I10394" s="362"/>
      <c r="J10394" s="362"/>
    </row>
    <row r="10395" spans="1:10" x14ac:dyDescent="0.25">
      <c r="A10395" s="362"/>
      <c r="B10395" s="609">
        <v>44817</v>
      </c>
      <c r="C10395" s="362" t="s">
        <v>82</v>
      </c>
      <c r="D10395" s="560">
        <v>73962574</v>
      </c>
      <c r="E10395" s="560"/>
      <c r="F10395" s="560">
        <v>73962600</v>
      </c>
      <c r="G10395" s="560">
        <f t="shared" si="257"/>
        <v>-26</v>
      </c>
      <c r="H10395" s="362"/>
      <c r="I10395" s="362"/>
      <c r="J10395" s="362"/>
    </row>
    <row r="10396" spans="1:10" x14ac:dyDescent="0.25">
      <c r="A10396" s="362"/>
      <c r="B10396" s="609">
        <v>44817</v>
      </c>
      <c r="C10396" s="362" t="s">
        <v>80</v>
      </c>
      <c r="D10396" s="560">
        <v>219608281</v>
      </c>
      <c r="E10396" s="560"/>
      <c r="F10396" s="560">
        <v>219608400</v>
      </c>
      <c r="G10396" s="560">
        <f t="shared" si="257"/>
        <v>-119</v>
      </c>
      <c r="H10396" s="362"/>
      <c r="I10396" s="362"/>
      <c r="J10396" s="362"/>
    </row>
    <row r="10397" spans="1:10" x14ac:dyDescent="0.25">
      <c r="A10397" s="362"/>
      <c r="B10397" s="609">
        <v>44817</v>
      </c>
      <c r="C10397" s="362" t="s">
        <v>83</v>
      </c>
      <c r="D10397" s="560">
        <v>290794185</v>
      </c>
      <c r="E10397" s="560"/>
      <c r="F10397" s="560">
        <v>290794200</v>
      </c>
      <c r="G10397" s="560">
        <f t="shared" si="257"/>
        <v>-15</v>
      </c>
      <c r="H10397" s="362"/>
      <c r="I10397" s="362"/>
      <c r="J10397" s="362"/>
    </row>
    <row r="10398" spans="1:10" x14ac:dyDescent="0.25">
      <c r="A10398" s="362"/>
      <c r="B10398" s="609">
        <v>44817</v>
      </c>
      <c r="C10398" s="362" t="s">
        <v>78</v>
      </c>
      <c r="D10398" s="560">
        <v>179980300</v>
      </c>
      <c r="E10398" s="560"/>
      <c r="F10398" s="560">
        <v>179980300</v>
      </c>
      <c r="G10398" s="560">
        <f t="shared" si="257"/>
        <v>0</v>
      </c>
      <c r="H10398" s="362"/>
      <c r="I10398" s="362"/>
      <c r="J10398" s="362"/>
    </row>
    <row r="10399" spans="1:10" x14ac:dyDescent="0.25">
      <c r="A10399" s="362"/>
      <c r="B10399" s="609">
        <v>44817</v>
      </c>
      <c r="C10399" s="362" t="s">
        <v>141</v>
      </c>
      <c r="D10399" s="560">
        <v>73256665</v>
      </c>
      <c r="E10399" s="560"/>
      <c r="F10399" s="560">
        <v>73256700</v>
      </c>
      <c r="G10399" s="560">
        <f t="shared" si="257"/>
        <v>-35</v>
      </c>
      <c r="H10399" s="362"/>
      <c r="I10399" s="362"/>
      <c r="J10399" s="362"/>
    </row>
    <row r="10400" spans="1:10" x14ac:dyDescent="0.25">
      <c r="A10400" s="362"/>
      <c r="B10400" s="609">
        <v>44817</v>
      </c>
      <c r="C10400" s="362" t="s">
        <v>89</v>
      </c>
      <c r="D10400" s="560">
        <v>130230600</v>
      </c>
      <c r="E10400" s="560"/>
      <c r="F10400" s="560">
        <v>130230600</v>
      </c>
      <c r="G10400" s="560">
        <f t="shared" si="257"/>
        <v>0</v>
      </c>
      <c r="H10400" s="362"/>
      <c r="I10400" s="362"/>
      <c r="J10400" s="362"/>
    </row>
    <row r="10401" spans="1:10" x14ac:dyDescent="0.25">
      <c r="A10401" s="362"/>
      <c r="B10401" s="609">
        <v>44817</v>
      </c>
      <c r="C10401" s="362" t="s">
        <v>81</v>
      </c>
      <c r="D10401" s="560">
        <v>163733357</v>
      </c>
      <c r="E10401" s="560"/>
      <c r="F10401" s="560">
        <v>163733400</v>
      </c>
      <c r="G10401" s="560">
        <f t="shared" si="257"/>
        <v>-43</v>
      </c>
      <c r="H10401" s="362"/>
      <c r="I10401" s="362"/>
      <c r="J10401" s="362"/>
    </row>
    <row r="10402" spans="1:10" x14ac:dyDescent="0.25">
      <c r="A10402" s="362"/>
      <c r="B10402" s="609">
        <v>44817</v>
      </c>
      <c r="C10402" s="362" t="s">
        <v>84</v>
      </c>
      <c r="D10402" s="560">
        <v>307122704</v>
      </c>
      <c r="E10402" s="560"/>
      <c r="F10402" s="560">
        <v>307122700</v>
      </c>
      <c r="G10402" s="560">
        <f t="shared" si="257"/>
        <v>4</v>
      </c>
      <c r="H10402" s="362"/>
      <c r="I10402" s="362"/>
      <c r="J10402" s="362"/>
    </row>
    <row r="10403" spans="1:10" x14ac:dyDescent="0.25">
      <c r="A10403" s="362"/>
      <c r="B10403" s="609">
        <v>44817</v>
      </c>
      <c r="C10403" s="362" t="s">
        <v>4751</v>
      </c>
      <c r="D10403" s="560">
        <v>195232700</v>
      </c>
      <c r="E10403" s="560"/>
      <c r="F10403" s="560">
        <v>195232800</v>
      </c>
      <c r="G10403" s="560">
        <f t="shared" si="257"/>
        <v>-100</v>
      </c>
      <c r="H10403" s="362"/>
      <c r="I10403" s="362"/>
      <c r="J10403" s="362"/>
    </row>
    <row r="10404" spans="1:10" x14ac:dyDescent="0.25">
      <c r="A10404" s="362"/>
      <c r="B10404" s="609">
        <v>44817</v>
      </c>
      <c r="C10404" s="362" t="s">
        <v>6301</v>
      </c>
      <c r="D10404" s="560">
        <v>94786581</v>
      </c>
      <c r="E10404" s="560"/>
      <c r="F10404" s="560">
        <v>94786500</v>
      </c>
      <c r="G10404" s="560">
        <f t="shared" si="257"/>
        <v>81</v>
      </c>
      <c r="H10404" s="362"/>
      <c r="I10404" s="362"/>
      <c r="J10404" s="362"/>
    </row>
    <row r="10405" spans="1:10" x14ac:dyDescent="0.25">
      <c r="A10405" s="362"/>
      <c r="B10405" s="609">
        <v>44817</v>
      </c>
      <c r="C10405" s="362" t="s">
        <v>3435</v>
      </c>
      <c r="D10405" s="560">
        <v>24439799</v>
      </c>
      <c r="E10405" s="560"/>
      <c r="F10405" s="560">
        <v>24439800</v>
      </c>
      <c r="G10405" s="560">
        <f t="shared" si="257"/>
        <v>-1</v>
      </c>
      <c r="H10405" s="362"/>
      <c r="I10405" s="362"/>
      <c r="J10405" s="362"/>
    </row>
    <row r="10406" spans="1:10" x14ac:dyDescent="0.25">
      <c r="A10406" s="362"/>
      <c r="B10406" s="609">
        <v>44817</v>
      </c>
      <c r="C10406" s="370" t="s">
        <v>85</v>
      </c>
      <c r="D10406" s="560">
        <v>51405200</v>
      </c>
      <c r="E10406" s="560"/>
      <c r="F10406" s="560">
        <v>51405200</v>
      </c>
      <c r="G10406" s="560">
        <f t="shared" si="257"/>
        <v>0</v>
      </c>
      <c r="H10406" s="362"/>
      <c r="I10406" s="362"/>
      <c r="J10406" s="362"/>
    </row>
    <row r="10407" spans="1:10" x14ac:dyDescent="0.25">
      <c r="A10407" s="362"/>
      <c r="B10407" s="609">
        <v>44817</v>
      </c>
      <c r="C10407" s="370" t="s">
        <v>6299</v>
      </c>
      <c r="D10407" s="560">
        <v>22226304</v>
      </c>
      <c r="E10407" s="560"/>
      <c r="F10407" s="560">
        <v>22226400</v>
      </c>
      <c r="G10407" s="560">
        <f t="shared" si="257"/>
        <v>-96</v>
      </c>
      <c r="H10407" s="362"/>
      <c r="I10407" s="362"/>
      <c r="J10407" s="362"/>
    </row>
    <row r="10408" spans="1:10" x14ac:dyDescent="0.25">
      <c r="A10408" s="530"/>
      <c r="B10408" s="530"/>
      <c r="C10408" s="530"/>
      <c r="D10408" s="562">
        <f>SUM(D10392:D10407)</f>
        <v>2352063420</v>
      </c>
      <c r="E10408" s="562">
        <f t="shared" ref="E10408:G10408" si="258">SUM(E10392:E10407)</f>
        <v>0</v>
      </c>
      <c r="F10408" s="562">
        <f t="shared" si="258"/>
        <v>2352064000</v>
      </c>
      <c r="G10408" s="562">
        <f t="shared" si="258"/>
        <v>-580</v>
      </c>
      <c r="H10408" s="530"/>
      <c r="I10408" s="530"/>
      <c r="J10408" s="530"/>
    </row>
    <row r="10409" spans="1:10" x14ac:dyDescent="0.25">
      <c r="A10409" s="362"/>
      <c r="B10409" s="609">
        <v>44818</v>
      </c>
      <c r="C10409" s="362" t="s">
        <v>86</v>
      </c>
      <c r="D10409" s="560">
        <v>58031245</v>
      </c>
      <c r="E10409" s="560"/>
      <c r="F10409" s="560">
        <v>58031800</v>
      </c>
      <c r="G10409" s="560">
        <f t="shared" si="257"/>
        <v>-555</v>
      </c>
      <c r="H10409" s="362"/>
      <c r="I10409" s="362"/>
      <c r="J10409" s="362"/>
    </row>
    <row r="10410" spans="1:10" x14ac:dyDescent="0.25">
      <c r="A10410" s="362"/>
      <c r="B10410" s="609">
        <v>44818</v>
      </c>
      <c r="C10410" s="362" t="s">
        <v>87</v>
      </c>
      <c r="D10410" s="560">
        <v>149400766</v>
      </c>
      <c r="E10410" s="560"/>
      <c r="F10410" s="560">
        <v>149400800</v>
      </c>
      <c r="G10410" s="560">
        <f t="shared" si="257"/>
        <v>-34</v>
      </c>
      <c r="H10410" s="362"/>
      <c r="I10410" s="362"/>
      <c r="J10410" s="362"/>
    </row>
    <row r="10411" spans="1:10" x14ac:dyDescent="0.25">
      <c r="A10411" s="362"/>
      <c r="B10411" s="609">
        <v>44818</v>
      </c>
      <c r="C10411" s="362" t="s">
        <v>88</v>
      </c>
      <c r="D10411" s="560">
        <v>258663746</v>
      </c>
      <c r="E10411" s="560"/>
      <c r="F10411" s="560">
        <v>258663800</v>
      </c>
      <c r="G10411" s="560">
        <f t="shared" si="257"/>
        <v>-54</v>
      </c>
      <c r="H10411" s="362"/>
      <c r="I10411" s="362"/>
      <c r="J10411" s="362"/>
    </row>
    <row r="10412" spans="1:10" x14ac:dyDescent="0.25">
      <c r="A10412" s="362"/>
      <c r="B10412" s="609">
        <v>44818</v>
      </c>
      <c r="C10412" s="362" t="s">
        <v>82</v>
      </c>
      <c r="D10412" s="560">
        <v>84945428</v>
      </c>
      <c r="E10412" s="560"/>
      <c r="F10412" s="560">
        <v>84945500</v>
      </c>
      <c r="G10412" s="560">
        <f t="shared" si="257"/>
        <v>-72</v>
      </c>
      <c r="H10412" s="362"/>
      <c r="I10412" s="362"/>
      <c r="J10412" s="362"/>
    </row>
    <row r="10413" spans="1:10" x14ac:dyDescent="0.25">
      <c r="A10413" s="362"/>
      <c r="B10413" s="609">
        <v>44818</v>
      </c>
      <c r="C10413" s="362" t="s">
        <v>80</v>
      </c>
      <c r="D10413" s="560">
        <v>318093300</v>
      </c>
      <c r="E10413" s="560"/>
      <c r="F10413" s="560">
        <v>318093300</v>
      </c>
      <c r="G10413" s="560">
        <f t="shared" si="257"/>
        <v>0</v>
      </c>
      <c r="H10413" s="362"/>
      <c r="I10413" s="362"/>
      <c r="J10413" s="362"/>
    </row>
    <row r="10414" spans="1:10" x14ac:dyDescent="0.25">
      <c r="A10414" s="362"/>
      <c r="B10414" s="609">
        <v>44818</v>
      </c>
      <c r="C10414" s="362" t="s">
        <v>83</v>
      </c>
      <c r="D10414" s="560">
        <v>165073419</v>
      </c>
      <c r="E10414" s="560"/>
      <c r="F10414" s="560">
        <v>165073400</v>
      </c>
      <c r="G10414" s="560">
        <f t="shared" si="257"/>
        <v>19</v>
      </c>
      <c r="H10414" s="362"/>
      <c r="I10414" s="362"/>
      <c r="J10414" s="362"/>
    </row>
    <row r="10415" spans="1:10" x14ac:dyDescent="0.25">
      <c r="A10415" s="362"/>
      <c r="B10415" s="609">
        <v>44818</v>
      </c>
      <c r="C10415" s="362" t="s">
        <v>78</v>
      </c>
      <c r="D10415" s="560">
        <v>109961800</v>
      </c>
      <c r="E10415" s="560"/>
      <c r="F10415" s="560">
        <v>109961800</v>
      </c>
      <c r="G10415" s="560">
        <f t="shared" si="257"/>
        <v>0</v>
      </c>
      <c r="H10415" s="362"/>
      <c r="I10415" s="362"/>
      <c r="J10415" s="362"/>
    </row>
    <row r="10416" spans="1:10" x14ac:dyDescent="0.25">
      <c r="A10416" s="362"/>
      <c r="B10416" s="609">
        <v>44818</v>
      </c>
      <c r="C10416" s="362" t="s">
        <v>141</v>
      </c>
      <c r="D10416" s="560">
        <v>140405252</v>
      </c>
      <c r="E10416" s="560"/>
      <c r="F10416" s="560">
        <v>140405300</v>
      </c>
      <c r="G10416" s="560">
        <f t="shared" si="257"/>
        <v>-48</v>
      </c>
      <c r="H10416" s="362"/>
      <c r="I10416" s="362"/>
      <c r="J10416" s="362"/>
    </row>
    <row r="10417" spans="1:10" x14ac:dyDescent="0.25">
      <c r="A10417" s="362"/>
      <c r="B10417" s="609">
        <v>44818</v>
      </c>
      <c r="C10417" s="362" t="s">
        <v>89</v>
      </c>
      <c r="D10417" s="560">
        <v>164871700</v>
      </c>
      <c r="E10417" s="560"/>
      <c r="F10417" s="560">
        <v>164871700</v>
      </c>
      <c r="G10417" s="560">
        <f t="shared" si="257"/>
        <v>0</v>
      </c>
      <c r="H10417" s="362"/>
      <c r="I10417" s="362"/>
      <c r="J10417" s="362"/>
    </row>
    <row r="10418" spans="1:10" x14ac:dyDescent="0.25">
      <c r="A10418" s="362"/>
      <c r="B10418" s="609">
        <v>44818</v>
      </c>
      <c r="C10418" s="362" t="s">
        <v>81</v>
      </c>
      <c r="D10418" s="560">
        <v>156577571</v>
      </c>
      <c r="E10418" s="560"/>
      <c r="F10418" s="560">
        <v>156577600</v>
      </c>
      <c r="G10418" s="560">
        <f t="shared" si="257"/>
        <v>-29</v>
      </c>
      <c r="H10418" s="362"/>
      <c r="I10418" s="362"/>
      <c r="J10418" s="362"/>
    </row>
    <row r="10419" spans="1:10" x14ac:dyDescent="0.25">
      <c r="A10419" s="362"/>
      <c r="B10419" s="609">
        <v>44818</v>
      </c>
      <c r="C10419" s="362" t="s">
        <v>84</v>
      </c>
      <c r="D10419" s="560">
        <v>404650158</v>
      </c>
      <c r="E10419" s="560"/>
      <c r="F10419" s="560">
        <v>404650100</v>
      </c>
      <c r="G10419" s="560">
        <f t="shared" si="257"/>
        <v>58</v>
      </c>
      <c r="H10419" s="362"/>
      <c r="I10419" s="362"/>
      <c r="J10419" s="362"/>
    </row>
    <row r="10420" spans="1:10" x14ac:dyDescent="0.25">
      <c r="A10420" s="362"/>
      <c r="B10420" s="609">
        <v>44818</v>
      </c>
      <c r="C10420" s="362" t="s">
        <v>4751</v>
      </c>
      <c r="D10420" s="560">
        <v>157493500</v>
      </c>
      <c r="E10420" s="560"/>
      <c r="F10420" s="560">
        <v>157493500</v>
      </c>
      <c r="G10420" s="560">
        <f t="shared" si="257"/>
        <v>0</v>
      </c>
      <c r="H10420" s="362"/>
      <c r="I10420" s="362"/>
      <c r="J10420" s="362"/>
    </row>
    <row r="10421" spans="1:10" x14ac:dyDescent="0.25">
      <c r="A10421" s="362"/>
      <c r="B10421" s="609">
        <v>44818</v>
      </c>
      <c r="C10421" s="362" t="s">
        <v>6301</v>
      </c>
      <c r="D10421" s="560">
        <v>69074178</v>
      </c>
      <c r="E10421" s="560"/>
      <c r="F10421" s="560">
        <v>69074200</v>
      </c>
      <c r="G10421" s="560">
        <f t="shared" si="257"/>
        <v>-22</v>
      </c>
      <c r="H10421" s="362"/>
      <c r="I10421" s="362"/>
      <c r="J10421" s="362"/>
    </row>
    <row r="10422" spans="1:10" x14ac:dyDescent="0.25">
      <c r="A10422" s="362"/>
      <c r="B10422" s="609">
        <v>44818</v>
      </c>
      <c r="C10422" s="362" t="s">
        <v>3435</v>
      </c>
      <c r="D10422" s="560">
        <v>37029401</v>
      </c>
      <c r="E10422" s="560"/>
      <c r="F10422" s="560">
        <v>37029400</v>
      </c>
      <c r="G10422" s="560">
        <f t="shared" si="257"/>
        <v>1</v>
      </c>
      <c r="H10422" s="362"/>
      <c r="I10422" s="362"/>
      <c r="J10422" s="362"/>
    </row>
    <row r="10423" spans="1:10" x14ac:dyDescent="0.25">
      <c r="A10423" s="362"/>
      <c r="B10423" s="609">
        <v>44818</v>
      </c>
      <c r="C10423" s="370" t="s">
        <v>85</v>
      </c>
      <c r="D10423" s="560">
        <v>69382700</v>
      </c>
      <c r="E10423" s="560"/>
      <c r="F10423" s="560">
        <v>69382700</v>
      </c>
      <c r="G10423" s="560">
        <f t="shared" si="257"/>
        <v>0</v>
      </c>
      <c r="H10423" s="362"/>
      <c r="I10423" s="362"/>
      <c r="J10423" s="362"/>
    </row>
    <row r="10424" spans="1:10" x14ac:dyDescent="0.25">
      <c r="A10424" s="362"/>
      <c r="B10424" s="609">
        <v>44818</v>
      </c>
      <c r="C10424" s="370" t="s">
        <v>6299</v>
      </c>
      <c r="D10424" s="560">
        <v>19740872</v>
      </c>
      <c r="E10424" s="560"/>
      <c r="F10424" s="560">
        <v>19740900</v>
      </c>
      <c r="G10424" s="560">
        <f t="shared" si="257"/>
        <v>-28</v>
      </c>
      <c r="H10424" s="362"/>
      <c r="I10424" s="362"/>
      <c r="J10424" s="362"/>
    </row>
    <row r="10425" spans="1:10" x14ac:dyDescent="0.25">
      <c r="A10425" s="530"/>
      <c r="B10425" s="530"/>
      <c r="C10425" s="530"/>
      <c r="D10425" s="562">
        <f>SUM(D10409:D10424)</f>
        <v>2363395036</v>
      </c>
      <c r="E10425" s="562">
        <f t="shared" ref="E10425:G10425" si="259">SUM(E10409:E10424)</f>
        <v>0</v>
      </c>
      <c r="F10425" s="562">
        <f t="shared" si="259"/>
        <v>2363395800</v>
      </c>
      <c r="G10425" s="562">
        <f t="shared" si="259"/>
        <v>-764</v>
      </c>
      <c r="H10425" s="530"/>
      <c r="I10425" s="530"/>
      <c r="J10425" s="530"/>
    </row>
    <row r="10426" spans="1:10" x14ac:dyDescent="0.25">
      <c r="A10426" s="362"/>
      <c r="B10426" s="609">
        <v>44819</v>
      </c>
      <c r="C10426" s="362" t="s">
        <v>86</v>
      </c>
      <c r="D10426" s="560">
        <v>60953850</v>
      </c>
      <c r="E10426" s="560"/>
      <c r="F10426" s="560">
        <v>60955600</v>
      </c>
      <c r="G10426" s="560">
        <f t="shared" si="257"/>
        <v>-1750</v>
      </c>
      <c r="H10426" s="362"/>
      <c r="I10426" s="362"/>
      <c r="J10426" s="362"/>
    </row>
    <row r="10427" spans="1:10" x14ac:dyDescent="0.25">
      <c r="A10427" s="362"/>
      <c r="B10427" s="609">
        <v>44819</v>
      </c>
      <c r="C10427" s="362" t="s">
        <v>87</v>
      </c>
      <c r="D10427" s="560">
        <v>179888745</v>
      </c>
      <c r="E10427" s="560"/>
      <c r="F10427" s="560">
        <v>179888900</v>
      </c>
      <c r="G10427" s="560">
        <f t="shared" si="257"/>
        <v>-155</v>
      </c>
      <c r="H10427" s="362"/>
      <c r="I10427" s="362"/>
      <c r="J10427" s="362"/>
    </row>
    <row r="10428" spans="1:10" x14ac:dyDescent="0.25">
      <c r="A10428" s="362"/>
      <c r="B10428" s="609">
        <v>44819</v>
      </c>
      <c r="C10428" s="362" t="s">
        <v>88</v>
      </c>
      <c r="D10428" s="560">
        <v>224683553</v>
      </c>
      <c r="E10428" s="560"/>
      <c r="F10428" s="560">
        <v>224683500</v>
      </c>
      <c r="G10428" s="560">
        <f t="shared" si="257"/>
        <v>53</v>
      </c>
      <c r="H10428" s="362"/>
      <c r="I10428" s="362"/>
      <c r="J10428" s="362"/>
    </row>
    <row r="10429" spans="1:10" x14ac:dyDescent="0.25">
      <c r="A10429" s="362"/>
      <c r="B10429" s="609">
        <v>44819</v>
      </c>
      <c r="C10429" s="362" t="s">
        <v>82</v>
      </c>
      <c r="D10429" s="560">
        <v>146059456</v>
      </c>
      <c r="E10429" s="560"/>
      <c r="F10429" s="560">
        <v>146059500</v>
      </c>
      <c r="G10429" s="560">
        <f t="shared" si="257"/>
        <v>-44</v>
      </c>
      <c r="H10429" s="362"/>
      <c r="I10429" s="362"/>
      <c r="J10429" s="362"/>
    </row>
    <row r="10430" spans="1:10" x14ac:dyDescent="0.25">
      <c r="A10430" s="362"/>
      <c r="B10430" s="609">
        <v>44819</v>
      </c>
      <c r="C10430" s="362" t="s">
        <v>80</v>
      </c>
      <c r="D10430" s="560">
        <v>334089700</v>
      </c>
      <c r="E10430" s="560"/>
      <c r="F10430" s="560">
        <v>334089700</v>
      </c>
      <c r="G10430" s="560">
        <f t="shared" si="257"/>
        <v>0</v>
      </c>
      <c r="H10430" s="362"/>
      <c r="I10430" s="362"/>
      <c r="J10430" s="362"/>
    </row>
    <row r="10431" spans="1:10" x14ac:dyDescent="0.25">
      <c r="A10431" s="362"/>
      <c r="B10431" s="609">
        <v>44819</v>
      </c>
      <c r="C10431" s="362" t="s">
        <v>83</v>
      </c>
      <c r="D10431" s="560">
        <v>127344167</v>
      </c>
      <c r="E10431" s="560"/>
      <c r="F10431" s="560">
        <v>127344300</v>
      </c>
      <c r="G10431" s="560">
        <f t="shared" si="257"/>
        <v>-133</v>
      </c>
      <c r="H10431" s="362"/>
      <c r="I10431" s="362"/>
      <c r="J10431" s="362"/>
    </row>
    <row r="10432" spans="1:10" x14ac:dyDescent="0.25">
      <c r="A10432" s="362"/>
      <c r="B10432" s="609">
        <v>44819</v>
      </c>
      <c r="C10432" s="362" t="s">
        <v>78</v>
      </c>
      <c r="D10432" s="560">
        <v>137268000</v>
      </c>
      <c r="E10432" s="560"/>
      <c r="F10432" s="560">
        <v>137268000</v>
      </c>
      <c r="G10432" s="560">
        <f t="shared" si="257"/>
        <v>0</v>
      </c>
      <c r="H10432" s="362"/>
      <c r="I10432" s="362"/>
      <c r="J10432" s="362"/>
    </row>
    <row r="10433" spans="1:10" x14ac:dyDescent="0.25">
      <c r="A10433" s="362"/>
      <c r="B10433" s="609">
        <v>44819</v>
      </c>
      <c r="C10433" s="362" t="s">
        <v>141</v>
      </c>
      <c r="D10433" s="560">
        <v>128103892</v>
      </c>
      <c r="E10433" s="560"/>
      <c r="F10433" s="560">
        <v>128103900</v>
      </c>
      <c r="G10433" s="560">
        <f t="shared" si="257"/>
        <v>-8</v>
      </c>
      <c r="H10433" s="362"/>
      <c r="I10433" s="362"/>
      <c r="J10433" s="362"/>
    </row>
    <row r="10434" spans="1:10" x14ac:dyDescent="0.25">
      <c r="A10434" s="362"/>
      <c r="B10434" s="609">
        <v>44819</v>
      </c>
      <c r="C10434" s="362" t="s">
        <v>89</v>
      </c>
      <c r="D10434" s="560">
        <v>196874000</v>
      </c>
      <c r="E10434" s="560"/>
      <c r="F10434" s="560">
        <v>196874000</v>
      </c>
      <c r="G10434" s="560">
        <f t="shared" si="257"/>
        <v>0</v>
      </c>
      <c r="H10434" s="362"/>
      <c r="I10434" s="362"/>
      <c r="J10434" s="362"/>
    </row>
    <row r="10435" spans="1:10" x14ac:dyDescent="0.25">
      <c r="A10435" s="362"/>
      <c r="B10435" s="609">
        <v>44819</v>
      </c>
      <c r="C10435" s="362" t="s">
        <v>81</v>
      </c>
      <c r="D10435" s="560">
        <v>146544662</v>
      </c>
      <c r="E10435" s="560"/>
      <c r="F10435" s="560">
        <v>146544700</v>
      </c>
      <c r="G10435" s="560">
        <f t="shared" si="257"/>
        <v>-38</v>
      </c>
      <c r="H10435" s="362"/>
      <c r="I10435" s="362"/>
      <c r="J10435" s="362"/>
    </row>
    <row r="10436" spans="1:10" x14ac:dyDescent="0.25">
      <c r="A10436" s="362"/>
      <c r="B10436" s="609">
        <v>44819</v>
      </c>
      <c r="C10436" s="362" t="s">
        <v>84</v>
      </c>
      <c r="D10436" s="560">
        <v>359477675</v>
      </c>
      <c r="E10436" s="560"/>
      <c r="F10436" s="560">
        <v>359478200</v>
      </c>
      <c r="G10436" s="560">
        <f t="shared" si="257"/>
        <v>-525</v>
      </c>
      <c r="H10436" s="362"/>
      <c r="I10436" s="362"/>
      <c r="J10436" s="362"/>
    </row>
    <row r="10437" spans="1:10" x14ac:dyDescent="0.25">
      <c r="A10437" s="362"/>
      <c r="B10437" s="609">
        <v>44819</v>
      </c>
      <c r="C10437" s="362" t="s">
        <v>4751</v>
      </c>
      <c r="D10437" s="560">
        <v>229476000</v>
      </c>
      <c r="E10437" s="560"/>
      <c r="F10437" s="560">
        <v>229476000</v>
      </c>
      <c r="G10437" s="560">
        <f t="shared" si="257"/>
        <v>0</v>
      </c>
      <c r="H10437" s="362"/>
      <c r="I10437" s="362"/>
      <c r="J10437" s="362"/>
    </row>
    <row r="10438" spans="1:10" x14ac:dyDescent="0.25">
      <c r="A10438" s="362"/>
      <c r="B10438" s="609">
        <v>44819</v>
      </c>
      <c r="C10438" s="362" t="s">
        <v>6301</v>
      </c>
      <c r="D10438" s="560">
        <v>140286848</v>
      </c>
      <c r="E10438" s="560"/>
      <c r="F10438" s="560">
        <v>140287000</v>
      </c>
      <c r="G10438" s="560">
        <f t="shared" si="257"/>
        <v>-152</v>
      </c>
      <c r="H10438" s="362"/>
      <c r="I10438" s="362"/>
      <c r="J10438" s="362"/>
    </row>
    <row r="10439" spans="1:10" x14ac:dyDescent="0.25">
      <c r="A10439" s="362"/>
      <c r="B10439" s="609">
        <v>44819</v>
      </c>
      <c r="C10439" s="362" t="s">
        <v>3435</v>
      </c>
      <c r="D10439" s="560">
        <v>120128890</v>
      </c>
      <c r="E10439" s="560"/>
      <c r="F10439" s="560">
        <v>120128900</v>
      </c>
      <c r="G10439" s="560">
        <f t="shared" si="257"/>
        <v>-10</v>
      </c>
      <c r="H10439" s="362"/>
      <c r="I10439" s="362"/>
      <c r="J10439" s="362"/>
    </row>
    <row r="10440" spans="1:10" x14ac:dyDescent="0.25">
      <c r="A10440" s="362"/>
      <c r="B10440" s="609">
        <v>44819</v>
      </c>
      <c r="C10440" s="370" t="s">
        <v>85</v>
      </c>
      <c r="D10440" s="560">
        <v>29185100</v>
      </c>
      <c r="E10440" s="560"/>
      <c r="F10440" s="560">
        <v>29185100</v>
      </c>
      <c r="G10440" s="560">
        <f t="shared" si="257"/>
        <v>0</v>
      </c>
      <c r="H10440" s="362"/>
      <c r="I10440" s="362"/>
      <c r="J10440" s="362"/>
    </row>
    <row r="10441" spans="1:10" x14ac:dyDescent="0.25">
      <c r="A10441" s="362"/>
      <c r="B10441" s="609">
        <v>44819</v>
      </c>
      <c r="C10441" s="370" t="s">
        <v>6299</v>
      </c>
      <c r="D10441" s="560">
        <v>63075574</v>
      </c>
      <c r="E10441" s="560"/>
      <c r="F10441" s="560">
        <v>63075600</v>
      </c>
      <c r="G10441" s="560">
        <f t="shared" si="257"/>
        <v>-26</v>
      </c>
      <c r="H10441" s="362"/>
      <c r="I10441" s="362"/>
      <c r="J10441" s="362"/>
    </row>
    <row r="10442" spans="1:10" x14ac:dyDescent="0.25">
      <c r="A10442" s="530"/>
      <c r="B10442" s="530"/>
      <c r="C10442" s="530"/>
      <c r="D10442" s="562">
        <f>SUM(D10426:D10441)</f>
        <v>2623440112</v>
      </c>
      <c r="E10442" s="562">
        <f t="shared" ref="E10442:G10442" si="260">SUM(E10426:E10441)</f>
        <v>0</v>
      </c>
      <c r="F10442" s="562">
        <f t="shared" si="260"/>
        <v>2623442900</v>
      </c>
      <c r="G10442" s="562">
        <f t="shared" si="260"/>
        <v>-2788</v>
      </c>
      <c r="H10442" s="530"/>
      <c r="I10442" s="530"/>
      <c r="J10442" s="530"/>
    </row>
    <row r="10443" spans="1:10" x14ac:dyDescent="0.25">
      <c r="A10443" s="362"/>
      <c r="B10443" s="609">
        <v>44820</v>
      </c>
      <c r="C10443" s="362" t="s">
        <v>86</v>
      </c>
      <c r="D10443" s="560">
        <v>44587929</v>
      </c>
      <c r="E10443" s="560"/>
      <c r="F10443" s="1423">
        <v>44588000</v>
      </c>
      <c r="G10443" s="560">
        <f t="shared" si="257"/>
        <v>-71</v>
      </c>
      <c r="H10443" s="362"/>
      <c r="I10443" s="362"/>
      <c r="J10443" s="362"/>
    </row>
    <row r="10444" spans="1:10" x14ac:dyDescent="0.25">
      <c r="A10444" s="362"/>
      <c r="B10444" s="609">
        <v>44820</v>
      </c>
      <c r="C10444" s="362" t="s">
        <v>87</v>
      </c>
      <c r="D10444" s="560">
        <v>150790587</v>
      </c>
      <c r="E10444" s="560"/>
      <c r="F10444" s="1423">
        <v>150790600</v>
      </c>
      <c r="G10444" s="560">
        <f t="shared" si="257"/>
        <v>-13</v>
      </c>
      <c r="H10444" s="362"/>
      <c r="I10444" s="362"/>
      <c r="J10444" s="362"/>
    </row>
    <row r="10445" spans="1:10" x14ac:dyDescent="0.25">
      <c r="A10445" s="362"/>
      <c r="B10445" s="609">
        <v>44820</v>
      </c>
      <c r="C10445" s="362" t="s">
        <v>88</v>
      </c>
      <c r="D10445" s="560">
        <v>121813101</v>
      </c>
      <c r="E10445" s="560"/>
      <c r="F10445" s="1423">
        <v>121813200</v>
      </c>
      <c r="G10445" s="560">
        <f t="shared" si="257"/>
        <v>-99</v>
      </c>
      <c r="H10445" s="362"/>
      <c r="I10445" s="362"/>
      <c r="J10445" s="362"/>
    </row>
    <row r="10446" spans="1:10" x14ac:dyDescent="0.25">
      <c r="A10446" s="362"/>
      <c r="B10446" s="609">
        <v>44820</v>
      </c>
      <c r="C10446" s="362" t="s">
        <v>82</v>
      </c>
      <c r="D10446" s="560">
        <v>132963454</v>
      </c>
      <c r="E10446" s="560"/>
      <c r="F10446" s="1423">
        <v>132963500</v>
      </c>
      <c r="G10446" s="560">
        <f t="shared" si="257"/>
        <v>-46</v>
      </c>
      <c r="H10446" s="362"/>
      <c r="I10446" s="362"/>
      <c r="J10446" s="362"/>
    </row>
    <row r="10447" spans="1:10" x14ac:dyDescent="0.25">
      <c r="A10447" s="362"/>
      <c r="B10447" s="609">
        <v>44820</v>
      </c>
      <c r="C10447" s="362" t="s">
        <v>80</v>
      </c>
      <c r="D10447" s="560">
        <v>364494400</v>
      </c>
      <c r="E10447" s="560"/>
      <c r="F10447" s="1423">
        <v>364494000</v>
      </c>
      <c r="G10447" s="560">
        <f t="shared" si="257"/>
        <v>400</v>
      </c>
      <c r="H10447" s="362"/>
      <c r="I10447" s="362"/>
      <c r="J10447" s="362"/>
    </row>
    <row r="10448" spans="1:10" x14ac:dyDescent="0.25">
      <c r="A10448" s="362"/>
      <c r="B10448" s="609">
        <v>44820</v>
      </c>
      <c r="C10448" s="362" t="s">
        <v>83</v>
      </c>
      <c r="D10448" s="560">
        <v>175389100</v>
      </c>
      <c r="E10448" s="560"/>
      <c r="F10448" s="1423">
        <v>175389100</v>
      </c>
      <c r="G10448" s="560">
        <f t="shared" si="257"/>
        <v>0</v>
      </c>
      <c r="H10448" s="362"/>
      <c r="I10448" s="362"/>
      <c r="J10448" s="362"/>
    </row>
    <row r="10449" spans="1:10" x14ac:dyDescent="0.25">
      <c r="A10449" s="362"/>
      <c r="B10449" s="609">
        <v>44820</v>
      </c>
      <c r="C10449" s="362" t="s">
        <v>78</v>
      </c>
      <c r="D10449" s="560">
        <v>132983800</v>
      </c>
      <c r="E10449" s="560"/>
      <c r="F10449" s="1423">
        <v>132983800</v>
      </c>
      <c r="G10449" s="560">
        <f t="shared" si="257"/>
        <v>0</v>
      </c>
      <c r="H10449" s="362"/>
      <c r="I10449" s="362"/>
      <c r="J10449" s="362"/>
    </row>
    <row r="10450" spans="1:10" x14ac:dyDescent="0.25">
      <c r="A10450" s="362"/>
      <c r="B10450" s="609">
        <v>44820</v>
      </c>
      <c r="C10450" s="362" t="s">
        <v>141</v>
      </c>
      <c r="D10450" s="560">
        <v>163541130</v>
      </c>
      <c r="E10450" s="560"/>
      <c r="F10450" s="1423">
        <v>163541200</v>
      </c>
      <c r="G10450" s="560">
        <f t="shared" si="257"/>
        <v>-70</v>
      </c>
      <c r="H10450" s="362"/>
      <c r="I10450" s="362"/>
      <c r="J10450" s="362"/>
    </row>
    <row r="10451" spans="1:10" x14ac:dyDescent="0.25">
      <c r="A10451" s="362"/>
      <c r="B10451" s="609">
        <v>44820</v>
      </c>
      <c r="C10451" s="362" t="s">
        <v>89</v>
      </c>
      <c r="D10451" s="560">
        <v>210412700</v>
      </c>
      <c r="E10451" s="560"/>
      <c r="F10451" s="1423">
        <v>210412600</v>
      </c>
      <c r="G10451" s="560">
        <f t="shared" si="257"/>
        <v>100</v>
      </c>
      <c r="H10451" s="362"/>
      <c r="I10451" s="362"/>
      <c r="J10451" s="362"/>
    </row>
    <row r="10452" spans="1:10" x14ac:dyDescent="0.25">
      <c r="A10452" s="362"/>
      <c r="B10452" s="609">
        <v>44820</v>
      </c>
      <c r="C10452" s="362" t="s">
        <v>81</v>
      </c>
      <c r="D10452" s="560">
        <v>98344642</v>
      </c>
      <c r="E10452" s="560"/>
      <c r="F10452" s="1423">
        <v>98344700</v>
      </c>
      <c r="G10452" s="560">
        <f t="shared" si="257"/>
        <v>-58</v>
      </c>
      <c r="H10452" s="362"/>
      <c r="I10452" s="362"/>
      <c r="J10452" s="362"/>
    </row>
    <row r="10453" spans="1:10" x14ac:dyDescent="0.25">
      <c r="A10453" s="362"/>
      <c r="B10453" s="609">
        <v>44820</v>
      </c>
      <c r="C10453" s="362" t="s">
        <v>84</v>
      </c>
      <c r="D10453" s="560">
        <v>261071847</v>
      </c>
      <c r="E10453" s="560"/>
      <c r="F10453" s="1423">
        <v>261071800</v>
      </c>
      <c r="G10453" s="560">
        <f t="shared" si="257"/>
        <v>47</v>
      </c>
      <c r="H10453" s="362"/>
      <c r="I10453" s="362"/>
      <c r="J10453" s="362"/>
    </row>
    <row r="10454" spans="1:10" x14ac:dyDescent="0.25">
      <c r="A10454" s="362"/>
      <c r="B10454" s="609">
        <v>44820</v>
      </c>
      <c r="C10454" s="362" t="s">
        <v>4751</v>
      </c>
      <c r="D10454" s="560">
        <v>129584500</v>
      </c>
      <c r="E10454" s="560"/>
      <c r="F10454" s="1423">
        <v>129584500</v>
      </c>
      <c r="G10454" s="560">
        <f t="shared" si="257"/>
        <v>0</v>
      </c>
      <c r="H10454" s="362"/>
      <c r="I10454" s="362"/>
      <c r="J10454" s="362"/>
    </row>
    <row r="10455" spans="1:10" x14ac:dyDescent="0.25">
      <c r="A10455" s="362"/>
      <c r="B10455" s="609">
        <v>44820</v>
      </c>
      <c r="C10455" s="362" t="s">
        <v>6301</v>
      </c>
      <c r="D10455" s="560">
        <v>58622672</v>
      </c>
      <c r="E10455" s="560"/>
      <c r="F10455" s="1423">
        <v>58622500</v>
      </c>
      <c r="G10455" s="560">
        <f t="shared" si="257"/>
        <v>172</v>
      </c>
      <c r="H10455" s="362"/>
      <c r="I10455" s="362"/>
      <c r="J10455" s="362"/>
    </row>
    <row r="10456" spans="1:10" x14ac:dyDescent="0.25">
      <c r="A10456" s="362"/>
      <c r="B10456" s="609">
        <v>44820</v>
      </c>
      <c r="C10456" s="362" t="s">
        <v>3435</v>
      </c>
      <c r="D10456" s="560">
        <v>27983367</v>
      </c>
      <c r="E10456" s="560"/>
      <c r="F10456" s="1423">
        <v>27983400</v>
      </c>
      <c r="G10456" s="560">
        <f t="shared" si="257"/>
        <v>-33</v>
      </c>
      <c r="H10456" s="362"/>
      <c r="I10456" s="362"/>
      <c r="J10456" s="362"/>
    </row>
    <row r="10457" spans="1:10" x14ac:dyDescent="0.25">
      <c r="A10457" s="362"/>
      <c r="B10457" s="609">
        <v>44820</v>
      </c>
      <c r="C10457" s="370" t="s">
        <v>85</v>
      </c>
      <c r="D10457" s="560">
        <v>30254900</v>
      </c>
      <c r="E10457" s="560"/>
      <c r="F10457" s="1423">
        <v>30254900</v>
      </c>
      <c r="G10457" s="560">
        <f t="shared" ref="G10457:G10520" si="261">D10457-F10457</f>
        <v>0</v>
      </c>
      <c r="H10457" s="362"/>
      <c r="I10457" s="362"/>
      <c r="J10457" s="362"/>
    </row>
    <row r="10458" spans="1:10" x14ac:dyDescent="0.25">
      <c r="A10458" s="362"/>
      <c r="B10458" s="609">
        <v>44820</v>
      </c>
      <c r="C10458" s="370" t="s">
        <v>6299</v>
      </c>
      <c r="D10458" s="560">
        <v>90974473</v>
      </c>
      <c r="E10458" s="560"/>
      <c r="F10458" s="1423">
        <v>90974400</v>
      </c>
      <c r="G10458" s="560">
        <f t="shared" si="261"/>
        <v>73</v>
      </c>
      <c r="H10458" s="362"/>
      <c r="I10458" s="362"/>
      <c r="J10458" s="362"/>
    </row>
    <row r="10459" spans="1:10" x14ac:dyDescent="0.25">
      <c r="A10459" s="530"/>
      <c r="B10459" s="530"/>
      <c r="C10459" s="530"/>
      <c r="D10459" s="562">
        <f>SUM(D10443:D10458)</f>
        <v>2193812602</v>
      </c>
      <c r="E10459" s="562">
        <f t="shared" ref="E10459:G10459" si="262">SUM(E10443:E10458)</f>
        <v>0</v>
      </c>
      <c r="F10459" s="562">
        <f t="shared" si="262"/>
        <v>2193812200</v>
      </c>
      <c r="G10459" s="562">
        <f t="shared" si="262"/>
        <v>402</v>
      </c>
      <c r="H10459" s="530"/>
      <c r="I10459" s="530"/>
      <c r="J10459" s="530"/>
    </row>
    <row r="10460" spans="1:10" x14ac:dyDescent="0.25">
      <c r="A10460" s="362"/>
      <c r="B10460" s="609">
        <v>44821</v>
      </c>
      <c r="C10460" s="362" t="s">
        <v>86</v>
      </c>
      <c r="D10460" s="560">
        <v>55303038</v>
      </c>
      <c r="E10460" s="560"/>
      <c r="F10460" s="1423">
        <v>55303000</v>
      </c>
      <c r="G10460" s="560">
        <f t="shared" si="261"/>
        <v>38</v>
      </c>
      <c r="H10460" s="362"/>
      <c r="I10460" s="362"/>
      <c r="J10460" s="362"/>
    </row>
    <row r="10461" spans="1:10" x14ac:dyDescent="0.25">
      <c r="A10461" s="362"/>
      <c r="B10461" s="609">
        <v>44821</v>
      </c>
      <c r="C10461" s="362" t="s">
        <v>87</v>
      </c>
      <c r="D10461" s="560">
        <v>150606513</v>
      </c>
      <c r="E10461" s="560"/>
      <c r="F10461" s="1423">
        <f>69677900+80928800</f>
        <v>150606700</v>
      </c>
      <c r="G10461" s="560">
        <f t="shared" si="261"/>
        <v>-187</v>
      </c>
      <c r="H10461" s="362"/>
      <c r="I10461" s="362"/>
      <c r="J10461" s="362"/>
    </row>
    <row r="10462" spans="1:10" x14ac:dyDescent="0.25">
      <c r="A10462" s="362"/>
      <c r="B10462" s="609">
        <v>44821</v>
      </c>
      <c r="C10462" s="362" t="s">
        <v>88</v>
      </c>
      <c r="D10462" s="560">
        <v>429747402</v>
      </c>
      <c r="E10462" s="560"/>
      <c r="F10462" s="1423">
        <v>429747500</v>
      </c>
      <c r="G10462" s="560">
        <f t="shared" si="261"/>
        <v>-98</v>
      </c>
      <c r="H10462" s="362"/>
      <c r="I10462" s="362"/>
      <c r="J10462" s="362"/>
    </row>
    <row r="10463" spans="1:10" x14ac:dyDescent="0.25">
      <c r="A10463" s="362"/>
      <c r="B10463" s="609">
        <v>44821</v>
      </c>
      <c r="C10463" s="362" t="s">
        <v>82</v>
      </c>
      <c r="D10463" s="560">
        <v>60593285</v>
      </c>
      <c r="E10463" s="560"/>
      <c r="F10463" s="1423">
        <v>60593300</v>
      </c>
      <c r="G10463" s="560">
        <f t="shared" si="261"/>
        <v>-15</v>
      </c>
      <c r="H10463" s="362"/>
      <c r="I10463" s="362"/>
      <c r="J10463" s="362"/>
    </row>
    <row r="10464" spans="1:10" x14ac:dyDescent="0.25">
      <c r="A10464" s="362"/>
      <c r="B10464" s="609">
        <v>44821</v>
      </c>
      <c r="C10464" s="362" t="s">
        <v>80</v>
      </c>
      <c r="D10464" s="560">
        <v>442845100</v>
      </c>
      <c r="E10464" s="560"/>
      <c r="F10464" s="1423">
        <v>442845100</v>
      </c>
      <c r="G10464" s="560">
        <f t="shared" si="261"/>
        <v>0</v>
      </c>
      <c r="H10464" s="362"/>
      <c r="I10464" s="362"/>
      <c r="J10464" s="362"/>
    </row>
    <row r="10465" spans="1:10" x14ac:dyDescent="0.25">
      <c r="A10465" s="362"/>
      <c r="B10465" s="609">
        <v>44821</v>
      </c>
      <c r="C10465" s="362" t="s">
        <v>83</v>
      </c>
      <c r="D10465" s="560">
        <v>263116900</v>
      </c>
      <c r="E10465" s="560"/>
      <c r="F10465" s="1423">
        <v>263116900</v>
      </c>
      <c r="G10465" s="560">
        <f t="shared" si="261"/>
        <v>0</v>
      </c>
      <c r="H10465" s="362"/>
      <c r="I10465" s="362"/>
      <c r="J10465" s="362"/>
    </row>
    <row r="10466" spans="1:10" x14ac:dyDescent="0.25">
      <c r="A10466" s="362"/>
      <c r="B10466" s="609">
        <v>44821</v>
      </c>
      <c r="C10466" s="362" t="s">
        <v>78</v>
      </c>
      <c r="D10466" s="560">
        <v>171070700</v>
      </c>
      <c r="E10466" s="560"/>
      <c r="F10466" s="1423">
        <v>171070700</v>
      </c>
      <c r="G10466" s="560">
        <f t="shared" si="261"/>
        <v>0</v>
      </c>
      <c r="H10466" s="362"/>
      <c r="I10466" s="362"/>
      <c r="J10466" s="362"/>
    </row>
    <row r="10467" spans="1:10" x14ac:dyDescent="0.25">
      <c r="A10467" s="362"/>
      <c r="B10467" s="609">
        <v>44821</v>
      </c>
      <c r="C10467" s="362" t="s">
        <v>141</v>
      </c>
      <c r="D10467" s="560">
        <v>43637200</v>
      </c>
      <c r="E10467" s="560"/>
      <c r="F10467" s="1423">
        <v>43637300</v>
      </c>
      <c r="G10467" s="560">
        <f t="shared" si="261"/>
        <v>-100</v>
      </c>
      <c r="H10467" s="362"/>
      <c r="I10467" s="362"/>
      <c r="J10467" s="362"/>
    </row>
    <row r="10468" spans="1:10" x14ac:dyDescent="0.25">
      <c r="A10468" s="362"/>
      <c r="B10468" s="609">
        <v>44821</v>
      </c>
      <c r="C10468" s="362" t="s">
        <v>89</v>
      </c>
      <c r="D10468" s="560">
        <v>100767500</v>
      </c>
      <c r="E10468" s="560"/>
      <c r="F10468" s="1423">
        <v>100767500</v>
      </c>
      <c r="G10468" s="560">
        <f t="shared" si="261"/>
        <v>0</v>
      </c>
      <c r="H10468" s="362"/>
      <c r="I10468" s="362"/>
      <c r="J10468" s="362"/>
    </row>
    <row r="10469" spans="1:10" x14ac:dyDescent="0.25">
      <c r="A10469" s="362"/>
      <c r="B10469" s="609">
        <v>44821</v>
      </c>
      <c r="C10469" s="362" t="s">
        <v>81</v>
      </c>
      <c r="D10469" s="560">
        <v>151236714</v>
      </c>
      <c r="E10469" s="560"/>
      <c r="F10469" s="1423">
        <v>151236800</v>
      </c>
      <c r="G10469" s="560">
        <f t="shared" si="261"/>
        <v>-86</v>
      </c>
      <c r="H10469" s="362"/>
      <c r="I10469" s="362"/>
      <c r="J10469" s="362"/>
    </row>
    <row r="10470" spans="1:10" x14ac:dyDescent="0.25">
      <c r="A10470" s="362"/>
      <c r="B10470" s="609">
        <v>44821</v>
      </c>
      <c r="C10470" s="362" t="s">
        <v>84</v>
      </c>
      <c r="D10470" s="560">
        <v>654320254</v>
      </c>
      <c r="E10470" s="560"/>
      <c r="F10470" s="1423">
        <v>654320400</v>
      </c>
      <c r="G10470" s="560">
        <f t="shared" si="261"/>
        <v>-146</v>
      </c>
      <c r="H10470" s="362"/>
      <c r="I10470" s="362"/>
      <c r="J10470" s="362"/>
    </row>
    <row r="10471" spans="1:10" x14ac:dyDescent="0.25">
      <c r="A10471" s="362"/>
      <c r="B10471" s="609">
        <v>44821</v>
      </c>
      <c r="C10471" s="362" t="s">
        <v>4751</v>
      </c>
      <c r="D10471" s="560">
        <v>198478500</v>
      </c>
      <c r="E10471" s="560"/>
      <c r="F10471" s="1423">
        <v>198478600</v>
      </c>
      <c r="G10471" s="560">
        <f t="shared" si="261"/>
        <v>-100</v>
      </c>
      <c r="H10471" s="362"/>
      <c r="I10471" s="362"/>
      <c r="J10471" s="362"/>
    </row>
    <row r="10472" spans="1:10" x14ac:dyDescent="0.25">
      <c r="A10472" s="362"/>
      <c r="B10472" s="609">
        <v>44821</v>
      </c>
      <c r="C10472" s="362" t="s">
        <v>6301</v>
      </c>
      <c r="D10472" s="560">
        <v>33536404</v>
      </c>
      <c r="E10472" s="560"/>
      <c r="F10472" s="1423">
        <v>33536500</v>
      </c>
      <c r="G10472" s="560">
        <f t="shared" si="261"/>
        <v>-96</v>
      </c>
      <c r="H10472" s="362"/>
      <c r="I10472" s="362"/>
      <c r="J10472" s="362"/>
    </row>
    <row r="10473" spans="1:10" x14ac:dyDescent="0.25">
      <c r="A10473" s="362"/>
      <c r="B10473" s="609">
        <v>44821</v>
      </c>
      <c r="C10473" s="362" t="s">
        <v>3435</v>
      </c>
      <c r="D10473" s="560"/>
      <c r="E10473" s="560"/>
      <c r="F10473" s="560"/>
      <c r="G10473" s="560">
        <f t="shared" si="261"/>
        <v>0</v>
      </c>
      <c r="H10473" s="362"/>
      <c r="I10473" s="362"/>
      <c r="J10473" s="362"/>
    </row>
    <row r="10474" spans="1:10" x14ac:dyDescent="0.25">
      <c r="A10474" s="362"/>
      <c r="B10474" s="609">
        <v>44821</v>
      </c>
      <c r="C10474" s="370" t="s">
        <v>85</v>
      </c>
      <c r="D10474" s="560">
        <v>40382600</v>
      </c>
      <c r="E10474" s="560"/>
      <c r="F10474" s="1423">
        <v>40382600</v>
      </c>
      <c r="G10474" s="560">
        <f t="shared" si="261"/>
        <v>0</v>
      </c>
      <c r="H10474" s="362"/>
      <c r="I10474" s="362"/>
      <c r="J10474" s="362"/>
    </row>
    <row r="10475" spans="1:10" x14ac:dyDescent="0.25">
      <c r="A10475" s="362"/>
      <c r="B10475" s="609">
        <v>44821</v>
      </c>
      <c r="C10475" s="370" t="s">
        <v>6299</v>
      </c>
      <c r="D10475" s="560">
        <v>33390003</v>
      </c>
      <c r="E10475" s="560"/>
      <c r="F10475" s="1423">
        <v>33390000</v>
      </c>
      <c r="G10475" s="560">
        <f t="shared" si="261"/>
        <v>3</v>
      </c>
      <c r="H10475" s="362"/>
      <c r="I10475" s="362"/>
      <c r="J10475" s="362"/>
    </row>
    <row r="10476" spans="1:10" x14ac:dyDescent="0.25">
      <c r="A10476" s="530"/>
      <c r="B10476" s="530"/>
      <c r="C10476" s="530"/>
      <c r="D10476" s="562">
        <f>SUM(D10460:D10475)</f>
        <v>2829032113</v>
      </c>
      <c r="E10476" s="562">
        <f t="shared" ref="E10476:G10476" si="263">SUM(E10460:E10475)</f>
        <v>0</v>
      </c>
      <c r="F10476" s="562">
        <f t="shared" si="263"/>
        <v>2829032900</v>
      </c>
      <c r="G10476" s="562">
        <f t="shared" si="263"/>
        <v>-787</v>
      </c>
      <c r="H10476" s="530"/>
      <c r="I10476" s="530"/>
      <c r="J10476" s="530"/>
    </row>
    <row r="10477" spans="1:10" x14ac:dyDescent="0.25">
      <c r="A10477" s="362"/>
      <c r="B10477" s="609">
        <v>44823</v>
      </c>
      <c r="C10477" s="362" t="s">
        <v>86</v>
      </c>
      <c r="D10477" s="560">
        <v>180355589</v>
      </c>
      <c r="E10477" s="560"/>
      <c r="F10477" s="560">
        <v>180355000</v>
      </c>
      <c r="G10477" s="560">
        <f t="shared" si="261"/>
        <v>589</v>
      </c>
      <c r="H10477" s="362"/>
      <c r="I10477" s="362"/>
      <c r="J10477" s="362"/>
    </row>
    <row r="10478" spans="1:10" x14ac:dyDescent="0.25">
      <c r="A10478" s="362"/>
      <c r="B10478" s="609">
        <v>44823</v>
      </c>
      <c r="C10478" s="362" t="s">
        <v>87</v>
      </c>
      <c r="D10478" s="560">
        <v>95195561</v>
      </c>
      <c r="E10478" s="560"/>
      <c r="F10478" s="560">
        <v>95195600</v>
      </c>
      <c r="G10478" s="560">
        <f t="shared" si="261"/>
        <v>-39</v>
      </c>
      <c r="H10478" s="362"/>
      <c r="I10478" s="362"/>
      <c r="J10478" s="362"/>
    </row>
    <row r="10479" spans="1:10" x14ac:dyDescent="0.25">
      <c r="A10479" s="362"/>
      <c r="B10479" s="609">
        <v>44823</v>
      </c>
      <c r="C10479" s="362" t="s">
        <v>88</v>
      </c>
      <c r="D10479" s="560">
        <v>296804081</v>
      </c>
      <c r="E10479" s="560"/>
      <c r="F10479" s="560">
        <v>296804100</v>
      </c>
      <c r="G10479" s="560">
        <f t="shared" si="261"/>
        <v>-19</v>
      </c>
      <c r="H10479" s="362"/>
      <c r="I10479" s="362"/>
      <c r="J10479" s="362"/>
    </row>
    <row r="10480" spans="1:10" x14ac:dyDescent="0.25">
      <c r="A10480" s="362"/>
      <c r="B10480" s="609">
        <v>44823</v>
      </c>
      <c r="C10480" s="362" t="s">
        <v>82</v>
      </c>
      <c r="D10480" s="560">
        <v>110121619</v>
      </c>
      <c r="E10480" s="560"/>
      <c r="F10480" s="560">
        <v>110121600</v>
      </c>
      <c r="G10480" s="560">
        <f t="shared" si="261"/>
        <v>19</v>
      </c>
      <c r="H10480" s="362"/>
      <c r="I10480" s="362"/>
      <c r="J10480" s="362"/>
    </row>
    <row r="10481" spans="1:10" x14ac:dyDescent="0.25">
      <c r="A10481" s="362"/>
      <c r="B10481" s="609">
        <v>44823</v>
      </c>
      <c r="C10481" s="362" t="s">
        <v>80</v>
      </c>
      <c r="D10481" s="560">
        <v>310278500</v>
      </c>
      <c r="E10481" s="560"/>
      <c r="F10481" s="560">
        <v>310278500</v>
      </c>
      <c r="G10481" s="560">
        <f t="shared" si="261"/>
        <v>0</v>
      </c>
      <c r="H10481" s="362"/>
      <c r="I10481" s="362"/>
      <c r="J10481" s="362"/>
    </row>
    <row r="10482" spans="1:10" x14ac:dyDescent="0.25">
      <c r="A10482" s="362"/>
      <c r="B10482" s="609">
        <v>44823</v>
      </c>
      <c r="C10482" s="362" t="s">
        <v>83</v>
      </c>
      <c r="D10482" s="560">
        <v>207371200</v>
      </c>
      <c r="E10482" s="560"/>
      <c r="F10482" s="560">
        <v>207371200</v>
      </c>
      <c r="G10482" s="560">
        <f t="shared" si="261"/>
        <v>0</v>
      </c>
      <c r="H10482" s="362"/>
      <c r="I10482" s="362"/>
      <c r="J10482" s="362"/>
    </row>
    <row r="10483" spans="1:10" x14ac:dyDescent="0.25">
      <c r="A10483" s="362"/>
      <c r="B10483" s="609">
        <v>44823</v>
      </c>
      <c r="C10483" s="362" t="s">
        <v>78</v>
      </c>
      <c r="D10483" s="560">
        <v>100874900</v>
      </c>
      <c r="E10483" s="560"/>
      <c r="F10483" s="560">
        <v>100874900</v>
      </c>
      <c r="G10483" s="560">
        <f t="shared" si="261"/>
        <v>0</v>
      </c>
      <c r="H10483" s="362"/>
      <c r="I10483" s="362"/>
      <c r="J10483" s="362"/>
    </row>
    <row r="10484" spans="1:10" x14ac:dyDescent="0.25">
      <c r="A10484" s="362"/>
      <c r="B10484" s="609">
        <v>44823</v>
      </c>
      <c r="C10484" s="362" t="s">
        <v>141</v>
      </c>
      <c r="D10484" s="560">
        <v>95514629</v>
      </c>
      <c r="E10484" s="560"/>
      <c r="F10484" s="560">
        <v>95514700</v>
      </c>
      <c r="G10484" s="560">
        <f t="shared" si="261"/>
        <v>-71</v>
      </c>
      <c r="H10484" s="362"/>
      <c r="I10484" s="362"/>
      <c r="J10484" s="362"/>
    </row>
    <row r="10485" spans="1:10" x14ac:dyDescent="0.25">
      <c r="A10485" s="362"/>
      <c r="B10485" s="609">
        <v>44823</v>
      </c>
      <c r="C10485" s="362" t="s">
        <v>89</v>
      </c>
      <c r="D10485" s="560">
        <v>168376400</v>
      </c>
      <c r="E10485" s="560"/>
      <c r="F10485" s="560">
        <v>168376400</v>
      </c>
      <c r="G10485" s="560">
        <f t="shared" si="261"/>
        <v>0</v>
      </c>
      <c r="H10485" s="362"/>
      <c r="I10485" s="362"/>
      <c r="J10485" s="362"/>
    </row>
    <row r="10486" spans="1:10" x14ac:dyDescent="0.25">
      <c r="A10486" s="362"/>
      <c r="B10486" s="609">
        <v>44823</v>
      </c>
      <c r="C10486" s="362" t="s">
        <v>81</v>
      </c>
      <c r="D10486" s="560">
        <v>166282092</v>
      </c>
      <c r="E10486" s="560"/>
      <c r="F10486" s="560">
        <v>166282100</v>
      </c>
      <c r="G10486" s="560">
        <f t="shared" si="261"/>
        <v>-8</v>
      </c>
      <c r="H10486" s="362"/>
      <c r="I10486" s="362"/>
      <c r="J10486" s="362"/>
    </row>
    <row r="10487" spans="1:10" x14ac:dyDescent="0.25">
      <c r="A10487" s="362"/>
      <c r="B10487" s="609">
        <v>44823</v>
      </c>
      <c r="C10487" s="362" t="s">
        <v>84</v>
      </c>
      <c r="D10487" s="560">
        <v>493537906</v>
      </c>
      <c r="E10487" s="560"/>
      <c r="F10487" s="560">
        <v>493537800</v>
      </c>
      <c r="G10487" s="560">
        <f t="shared" si="261"/>
        <v>106</v>
      </c>
      <c r="H10487" s="362"/>
      <c r="I10487" s="362"/>
      <c r="J10487" s="362"/>
    </row>
    <row r="10488" spans="1:10" x14ac:dyDescent="0.25">
      <c r="A10488" s="362"/>
      <c r="B10488" s="609">
        <v>44823</v>
      </c>
      <c r="C10488" s="362" t="s">
        <v>4751</v>
      </c>
      <c r="D10488" s="560">
        <v>172022400</v>
      </c>
      <c r="E10488" s="560"/>
      <c r="F10488" s="560">
        <v>172022400</v>
      </c>
      <c r="G10488" s="560">
        <f t="shared" si="261"/>
        <v>0</v>
      </c>
      <c r="H10488" s="362"/>
      <c r="I10488" s="362"/>
      <c r="J10488" s="362"/>
    </row>
    <row r="10489" spans="1:10" x14ac:dyDescent="0.25">
      <c r="A10489" s="362"/>
      <c r="B10489" s="609">
        <v>44823</v>
      </c>
      <c r="C10489" s="362" t="s">
        <v>6301</v>
      </c>
      <c r="D10489" s="560">
        <v>99176999</v>
      </c>
      <c r="E10489" s="560"/>
      <c r="F10489" s="560">
        <v>99177100</v>
      </c>
      <c r="G10489" s="560">
        <f t="shared" si="261"/>
        <v>-101</v>
      </c>
      <c r="H10489" s="362"/>
      <c r="I10489" s="362"/>
      <c r="J10489" s="362"/>
    </row>
    <row r="10490" spans="1:10" x14ac:dyDescent="0.25">
      <c r="A10490" s="362"/>
      <c r="B10490" s="609">
        <v>44823</v>
      </c>
      <c r="C10490" s="362" t="s">
        <v>3435</v>
      </c>
      <c r="D10490" s="560">
        <v>23042695</v>
      </c>
      <c r="E10490" s="560"/>
      <c r="F10490" s="560">
        <v>23042700</v>
      </c>
      <c r="G10490" s="560">
        <f t="shared" si="261"/>
        <v>-5</v>
      </c>
      <c r="H10490" s="362"/>
      <c r="I10490" s="362"/>
      <c r="J10490" s="362"/>
    </row>
    <row r="10491" spans="1:10" x14ac:dyDescent="0.25">
      <c r="A10491" s="362"/>
      <c r="B10491" s="609">
        <v>44823</v>
      </c>
      <c r="C10491" s="370" t="s">
        <v>85</v>
      </c>
      <c r="D10491" s="560">
        <v>53408200</v>
      </c>
      <c r="E10491" s="560"/>
      <c r="F10491" s="560">
        <v>53408200</v>
      </c>
      <c r="G10491" s="560">
        <f t="shared" si="261"/>
        <v>0</v>
      </c>
      <c r="H10491" s="362"/>
      <c r="I10491" s="362"/>
      <c r="J10491" s="362"/>
    </row>
    <row r="10492" spans="1:10" x14ac:dyDescent="0.25">
      <c r="A10492" s="362"/>
      <c r="B10492" s="609">
        <v>44823</v>
      </c>
      <c r="C10492" s="370" t="s">
        <v>6299</v>
      </c>
      <c r="D10492" s="560">
        <v>15252454</v>
      </c>
      <c r="E10492" s="560"/>
      <c r="F10492" s="560">
        <v>15252500</v>
      </c>
      <c r="G10492" s="560">
        <f t="shared" si="261"/>
        <v>-46</v>
      </c>
      <c r="H10492" s="362"/>
      <c r="I10492" s="362"/>
      <c r="J10492" s="362"/>
    </row>
    <row r="10493" spans="1:10" x14ac:dyDescent="0.25">
      <c r="A10493" s="530"/>
      <c r="B10493" s="530"/>
      <c r="C10493" s="530"/>
      <c r="D10493" s="562">
        <f>SUM(D10477:D10492)</f>
        <v>2587615225</v>
      </c>
      <c r="E10493" s="562">
        <f t="shared" ref="E10493:G10493" si="264">SUM(E10477:E10492)</f>
        <v>0</v>
      </c>
      <c r="F10493" s="562">
        <f t="shared" si="264"/>
        <v>2587614800</v>
      </c>
      <c r="G10493" s="562">
        <f t="shared" si="264"/>
        <v>425</v>
      </c>
      <c r="H10493" s="530"/>
      <c r="I10493" s="530"/>
      <c r="J10493" s="530"/>
    </row>
    <row r="10494" spans="1:10" x14ac:dyDescent="0.25">
      <c r="A10494" s="362"/>
      <c r="B10494" s="609">
        <v>44824</v>
      </c>
      <c r="C10494" s="362" t="s">
        <v>86</v>
      </c>
      <c r="D10494" s="560">
        <v>62100710</v>
      </c>
      <c r="E10494" s="560"/>
      <c r="F10494" s="560">
        <v>62100800</v>
      </c>
      <c r="G10494" s="560">
        <f t="shared" si="261"/>
        <v>-90</v>
      </c>
      <c r="H10494" s="362"/>
      <c r="I10494" s="362"/>
      <c r="J10494" s="362"/>
    </row>
    <row r="10495" spans="1:10" x14ac:dyDescent="0.25">
      <c r="A10495" s="362"/>
      <c r="B10495" s="609">
        <v>44824</v>
      </c>
      <c r="C10495" s="362" t="s">
        <v>87</v>
      </c>
      <c r="D10495" s="560">
        <v>162563757</v>
      </c>
      <c r="E10495" s="560"/>
      <c r="F10495" s="560">
        <v>162563900</v>
      </c>
      <c r="G10495" s="560">
        <f t="shared" si="261"/>
        <v>-143</v>
      </c>
      <c r="H10495" s="362"/>
      <c r="I10495" s="362"/>
      <c r="J10495" s="362"/>
    </row>
    <row r="10496" spans="1:10" x14ac:dyDescent="0.25">
      <c r="A10496" s="362"/>
      <c r="B10496" s="609">
        <v>44824</v>
      </c>
      <c r="C10496" s="362" t="s">
        <v>88</v>
      </c>
      <c r="D10496" s="560">
        <v>208406739</v>
      </c>
      <c r="E10496" s="560"/>
      <c r="F10496" s="560">
        <v>208406800</v>
      </c>
      <c r="G10496" s="560">
        <f t="shared" si="261"/>
        <v>-61</v>
      </c>
      <c r="H10496" s="362"/>
      <c r="I10496" s="362"/>
      <c r="J10496" s="362"/>
    </row>
    <row r="10497" spans="1:10" x14ac:dyDescent="0.25">
      <c r="A10497" s="362"/>
      <c r="B10497" s="609">
        <v>44824</v>
      </c>
      <c r="C10497" s="362" t="s">
        <v>82</v>
      </c>
      <c r="D10497" s="560">
        <v>67584517</v>
      </c>
      <c r="E10497" s="560"/>
      <c r="F10497" s="560">
        <v>67584600</v>
      </c>
      <c r="G10497" s="560">
        <f t="shared" si="261"/>
        <v>-83</v>
      </c>
      <c r="H10497" s="362"/>
      <c r="I10497" s="362"/>
      <c r="J10497" s="362"/>
    </row>
    <row r="10498" spans="1:10" x14ac:dyDescent="0.25">
      <c r="A10498" s="362"/>
      <c r="B10498" s="609">
        <v>44824</v>
      </c>
      <c r="C10498" s="362" t="s">
        <v>80</v>
      </c>
      <c r="D10498" s="560">
        <v>465608200</v>
      </c>
      <c r="E10498" s="560"/>
      <c r="F10498" s="560">
        <v>465608200</v>
      </c>
      <c r="G10498" s="560">
        <f t="shared" si="261"/>
        <v>0</v>
      </c>
      <c r="H10498" s="362"/>
      <c r="I10498" s="362"/>
      <c r="J10498" s="362"/>
    </row>
    <row r="10499" spans="1:10" x14ac:dyDescent="0.25">
      <c r="A10499" s="362"/>
      <c r="B10499" s="609">
        <v>44824</v>
      </c>
      <c r="C10499" s="362" t="s">
        <v>83</v>
      </c>
      <c r="D10499" s="560">
        <v>406057700</v>
      </c>
      <c r="E10499" s="560"/>
      <c r="F10499" s="560">
        <v>406057700</v>
      </c>
      <c r="G10499" s="560">
        <f t="shared" si="261"/>
        <v>0</v>
      </c>
      <c r="H10499" s="362"/>
      <c r="I10499" s="362"/>
      <c r="J10499" s="362"/>
    </row>
    <row r="10500" spans="1:10" x14ac:dyDescent="0.25">
      <c r="A10500" s="362"/>
      <c r="B10500" s="609">
        <v>44824</v>
      </c>
      <c r="C10500" s="362" t="s">
        <v>78</v>
      </c>
      <c r="D10500" s="560">
        <v>131719800</v>
      </c>
      <c r="E10500" s="560"/>
      <c r="F10500" s="560">
        <v>131719800</v>
      </c>
      <c r="G10500" s="560">
        <f t="shared" si="261"/>
        <v>0</v>
      </c>
      <c r="H10500" s="362"/>
      <c r="I10500" s="362"/>
      <c r="J10500" s="362"/>
    </row>
    <row r="10501" spans="1:10" x14ac:dyDescent="0.25">
      <c r="A10501" s="362"/>
      <c r="B10501" s="609">
        <v>44824</v>
      </c>
      <c r="C10501" s="362" t="s">
        <v>141</v>
      </c>
      <c r="D10501" s="560">
        <v>114993801</v>
      </c>
      <c r="E10501" s="560"/>
      <c r="F10501" s="560">
        <v>114993900</v>
      </c>
      <c r="G10501" s="560">
        <f t="shared" si="261"/>
        <v>-99</v>
      </c>
      <c r="H10501" s="362"/>
      <c r="I10501" s="362"/>
      <c r="J10501" s="362"/>
    </row>
    <row r="10502" spans="1:10" x14ac:dyDescent="0.25">
      <c r="A10502" s="362"/>
      <c r="B10502" s="609">
        <v>44824</v>
      </c>
      <c r="C10502" s="362" t="s">
        <v>89</v>
      </c>
      <c r="D10502" s="560">
        <v>164904600</v>
      </c>
      <c r="E10502" s="560"/>
      <c r="F10502" s="560">
        <v>164904700</v>
      </c>
      <c r="G10502" s="560">
        <f t="shared" si="261"/>
        <v>-100</v>
      </c>
      <c r="H10502" s="362"/>
      <c r="I10502" s="362"/>
      <c r="J10502" s="362"/>
    </row>
    <row r="10503" spans="1:10" x14ac:dyDescent="0.25">
      <c r="A10503" s="362"/>
      <c r="B10503" s="609">
        <v>44824</v>
      </c>
      <c r="C10503" s="362" t="s">
        <v>81</v>
      </c>
      <c r="D10503" s="560">
        <v>102884595</v>
      </c>
      <c r="E10503" s="560"/>
      <c r="F10503" s="560">
        <v>102884600</v>
      </c>
      <c r="G10503" s="560">
        <f t="shared" si="261"/>
        <v>-5</v>
      </c>
      <c r="H10503" s="362"/>
      <c r="I10503" s="362"/>
      <c r="J10503" s="362"/>
    </row>
    <row r="10504" spans="1:10" x14ac:dyDescent="0.25">
      <c r="A10504" s="362"/>
      <c r="B10504" s="609">
        <v>44824</v>
      </c>
      <c r="C10504" s="362" t="s">
        <v>84</v>
      </c>
      <c r="D10504" s="560">
        <v>262512552</v>
      </c>
      <c r="E10504" s="560"/>
      <c r="F10504" s="560">
        <v>262512900</v>
      </c>
      <c r="G10504" s="560">
        <f t="shared" si="261"/>
        <v>-348</v>
      </c>
      <c r="H10504" s="362"/>
      <c r="I10504" s="362"/>
      <c r="J10504" s="362"/>
    </row>
    <row r="10505" spans="1:10" x14ac:dyDescent="0.25">
      <c r="A10505" s="362"/>
      <c r="B10505" s="609">
        <v>44824</v>
      </c>
      <c r="C10505" s="362" t="s">
        <v>4751</v>
      </c>
      <c r="D10505" s="560">
        <v>256329800</v>
      </c>
      <c r="E10505" s="560"/>
      <c r="F10505" s="560">
        <v>256329800</v>
      </c>
      <c r="G10505" s="560">
        <f t="shared" si="261"/>
        <v>0</v>
      </c>
      <c r="H10505" s="362"/>
      <c r="I10505" s="362"/>
      <c r="J10505" s="362"/>
    </row>
    <row r="10506" spans="1:10" x14ac:dyDescent="0.25">
      <c r="A10506" s="362"/>
      <c r="B10506" s="609">
        <v>44824</v>
      </c>
      <c r="C10506" s="362" t="s">
        <v>6301</v>
      </c>
      <c r="D10506" s="560">
        <v>164577061</v>
      </c>
      <c r="E10506" s="560"/>
      <c r="F10506" s="560">
        <v>164577100</v>
      </c>
      <c r="G10506" s="560">
        <f t="shared" si="261"/>
        <v>-39</v>
      </c>
      <c r="H10506" s="362"/>
      <c r="I10506" s="362"/>
      <c r="J10506" s="362"/>
    </row>
    <row r="10507" spans="1:10" x14ac:dyDescent="0.25">
      <c r="A10507" s="362"/>
      <c r="B10507" s="609">
        <v>44824</v>
      </c>
      <c r="C10507" s="362" t="s">
        <v>3435</v>
      </c>
      <c r="D10507" s="560">
        <v>123617695</v>
      </c>
      <c r="E10507" s="560"/>
      <c r="F10507" s="560">
        <v>123617700</v>
      </c>
      <c r="G10507" s="560">
        <f t="shared" si="261"/>
        <v>-5</v>
      </c>
      <c r="H10507" s="362"/>
      <c r="I10507" s="362"/>
      <c r="J10507" s="362"/>
    </row>
    <row r="10508" spans="1:10" x14ac:dyDescent="0.25">
      <c r="A10508" s="362"/>
      <c r="B10508" s="609">
        <v>44824</v>
      </c>
      <c r="C10508" s="370" t="s">
        <v>85</v>
      </c>
      <c r="D10508" s="560">
        <v>49841000</v>
      </c>
      <c r="E10508" s="560"/>
      <c r="F10508" s="560">
        <v>49841000</v>
      </c>
      <c r="G10508" s="560">
        <f t="shared" si="261"/>
        <v>0</v>
      </c>
      <c r="H10508" s="362"/>
      <c r="I10508" s="362"/>
      <c r="J10508" s="362"/>
    </row>
    <row r="10509" spans="1:10" x14ac:dyDescent="0.25">
      <c r="A10509" s="362"/>
      <c r="B10509" s="609">
        <v>44824</v>
      </c>
      <c r="C10509" s="370" t="s">
        <v>6299</v>
      </c>
      <c r="D10509" s="560">
        <v>14116466</v>
      </c>
      <c r="E10509" s="560"/>
      <c r="F10509" s="560">
        <v>14116500</v>
      </c>
      <c r="G10509" s="560">
        <f t="shared" si="261"/>
        <v>-34</v>
      </c>
      <c r="H10509" s="362"/>
      <c r="I10509" s="362"/>
      <c r="J10509" s="362"/>
    </row>
    <row r="10510" spans="1:10" x14ac:dyDescent="0.25">
      <c r="A10510" s="530"/>
      <c r="B10510" s="530"/>
      <c r="C10510" s="530"/>
      <c r="D10510" s="562">
        <f>SUM(D10494:D10509)</f>
        <v>2757818993</v>
      </c>
      <c r="E10510" s="562">
        <f t="shared" ref="E10510:G10510" si="265">SUM(E10494:E10509)</f>
        <v>0</v>
      </c>
      <c r="F10510" s="562">
        <f t="shared" si="265"/>
        <v>2757820000</v>
      </c>
      <c r="G10510" s="562">
        <f t="shared" si="265"/>
        <v>-1007</v>
      </c>
      <c r="H10510" s="530"/>
      <c r="I10510" s="530"/>
      <c r="J10510" s="530"/>
    </row>
    <row r="10511" spans="1:10" x14ac:dyDescent="0.25">
      <c r="A10511" s="362"/>
      <c r="B10511" s="609">
        <v>44825</v>
      </c>
      <c r="C10511" s="362" t="s">
        <v>86</v>
      </c>
      <c r="D10511" s="560">
        <v>47918462</v>
      </c>
      <c r="E10511" s="560"/>
      <c r="F10511" s="560">
        <v>47918500</v>
      </c>
      <c r="G10511" s="560">
        <f t="shared" si="261"/>
        <v>-38</v>
      </c>
      <c r="H10511" s="362"/>
      <c r="I10511" s="362"/>
      <c r="J10511" s="362"/>
    </row>
    <row r="10512" spans="1:10" x14ac:dyDescent="0.25">
      <c r="A10512" s="362"/>
      <c r="B10512" s="609">
        <v>44825</v>
      </c>
      <c r="C10512" s="362" t="s">
        <v>87</v>
      </c>
      <c r="D10512" s="560">
        <v>144492522</v>
      </c>
      <c r="E10512" s="560"/>
      <c r="F10512" s="560">
        <v>144492600</v>
      </c>
      <c r="G10512" s="560">
        <f t="shared" si="261"/>
        <v>-78</v>
      </c>
      <c r="H10512" s="362"/>
      <c r="I10512" s="362"/>
      <c r="J10512" s="362"/>
    </row>
    <row r="10513" spans="1:10" x14ac:dyDescent="0.25">
      <c r="A10513" s="362"/>
      <c r="B10513" s="609">
        <v>44825</v>
      </c>
      <c r="C10513" s="362" t="s">
        <v>88</v>
      </c>
      <c r="D10513" s="560">
        <v>161101551</v>
      </c>
      <c r="E10513" s="560"/>
      <c r="F10513" s="560">
        <v>161101600</v>
      </c>
      <c r="G10513" s="560">
        <f t="shared" si="261"/>
        <v>-49</v>
      </c>
      <c r="H10513" s="362"/>
      <c r="I10513" s="362"/>
      <c r="J10513" s="362"/>
    </row>
    <row r="10514" spans="1:10" x14ac:dyDescent="0.25">
      <c r="A10514" s="362"/>
      <c r="B10514" s="609">
        <v>44825</v>
      </c>
      <c r="C10514" s="362" t="s">
        <v>82</v>
      </c>
      <c r="D10514" s="560">
        <v>88049281</v>
      </c>
      <c r="E10514" s="560"/>
      <c r="F10514" s="560">
        <v>88049400</v>
      </c>
      <c r="G10514" s="560">
        <f t="shared" si="261"/>
        <v>-119</v>
      </c>
      <c r="H10514" s="362"/>
      <c r="I10514" s="362"/>
      <c r="J10514" s="362"/>
    </row>
    <row r="10515" spans="1:10" x14ac:dyDescent="0.25">
      <c r="A10515" s="362"/>
      <c r="B10515" s="609">
        <v>44825</v>
      </c>
      <c r="C10515" s="362" t="s">
        <v>80</v>
      </c>
      <c r="D10515" s="560">
        <v>349761500</v>
      </c>
      <c r="E10515" s="560"/>
      <c r="F10515" s="560">
        <v>349761500</v>
      </c>
      <c r="G10515" s="560">
        <f t="shared" si="261"/>
        <v>0</v>
      </c>
      <c r="H10515" s="362"/>
      <c r="I10515" s="362"/>
      <c r="J10515" s="362"/>
    </row>
    <row r="10516" spans="1:10" x14ac:dyDescent="0.25">
      <c r="A10516" s="362"/>
      <c r="B10516" s="609">
        <v>44825</v>
      </c>
      <c r="C10516" s="362" t="s">
        <v>83</v>
      </c>
      <c r="D10516" s="560">
        <v>148594000</v>
      </c>
      <c r="E10516" s="560"/>
      <c r="F10516" s="560">
        <v>148594000</v>
      </c>
      <c r="G10516" s="560">
        <f t="shared" si="261"/>
        <v>0</v>
      </c>
      <c r="H10516" s="362"/>
      <c r="I10516" s="362"/>
      <c r="J10516" s="362"/>
    </row>
    <row r="10517" spans="1:10" x14ac:dyDescent="0.25">
      <c r="A10517" s="362"/>
      <c r="B10517" s="609">
        <v>44825</v>
      </c>
      <c r="C10517" s="362" t="s">
        <v>78</v>
      </c>
      <c r="D10517" s="560">
        <v>174010000</v>
      </c>
      <c r="E10517" s="560"/>
      <c r="F10517" s="560">
        <v>173960000</v>
      </c>
      <c r="G10517" s="560">
        <f t="shared" si="261"/>
        <v>50000</v>
      </c>
      <c r="H10517" s="362"/>
      <c r="I10517" s="362"/>
      <c r="J10517" s="362"/>
    </row>
    <row r="10518" spans="1:10" x14ac:dyDescent="0.25">
      <c r="A10518" s="362"/>
      <c r="B10518" s="609">
        <v>44825</v>
      </c>
      <c r="C10518" s="362" t="s">
        <v>141</v>
      </c>
      <c r="D10518" s="560">
        <v>172140961</v>
      </c>
      <c r="E10518" s="560"/>
      <c r="F10518" s="560">
        <v>172141000</v>
      </c>
      <c r="G10518" s="560">
        <f t="shared" si="261"/>
        <v>-39</v>
      </c>
      <c r="H10518" s="362"/>
      <c r="I10518" s="362"/>
      <c r="J10518" s="362"/>
    </row>
    <row r="10519" spans="1:10" x14ac:dyDescent="0.25">
      <c r="A10519" s="362"/>
      <c r="B10519" s="609">
        <v>44825</v>
      </c>
      <c r="C10519" s="362" t="s">
        <v>89</v>
      </c>
      <c r="D10519" s="560">
        <v>174089200</v>
      </c>
      <c r="E10519" s="560"/>
      <c r="F10519" s="560">
        <v>174089200</v>
      </c>
      <c r="G10519" s="560">
        <f t="shared" si="261"/>
        <v>0</v>
      </c>
      <c r="H10519" s="362"/>
      <c r="I10519" s="362"/>
      <c r="J10519" s="362"/>
    </row>
    <row r="10520" spans="1:10" x14ac:dyDescent="0.25">
      <c r="A10520" s="362"/>
      <c r="B10520" s="609">
        <v>44825</v>
      </c>
      <c r="C10520" s="362" t="s">
        <v>81</v>
      </c>
      <c r="D10520" s="560">
        <v>130062701</v>
      </c>
      <c r="E10520" s="560"/>
      <c r="F10520" s="560">
        <v>130062700</v>
      </c>
      <c r="G10520" s="560">
        <f t="shared" si="261"/>
        <v>1</v>
      </c>
      <c r="H10520" s="362"/>
      <c r="I10520" s="362"/>
      <c r="J10520" s="362"/>
    </row>
    <row r="10521" spans="1:10" x14ac:dyDescent="0.25">
      <c r="A10521" s="362"/>
      <c r="B10521" s="609">
        <v>44825</v>
      </c>
      <c r="C10521" s="362" t="s">
        <v>84</v>
      </c>
      <c r="D10521" s="560">
        <v>321896467</v>
      </c>
      <c r="E10521" s="560"/>
      <c r="F10521" s="560">
        <v>321895900</v>
      </c>
      <c r="G10521" s="560">
        <f t="shared" ref="G10521:G10584" si="266">D10521-F10521</f>
        <v>567</v>
      </c>
      <c r="H10521" s="362"/>
      <c r="I10521" s="362"/>
      <c r="J10521" s="362"/>
    </row>
    <row r="10522" spans="1:10" x14ac:dyDescent="0.25">
      <c r="A10522" s="362"/>
      <c r="B10522" s="609">
        <v>44825</v>
      </c>
      <c r="C10522" s="362" t="s">
        <v>4751</v>
      </c>
      <c r="D10522" s="560">
        <v>194892100</v>
      </c>
      <c r="E10522" s="560"/>
      <c r="F10522" s="560">
        <v>194892100</v>
      </c>
      <c r="G10522" s="560">
        <f t="shared" si="266"/>
        <v>0</v>
      </c>
      <c r="H10522" s="362"/>
      <c r="I10522" s="362"/>
      <c r="J10522" s="362"/>
    </row>
    <row r="10523" spans="1:10" x14ac:dyDescent="0.25">
      <c r="A10523" s="362"/>
      <c r="B10523" s="609">
        <v>44825</v>
      </c>
      <c r="C10523" s="362" t="s">
        <v>6301</v>
      </c>
      <c r="D10523" s="560">
        <v>67801807</v>
      </c>
      <c r="E10523" s="560"/>
      <c r="F10523" s="560">
        <v>67801900</v>
      </c>
      <c r="G10523" s="560">
        <f t="shared" si="266"/>
        <v>-93</v>
      </c>
      <c r="H10523" s="362"/>
      <c r="I10523" s="362"/>
      <c r="J10523" s="362"/>
    </row>
    <row r="10524" spans="1:10" x14ac:dyDescent="0.25">
      <c r="A10524" s="362"/>
      <c r="B10524" s="609">
        <v>44825</v>
      </c>
      <c r="C10524" s="362" t="s">
        <v>3435</v>
      </c>
      <c r="D10524" s="560">
        <v>43798325</v>
      </c>
      <c r="E10524" s="560"/>
      <c r="F10524" s="560">
        <v>43798400</v>
      </c>
      <c r="G10524" s="560">
        <f t="shared" si="266"/>
        <v>-75</v>
      </c>
      <c r="H10524" s="362"/>
      <c r="I10524" s="362"/>
      <c r="J10524" s="362"/>
    </row>
    <row r="10525" spans="1:10" x14ac:dyDescent="0.25">
      <c r="A10525" s="362"/>
      <c r="B10525" s="609">
        <v>44825</v>
      </c>
      <c r="C10525" s="370" t="s">
        <v>85</v>
      </c>
      <c r="D10525" s="560">
        <v>52944900</v>
      </c>
      <c r="E10525" s="560"/>
      <c r="F10525" s="560">
        <v>52944900</v>
      </c>
      <c r="G10525" s="560">
        <f t="shared" si="266"/>
        <v>0</v>
      </c>
      <c r="H10525" s="362"/>
      <c r="I10525" s="362"/>
      <c r="J10525" s="362"/>
    </row>
    <row r="10526" spans="1:10" x14ac:dyDescent="0.25">
      <c r="A10526" s="362"/>
      <c r="B10526" s="609">
        <v>44825</v>
      </c>
      <c r="C10526" s="370" t="s">
        <v>6299</v>
      </c>
      <c r="D10526" s="560">
        <v>230316177</v>
      </c>
      <c r="E10526" s="560"/>
      <c r="F10526" s="560">
        <v>230316300</v>
      </c>
      <c r="G10526" s="560">
        <f t="shared" si="266"/>
        <v>-123</v>
      </c>
      <c r="H10526" s="362"/>
      <c r="I10526" s="362"/>
      <c r="J10526" s="362"/>
    </row>
    <row r="10527" spans="1:10" x14ac:dyDescent="0.25">
      <c r="A10527" s="530"/>
      <c r="B10527" s="530"/>
      <c r="C10527" s="530"/>
      <c r="D10527" s="562">
        <f>SUM(D10511:D10526)</f>
        <v>2501869954</v>
      </c>
      <c r="E10527" s="562">
        <f t="shared" ref="E10527:G10527" si="267">SUM(E10511:E10526)</f>
        <v>0</v>
      </c>
      <c r="F10527" s="562">
        <f t="shared" si="267"/>
        <v>2501820000</v>
      </c>
      <c r="G10527" s="562">
        <f t="shared" si="267"/>
        <v>49954</v>
      </c>
      <c r="H10527" s="530"/>
      <c r="I10527" s="530"/>
      <c r="J10527" s="530"/>
    </row>
    <row r="10528" spans="1:10" x14ac:dyDescent="0.25">
      <c r="A10528" s="362"/>
      <c r="B10528" s="609">
        <v>44826</v>
      </c>
      <c r="C10528" s="362" t="s">
        <v>86</v>
      </c>
      <c r="D10528" s="560">
        <v>64189286</v>
      </c>
      <c r="E10528" s="560"/>
      <c r="F10528" s="560">
        <v>64189300</v>
      </c>
      <c r="G10528" s="560">
        <f t="shared" si="266"/>
        <v>-14</v>
      </c>
      <c r="H10528" s="362"/>
      <c r="I10528" s="362"/>
      <c r="J10528" s="362"/>
    </row>
    <row r="10529" spans="1:10" x14ac:dyDescent="0.25">
      <c r="A10529" s="362"/>
      <c r="B10529" s="609">
        <v>44826</v>
      </c>
      <c r="C10529" s="362" t="s">
        <v>87</v>
      </c>
      <c r="D10529" s="560">
        <v>183022033</v>
      </c>
      <c r="E10529" s="560"/>
      <c r="F10529" s="560">
        <v>183022100</v>
      </c>
      <c r="G10529" s="560">
        <f t="shared" si="266"/>
        <v>-67</v>
      </c>
      <c r="H10529" s="362"/>
      <c r="I10529" s="362"/>
      <c r="J10529" s="362"/>
    </row>
    <row r="10530" spans="1:10" x14ac:dyDescent="0.25">
      <c r="A10530" s="362"/>
      <c r="B10530" s="609">
        <v>44826</v>
      </c>
      <c r="C10530" s="362" t="s">
        <v>88</v>
      </c>
      <c r="D10530" s="560">
        <v>193211295</v>
      </c>
      <c r="E10530" s="560"/>
      <c r="F10530" s="560">
        <v>193211400</v>
      </c>
      <c r="G10530" s="560">
        <f t="shared" si="266"/>
        <v>-105</v>
      </c>
      <c r="H10530" s="362"/>
      <c r="I10530" s="362"/>
      <c r="J10530" s="362"/>
    </row>
    <row r="10531" spans="1:10" x14ac:dyDescent="0.25">
      <c r="A10531" s="362"/>
      <c r="B10531" s="609">
        <v>44826</v>
      </c>
      <c r="C10531" s="362" t="s">
        <v>82</v>
      </c>
      <c r="D10531" s="560">
        <v>154135634</v>
      </c>
      <c r="E10531" s="560"/>
      <c r="F10531" s="560">
        <v>154135700</v>
      </c>
      <c r="G10531" s="560">
        <f t="shared" si="266"/>
        <v>-66</v>
      </c>
      <c r="H10531" s="362"/>
      <c r="I10531" s="362"/>
      <c r="J10531" s="362"/>
    </row>
    <row r="10532" spans="1:10" x14ac:dyDescent="0.25">
      <c r="A10532" s="362"/>
      <c r="B10532" s="609">
        <v>44826</v>
      </c>
      <c r="C10532" s="362" t="s">
        <v>80</v>
      </c>
      <c r="D10532" s="560">
        <v>323456400</v>
      </c>
      <c r="E10532" s="560"/>
      <c r="F10532" s="560">
        <v>323456400</v>
      </c>
      <c r="G10532" s="560">
        <f t="shared" si="266"/>
        <v>0</v>
      </c>
      <c r="H10532" s="362"/>
      <c r="I10532" s="362"/>
      <c r="J10532" s="362"/>
    </row>
    <row r="10533" spans="1:10" x14ac:dyDescent="0.25">
      <c r="A10533" s="362"/>
      <c r="B10533" s="609">
        <v>44826</v>
      </c>
      <c r="C10533" s="362" t="s">
        <v>83</v>
      </c>
      <c r="D10533" s="560">
        <v>150237646</v>
      </c>
      <c r="E10533" s="560"/>
      <c r="F10533" s="560">
        <v>150237700</v>
      </c>
      <c r="G10533" s="560">
        <f t="shared" si="266"/>
        <v>-54</v>
      </c>
      <c r="H10533" s="362"/>
      <c r="I10533" s="362"/>
      <c r="J10533" s="362"/>
    </row>
    <row r="10534" spans="1:10" x14ac:dyDescent="0.25">
      <c r="A10534" s="362"/>
      <c r="B10534" s="609">
        <v>44826</v>
      </c>
      <c r="C10534" s="362" t="s">
        <v>78</v>
      </c>
      <c r="D10534" s="560">
        <v>147508600</v>
      </c>
      <c r="E10534" s="560"/>
      <c r="F10534" s="560">
        <v>147508600</v>
      </c>
      <c r="G10534" s="560">
        <f t="shared" si="266"/>
        <v>0</v>
      </c>
      <c r="H10534" s="362"/>
      <c r="I10534" s="362"/>
      <c r="J10534" s="362"/>
    </row>
    <row r="10535" spans="1:10" x14ac:dyDescent="0.25">
      <c r="A10535" s="362"/>
      <c r="B10535" s="609">
        <v>44826</v>
      </c>
      <c r="C10535" s="362" t="s">
        <v>141</v>
      </c>
      <c r="D10535" s="560">
        <v>125939610</v>
      </c>
      <c r="E10535" s="560"/>
      <c r="F10535" s="560">
        <v>125939700</v>
      </c>
      <c r="G10535" s="560">
        <f t="shared" si="266"/>
        <v>-90</v>
      </c>
      <c r="H10535" s="362"/>
      <c r="I10535" s="362"/>
      <c r="J10535" s="362"/>
    </row>
    <row r="10536" spans="1:10" x14ac:dyDescent="0.25">
      <c r="A10536" s="362"/>
      <c r="B10536" s="609">
        <v>44826</v>
      </c>
      <c r="C10536" s="362" t="s">
        <v>89</v>
      </c>
      <c r="D10536" s="560">
        <v>196075700</v>
      </c>
      <c r="E10536" s="560"/>
      <c r="F10536" s="560">
        <v>196075700</v>
      </c>
      <c r="G10536" s="560">
        <f t="shared" si="266"/>
        <v>0</v>
      </c>
      <c r="H10536" s="362"/>
      <c r="I10536" s="362"/>
      <c r="J10536" s="362"/>
    </row>
    <row r="10537" spans="1:10" x14ac:dyDescent="0.25">
      <c r="A10537" s="362"/>
      <c r="B10537" s="609">
        <v>44826</v>
      </c>
      <c r="C10537" s="362" t="s">
        <v>81</v>
      </c>
      <c r="D10537" s="560">
        <v>184555120</v>
      </c>
      <c r="E10537" s="560"/>
      <c r="F10537" s="560">
        <v>184555200</v>
      </c>
      <c r="G10537" s="560">
        <f t="shared" si="266"/>
        <v>-80</v>
      </c>
      <c r="H10537" s="362"/>
      <c r="I10537" s="362"/>
      <c r="J10537" s="362"/>
    </row>
    <row r="10538" spans="1:10" x14ac:dyDescent="0.25">
      <c r="A10538" s="362"/>
      <c r="B10538" s="609">
        <v>44826</v>
      </c>
      <c r="C10538" s="362" t="s">
        <v>84</v>
      </c>
      <c r="D10538" s="560">
        <v>286115471</v>
      </c>
      <c r="E10538" s="560"/>
      <c r="F10538" s="560">
        <v>286115400</v>
      </c>
      <c r="G10538" s="560">
        <f t="shared" si="266"/>
        <v>71</v>
      </c>
      <c r="H10538" s="362"/>
      <c r="I10538" s="362"/>
      <c r="J10538" s="362"/>
    </row>
    <row r="10539" spans="1:10" x14ac:dyDescent="0.25">
      <c r="A10539" s="362"/>
      <c r="B10539" s="609">
        <v>44826</v>
      </c>
      <c r="C10539" s="362" t="s">
        <v>4751</v>
      </c>
      <c r="D10539" s="560">
        <v>322216100</v>
      </c>
      <c r="E10539" s="560"/>
      <c r="F10539" s="560">
        <v>322216100</v>
      </c>
      <c r="G10539" s="560">
        <f t="shared" si="266"/>
        <v>0</v>
      </c>
      <c r="H10539" s="362"/>
      <c r="I10539" s="362"/>
      <c r="J10539" s="362"/>
    </row>
    <row r="10540" spans="1:10" x14ac:dyDescent="0.25">
      <c r="A10540" s="362"/>
      <c r="B10540" s="609">
        <v>44826</v>
      </c>
      <c r="C10540" s="362" t="s">
        <v>6301</v>
      </c>
      <c r="D10540" s="560">
        <v>150708692</v>
      </c>
      <c r="E10540" s="560"/>
      <c r="F10540" s="560">
        <v>150708700</v>
      </c>
      <c r="G10540" s="560">
        <f t="shared" si="266"/>
        <v>-8</v>
      </c>
      <c r="H10540" s="362"/>
      <c r="I10540" s="362"/>
      <c r="J10540" s="362"/>
    </row>
    <row r="10541" spans="1:10" x14ac:dyDescent="0.25">
      <c r="A10541" s="362"/>
      <c r="B10541" s="609">
        <v>44826</v>
      </c>
      <c r="C10541" s="362" t="s">
        <v>3435</v>
      </c>
      <c r="D10541" s="560">
        <v>88109220</v>
      </c>
      <c r="E10541" s="560"/>
      <c r="F10541" s="560">
        <v>88109300</v>
      </c>
      <c r="G10541" s="560">
        <f t="shared" si="266"/>
        <v>-80</v>
      </c>
      <c r="H10541" s="362"/>
      <c r="I10541" s="362"/>
      <c r="J10541" s="362"/>
    </row>
    <row r="10542" spans="1:10" x14ac:dyDescent="0.25">
      <c r="A10542" s="362"/>
      <c r="B10542" s="609">
        <v>44826</v>
      </c>
      <c r="C10542" s="370" t="s">
        <v>85</v>
      </c>
      <c r="D10542" s="560">
        <v>37945900</v>
      </c>
      <c r="E10542" s="560"/>
      <c r="F10542" s="560">
        <v>37945900</v>
      </c>
      <c r="G10542" s="560">
        <f t="shared" si="266"/>
        <v>0</v>
      </c>
      <c r="H10542" s="362"/>
      <c r="I10542" s="362"/>
      <c r="J10542" s="362"/>
    </row>
    <row r="10543" spans="1:10" x14ac:dyDescent="0.25">
      <c r="A10543" s="362"/>
      <c r="B10543" s="609">
        <v>44826</v>
      </c>
      <c r="C10543" s="370" t="s">
        <v>6299</v>
      </c>
      <c r="D10543" s="560">
        <v>82695315</v>
      </c>
      <c r="E10543" s="560"/>
      <c r="F10543" s="560">
        <v>82695400</v>
      </c>
      <c r="G10543" s="560">
        <f t="shared" si="266"/>
        <v>-85</v>
      </c>
      <c r="H10543" s="362"/>
      <c r="I10543" s="362"/>
      <c r="J10543" s="362"/>
    </row>
    <row r="10544" spans="1:10" x14ac:dyDescent="0.25">
      <c r="A10544" s="530"/>
      <c r="B10544" s="530"/>
      <c r="C10544" s="530"/>
      <c r="D10544" s="562">
        <f>SUM(D10528:D10543)</f>
        <v>2690122022</v>
      </c>
      <c r="E10544" s="562">
        <f t="shared" ref="E10544:G10544" si="268">SUM(E10528:E10543)</f>
        <v>0</v>
      </c>
      <c r="F10544" s="562">
        <f t="shared" si="268"/>
        <v>2690122600</v>
      </c>
      <c r="G10544" s="562">
        <f t="shared" si="268"/>
        <v>-578</v>
      </c>
      <c r="H10544" s="530"/>
      <c r="I10544" s="530"/>
      <c r="J10544" s="530"/>
    </row>
    <row r="10545" spans="1:10" x14ac:dyDescent="0.25">
      <c r="A10545" s="362"/>
      <c r="B10545" s="609">
        <v>44827</v>
      </c>
      <c r="C10545" s="362" t="s">
        <v>86</v>
      </c>
      <c r="D10545" s="560">
        <v>67241278</v>
      </c>
      <c r="E10545" s="560"/>
      <c r="F10545" s="1429">
        <v>67241300</v>
      </c>
      <c r="G10545" s="560">
        <f t="shared" si="266"/>
        <v>-22</v>
      </c>
      <c r="H10545" s="362"/>
      <c r="I10545" s="362"/>
      <c r="J10545" s="362"/>
    </row>
    <row r="10546" spans="1:10" x14ac:dyDescent="0.25">
      <c r="A10546" s="362"/>
      <c r="B10546" s="609">
        <v>44827</v>
      </c>
      <c r="C10546" s="362" t="s">
        <v>87</v>
      </c>
      <c r="D10546" s="560">
        <v>136837157</v>
      </c>
      <c r="E10546" s="560"/>
      <c r="F10546" s="1429">
        <v>136837200</v>
      </c>
      <c r="G10546" s="560">
        <f t="shared" si="266"/>
        <v>-43</v>
      </c>
      <c r="H10546" s="362"/>
      <c r="I10546" s="362"/>
      <c r="J10546" s="362"/>
    </row>
    <row r="10547" spans="1:10" x14ac:dyDescent="0.25">
      <c r="A10547" s="362"/>
      <c r="B10547" s="609">
        <v>44827</v>
      </c>
      <c r="C10547" s="362" t="s">
        <v>88</v>
      </c>
      <c r="D10547" s="560">
        <v>165546039</v>
      </c>
      <c r="E10547" s="560"/>
      <c r="F10547" s="1429">
        <v>165546199</v>
      </c>
      <c r="G10547" s="560">
        <f t="shared" si="266"/>
        <v>-160</v>
      </c>
      <c r="H10547" s="362"/>
      <c r="I10547" s="362"/>
      <c r="J10547" s="362"/>
    </row>
    <row r="10548" spans="1:10" x14ac:dyDescent="0.25">
      <c r="A10548" s="362"/>
      <c r="B10548" s="609">
        <v>44827</v>
      </c>
      <c r="C10548" s="362" t="s">
        <v>82</v>
      </c>
      <c r="D10548" s="560">
        <v>121632386</v>
      </c>
      <c r="E10548" s="560"/>
      <c r="F10548" s="1429">
        <v>121632600</v>
      </c>
      <c r="G10548" s="560">
        <f t="shared" si="266"/>
        <v>-214</v>
      </c>
      <c r="H10548" s="362"/>
      <c r="I10548" s="362"/>
      <c r="J10548" s="362"/>
    </row>
    <row r="10549" spans="1:10" x14ac:dyDescent="0.25">
      <c r="A10549" s="362"/>
      <c r="B10549" s="609">
        <v>44827</v>
      </c>
      <c r="C10549" s="362" t="s">
        <v>80</v>
      </c>
      <c r="D10549" s="560">
        <v>170008482</v>
      </c>
      <c r="E10549" s="560"/>
      <c r="F10549" s="1429">
        <v>170008600</v>
      </c>
      <c r="G10549" s="560">
        <f t="shared" si="266"/>
        <v>-118</v>
      </c>
      <c r="H10549" s="362"/>
      <c r="I10549" s="362"/>
      <c r="J10549" s="362"/>
    </row>
    <row r="10550" spans="1:10" x14ac:dyDescent="0.25">
      <c r="A10550" s="362"/>
      <c r="B10550" s="609">
        <v>44827</v>
      </c>
      <c r="C10550" s="362" t="s">
        <v>83</v>
      </c>
      <c r="D10550" s="560">
        <v>343990300</v>
      </c>
      <c r="E10550" s="560"/>
      <c r="F10550" s="1429">
        <v>343990300</v>
      </c>
      <c r="G10550" s="560">
        <f t="shared" si="266"/>
        <v>0</v>
      </c>
      <c r="H10550" s="362"/>
      <c r="I10550" s="362"/>
      <c r="J10550" s="362"/>
    </row>
    <row r="10551" spans="1:10" x14ac:dyDescent="0.25">
      <c r="A10551" s="362"/>
      <c r="B10551" s="609">
        <v>44827</v>
      </c>
      <c r="C10551" s="362" t="s">
        <v>78</v>
      </c>
      <c r="D10551" s="560">
        <v>107583700</v>
      </c>
      <c r="E10551" s="560"/>
      <c r="F10551" s="1429">
        <v>107583700</v>
      </c>
      <c r="G10551" s="560">
        <f t="shared" si="266"/>
        <v>0</v>
      </c>
      <c r="H10551" s="362"/>
      <c r="I10551" s="362"/>
      <c r="J10551" s="362"/>
    </row>
    <row r="10552" spans="1:10" x14ac:dyDescent="0.25">
      <c r="A10552" s="362"/>
      <c r="B10552" s="609">
        <v>44827</v>
      </c>
      <c r="C10552" s="362" t="s">
        <v>141</v>
      </c>
      <c r="D10552" s="560">
        <v>104435679</v>
      </c>
      <c r="E10552" s="560"/>
      <c r="F10552" s="1429">
        <v>104435700</v>
      </c>
      <c r="G10552" s="560">
        <f t="shared" si="266"/>
        <v>-21</v>
      </c>
      <c r="H10552" s="362"/>
      <c r="I10552" s="362"/>
      <c r="J10552" s="362"/>
    </row>
    <row r="10553" spans="1:10" x14ac:dyDescent="0.25">
      <c r="A10553" s="362"/>
      <c r="B10553" s="609">
        <v>44827</v>
      </c>
      <c r="C10553" s="362" t="s">
        <v>89</v>
      </c>
      <c r="D10553" s="560">
        <v>178969300</v>
      </c>
      <c r="E10553" s="560"/>
      <c r="F10553" s="1429">
        <v>178969300</v>
      </c>
      <c r="G10553" s="560">
        <f t="shared" si="266"/>
        <v>0</v>
      </c>
      <c r="H10553" s="362"/>
      <c r="I10553" s="362"/>
      <c r="J10553" s="362"/>
    </row>
    <row r="10554" spans="1:10" x14ac:dyDescent="0.25">
      <c r="A10554" s="362"/>
      <c r="B10554" s="609">
        <v>44827</v>
      </c>
      <c r="C10554" s="362" t="s">
        <v>81</v>
      </c>
      <c r="D10554" s="560">
        <v>95962500</v>
      </c>
      <c r="E10554" s="560"/>
      <c r="F10554" s="1429">
        <v>95962500</v>
      </c>
      <c r="G10554" s="560">
        <f t="shared" si="266"/>
        <v>0</v>
      </c>
      <c r="H10554" s="362"/>
      <c r="I10554" s="362"/>
      <c r="J10554" s="362"/>
    </row>
    <row r="10555" spans="1:10" x14ac:dyDescent="0.25">
      <c r="A10555" s="362"/>
      <c r="B10555" s="609">
        <v>44827</v>
      </c>
      <c r="C10555" s="362" t="s">
        <v>84</v>
      </c>
      <c r="D10555" s="560">
        <v>323288057</v>
      </c>
      <c r="E10555" s="560"/>
      <c r="F10555" s="1429">
        <v>323288400</v>
      </c>
      <c r="G10555" s="560">
        <f t="shared" si="266"/>
        <v>-343</v>
      </c>
      <c r="H10555" s="362"/>
      <c r="I10555" s="362"/>
      <c r="J10555" s="362"/>
    </row>
    <row r="10556" spans="1:10" x14ac:dyDescent="0.25">
      <c r="A10556" s="362"/>
      <c r="B10556" s="609">
        <v>44827</v>
      </c>
      <c r="C10556" s="362" t="s">
        <v>4751</v>
      </c>
      <c r="D10556" s="560">
        <v>187573100</v>
      </c>
      <c r="E10556" s="560"/>
      <c r="F10556" s="1429">
        <v>187573100</v>
      </c>
      <c r="G10556" s="560">
        <f t="shared" si="266"/>
        <v>0</v>
      </c>
      <c r="H10556" s="362"/>
      <c r="I10556" s="362"/>
      <c r="J10556" s="362"/>
    </row>
    <row r="10557" spans="1:10" x14ac:dyDescent="0.25">
      <c r="A10557" s="362"/>
      <c r="B10557" s="609">
        <v>44827</v>
      </c>
      <c r="C10557" s="362" t="s">
        <v>6301</v>
      </c>
      <c r="D10557" s="560">
        <v>33877568</v>
      </c>
      <c r="E10557" s="560"/>
      <c r="F10557" s="1429">
        <v>33877700</v>
      </c>
      <c r="G10557" s="560">
        <f t="shared" si="266"/>
        <v>-132</v>
      </c>
      <c r="H10557" s="362"/>
      <c r="I10557" s="362"/>
      <c r="J10557" s="362"/>
    </row>
    <row r="10558" spans="1:10" x14ac:dyDescent="0.25">
      <c r="A10558" s="362"/>
      <c r="B10558" s="609">
        <v>44827</v>
      </c>
      <c r="C10558" s="362" t="s">
        <v>3435</v>
      </c>
      <c r="D10558" s="560">
        <v>20559288</v>
      </c>
      <c r="E10558" s="560"/>
      <c r="F10558" s="1429">
        <v>20559300</v>
      </c>
      <c r="G10558" s="560">
        <f t="shared" si="266"/>
        <v>-12</v>
      </c>
      <c r="H10558" s="362"/>
      <c r="I10558" s="362"/>
      <c r="J10558" s="362"/>
    </row>
    <row r="10559" spans="1:10" x14ac:dyDescent="0.25">
      <c r="A10559" s="362"/>
      <c r="B10559" s="609">
        <v>44827</v>
      </c>
      <c r="C10559" s="370" t="s">
        <v>85</v>
      </c>
      <c r="D10559" s="560">
        <v>41846000</v>
      </c>
      <c r="E10559" s="560"/>
      <c r="F10559" s="1429">
        <v>41846000</v>
      </c>
      <c r="G10559" s="560">
        <f t="shared" si="266"/>
        <v>0</v>
      </c>
      <c r="H10559" s="362"/>
      <c r="I10559" s="362"/>
      <c r="J10559" s="362"/>
    </row>
    <row r="10560" spans="1:10" x14ac:dyDescent="0.25">
      <c r="A10560" s="362"/>
      <c r="B10560" s="609">
        <v>44827</v>
      </c>
      <c r="C10560" s="370" t="s">
        <v>6299</v>
      </c>
      <c r="D10560" s="560">
        <v>67764469</v>
      </c>
      <c r="E10560" s="560"/>
      <c r="F10560" s="1429">
        <v>67764600</v>
      </c>
      <c r="G10560" s="560">
        <f t="shared" si="266"/>
        <v>-131</v>
      </c>
      <c r="H10560" s="362"/>
      <c r="I10560" s="362"/>
      <c r="J10560" s="362"/>
    </row>
    <row r="10561" spans="1:10" x14ac:dyDescent="0.25">
      <c r="A10561" s="530"/>
      <c r="B10561" s="530"/>
      <c r="C10561" s="530"/>
      <c r="D10561" s="562">
        <f>SUM(D10545:D10560)</f>
        <v>2167115303</v>
      </c>
      <c r="E10561" s="562">
        <f t="shared" ref="E10561:G10561" si="269">SUM(E10545:E10560)</f>
        <v>0</v>
      </c>
      <c r="F10561" s="562">
        <f t="shared" si="269"/>
        <v>2167116499</v>
      </c>
      <c r="G10561" s="562">
        <f t="shared" si="269"/>
        <v>-1196</v>
      </c>
      <c r="H10561" s="530"/>
      <c r="I10561" s="530"/>
      <c r="J10561" s="530"/>
    </row>
    <row r="10562" spans="1:10" x14ac:dyDescent="0.25">
      <c r="A10562" s="362"/>
      <c r="B10562" s="609">
        <v>44828</v>
      </c>
      <c r="C10562" s="362" t="s">
        <v>86</v>
      </c>
      <c r="D10562" s="560">
        <v>172946900</v>
      </c>
      <c r="E10562" s="560"/>
      <c r="F10562" s="1429">
        <v>172946900</v>
      </c>
      <c r="G10562" s="560">
        <f t="shared" si="266"/>
        <v>0</v>
      </c>
      <c r="H10562" s="362"/>
      <c r="I10562" s="362"/>
      <c r="J10562" s="362"/>
    </row>
    <row r="10563" spans="1:10" x14ac:dyDescent="0.25">
      <c r="A10563" s="362"/>
      <c r="B10563" s="609">
        <v>44828</v>
      </c>
      <c r="C10563" s="362" t="s">
        <v>87</v>
      </c>
      <c r="D10563" s="560">
        <v>110044322</v>
      </c>
      <c r="E10563" s="560"/>
      <c r="F10563" s="1429">
        <f>83000400+27043900</f>
        <v>110044300</v>
      </c>
      <c r="G10563" s="560">
        <f t="shared" si="266"/>
        <v>22</v>
      </c>
      <c r="H10563" s="362"/>
      <c r="I10563" s="362"/>
      <c r="J10563" s="362"/>
    </row>
    <row r="10564" spans="1:10" x14ac:dyDescent="0.25">
      <c r="A10564" s="362"/>
      <c r="B10564" s="609">
        <v>44828</v>
      </c>
      <c r="C10564" s="362" t="s">
        <v>88</v>
      </c>
      <c r="D10564" s="560">
        <v>81290320</v>
      </c>
      <c r="E10564" s="560"/>
      <c r="F10564" s="1429">
        <v>81290400</v>
      </c>
      <c r="G10564" s="560">
        <f t="shared" si="266"/>
        <v>-80</v>
      </c>
      <c r="H10564" s="362"/>
      <c r="I10564" s="362"/>
      <c r="J10564" s="362"/>
    </row>
    <row r="10565" spans="1:10" x14ac:dyDescent="0.25">
      <c r="A10565" s="362"/>
      <c r="B10565" s="609">
        <v>44828</v>
      </c>
      <c r="C10565" s="362" t="s">
        <v>82</v>
      </c>
      <c r="D10565" s="560">
        <v>60490554</v>
      </c>
      <c r="E10565" s="560"/>
      <c r="F10565" s="1429">
        <v>61656300</v>
      </c>
      <c r="G10565" s="560">
        <f t="shared" si="266"/>
        <v>-1165746</v>
      </c>
      <c r="H10565" s="362"/>
      <c r="I10565" s="362"/>
      <c r="J10565" s="362"/>
    </row>
    <row r="10566" spans="1:10" x14ac:dyDescent="0.25">
      <c r="A10566" s="362"/>
      <c r="B10566" s="609">
        <v>44828</v>
      </c>
      <c r="C10566" s="362" t="s">
        <v>80</v>
      </c>
      <c r="D10566" s="560">
        <v>242202300</v>
      </c>
      <c r="E10566" s="560"/>
      <c r="F10566" s="1429">
        <v>242202300</v>
      </c>
      <c r="G10566" s="560">
        <f t="shared" si="266"/>
        <v>0</v>
      </c>
      <c r="H10566" s="362"/>
      <c r="I10566" s="362"/>
      <c r="J10566" s="362"/>
    </row>
    <row r="10567" spans="1:10" x14ac:dyDescent="0.25">
      <c r="A10567" s="362"/>
      <c r="B10567" s="609">
        <v>44828</v>
      </c>
      <c r="C10567" s="362" t="s">
        <v>83</v>
      </c>
      <c r="D10567" s="560">
        <v>245134500</v>
      </c>
      <c r="E10567" s="560"/>
      <c r="F10567" s="1429">
        <v>245134500</v>
      </c>
      <c r="G10567" s="560">
        <f t="shared" si="266"/>
        <v>0</v>
      </c>
      <c r="H10567" s="362"/>
      <c r="I10567" s="362"/>
      <c r="J10567" s="362"/>
    </row>
    <row r="10568" spans="1:10" x14ac:dyDescent="0.25">
      <c r="A10568" s="362"/>
      <c r="B10568" s="609">
        <v>44828</v>
      </c>
      <c r="C10568" s="362" t="s">
        <v>78</v>
      </c>
      <c r="D10568" s="560">
        <v>154311300</v>
      </c>
      <c r="E10568" s="560"/>
      <c r="F10568" s="1429">
        <v>154311300</v>
      </c>
      <c r="G10568" s="560">
        <f t="shared" si="266"/>
        <v>0</v>
      </c>
      <c r="H10568" s="362"/>
      <c r="I10568" s="362"/>
      <c r="J10568" s="362"/>
    </row>
    <row r="10569" spans="1:10" x14ac:dyDescent="0.25">
      <c r="A10569" s="362"/>
      <c r="B10569" s="609">
        <v>44828</v>
      </c>
      <c r="C10569" s="362" t="s">
        <v>141</v>
      </c>
      <c r="D10569" s="560">
        <v>48262304</v>
      </c>
      <c r="E10569" s="560"/>
      <c r="F10569" s="1429">
        <v>48262400</v>
      </c>
      <c r="G10569" s="560">
        <f t="shared" si="266"/>
        <v>-96</v>
      </c>
      <c r="H10569" s="362"/>
      <c r="I10569" s="362"/>
      <c r="J10569" s="362"/>
    </row>
    <row r="10570" spans="1:10" x14ac:dyDescent="0.25">
      <c r="A10570" s="362"/>
      <c r="B10570" s="609">
        <v>44828</v>
      </c>
      <c r="C10570" s="362" t="s">
        <v>89</v>
      </c>
      <c r="D10570" s="560">
        <v>160672400</v>
      </c>
      <c r="E10570" s="560"/>
      <c r="F10570" s="1429">
        <v>160672400</v>
      </c>
      <c r="G10570" s="560">
        <f t="shared" si="266"/>
        <v>0</v>
      </c>
      <c r="H10570" s="362"/>
      <c r="I10570" s="362"/>
      <c r="J10570" s="362"/>
    </row>
    <row r="10571" spans="1:10" x14ac:dyDescent="0.25">
      <c r="A10571" s="362"/>
      <c r="B10571" s="609">
        <v>44828</v>
      </c>
      <c r="C10571" s="362" t="s">
        <v>81</v>
      </c>
      <c r="D10571" s="560">
        <v>145973306</v>
      </c>
      <c r="E10571" s="560"/>
      <c r="F10571" s="1429">
        <v>145973300</v>
      </c>
      <c r="G10571" s="560">
        <f t="shared" si="266"/>
        <v>6</v>
      </c>
      <c r="H10571" s="362"/>
      <c r="I10571" s="362"/>
      <c r="J10571" s="362"/>
    </row>
    <row r="10572" spans="1:10" x14ac:dyDescent="0.25">
      <c r="A10572" s="362"/>
      <c r="B10572" s="609">
        <v>44828</v>
      </c>
      <c r="C10572" s="362" t="s">
        <v>84</v>
      </c>
      <c r="D10572" s="560">
        <v>180594179</v>
      </c>
      <c r="E10572" s="560"/>
      <c r="F10572" s="1429">
        <v>180594200</v>
      </c>
      <c r="G10572" s="560">
        <f t="shared" si="266"/>
        <v>-21</v>
      </c>
      <c r="H10572" s="362"/>
      <c r="I10572" s="362"/>
      <c r="J10572" s="362"/>
    </row>
    <row r="10573" spans="1:10" x14ac:dyDescent="0.25">
      <c r="A10573" s="362"/>
      <c r="B10573" s="609">
        <v>44828</v>
      </c>
      <c r="C10573" s="362" t="s">
        <v>4751</v>
      </c>
      <c r="D10573" s="560">
        <v>177150700</v>
      </c>
      <c r="E10573" s="560"/>
      <c r="F10573" s="1429">
        <v>177150700</v>
      </c>
      <c r="G10573" s="560">
        <f t="shared" si="266"/>
        <v>0</v>
      </c>
      <c r="H10573" s="362"/>
      <c r="I10573" s="362"/>
      <c r="J10573" s="362"/>
    </row>
    <row r="10574" spans="1:10" x14ac:dyDescent="0.25">
      <c r="A10574" s="362"/>
      <c r="B10574" s="609">
        <v>44828</v>
      </c>
      <c r="C10574" s="362" t="s">
        <v>6301</v>
      </c>
      <c r="D10574" s="560"/>
      <c r="E10574" s="560"/>
      <c r="F10574" s="560"/>
      <c r="G10574" s="560">
        <f t="shared" si="266"/>
        <v>0</v>
      </c>
      <c r="H10574" s="362"/>
      <c r="I10574" s="362"/>
      <c r="J10574" s="362"/>
    </row>
    <row r="10575" spans="1:10" x14ac:dyDescent="0.25">
      <c r="A10575" s="362"/>
      <c r="B10575" s="609">
        <v>44828</v>
      </c>
      <c r="C10575" s="362" t="s">
        <v>3435</v>
      </c>
      <c r="D10575" s="560"/>
      <c r="E10575" s="560"/>
      <c r="F10575" s="560"/>
      <c r="G10575" s="560">
        <f t="shared" si="266"/>
        <v>0</v>
      </c>
      <c r="H10575" s="362"/>
      <c r="I10575" s="362"/>
      <c r="J10575" s="362"/>
    </row>
    <row r="10576" spans="1:10" x14ac:dyDescent="0.25">
      <c r="A10576" s="362"/>
      <c r="B10576" s="609">
        <v>44828</v>
      </c>
      <c r="C10576" s="370" t="s">
        <v>85</v>
      </c>
      <c r="D10576" s="560">
        <v>28963400</v>
      </c>
      <c r="E10576" s="560"/>
      <c r="F10576" s="1429">
        <v>28963400</v>
      </c>
      <c r="G10576" s="560">
        <f t="shared" si="266"/>
        <v>0</v>
      </c>
      <c r="H10576" s="362"/>
      <c r="I10576" s="362"/>
      <c r="J10576" s="362"/>
    </row>
    <row r="10577" spans="1:10" x14ac:dyDescent="0.25">
      <c r="A10577" s="362"/>
      <c r="B10577" s="609">
        <v>44828</v>
      </c>
      <c r="C10577" s="370" t="s">
        <v>6299</v>
      </c>
      <c r="D10577" s="560">
        <v>24788615</v>
      </c>
      <c r="E10577" s="560"/>
      <c r="F10577" s="1429">
        <v>24788700</v>
      </c>
      <c r="G10577" s="560">
        <f t="shared" si="266"/>
        <v>-85</v>
      </c>
      <c r="H10577" s="362"/>
      <c r="I10577" s="362"/>
      <c r="J10577" s="362"/>
    </row>
    <row r="10578" spans="1:10" x14ac:dyDescent="0.25">
      <c r="A10578" s="530"/>
      <c r="B10578" s="530"/>
      <c r="C10578" s="530"/>
      <c r="D10578" s="630">
        <f>SUM(D10562:D10577)</f>
        <v>1832825100</v>
      </c>
      <c r="E10578" s="630">
        <f t="shared" ref="E10578:G10578" si="270">SUM(E10562:E10577)</f>
        <v>0</v>
      </c>
      <c r="F10578" s="630">
        <f t="shared" si="270"/>
        <v>1833991100</v>
      </c>
      <c r="G10578" s="630">
        <f t="shared" si="270"/>
        <v>-1166000</v>
      </c>
      <c r="H10578" s="530"/>
      <c r="I10578" s="530"/>
      <c r="J10578" s="530"/>
    </row>
    <row r="10579" spans="1:10" x14ac:dyDescent="0.25">
      <c r="A10579" s="362"/>
      <c r="B10579" s="609">
        <v>44830</v>
      </c>
      <c r="C10579" s="362" t="s">
        <v>86</v>
      </c>
      <c r="D10579" s="560">
        <v>52896103</v>
      </c>
      <c r="E10579" s="560"/>
      <c r="F10579" s="560">
        <v>52896100</v>
      </c>
      <c r="G10579" s="560">
        <f t="shared" si="266"/>
        <v>3</v>
      </c>
      <c r="H10579" s="362"/>
      <c r="I10579" s="362"/>
      <c r="J10579" s="362"/>
    </row>
    <row r="10580" spans="1:10" x14ac:dyDescent="0.25">
      <c r="A10580" s="362"/>
      <c r="B10580" s="609">
        <v>44830</v>
      </c>
      <c r="C10580" s="362" t="s">
        <v>87</v>
      </c>
      <c r="D10580" s="560">
        <v>188955142</v>
      </c>
      <c r="E10580" s="560"/>
      <c r="F10580" s="560">
        <v>188955100</v>
      </c>
      <c r="G10580" s="560">
        <f t="shared" si="266"/>
        <v>42</v>
      </c>
      <c r="H10580" s="362"/>
      <c r="I10580" s="362"/>
      <c r="J10580" s="362"/>
    </row>
    <row r="10581" spans="1:10" x14ac:dyDescent="0.25">
      <c r="A10581" s="362"/>
      <c r="B10581" s="609">
        <v>44830</v>
      </c>
      <c r="C10581" s="362" t="s">
        <v>88</v>
      </c>
      <c r="D10581" s="560">
        <v>275335276</v>
      </c>
      <c r="E10581" s="560"/>
      <c r="F10581" s="560">
        <v>275335300</v>
      </c>
      <c r="G10581" s="560">
        <f t="shared" si="266"/>
        <v>-24</v>
      </c>
      <c r="H10581" s="362"/>
      <c r="I10581" s="362"/>
      <c r="J10581" s="362"/>
    </row>
    <row r="10582" spans="1:10" x14ac:dyDescent="0.25">
      <c r="A10582" s="362"/>
      <c r="B10582" s="609">
        <v>44830</v>
      </c>
      <c r="C10582" s="362" t="s">
        <v>82</v>
      </c>
      <c r="D10582" s="560">
        <v>114278154</v>
      </c>
      <c r="E10582" s="560"/>
      <c r="F10582" s="560">
        <v>114278200</v>
      </c>
      <c r="G10582" s="560">
        <f t="shared" si="266"/>
        <v>-46</v>
      </c>
      <c r="H10582" s="362"/>
      <c r="I10582" s="362"/>
      <c r="J10582" s="362"/>
    </row>
    <row r="10583" spans="1:10" x14ac:dyDescent="0.25">
      <c r="A10583" s="362"/>
      <c r="B10583" s="609">
        <v>44830</v>
      </c>
      <c r="C10583" s="362" t="s">
        <v>80</v>
      </c>
      <c r="D10583" s="560">
        <v>247309800</v>
      </c>
      <c r="E10583" s="560"/>
      <c r="F10583" s="560">
        <v>247309800</v>
      </c>
      <c r="G10583" s="560">
        <f t="shared" si="266"/>
        <v>0</v>
      </c>
      <c r="H10583" s="362"/>
      <c r="I10583" s="362"/>
      <c r="J10583" s="362"/>
    </row>
    <row r="10584" spans="1:10" x14ac:dyDescent="0.25">
      <c r="A10584" s="362"/>
      <c r="B10584" s="609">
        <v>44830</v>
      </c>
      <c r="C10584" s="362" t="s">
        <v>83</v>
      </c>
      <c r="D10584" s="560">
        <v>197981400</v>
      </c>
      <c r="E10584" s="560"/>
      <c r="F10584" s="560">
        <v>197981400</v>
      </c>
      <c r="G10584" s="560">
        <f t="shared" si="266"/>
        <v>0</v>
      </c>
      <c r="H10584" s="362"/>
      <c r="I10584" s="362"/>
      <c r="J10584" s="362"/>
    </row>
    <row r="10585" spans="1:10" x14ac:dyDescent="0.25">
      <c r="A10585" s="362"/>
      <c r="B10585" s="609">
        <v>44830</v>
      </c>
      <c r="C10585" s="362" t="s">
        <v>78</v>
      </c>
      <c r="D10585" s="560">
        <v>141526200</v>
      </c>
      <c r="E10585" s="560"/>
      <c r="F10585" s="560">
        <v>141526200</v>
      </c>
      <c r="G10585" s="560">
        <f t="shared" ref="G10585:G10648" si="271">D10585-F10585</f>
        <v>0</v>
      </c>
      <c r="H10585" s="362"/>
      <c r="I10585" s="362"/>
      <c r="J10585" s="362"/>
    </row>
    <row r="10586" spans="1:10" x14ac:dyDescent="0.25">
      <c r="A10586" s="362"/>
      <c r="B10586" s="609">
        <v>44830</v>
      </c>
      <c r="C10586" s="362" t="s">
        <v>141</v>
      </c>
      <c r="D10586" s="560">
        <v>160973300</v>
      </c>
      <c r="E10586" s="560"/>
      <c r="F10586" s="560">
        <v>160973300</v>
      </c>
      <c r="G10586" s="560">
        <f t="shared" si="271"/>
        <v>0</v>
      </c>
      <c r="H10586" s="362"/>
      <c r="I10586" s="362"/>
      <c r="J10586" s="362"/>
    </row>
    <row r="10587" spans="1:10" x14ac:dyDescent="0.25">
      <c r="A10587" s="362"/>
      <c r="B10587" s="609">
        <v>44830</v>
      </c>
      <c r="C10587" s="362" t="s">
        <v>89</v>
      </c>
      <c r="D10587" s="560">
        <v>213082600</v>
      </c>
      <c r="E10587" s="560"/>
      <c r="F10587" s="560">
        <v>213082600</v>
      </c>
      <c r="G10587" s="560">
        <f t="shared" si="271"/>
        <v>0</v>
      </c>
      <c r="H10587" s="362"/>
      <c r="I10587" s="362"/>
      <c r="J10587" s="362"/>
    </row>
    <row r="10588" spans="1:10" x14ac:dyDescent="0.25">
      <c r="A10588" s="362"/>
      <c r="B10588" s="609">
        <v>44830</v>
      </c>
      <c r="C10588" s="362" t="s">
        <v>81</v>
      </c>
      <c r="D10588" s="560">
        <v>155186725</v>
      </c>
      <c r="E10588" s="560"/>
      <c r="F10588" s="560">
        <v>155186800</v>
      </c>
      <c r="G10588" s="560">
        <f t="shared" si="271"/>
        <v>-75</v>
      </c>
      <c r="H10588" s="362"/>
      <c r="I10588" s="362"/>
      <c r="J10588" s="362"/>
    </row>
    <row r="10589" spans="1:10" x14ac:dyDescent="0.25">
      <c r="A10589" s="362"/>
      <c r="B10589" s="609">
        <v>44830</v>
      </c>
      <c r="C10589" s="362" t="s">
        <v>84</v>
      </c>
      <c r="D10589" s="560">
        <v>325653069</v>
      </c>
      <c r="E10589" s="560"/>
      <c r="F10589" s="560">
        <v>325653100</v>
      </c>
      <c r="G10589" s="560">
        <f t="shared" si="271"/>
        <v>-31</v>
      </c>
      <c r="H10589" s="362"/>
      <c r="I10589" s="362"/>
      <c r="J10589" s="362"/>
    </row>
    <row r="10590" spans="1:10" x14ac:dyDescent="0.25">
      <c r="A10590" s="362"/>
      <c r="B10590" s="609">
        <v>44830</v>
      </c>
      <c r="C10590" s="362" t="s">
        <v>4751</v>
      </c>
      <c r="D10590" s="560">
        <v>201219200</v>
      </c>
      <c r="E10590" s="560"/>
      <c r="F10590" s="560">
        <v>201219200</v>
      </c>
      <c r="G10590" s="560">
        <f t="shared" si="271"/>
        <v>0</v>
      </c>
      <c r="H10590" s="362"/>
      <c r="I10590" s="362"/>
      <c r="J10590" s="362"/>
    </row>
    <row r="10591" spans="1:10" x14ac:dyDescent="0.25">
      <c r="A10591" s="362"/>
      <c r="B10591" s="609">
        <v>44830</v>
      </c>
      <c r="C10591" s="362" t="s">
        <v>6301</v>
      </c>
      <c r="D10591" s="560">
        <v>81770660</v>
      </c>
      <c r="E10591" s="560"/>
      <c r="F10591" s="560">
        <v>81770500</v>
      </c>
      <c r="G10591" s="560">
        <f t="shared" si="271"/>
        <v>160</v>
      </c>
      <c r="H10591" s="362"/>
      <c r="I10591" s="362"/>
      <c r="J10591" s="362"/>
    </row>
    <row r="10592" spans="1:10" x14ac:dyDescent="0.25">
      <c r="A10592" s="362"/>
      <c r="B10592" s="609">
        <v>44830</v>
      </c>
      <c r="C10592" s="362" t="s">
        <v>3435</v>
      </c>
      <c r="D10592" s="560">
        <v>91144370</v>
      </c>
      <c r="E10592" s="560"/>
      <c r="F10592" s="560">
        <v>91144400</v>
      </c>
      <c r="G10592" s="560">
        <f t="shared" si="271"/>
        <v>-30</v>
      </c>
      <c r="H10592" s="362"/>
      <c r="I10592" s="362"/>
      <c r="J10592" s="362"/>
    </row>
    <row r="10593" spans="1:10" x14ac:dyDescent="0.25">
      <c r="A10593" s="362"/>
      <c r="B10593" s="609">
        <v>44830</v>
      </c>
      <c r="C10593" s="370" t="s">
        <v>85</v>
      </c>
      <c r="D10593" s="560">
        <v>68007600</v>
      </c>
      <c r="E10593" s="560"/>
      <c r="F10593" s="560">
        <v>68007600</v>
      </c>
      <c r="G10593" s="560">
        <f t="shared" si="271"/>
        <v>0</v>
      </c>
      <c r="H10593" s="362"/>
      <c r="I10593" s="362"/>
      <c r="J10593" s="362"/>
    </row>
    <row r="10594" spans="1:10" x14ac:dyDescent="0.25">
      <c r="A10594" s="362"/>
      <c r="B10594" s="609">
        <v>44830</v>
      </c>
      <c r="C10594" s="370" t="s">
        <v>6299</v>
      </c>
      <c r="D10594" s="560">
        <v>50857082</v>
      </c>
      <c r="E10594" s="560"/>
      <c r="F10594" s="560">
        <v>50857200</v>
      </c>
      <c r="G10594" s="560">
        <f t="shared" si="271"/>
        <v>-118</v>
      </c>
      <c r="H10594" s="362"/>
      <c r="I10594" s="362"/>
      <c r="J10594" s="362"/>
    </row>
    <row r="10595" spans="1:10" x14ac:dyDescent="0.25">
      <c r="A10595" s="530"/>
      <c r="B10595" s="530"/>
      <c r="C10595" s="530"/>
      <c r="D10595" s="562">
        <f>SUM(D10579:D10594)</f>
        <v>2566176681</v>
      </c>
      <c r="E10595" s="562">
        <f t="shared" ref="E10595:G10595" si="272">SUM(E10579:E10594)</f>
        <v>0</v>
      </c>
      <c r="F10595" s="562">
        <f t="shared" si="272"/>
        <v>2566176800</v>
      </c>
      <c r="G10595" s="562">
        <f t="shared" si="272"/>
        <v>-119</v>
      </c>
      <c r="H10595" s="530"/>
      <c r="I10595" s="530"/>
      <c r="J10595" s="530"/>
    </row>
    <row r="10596" spans="1:10" x14ac:dyDescent="0.25">
      <c r="A10596" s="362"/>
      <c r="B10596" s="609">
        <v>44831</v>
      </c>
      <c r="C10596" s="362" t="s">
        <v>86</v>
      </c>
      <c r="D10596" s="560">
        <v>124126740</v>
      </c>
      <c r="E10596" s="560"/>
      <c r="F10596" s="560">
        <v>124126800</v>
      </c>
      <c r="G10596" s="560">
        <f t="shared" si="271"/>
        <v>-60</v>
      </c>
      <c r="H10596" s="362"/>
      <c r="I10596" s="362"/>
      <c r="J10596" s="362"/>
    </row>
    <row r="10597" spans="1:10" x14ac:dyDescent="0.25">
      <c r="A10597" s="362"/>
      <c r="B10597" s="609">
        <v>44831</v>
      </c>
      <c r="C10597" s="362" t="s">
        <v>87</v>
      </c>
      <c r="D10597" s="560">
        <v>199406055</v>
      </c>
      <c r="E10597" s="560"/>
      <c r="F10597" s="560">
        <v>199406000</v>
      </c>
      <c r="G10597" s="560">
        <f t="shared" si="271"/>
        <v>55</v>
      </c>
      <c r="H10597" s="362"/>
      <c r="I10597" s="362"/>
      <c r="J10597" s="362"/>
    </row>
    <row r="10598" spans="1:10" x14ac:dyDescent="0.25">
      <c r="A10598" s="362"/>
      <c r="B10598" s="609">
        <v>44831</v>
      </c>
      <c r="C10598" s="362" t="s">
        <v>88</v>
      </c>
      <c r="D10598" s="560">
        <v>147687933</v>
      </c>
      <c r="E10598" s="560"/>
      <c r="F10598" s="560">
        <v>147688000</v>
      </c>
      <c r="G10598" s="560">
        <f t="shared" si="271"/>
        <v>-67</v>
      </c>
      <c r="H10598" s="362"/>
      <c r="I10598" s="362"/>
      <c r="J10598" s="362"/>
    </row>
    <row r="10599" spans="1:10" x14ac:dyDescent="0.25">
      <c r="A10599" s="362"/>
      <c r="B10599" s="609">
        <v>44831</v>
      </c>
      <c r="C10599" s="362" t="s">
        <v>82</v>
      </c>
      <c r="D10599" s="560">
        <v>62399742</v>
      </c>
      <c r="E10599" s="560"/>
      <c r="F10599" s="560">
        <v>62399800</v>
      </c>
      <c r="G10599" s="560">
        <f t="shared" si="271"/>
        <v>-58</v>
      </c>
      <c r="H10599" s="362"/>
      <c r="I10599" s="362"/>
      <c r="J10599" s="362"/>
    </row>
    <row r="10600" spans="1:10" x14ac:dyDescent="0.25">
      <c r="A10600" s="362"/>
      <c r="B10600" s="609">
        <v>44831</v>
      </c>
      <c r="C10600" s="362" t="s">
        <v>80</v>
      </c>
      <c r="D10600" s="560">
        <v>251926716</v>
      </c>
      <c r="E10600" s="560"/>
      <c r="F10600" s="560">
        <v>251926200</v>
      </c>
      <c r="G10600" s="560">
        <f t="shared" si="271"/>
        <v>516</v>
      </c>
      <c r="H10600" s="362"/>
      <c r="I10600" s="362"/>
      <c r="J10600" s="362"/>
    </row>
    <row r="10601" spans="1:10" x14ac:dyDescent="0.25">
      <c r="A10601" s="362"/>
      <c r="B10601" s="609">
        <v>44831</v>
      </c>
      <c r="C10601" s="362" t="s">
        <v>83</v>
      </c>
      <c r="D10601" s="560">
        <v>310258600</v>
      </c>
      <c r="E10601" s="560"/>
      <c r="F10601" s="560">
        <v>310258600</v>
      </c>
      <c r="G10601" s="560">
        <f t="shared" si="271"/>
        <v>0</v>
      </c>
      <c r="H10601" s="362"/>
      <c r="I10601" s="362"/>
      <c r="J10601" s="362"/>
    </row>
    <row r="10602" spans="1:10" x14ac:dyDescent="0.25">
      <c r="A10602" s="362"/>
      <c r="B10602" s="609">
        <v>44831</v>
      </c>
      <c r="C10602" s="362" t="s">
        <v>78</v>
      </c>
      <c r="D10602" s="560">
        <v>140861200</v>
      </c>
      <c r="E10602" s="560"/>
      <c r="F10602" s="560">
        <v>140861200</v>
      </c>
      <c r="G10602" s="560">
        <f t="shared" si="271"/>
        <v>0</v>
      </c>
      <c r="H10602" s="362"/>
      <c r="I10602" s="362"/>
      <c r="J10602" s="362"/>
    </row>
    <row r="10603" spans="1:10" x14ac:dyDescent="0.25">
      <c r="A10603" s="362"/>
      <c r="B10603" s="609">
        <v>44831</v>
      </c>
      <c r="C10603" s="362" t="s">
        <v>141</v>
      </c>
      <c r="D10603" s="560">
        <v>88355079</v>
      </c>
      <c r="E10603" s="560"/>
      <c r="F10603" s="560">
        <v>88355100</v>
      </c>
      <c r="G10603" s="560">
        <f t="shared" si="271"/>
        <v>-21</v>
      </c>
      <c r="H10603" s="362"/>
      <c r="I10603" s="362"/>
      <c r="J10603" s="362"/>
    </row>
    <row r="10604" spans="1:10" x14ac:dyDescent="0.25">
      <c r="A10604" s="362"/>
      <c r="B10604" s="609">
        <v>44831</v>
      </c>
      <c r="C10604" s="362" t="s">
        <v>89</v>
      </c>
      <c r="D10604" s="560">
        <v>152671600</v>
      </c>
      <c r="E10604" s="560"/>
      <c r="F10604" s="560">
        <v>152671600</v>
      </c>
      <c r="G10604" s="560">
        <f t="shared" si="271"/>
        <v>0</v>
      </c>
      <c r="H10604" s="362"/>
      <c r="I10604" s="362"/>
      <c r="J10604" s="362"/>
    </row>
    <row r="10605" spans="1:10" x14ac:dyDescent="0.25">
      <c r="A10605" s="362"/>
      <c r="B10605" s="609">
        <v>44831</v>
      </c>
      <c r="C10605" s="362" t="s">
        <v>81</v>
      </c>
      <c r="D10605" s="560">
        <v>123141018</v>
      </c>
      <c r="E10605" s="560"/>
      <c r="F10605" s="560">
        <v>123141100</v>
      </c>
      <c r="G10605" s="560">
        <f t="shared" si="271"/>
        <v>-82</v>
      </c>
      <c r="H10605" s="362"/>
      <c r="I10605" s="362"/>
      <c r="J10605" s="362"/>
    </row>
    <row r="10606" spans="1:10" x14ac:dyDescent="0.25">
      <c r="A10606" s="362"/>
      <c r="B10606" s="609">
        <v>44831</v>
      </c>
      <c r="C10606" s="362" t="s">
        <v>84</v>
      </c>
      <c r="D10606" s="560">
        <v>282543120</v>
      </c>
      <c r="E10606" s="560"/>
      <c r="F10606" s="560">
        <v>282543300</v>
      </c>
      <c r="G10606" s="560">
        <f t="shared" si="271"/>
        <v>-180</v>
      </c>
      <c r="H10606" s="362"/>
      <c r="I10606" s="362"/>
      <c r="J10606" s="362"/>
    </row>
    <row r="10607" spans="1:10" x14ac:dyDescent="0.25">
      <c r="A10607" s="362"/>
      <c r="B10607" s="609">
        <v>44831</v>
      </c>
      <c r="C10607" s="362" t="s">
        <v>4751</v>
      </c>
      <c r="D10607" s="560">
        <v>247780000</v>
      </c>
      <c r="E10607" s="560"/>
      <c r="F10607" s="560">
        <v>247780000</v>
      </c>
      <c r="G10607" s="560">
        <f t="shared" si="271"/>
        <v>0</v>
      </c>
      <c r="H10607" s="362"/>
      <c r="I10607" s="362"/>
      <c r="J10607" s="362"/>
    </row>
    <row r="10608" spans="1:10" x14ac:dyDescent="0.25">
      <c r="A10608" s="362"/>
      <c r="B10608" s="609">
        <v>44831</v>
      </c>
      <c r="C10608" s="362" t="s">
        <v>6301</v>
      </c>
      <c r="D10608" s="560">
        <v>120058933</v>
      </c>
      <c r="E10608" s="560"/>
      <c r="F10608" s="560">
        <v>120059000</v>
      </c>
      <c r="G10608" s="560">
        <f t="shared" si="271"/>
        <v>-67</v>
      </c>
      <c r="H10608" s="362"/>
      <c r="I10608" s="362"/>
      <c r="J10608" s="362"/>
    </row>
    <row r="10609" spans="1:10" x14ac:dyDescent="0.25">
      <c r="A10609" s="362"/>
      <c r="B10609" s="609">
        <v>44831</v>
      </c>
      <c r="C10609" s="362" t="s">
        <v>3435</v>
      </c>
      <c r="D10609" s="560">
        <v>68098252</v>
      </c>
      <c r="E10609" s="560"/>
      <c r="F10609" s="560">
        <v>68098300</v>
      </c>
      <c r="G10609" s="560">
        <f t="shared" si="271"/>
        <v>-48</v>
      </c>
      <c r="H10609" s="362"/>
      <c r="I10609" s="362"/>
      <c r="J10609" s="362"/>
    </row>
    <row r="10610" spans="1:10" x14ac:dyDescent="0.25">
      <c r="A10610" s="362"/>
      <c r="B10610" s="609">
        <v>44831</v>
      </c>
      <c r="C10610" s="370" t="s">
        <v>85</v>
      </c>
      <c r="D10610" s="560">
        <v>48822100</v>
      </c>
      <c r="E10610" s="560"/>
      <c r="F10610" s="560">
        <v>48822100</v>
      </c>
      <c r="G10610" s="560">
        <f t="shared" si="271"/>
        <v>0</v>
      </c>
      <c r="H10610" s="362"/>
      <c r="I10610" s="362"/>
      <c r="J10610" s="362"/>
    </row>
    <row r="10611" spans="1:10" x14ac:dyDescent="0.25">
      <c r="A10611" s="362"/>
      <c r="B10611" s="609">
        <v>44831</v>
      </c>
      <c r="C10611" s="370" t="s">
        <v>6299</v>
      </c>
      <c r="D10611" s="560">
        <v>20066443</v>
      </c>
      <c r="E10611" s="560"/>
      <c r="F10611" s="560">
        <v>20066500</v>
      </c>
      <c r="G10611" s="560">
        <f t="shared" si="271"/>
        <v>-57</v>
      </c>
      <c r="H10611" s="362"/>
      <c r="I10611" s="362"/>
      <c r="J10611" s="362"/>
    </row>
    <row r="10612" spans="1:10" x14ac:dyDescent="0.25">
      <c r="A10612" s="530"/>
      <c r="B10612" s="530"/>
      <c r="C10612" s="530"/>
      <c r="D10612" s="562">
        <f>SUM(D10596:D10611)</f>
        <v>2388203531</v>
      </c>
      <c r="E10612" s="562">
        <f t="shared" ref="E10612:G10612" si="273">SUM(E10596:E10611)</f>
        <v>0</v>
      </c>
      <c r="F10612" s="562">
        <f t="shared" si="273"/>
        <v>2388203600</v>
      </c>
      <c r="G10612" s="562">
        <f t="shared" si="273"/>
        <v>-69</v>
      </c>
      <c r="H10612" s="530"/>
      <c r="I10612" s="530"/>
      <c r="J10612" s="530"/>
    </row>
    <row r="10613" spans="1:10" x14ac:dyDescent="0.25">
      <c r="A10613" s="362"/>
      <c r="B10613" s="609">
        <v>44832</v>
      </c>
      <c r="C10613" s="362" t="s">
        <v>86</v>
      </c>
      <c r="D10613" s="560">
        <v>153770474</v>
      </c>
      <c r="E10613" s="560"/>
      <c r="F10613" s="560">
        <v>153770500</v>
      </c>
      <c r="G10613" s="560">
        <f t="shared" si="271"/>
        <v>-26</v>
      </c>
      <c r="H10613" s="362"/>
      <c r="I10613" s="362"/>
      <c r="J10613" s="362"/>
    </row>
    <row r="10614" spans="1:10" x14ac:dyDescent="0.25">
      <c r="A10614" s="362"/>
      <c r="B10614" s="609">
        <v>44832</v>
      </c>
      <c r="C10614" s="362" t="s">
        <v>87</v>
      </c>
      <c r="D10614" s="560">
        <v>146735767</v>
      </c>
      <c r="E10614" s="560"/>
      <c r="F10614" s="560">
        <v>146735800</v>
      </c>
      <c r="G10614" s="560">
        <f t="shared" si="271"/>
        <v>-33</v>
      </c>
      <c r="H10614" s="362"/>
      <c r="I10614" s="362"/>
      <c r="J10614" s="362"/>
    </row>
    <row r="10615" spans="1:10" x14ac:dyDescent="0.25">
      <c r="A10615" s="362"/>
      <c r="B10615" s="609">
        <v>44832</v>
      </c>
      <c r="C10615" s="362" t="s">
        <v>88</v>
      </c>
      <c r="D10615" s="560">
        <v>267324545</v>
      </c>
      <c r="E10615" s="560"/>
      <c r="F10615" s="560">
        <v>267324600</v>
      </c>
      <c r="G10615" s="560">
        <f t="shared" si="271"/>
        <v>-55</v>
      </c>
      <c r="H10615" s="362"/>
      <c r="I10615" s="362"/>
      <c r="J10615" s="362"/>
    </row>
    <row r="10616" spans="1:10" x14ac:dyDescent="0.25">
      <c r="A10616" s="362"/>
      <c r="B10616" s="609">
        <v>44832</v>
      </c>
      <c r="C10616" s="362" t="s">
        <v>82</v>
      </c>
      <c r="D10616" s="560">
        <v>81345610</v>
      </c>
      <c r="E10616" s="560"/>
      <c r="F10616" s="560">
        <v>81345700</v>
      </c>
      <c r="G10616" s="560">
        <f t="shared" si="271"/>
        <v>-90</v>
      </c>
      <c r="H10616" s="362"/>
      <c r="I10616" s="362"/>
      <c r="J10616" s="362"/>
    </row>
    <row r="10617" spans="1:10" x14ac:dyDescent="0.25">
      <c r="A10617" s="362"/>
      <c r="B10617" s="609">
        <v>44832</v>
      </c>
      <c r="C10617" s="362" t="s">
        <v>80</v>
      </c>
      <c r="D10617" s="560">
        <v>330291122</v>
      </c>
      <c r="E10617" s="560"/>
      <c r="F10617" s="560">
        <v>330291100</v>
      </c>
      <c r="G10617" s="560">
        <f t="shared" si="271"/>
        <v>22</v>
      </c>
      <c r="H10617" s="362"/>
      <c r="I10617" s="362"/>
      <c r="J10617" s="362"/>
    </row>
    <row r="10618" spans="1:10" x14ac:dyDescent="0.25">
      <c r="A10618" s="362"/>
      <c r="B10618" s="609">
        <v>44832</v>
      </c>
      <c r="C10618" s="362" t="s">
        <v>83</v>
      </c>
      <c r="D10618" s="560">
        <v>154071900</v>
      </c>
      <c r="E10618" s="560"/>
      <c r="F10618" s="560">
        <v>154071900</v>
      </c>
      <c r="G10618" s="560">
        <f t="shared" si="271"/>
        <v>0</v>
      </c>
      <c r="H10618" s="362"/>
      <c r="I10618" s="362"/>
      <c r="J10618" s="362"/>
    </row>
    <row r="10619" spans="1:10" x14ac:dyDescent="0.25">
      <c r="A10619" s="362"/>
      <c r="B10619" s="609">
        <v>44832</v>
      </c>
      <c r="C10619" s="362" t="s">
        <v>78</v>
      </c>
      <c r="D10619" s="560">
        <v>134000300</v>
      </c>
      <c r="E10619" s="560"/>
      <c r="F10619" s="560">
        <v>134000300</v>
      </c>
      <c r="G10619" s="560">
        <f t="shared" si="271"/>
        <v>0</v>
      </c>
      <c r="H10619" s="362"/>
      <c r="I10619" s="362"/>
      <c r="J10619" s="362"/>
    </row>
    <row r="10620" spans="1:10" x14ac:dyDescent="0.25">
      <c r="A10620" s="362"/>
      <c r="B10620" s="609">
        <v>44832</v>
      </c>
      <c r="C10620" s="362" t="s">
        <v>141</v>
      </c>
      <c r="D10620" s="560">
        <v>142128604</v>
      </c>
      <c r="E10620" s="560"/>
      <c r="F10620" s="560">
        <v>142128700</v>
      </c>
      <c r="G10620" s="560">
        <f t="shared" si="271"/>
        <v>-96</v>
      </c>
      <c r="H10620" s="362"/>
      <c r="I10620" s="362"/>
      <c r="J10620" s="362"/>
    </row>
    <row r="10621" spans="1:10" x14ac:dyDescent="0.25">
      <c r="A10621" s="362"/>
      <c r="B10621" s="609">
        <v>44832</v>
      </c>
      <c r="C10621" s="362" t="s">
        <v>89</v>
      </c>
      <c r="D10621" s="560">
        <v>264589500</v>
      </c>
      <c r="E10621" s="560"/>
      <c r="F10621" s="560">
        <v>264589500</v>
      </c>
      <c r="G10621" s="560">
        <f t="shared" si="271"/>
        <v>0</v>
      </c>
      <c r="H10621" s="362"/>
      <c r="I10621" s="362"/>
      <c r="J10621" s="362"/>
    </row>
    <row r="10622" spans="1:10" x14ac:dyDescent="0.25">
      <c r="A10622" s="362"/>
      <c r="B10622" s="609">
        <v>44832</v>
      </c>
      <c r="C10622" s="362" t="s">
        <v>81</v>
      </c>
      <c r="D10622" s="560">
        <v>166461869</v>
      </c>
      <c r="E10622" s="560"/>
      <c r="F10622" s="560">
        <v>166461900</v>
      </c>
      <c r="G10622" s="560">
        <f t="shared" si="271"/>
        <v>-31</v>
      </c>
      <c r="H10622" s="362"/>
      <c r="I10622" s="362"/>
      <c r="J10622" s="362"/>
    </row>
    <row r="10623" spans="1:10" x14ac:dyDescent="0.25">
      <c r="A10623" s="362"/>
      <c r="B10623" s="609">
        <v>44832</v>
      </c>
      <c r="C10623" s="362" t="s">
        <v>84</v>
      </c>
      <c r="D10623" s="560">
        <v>318264089</v>
      </c>
      <c r="E10623" s="560"/>
      <c r="F10623" s="560">
        <v>318264000</v>
      </c>
      <c r="G10623" s="560">
        <f t="shared" si="271"/>
        <v>89</v>
      </c>
      <c r="H10623" s="362"/>
      <c r="I10623" s="362"/>
      <c r="J10623" s="362"/>
    </row>
    <row r="10624" spans="1:10" x14ac:dyDescent="0.25">
      <c r="A10624" s="362"/>
      <c r="B10624" s="609">
        <v>44832</v>
      </c>
      <c r="C10624" s="362" t="s">
        <v>4751</v>
      </c>
      <c r="D10624" s="560">
        <v>152298800</v>
      </c>
      <c r="E10624" s="560"/>
      <c r="F10624" s="560">
        <v>152298800</v>
      </c>
      <c r="G10624" s="560">
        <f t="shared" si="271"/>
        <v>0</v>
      </c>
      <c r="H10624" s="362"/>
      <c r="I10624" s="362"/>
      <c r="J10624" s="362"/>
    </row>
    <row r="10625" spans="1:13" x14ac:dyDescent="0.25">
      <c r="A10625" s="362"/>
      <c r="B10625" s="609">
        <v>44832</v>
      </c>
      <c r="C10625" s="362" t="s">
        <v>6301</v>
      </c>
      <c r="D10625" s="560">
        <v>67528036</v>
      </c>
      <c r="E10625" s="560"/>
      <c r="F10625" s="560">
        <v>67528000</v>
      </c>
      <c r="G10625" s="560">
        <f t="shared" si="271"/>
        <v>36</v>
      </c>
      <c r="H10625" s="362"/>
      <c r="I10625" s="362"/>
      <c r="J10625" s="362"/>
    </row>
    <row r="10626" spans="1:13" x14ac:dyDescent="0.25">
      <c r="A10626" s="362"/>
      <c r="B10626" s="609">
        <v>44832</v>
      </c>
      <c r="C10626" s="362" t="s">
        <v>3435</v>
      </c>
      <c r="D10626" s="560">
        <v>53278063</v>
      </c>
      <c r="E10626" s="560"/>
      <c r="F10626" s="560">
        <v>53278100</v>
      </c>
      <c r="G10626" s="560">
        <f t="shared" si="271"/>
        <v>-37</v>
      </c>
      <c r="H10626" s="362"/>
      <c r="I10626" s="362"/>
      <c r="J10626" s="362"/>
    </row>
    <row r="10627" spans="1:13" x14ac:dyDescent="0.25">
      <c r="A10627" s="362"/>
      <c r="B10627" s="609">
        <v>44832</v>
      </c>
      <c r="C10627" s="370" t="s">
        <v>85</v>
      </c>
      <c r="D10627" s="560">
        <v>61399600</v>
      </c>
      <c r="E10627" s="560"/>
      <c r="F10627" s="560">
        <v>61399600</v>
      </c>
      <c r="G10627" s="560">
        <f t="shared" si="271"/>
        <v>0</v>
      </c>
      <c r="H10627" s="362"/>
      <c r="I10627" s="362"/>
      <c r="J10627" s="362"/>
    </row>
    <row r="10628" spans="1:13" x14ac:dyDescent="0.25">
      <c r="A10628" s="362"/>
      <c r="B10628" s="609">
        <v>44832</v>
      </c>
      <c r="C10628" s="370" t="s">
        <v>6299</v>
      </c>
      <c r="D10628" s="560">
        <v>21517080</v>
      </c>
      <c r="E10628" s="560"/>
      <c r="F10628" s="560">
        <v>21517200</v>
      </c>
      <c r="G10628" s="560">
        <f t="shared" si="271"/>
        <v>-120</v>
      </c>
      <c r="H10628" s="362"/>
      <c r="I10628" s="362"/>
      <c r="J10628" s="362"/>
    </row>
    <row r="10629" spans="1:13" x14ac:dyDescent="0.25">
      <c r="A10629" s="530"/>
      <c r="B10629" s="530"/>
      <c r="C10629" s="530"/>
      <c r="D10629" s="562">
        <f>SUM(D10613:D10628)</f>
        <v>2515005359</v>
      </c>
      <c r="E10629" s="562">
        <f t="shared" ref="E10629:H10629" si="274">SUM(E10613:E10628)</f>
        <v>0</v>
      </c>
      <c r="F10629" s="562">
        <f t="shared" si="274"/>
        <v>2515005700</v>
      </c>
      <c r="G10629" s="562">
        <f t="shared" si="274"/>
        <v>-341</v>
      </c>
      <c r="H10629" s="530">
        <f t="shared" si="274"/>
        <v>0</v>
      </c>
      <c r="I10629" s="530"/>
      <c r="J10629" s="530"/>
    </row>
    <row r="10630" spans="1:13" x14ac:dyDescent="0.25">
      <c r="A10630" s="362"/>
      <c r="B10630" s="609">
        <v>44833</v>
      </c>
      <c r="C10630" s="362" t="s">
        <v>86</v>
      </c>
      <c r="D10630" s="560">
        <v>130501344</v>
      </c>
      <c r="E10630" s="560"/>
      <c r="F10630" s="560">
        <v>130501400</v>
      </c>
      <c r="G10630" s="560">
        <f t="shared" si="271"/>
        <v>-56</v>
      </c>
      <c r="H10630" s="362"/>
      <c r="I10630" s="362"/>
      <c r="J10630" s="362"/>
    </row>
    <row r="10631" spans="1:13" x14ac:dyDescent="0.25">
      <c r="A10631" s="362"/>
      <c r="B10631" s="609">
        <v>44833</v>
      </c>
      <c r="C10631" s="362" t="s">
        <v>87</v>
      </c>
      <c r="D10631" s="560">
        <v>197604835</v>
      </c>
      <c r="E10631" s="560"/>
      <c r="F10631" s="560">
        <v>197605900</v>
      </c>
      <c r="G10631" s="560">
        <f t="shared" si="271"/>
        <v>-1065</v>
      </c>
      <c r="H10631" s="362"/>
      <c r="I10631" s="362"/>
      <c r="J10631" s="362"/>
    </row>
    <row r="10632" spans="1:13" x14ac:dyDescent="0.25">
      <c r="A10632" s="362"/>
      <c r="B10632" s="609">
        <v>44833</v>
      </c>
      <c r="C10632" s="362" t="s">
        <v>88</v>
      </c>
      <c r="D10632" s="560">
        <v>270222858</v>
      </c>
      <c r="E10632" s="560"/>
      <c r="F10632" s="560">
        <v>270222900</v>
      </c>
      <c r="G10632" s="560">
        <f t="shared" si="271"/>
        <v>-42</v>
      </c>
      <c r="H10632" s="362"/>
      <c r="I10632" s="362"/>
      <c r="J10632" s="362"/>
    </row>
    <row r="10633" spans="1:13" x14ac:dyDescent="0.25">
      <c r="A10633" s="362"/>
      <c r="B10633" s="609">
        <v>44833</v>
      </c>
      <c r="C10633" s="362" t="s">
        <v>82</v>
      </c>
      <c r="D10633" s="560">
        <v>105545845</v>
      </c>
      <c r="E10633" s="560"/>
      <c r="F10633" s="560">
        <v>105545900</v>
      </c>
      <c r="G10633" s="560">
        <f t="shared" si="271"/>
        <v>-55</v>
      </c>
      <c r="H10633" s="362"/>
      <c r="I10633" s="362"/>
      <c r="J10633" s="362"/>
    </row>
    <row r="10634" spans="1:13" x14ac:dyDescent="0.25">
      <c r="A10634" s="362"/>
      <c r="B10634" s="609">
        <v>44833</v>
      </c>
      <c r="C10634" s="362" t="s">
        <v>80</v>
      </c>
      <c r="D10634" s="560">
        <v>323623000</v>
      </c>
      <c r="E10634" s="560"/>
      <c r="F10634" s="560">
        <v>323623000</v>
      </c>
      <c r="G10634" s="560">
        <f t="shared" si="271"/>
        <v>0</v>
      </c>
      <c r="H10634" s="362"/>
      <c r="I10634" s="362"/>
      <c r="J10634" s="362"/>
      <c r="M10634" s="254" t="s">
        <v>6110</v>
      </c>
    </row>
    <row r="10635" spans="1:13" x14ac:dyDescent="0.25">
      <c r="A10635" s="362"/>
      <c r="B10635" s="609">
        <v>44833</v>
      </c>
      <c r="C10635" s="362" t="s">
        <v>83</v>
      </c>
      <c r="D10635" s="560">
        <v>210035319</v>
      </c>
      <c r="E10635" s="560"/>
      <c r="F10635" s="560">
        <v>210035400</v>
      </c>
      <c r="G10635" s="560">
        <f t="shared" si="271"/>
        <v>-81</v>
      </c>
      <c r="H10635" s="362"/>
      <c r="I10635" s="362"/>
      <c r="J10635" s="362"/>
    </row>
    <row r="10636" spans="1:13" x14ac:dyDescent="0.25">
      <c r="A10636" s="362"/>
      <c r="B10636" s="609">
        <v>44833</v>
      </c>
      <c r="C10636" s="362" t="s">
        <v>78</v>
      </c>
      <c r="D10636" s="560">
        <v>148830000</v>
      </c>
      <c r="E10636" s="560"/>
      <c r="F10636" s="560">
        <v>148830000</v>
      </c>
      <c r="G10636" s="560">
        <f t="shared" si="271"/>
        <v>0</v>
      </c>
      <c r="H10636" s="362"/>
      <c r="I10636" s="362"/>
      <c r="J10636" s="362"/>
    </row>
    <row r="10637" spans="1:13" x14ac:dyDescent="0.25">
      <c r="A10637" s="362"/>
      <c r="B10637" s="609">
        <v>44833</v>
      </c>
      <c r="C10637" s="362" t="s">
        <v>141</v>
      </c>
      <c r="D10637" s="560">
        <v>126708561</v>
      </c>
      <c r="E10637" s="560"/>
      <c r="F10637" s="560">
        <v>126708600</v>
      </c>
      <c r="G10637" s="560">
        <f t="shared" si="271"/>
        <v>-39</v>
      </c>
      <c r="H10637" s="362"/>
      <c r="I10637" s="362"/>
      <c r="J10637" s="362"/>
    </row>
    <row r="10638" spans="1:13" x14ac:dyDescent="0.25">
      <c r="A10638" s="362"/>
      <c r="B10638" s="609">
        <v>44833</v>
      </c>
      <c r="C10638" s="362" t="s">
        <v>89</v>
      </c>
      <c r="D10638" s="560">
        <v>182126500</v>
      </c>
      <c r="E10638" s="560"/>
      <c r="F10638" s="560">
        <v>182126500</v>
      </c>
      <c r="G10638" s="560">
        <f t="shared" si="271"/>
        <v>0</v>
      </c>
      <c r="H10638" s="362"/>
      <c r="I10638" s="362"/>
      <c r="J10638" s="362"/>
    </row>
    <row r="10639" spans="1:13" x14ac:dyDescent="0.25">
      <c r="A10639" s="362"/>
      <c r="B10639" s="609">
        <v>44833</v>
      </c>
      <c r="C10639" s="362" t="s">
        <v>81</v>
      </c>
      <c r="D10639" s="560">
        <v>96944162</v>
      </c>
      <c r="E10639" s="560"/>
      <c r="F10639" s="560">
        <v>96944200</v>
      </c>
      <c r="G10639" s="560">
        <f t="shared" si="271"/>
        <v>-38</v>
      </c>
      <c r="H10639" s="362"/>
      <c r="I10639" s="362"/>
      <c r="J10639" s="362"/>
    </row>
    <row r="10640" spans="1:13" x14ac:dyDescent="0.25">
      <c r="A10640" s="362"/>
      <c r="B10640" s="609">
        <v>44833</v>
      </c>
      <c r="C10640" s="362" t="s">
        <v>84</v>
      </c>
      <c r="D10640" s="560">
        <v>469676978</v>
      </c>
      <c r="E10640" s="560"/>
      <c r="F10640" s="560">
        <v>469677100</v>
      </c>
      <c r="G10640" s="560">
        <f t="shared" si="271"/>
        <v>-122</v>
      </c>
      <c r="H10640" s="362"/>
      <c r="I10640" s="362"/>
      <c r="J10640" s="362"/>
    </row>
    <row r="10641" spans="1:10" x14ac:dyDescent="0.25">
      <c r="A10641" s="362"/>
      <c r="B10641" s="609">
        <v>44833</v>
      </c>
      <c r="C10641" s="362" t="s">
        <v>4751</v>
      </c>
      <c r="D10641" s="560">
        <v>193399900</v>
      </c>
      <c r="E10641" s="560"/>
      <c r="F10641" s="560">
        <v>193399900</v>
      </c>
      <c r="G10641" s="560">
        <f t="shared" si="271"/>
        <v>0</v>
      </c>
      <c r="H10641" s="362"/>
      <c r="I10641" s="362"/>
      <c r="J10641" s="362"/>
    </row>
    <row r="10642" spans="1:10" x14ac:dyDescent="0.25">
      <c r="A10642" s="362"/>
      <c r="B10642" s="609">
        <v>44833</v>
      </c>
      <c r="C10642" s="362" t="s">
        <v>6301</v>
      </c>
      <c r="D10642" s="560">
        <v>86965428</v>
      </c>
      <c r="E10642" s="560"/>
      <c r="F10642" s="560">
        <v>86965500</v>
      </c>
      <c r="G10642" s="560">
        <f t="shared" si="271"/>
        <v>-72</v>
      </c>
      <c r="H10642" s="362"/>
      <c r="I10642" s="362"/>
      <c r="J10642" s="362"/>
    </row>
    <row r="10643" spans="1:10" x14ac:dyDescent="0.25">
      <c r="A10643" s="362"/>
      <c r="B10643" s="609">
        <v>44833</v>
      </c>
      <c r="C10643" s="362" t="s">
        <v>3435</v>
      </c>
      <c r="D10643" s="560"/>
      <c r="E10643" s="560"/>
      <c r="F10643" s="560">
        <v>72897400</v>
      </c>
      <c r="G10643" s="560">
        <f t="shared" si="271"/>
        <v>-72897400</v>
      </c>
      <c r="H10643" s="362"/>
      <c r="I10643" s="362"/>
      <c r="J10643" s="362"/>
    </row>
    <row r="10644" spans="1:10" x14ac:dyDescent="0.25">
      <c r="A10644" s="362"/>
      <c r="B10644" s="609">
        <v>44833</v>
      </c>
      <c r="C10644" s="370" t="s">
        <v>85</v>
      </c>
      <c r="D10644" s="560">
        <v>32555100</v>
      </c>
      <c r="E10644" s="560"/>
      <c r="F10644" s="560">
        <v>32555100</v>
      </c>
      <c r="G10644" s="560">
        <f t="shared" si="271"/>
        <v>0</v>
      </c>
      <c r="H10644" s="362"/>
      <c r="I10644" s="362"/>
      <c r="J10644" s="362"/>
    </row>
    <row r="10645" spans="1:10" x14ac:dyDescent="0.25">
      <c r="A10645" s="362"/>
      <c r="B10645" s="609">
        <v>44833</v>
      </c>
      <c r="C10645" s="370" t="s">
        <v>6299</v>
      </c>
      <c r="D10645" s="560">
        <v>83812041</v>
      </c>
      <c r="E10645" s="560"/>
      <c r="F10645" s="560">
        <v>83812200</v>
      </c>
      <c r="G10645" s="560">
        <f t="shared" si="271"/>
        <v>-159</v>
      </c>
      <c r="H10645" s="362"/>
      <c r="I10645" s="362"/>
      <c r="J10645" s="362"/>
    </row>
    <row r="10646" spans="1:10" x14ac:dyDescent="0.25">
      <c r="A10646" s="530"/>
      <c r="B10646" s="530"/>
      <c r="C10646" s="530"/>
      <c r="D10646" s="562">
        <f>SUM(D10630:D10645)</f>
        <v>2658551871</v>
      </c>
      <c r="E10646" s="562">
        <f t="shared" ref="E10646:G10646" si="275">SUM(E10630:E10645)</f>
        <v>0</v>
      </c>
      <c r="F10646" s="562">
        <f t="shared" si="275"/>
        <v>2731451000</v>
      </c>
      <c r="G10646" s="562">
        <f t="shared" si="275"/>
        <v>-72899129</v>
      </c>
      <c r="H10646" s="530"/>
      <c r="I10646" s="530"/>
      <c r="J10646" s="530"/>
    </row>
    <row r="10647" spans="1:10" x14ac:dyDescent="0.25">
      <c r="A10647" s="362"/>
      <c r="B10647" s="609">
        <v>44834</v>
      </c>
      <c r="C10647" s="362" t="s">
        <v>86</v>
      </c>
      <c r="D10647" s="560">
        <v>302398294</v>
      </c>
      <c r="E10647" s="560"/>
      <c r="F10647" s="1436">
        <v>302398200</v>
      </c>
      <c r="G10647" s="560">
        <f t="shared" si="271"/>
        <v>94</v>
      </c>
      <c r="H10647" s="362"/>
      <c r="I10647" s="362"/>
      <c r="J10647" s="362"/>
    </row>
    <row r="10648" spans="1:10" x14ac:dyDescent="0.25">
      <c r="A10648" s="362"/>
      <c r="B10648" s="609">
        <v>44834</v>
      </c>
      <c r="C10648" s="362" t="s">
        <v>87</v>
      </c>
      <c r="D10648" s="560">
        <v>161158101</v>
      </c>
      <c r="E10648" s="560"/>
      <c r="F10648" s="1436">
        <v>161158200</v>
      </c>
      <c r="G10648" s="560">
        <f t="shared" si="271"/>
        <v>-99</v>
      </c>
      <c r="H10648" s="362"/>
      <c r="I10648" s="362"/>
      <c r="J10648" s="362"/>
    </row>
    <row r="10649" spans="1:10" x14ac:dyDescent="0.25">
      <c r="A10649" s="362"/>
      <c r="B10649" s="609">
        <v>44834</v>
      </c>
      <c r="C10649" s="362" t="s">
        <v>88</v>
      </c>
      <c r="D10649" s="560">
        <v>140268914</v>
      </c>
      <c r="E10649" s="560"/>
      <c r="F10649" s="1436">
        <v>140269000</v>
      </c>
      <c r="G10649" s="560">
        <f t="shared" ref="G10649:G10712" si="276">D10649-F10649</f>
        <v>-86</v>
      </c>
      <c r="H10649" s="362"/>
      <c r="I10649" s="362"/>
      <c r="J10649" s="362"/>
    </row>
    <row r="10650" spans="1:10" x14ac:dyDescent="0.25">
      <c r="A10650" s="362"/>
      <c r="B10650" s="609">
        <v>44834</v>
      </c>
      <c r="C10650" s="362" t="s">
        <v>82</v>
      </c>
      <c r="D10650" s="560">
        <v>141059058</v>
      </c>
      <c r="E10650" s="560"/>
      <c r="F10650" s="1436">
        <v>141059100</v>
      </c>
      <c r="G10650" s="560">
        <f t="shared" si="276"/>
        <v>-42</v>
      </c>
      <c r="H10650" s="362"/>
      <c r="I10650" s="362"/>
      <c r="J10650" s="362"/>
    </row>
    <row r="10651" spans="1:10" x14ac:dyDescent="0.25">
      <c r="A10651" s="362"/>
      <c r="B10651" s="609">
        <v>44834</v>
      </c>
      <c r="C10651" s="362" t="s">
        <v>80</v>
      </c>
      <c r="D10651" s="560">
        <v>274022433</v>
      </c>
      <c r="E10651" s="560"/>
      <c r="F10651" s="1436">
        <v>274021800</v>
      </c>
      <c r="G10651" s="560">
        <f t="shared" si="276"/>
        <v>633</v>
      </c>
      <c r="H10651" s="362"/>
      <c r="I10651" s="362"/>
      <c r="J10651" s="362"/>
    </row>
    <row r="10652" spans="1:10" x14ac:dyDescent="0.25">
      <c r="A10652" s="362"/>
      <c r="B10652" s="609">
        <v>44834</v>
      </c>
      <c r="C10652" s="362" t="s">
        <v>83</v>
      </c>
      <c r="D10652" s="560">
        <v>201710300</v>
      </c>
      <c r="E10652" s="560"/>
      <c r="F10652" s="1436">
        <v>201710300</v>
      </c>
      <c r="G10652" s="560">
        <f t="shared" si="276"/>
        <v>0</v>
      </c>
      <c r="H10652" s="362"/>
      <c r="I10652" s="362"/>
      <c r="J10652" s="362"/>
    </row>
    <row r="10653" spans="1:10" x14ac:dyDescent="0.25">
      <c r="A10653" s="362"/>
      <c r="B10653" s="609">
        <v>44834</v>
      </c>
      <c r="C10653" s="362" t="s">
        <v>78</v>
      </c>
      <c r="D10653" s="560">
        <v>179522200</v>
      </c>
      <c r="E10653" s="560"/>
      <c r="F10653" s="1436">
        <v>179522200</v>
      </c>
      <c r="G10653" s="560">
        <f t="shared" si="276"/>
        <v>0</v>
      </c>
      <c r="H10653" s="362"/>
      <c r="I10653" s="362"/>
      <c r="J10653" s="362"/>
    </row>
    <row r="10654" spans="1:10" x14ac:dyDescent="0.25">
      <c r="A10654" s="362"/>
      <c r="B10654" s="609">
        <v>44834</v>
      </c>
      <c r="C10654" s="362" t="s">
        <v>141</v>
      </c>
      <c r="D10654" s="560">
        <v>189356913</v>
      </c>
      <c r="E10654" s="560"/>
      <c r="F10654" s="1436">
        <v>189357000</v>
      </c>
      <c r="G10654" s="560">
        <f t="shared" si="276"/>
        <v>-87</v>
      </c>
      <c r="H10654" s="362"/>
      <c r="I10654" s="362"/>
      <c r="J10654" s="362"/>
    </row>
    <row r="10655" spans="1:10" x14ac:dyDescent="0.25">
      <c r="A10655" s="362"/>
      <c r="B10655" s="609">
        <v>44834</v>
      </c>
      <c r="C10655" s="362" t="s">
        <v>89</v>
      </c>
      <c r="D10655" s="560">
        <v>208303000</v>
      </c>
      <c r="E10655" s="560"/>
      <c r="F10655" s="1436">
        <v>208303000</v>
      </c>
      <c r="G10655" s="560">
        <f t="shared" si="276"/>
        <v>0</v>
      </c>
      <c r="H10655" s="362"/>
      <c r="I10655" s="362"/>
      <c r="J10655" s="362"/>
    </row>
    <row r="10656" spans="1:10" x14ac:dyDescent="0.25">
      <c r="A10656" s="362"/>
      <c r="B10656" s="609">
        <v>44834</v>
      </c>
      <c r="C10656" s="362" t="s">
        <v>81</v>
      </c>
      <c r="D10656" s="560">
        <v>189829776</v>
      </c>
      <c r="E10656" s="560"/>
      <c r="F10656" s="1436">
        <f>166834299+22995477</f>
        <v>189829776</v>
      </c>
      <c r="G10656" s="560">
        <f t="shared" si="276"/>
        <v>0</v>
      </c>
      <c r="H10656" s="362"/>
      <c r="I10656" s="362"/>
      <c r="J10656" s="362"/>
    </row>
    <row r="10657" spans="1:13" x14ac:dyDescent="0.25">
      <c r="A10657" s="362"/>
      <c r="B10657" s="609">
        <v>44834</v>
      </c>
      <c r="C10657" s="362" t="s">
        <v>84</v>
      </c>
      <c r="D10657" s="560">
        <v>207842145</v>
      </c>
      <c r="E10657" s="560"/>
      <c r="F10657" s="1436">
        <v>207842400</v>
      </c>
      <c r="G10657" s="560">
        <f t="shared" si="276"/>
        <v>-255</v>
      </c>
      <c r="H10657" s="362"/>
      <c r="I10657" s="362"/>
      <c r="J10657" s="362"/>
    </row>
    <row r="10658" spans="1:13" x14ac:dyDescent="0.25">
      <c r="A10658" s="362"/>
      <c r="B10658" s="609">
        <v>44834</v>
      </c>
      <c r="C10658" s="362" t="s">
        <v>4751</v>
      </c>
      <c r="D10658" s="560">
        <v>127433600</v>
      </c>
      <c r="E10658" s="560"/>
      <c r="F10658" s="1436">
        <v>127433600</v>
      </c>
      <c r="G10658" s="560">
        <f t="shared" si="276"/>
        <v>0</v>
      </c>
      <c r="H10658" s="362"/>
      <c r="I10658" s="362"/>
      <c r="J10658" s="362"/>
    </row>
    <row r="10659" spans="1:13" x14ac:dyDescent="0.25">
      <c r="A10659" s="362"/>
      <c r="B10659" s="609">
        <v>44834</v>
      </c>
      <c r="C10659" s="362" t="s">
        <v>6301</v>
      </c>
      <c r="D10659" s="560">
        <v>76577182</v>
      </c>
      <c r="E10659" s="560"/>
      <c r="F10659" s="1436">
        <v>76577200</v>
      </c>
      <c r="G10659" s="560">
        <f t="shared" si="276"/>
        <v>-18</v>
      </c>
      <c r="H10659" s="362"/>
      <c r="I10659" s="362"/>
      <c r="J10659" s="362"/>
    </row>
    <row r="10660" spans="1:13" x14ac:dyDescent="0.25">
      <c r="A10660" s="362"/>
      <c r="B10660" s="609">
        <v>44834</v>
      </c>
      <c r="C10660" s="362" t="s">
        <v>3435</v>
      </c>
      <c r="D10660" s="560">
        <v>23809539</v>
      </c>
      <c r="E10660" s="560"/>
      <c r="F10660" s="1436">
        <v>23809600</v>
      </c>
      <c r="G10660" s="560">
        <f t="shared" si="276"/>
        <v>-61</v>
      </c>
      <c r="H10660" s="362"/>
      <c r="I10660" s="362"/>
      <c r="J10660" s="362"/>
    </row>
    <row r="10661" spans="1:13" x14ac:dyDescent="0.25">
      <c r="A10661" s="362"/>
      <c r="B10661" s="609">
        <v>44834</v>
      </c>
      <c r="C10661" s="370" t="s">
        <v>85</v>
      </c>
      <c r="D10661" s="560">
        <v>29382100</v>
      </c>
      <c r="E10661" s="560"/>
      <c r="F10661" s="1436">
        <v>29382100</v>
      </c>
      <c r="G10661" s="560">
        <f t="shared" si="276"/>
        <v>0</v>
      </c>
      <c r="H10661" s="362"/>
      <c r="I10661" s="362"/>
      <c r="J10661" s="362"/>
      <c r="L10661" s="254" t="s">
        <v>6309</v>
      </c>
      <c r="M10661" s="254" t="s">
        <v>6310</v>
      </c>
    </row>
    <row r="10662" spans="1:13" x14ac:dyDescent="0.25">
      <c r="A10662" s="362"/>
      <c r="B10662" s="609">
        <v>44834</v>
      </c>
      <c r="C10662" s="370" t="s">
        <v>6299</v>
      </c>
      <c r="D10662" s="560">
        <v>33574595</v>
      </c>
      <c r="E10662" s="560"/>
      <c r="F10662" s="1436">
        <v>33574600</v>
      </c>
      <c r="G10662" s="560">
        <f t="shared" si="276"/>
        <v>-5</v>
      </c>
      <c r="H10662" s="362"/>
      <c r="I10662" s="362"/>
      <c r="J10662" s="362"/>
      <c r="L10662" s="254" t="s">
        <v>6311</v>
      </c>
      <c r="M10662" s="254" t="s">
        <v>6312</v>
      </c>
    </row>
    <row r="10663" spans="1:13" x14ac:dyDescent="0.25">
      <c r="A10663" s="530"/>
      <c r="B10663" s="530"/>
      <c r="C10663" s="530"/>
      <c r="D10663" s="562">
        <f>SUM(D10647:D10662)</f>
        <v>2486248150</v>
      </c>
      <c r="E10663" s="562">
        <f t="shared" ref="E10663:G10663" si="277">SUM(E10647:E10662)</f>
        <v>0</v>
      </c>
      <c r="F10663" s="562">
        <f t="shared" si="277"/>
        <v>2486248076</v>
      </c>
      <c r="G10663" s="562">
        <f t="shared" si="277"/>
        <v>74</v>
      </c>
      <c r="H10663" s="530"/>
      <c r="I10663" s="530"/>
      <c r="J10663" s="530"/>
      <c r="L10663" s="254" t="s">
        <v>6313</v>
      </c>
      <c r="M10663" s="254" t="s">
        <v>6314</v>
      </c>
    </row>
    <row r="10664" spans="1:13" x14ac:dyDescent="0.25">
      <c r="A10664" s="362"/>
      <c r="B10664" s="609">
        <v>44835</v>
      </c>
      <c r="C10664" s="362" t="s">
        <v>86</v>
      </c>
      <c r="D10664" s="560">
        <v>38392361</v>
      </c>
      <c r="E10664" s="560"/>
      <c r="F10664" s="560">
        <v>38392400</v>
      </c>
      <c r="G10664" s="560">
        <f t="shared" si="276"/>
        <v>-39</v>
      </c>
      <c r="H10664" s="362"/>
      <c r="I10664" s="362"/>
      <c r="J10664" s="362"/>
    </row>
    <row r="10665" spans="1:13" x14ac:dyDescent="0.25">
      <c r="A10665" s="362"/>
      <c r="B10665" s="609">
        <v>44835</v>
      </c>
      <c r="C10665" s="362" t="s">
        <v>87</v>
      </c>
      <c r="D10665" s="560">
        <v>230736637</v>
      </c>
      <c r="E10665" s="560"/>
      <c r="F10665" s="560">
        <v>230736700</v>
      </c>
      <c r="G10665" s="560">
        <f t="shared" si="276"/>
        <v>-63</v>
      </c>
      <c r="H10665" s="362"/>
      <c r="I10665" s="362"/>
      <c r="J10665" s="362"/>
    </row>
    <row r="10666" spans="1:13" x14ac:dyDescent="0.25">
      <c r="A10666" s="362"/>
      <c r="B10666" s="609">
        <v>44835</v>
      </c>
      <c r="C10666" s="362" t="s">
        <v>88</v>
      </c>
      <c r="D10666" s="560">
        <v>114765683</v>
      </c>
      <c r="E10666" s="560"/>
      <c r="F10666" s="1436">
        <v>114765700</v>
      </c>
      <c r="G10666" s="560">
        <f t="shared" si="276"/>
        <v>-17</v>
      </c>
      <c r="H10666" s="362"/>
      <c r="I10666" s="362"/>
      <c r="J10666" s="362"/>
    </row>
    <row r="10667" spans="1:13" x14ac:dyDescent="0.25">
      <c r="A10667" s="362"/>
      <c r="B10667" s="609">
        <v>44835</v>
      </c>
      <c r="C10667" s="362" t="s">
        <v>82</v>
      </c>
      <c r="D10667" s="560">
        <v>68537827</v>
      </c>
      <c r="E10667" s="560"/>
      <c r="F10667" s="560">
        <v>68538900</v>
      </c>
      <c r="G10667" s="560">
        <f t="shared" si="276"/>
        <v>-1073</v>
      </c>
      <c r="H10667" s="362"/>
      <c r="I10667" s="362"/>
      <c r="J10667" s="362"/>
    </row>
    <row r="10668" spans="1:13" x14ac:dyDescent="0.25">
      <c r="A10668" s="362"/>
      <c r="B10668" s="609">
        <v>44835</v>
      </c>
      <c r="C10668" s="362" t="s">
        <v>80</v>
      </c>
      <c r="D10668" s="560">
        <v>295305100</v>
      </c>
      <c r="E10668" s="560"/>
      <c r="F10668" s="1436">
        <v>295305100</v>
      </c>
      <c r="G10668" s="560">
        <f t="shared" si="276"/>
        <v>0</v>
      </c>
      <c r="H10668" s="362"/>
      <c r="I10668" s="362"/>
      <c r="J10668" s="362"/>
    </row>
    <row r="10669" spans="1:13" x14ac:dyDescent="0.25">
      <c r="A10669" s="362"/>
      <c r="B10669" s="609">
        <v>44835</v>
      </c>
      <c r="C10669" s="362" t="s">
        <v>83</v>
      </c>
      <c r="D10669" s="560">
        <v>266595500</v>
      </c>
      <c r="E10669" s="560"/>
      <c r="F10669" s="1436">
        <v>266595500</v>
      </c>
      <c r="G10669" s="560">
        <f t="shared" si="276"/>
        <v>0</v>
      </c>
      <c r="H10669" s="362"/>
      <c r="I10669" s="362"/>
      <c r="J10669" s="362"/>
    </row>
    <row r="10670" spans="1:13" x14ac:dyDescent="0.25">
      <c r="A10670" s="362"/>
      <c r="B10670" s="609">
        <v>44835</v>
      </c>
      <c r="C10670" s="362" t="s">
        <v>78</v>
      </c>
      <c r="D10670" s="560">
        <v>138023800</v>
      </c>
      <c r="E10670" s="560"/>
      <c r="F10670" s="1436">
        <v>138023800</v>
      </c>
      <c r="G10670" s="560">
        <f t="shared" si="276"/>
        <v>0</v>
      </c>
      <c r="H10670" s="362"/>
      <c r="I10670" s="362"/>
      <c r="J10670" s="362"/>
    </row>
    <row r="10671" spans="1:13" x14ac:dyDescent="0.25">
      <c r="A10671" s="362"/>
      <c r="B10671" s="609">
        <v>44835</v>
      </c>
      <c r="C10671" s="362" t="s">
        <v>141</v>
      </c>
      <c r="D10671" s="560">
        <v>55751255</v>
      </c>
      <c r="E10671" s="560"/>
      <c r="F10671" s="560">
        <v>55751300</v>
      </c>
      <c r="G10671" s="560">
        <f t="shared" si="276"/>
        <v>-45</v>
      </c>
      <c r="H10671" s="362"/>
      <c r="I10671" s="362"/>
      <c r="J10671" s="362"/>
    </row>
    <row r="10672" spans="1:13" x14ac:dyDescent="0.25">
      <c r="A10672" s="362"/>
      <c r="B10672" s="609">
        <v>44835</v>
      </c>
      <c r="C10672" s="362" t="s">
        <v>89</v>
      </c>
      <c r="D10672" s="560">
        <v>148675500</v>
      </c>
      <c r="E10672" s="560"/>
      <c r="F10672" s="1436">
        <v>148675500</v>
      </c>
      <c r="G10672" s="560">
        <f t="shared" si="276"/>
        <v>0</v>
      </c>
      <c r="H10672" s="362"/>
      <c r="I10672" s="362"/>
      <c r="J10672" s="362"/>
    </row>
    <row r="10673" spans="1:10" x14ac:dyDescent="0.25">
      <c r="A10673" s="362"/>
      <c r="B10673" s="609">
        <v>44835</v>
      </c>
      <c r="C10673" s="362" t="s">
        <v>81</v>
      </c>
      <c r="D10673" s="560">
        <v>108807576</v>
      </c>
      <c r="E10673" s="560"/>
      <c r="F10673" s="1436">
        <f>24128839+84678761</f>
        <v>108807600</v>
      </c>
      <c r="G10673" s="560">
        <f t="shared" si="276"/>
        <v>-24</v>
      </c>
      <c r="H10673" s="362"/>
      <c r="I10673" s="362"/>
      <c r="J10673" s="362"/>
    </row>
    <row r="10674" spans="1:10" x14ac:dyDescent="0.25">
      <c r="A10674" s="362"/>
      <c r="B10674" s="609">
        <v>44835</v>
      </c>
      <c r="C10674" s="362" t="s">
        <v>84</v>
      </c>
      <c r="D10674" s="560">
        <v>224423873</v>
      </c>
      <c r="E10674" s="560"/>
      <c r="F10674" s="1436">
        <v>224425000</v>
      </c>
      <c r="G10674" s="560">
        <f t="shared" si="276"/>
        <v>-1127</v>
      </c>
      <c r="H10674" s="362"/>
      <c r="I10674" s="362"/>
      <c r="J10674" s="362"/>
    </row>
    <row r="10675" spans="1:10" x14ac:dyDescent="0.25">
      <c r="A10675" s="362"/>
      <c r="B10675" s="609">
        <v>44835</v>
      </c>
      <c r="C10675" s="362" t="s">
        <v>4751</v>
      </c>
      <c r="D10675" s="560">
        <v>160203600</v>
      </c>
      <c r="E10675" s="560"/>
      <c r="F10675" s="1436">
        <v>160203600</v>
      </c>
      <c r="G10675" s="560">
        <f t="shared" si="276"/>
        <v>0</v>
      </c>
      <c r="H10675" s="362"/>
      <c r="I10675" s="362"/>
      <c r="J10675" s="362"/>
    </row>
    <row r="10676" spans="1:10" x14ac:dyDescent="0.25">
      <c r="A10676" s="362"/>
      <c r="B10676" s="609">
        <v>44835</v>
      </c>
      <c r="C10676" s="362" t="s">
        <v>6301</v>
      </c>
      <c r="D10676" s="560">
        <v>79493900</v>
      </c>
      <c r="E10676" s="560"/>
      <c r="F10676" s="560">
        <v>79493900</v>
      </c>
      <c r="G10676" s="560">
        <f t="shared" si="276"/>
        <v>0</v>
      </c>
      <c r="H10676" s="362"/>
      <c r="I10676" s="362"/>
      <c r="J10676" s="362"/>
    </row>
    <row r="10677" spans="1:10" x14ac:dyDescent="0.25">
      <c r="A10677" s="362"/>
      <c r="B10677" s="609">
        <v>44835</v>
      </c>
      <c r="C10677" s="362" t="s">
        <v>3435</v>
      </c>
      <c r="D10677" s="560"/>
      <c r="E10677" s="560"/>
      <c r="F10677" s="560"/>
      <c r="G10677" s="560">
        <f t="shared" si="276"/>
        <v>0</v>
      </c>
      <c r="H10677" s="362"/>
      <c r="I10677" s="362"/>
      <c r="J10677" s="362"/>
    </row>
    <row r="10678" spans="1:10" x14ac:dyDescent="0.25">
      <c r="A10678" s="362"/>
      <c r="B10678" s="609">
        <v>44835</v>
      </c>
      <c r="C10678" s="370" t="s">
        <v>85</v>
      </c>
      <c r="D10678" s="560">
        <v>44234600</v>
      </c>
      <c r="E10678" s="560"/>
      <c r="F10678" s="560">
        <v>44234600</v>
      </c>
      <c r="G10678" s="560">
        <f t="shared" si="276"/>
        <v>0</v>
      </c>
      <c r="H10678" s="362"/>
      <c r="I10678" s="362"/>
      <c r="J10678" s="362"/>
    </row>
    <row r="10679" spans="1:10" x14ac:dyDescent="0.25">
      <c r="A10679" s="362"/>
      <c r="B10679" s="609">
        <v>44835</v>
      </c>
      <c r="C10679" s="370" t="s">
        <v>6299</v>
      </c>
      <c r="D10679" s="560">
        <v>36292796</v>
      </c>
      <c r="E10679" s="560"/>
      <c r="F10679" s="560">
        <v>36292800</v>
      </c>
      <c r="G10679" s="560">
        <f t="shared" si="276"/>
        <v>-4</v>
      </c>
      <c r="H10679" s="362"/>
      <c r="I10679" s="362"/>
      <c r="J10679" s="362"/>
    </row>
    <row r="10680" spans="1:10" x14ac:dyDescent="0.25">
      <c r="A10680" s="530"/>
      <c r="B10680" s="530"/>
      <c r="C10680" s="530"/>
      <c r="D10680" s="562">
        <f>SUM(D10664:D10679)</f>
        <v>2010240008</v>
      </c>
      <c r="E10680" s="562">
        <f t="shared" ref="E10680:G10680" si="278">SUM(E10664:E10679)</f>
        <v>0</v>
      </c>
      <c r="F10680" s="562">
        <f t="shared" si="278"/>
        <v>2010242400</v>
      </c>
      <c r="G10680" s="562">
        <f t="shared" si="278"/>
        <v>-2392</v>
      </c>
      <c r="H10680" s="530"/>
      <c r="I10680" s="530"/>
      <c r="J10680" s="530"/>
    </row>
    <row r="10681" spans="1:10" x14ac:dyDescent="0.25">
      <c r="A10681" s="362"/>
      <c r="B10681" s="609">
        <v>44837</v>
      </c>
      <c r="C10681" s="362" t="s">
        <v>86</v>
      </c>
      <c r="D10681" s="560">
        <v>61736499</v>
      </c>
      <c r="E10681" s="560"/>
      <c r="F10681" s="1436">
        <v>61736600</v>
      </c>
      <c r="G10681" s="560">
        <f t="shared" si="276"/>
        <v>-101</v>
      </c>
      <c r="H10681" s="362"/>
      <c r="I10681" s="362"/>
      <c r="J10681" s="362"/>
    </row>
    <row r="10682" spans="1:10" x14ac:dyDescent="0.25">
      <c r="A10682" s="362"/>
      <c r="B10682" s="609">
        <v>44837</v>
      </c>
      <c r="C10682" s="362" t="s">
        <v>87</v>
      </c>
      <c r="D10682" s="560">
        <v>128726295</v>
      </c>
      <c r="E10682" s="560"/>
      <c r="F10682" s="1436">
        <v>128726400</v>
      </c>
      <c r="G10682" s="560">
        <f t="shared" si="276"/>
        <v>-105</v>
      </c>
      <c r="H10682" s="362"/>
      <c r="I10682" s="362"/>
      <c r="J10682" s="362"/>
    </row>
    <row r="10683" spans="1:10" x14ac:dyDescent="0.25">
      <c r="A10683" s="362"/>
      <c r="B10683" s="609">
        <v>44837</v>
      </c>
      <c r="C10683" s="362" t="s">
        <v>88</v>
      </c>
      <c r="D10683" s="560">
        <v>178797733</v>
      </c>
      <c r="E10683" s="560"/>
      <c r="F10683" s="1436">
        <v>178797800</v>
      </c>
      <c r="G10683" s="560">
        <f t="shared" si="276"/>
        <v>-67</v>
      </c>
      <c r="H10683" s="362"/>
      <c r="I10683" s="362"/>
      <c r="J10683" s="362"/>
    </row>
    <row r="10684" spans="1:10" x14ac:dyDescent="0.25">
      <c r="A10684" s="362"/>
      <c r="B10684" s="609">
        <v>44837</v>
      </c>
      <c r="C10684" s="362" t="s">
        <v>82</v>
      </c>
      <c r="D10684" s="560">
        <v>55203693</v>
      </c>
      <c r="E10684" s="560"/>
      <c r="F10684" s="1436">
        <v>55203700</v>
      </c>
      <c r="G10684" s="560">
        <f t="shared" si="276"/>
        <v>-7</v>
      </c>
      <c r="H10684" s="362"/>
      <c r="I10684" s="362"/>
      <c r="J10684" s="362"/>
    </row>
    <row r="10685" spans="1:10" x14ac:dyDescent="0.25">
      <c r="A10685" s="362"/>
      <c r="B10685" s="609">
        <v>44837</v>
      </c>
      <c r="C10685" s="362" t="s">
        <v>80</v>
      </c>
      <c r="D10685" s="560">
        <v>220853073</v>
      </c>
      <c r="E10685" s="560"/>
      <c r="F10685" s="1436">
        <v>220869200</v>
      </c>
      <c r="G10685" s="560">
        <f t="shared" si="276"/>
        <v>-16127</v>
      </c>
      <c r="H10685" s="362"/>
      <c r="I10685" s="362"/>
      <c r="J10685" s="362"/>
    </row>
    <row r="10686" spans="1:10" x14ac:dyDescent="0.25">
      <c r="A10686" s="362"/>
      <c r="B10686" s="609">
        <v>44837</v>
      </c>
      <c r="C10686" s="362" t="s">
        <v>83</v>
      </c>
      <c r="D10686" s="560">
        <v>195830900</v>
      </c>
      <c r="E10686" s="560"/>
      <c r="F10686" s="1436">
        <v>195830900</v>
      </c>
      <c r="G10686" s="560">
        <f t="shared" si="276"/>
        <v>0</v>
      </c>
      <c r="H10686" s="362"/>
      <c r="I10686" s="362"/>
      <c r="J10686" s="362"/>
    </row>
    <row r="10687" spans="1:10" x14ac:dyDescent="0.25">
      <c r="A10687" s="362"/>
      <c r="B10687" s="609">
        <v>44837</v>
      </c>
      <c r="C10687" s="362" t="s">
        <v>78</v>
      </c>
      <c r="D10687" s="560">
        <v>87972800</v>
      </c>
      <c r="E10687" s="560"/>
      <c r="F10687" s="1436">
        <v>87972800</v>
      </c>
      <c r="G10687" s="560">
        <f t="shared" si="276"/>
        <v>0</v>
      </c>
      <c r="H10687" s="362"/>
      <c r="I10687" s="362"/>
      <c r="J10687" s="362"/>
    </row>
    <row r="10688" spans="1:10" x14ac:dyDescent="0.25">
      <c r="A10688" s="362"/>
      <c r="B10688" s="609">
        <v>44837</v>
      </c>
      <c r="C10688" s="362" t="s">
        <v>141</v>
      </c>
      <c r="D10688" s="560">
        <v>58342333</v>
      </c>
      <c r="E10688" s="560"/>
      <c r="F10688" s="1436">
        <v>58342400</v>
      </c>
      <c r="G10688" s="560">
        <f t="shared" si="276"/>
        <v>-67</v>
      </c>
      <c r="H10688" s="362"/>
      <c r="I10688" s="362"/>
      <c r="J10688" s="362"/>
    </row>
    <row r="10689" spans="1:10" x14ac:dyDescent="0.25">
      <c r="A10689" s="362"/>
      <c r="B10689" s="609">
        <v>44837</v>
      </c>
      <c r="C10689" s="362" t="s">
        <v>89</v>
      </c>
      <c r="D10689" s="560">
        <v>147610000</v>
      </c>
      <c r="E10689" s="560"/>
      <c r="F10689" s="1436">
        <v>147610000</v>
      </c>
      <c r="G10689" s="560">
        <f t="shared" si="276"/>
        <v>0</v>
      </c>
      <c r="H10689" s="362"/>
      <c r="I10689" s="362"/>
      <c r="J10689" s="362"/>
    </row>
    <row r="10690" spans="1:10" x14ac:dyDescent="0.25">
      <c r="A10690" s="362"/>
      <c r="B10690" s="609">
        <v>44837</v>
      </c>
      <c r="C10690" s="362" t="s">
        <v>81</v>
      </c>
      <c r="D10690" s="560">
        <v>123280900</v>
      </c>
      <c r="E10690" s="560"/>
      <c r="F10690" s="1436">
        <v>123280900</v>
      </c>
      <c r="G10690" s="560">
        <f t="shared" si="276"/>
        <v>0</v>
      </c>
      <c r="H10690" s="362"/>
      <c r="I10690" s="362"/>
      <c r="J10690" s="362"/>
    </row>
    <row r="10691" spans="1:10" x14ac:dyDescent="0.25">
      <c r="A10691" s="362"/>
      <c r="B10691" s="609">
        <v>44837</v>
      </c>
      <c r="C10691" s="362" t="s">
        <v>84</v>
      </c>
      <c r="D10691" s="560">
        <v>317112960</v>
      </c>
      <c r="E10691" s="560"/>
      <c r="F10691" s="1436">
        <v>317113000</v>
      </c>
      <c r="G10691" s="560">
        <f t="shared" si="276"/>
        <v>-40</v>
      </c>
      <c r="H10691" s="362"/>
      <c r="I10691" s="362"/>
      <c r="J10691" s="362"/>
    </row>
    <row r="10692" spans="1:10" x14ac:dyDescent="0.25">
      <c r="A10692" s="362"/>
      <c r="B10692" s="609">
        <v>44837</v>
      </c>
      <c r="C10692" s="362" t="s">
        <v>4751</v>
      </c>
      <c r="D10692" s="560">
        <v>176641500</v>
      </c>
      <c r="E10692" s="560"/>
      <c r="F10692" s="1436">
        <v>176641500</v>
      </c>
      <c r="G10692" s="560">
        <f t="shared" si="276"/>
        <v>0</v>
      </c>
      <c r="H10692" s="362"/>
      <c r="I10692" s="362"/>
      <c r="J10692" s="362"/>
    </row>
    <row r="10693" spans="1:10" x14ac:dyDescent="0.25">
      <c r="A10693" s="362"/>
      <c r="B10693" s="609">
        <v>44837</v>
      </c>
      <c r="C10693" s="362" t="s">
        <v>6301</v>
      </c>
      <c r="D10693" s="560">
        <v>93872662</v>
      </c>
      <c r="E10693" s="560"/>
      <c r="F10693" s="1436">
        <v>93873000</v>
      </c>
      <c r="G10693" s="560">
        <f t="shared" si="276"/>
        <v>-338</v>
      </c>
      <c r="H10693" s="362"/>
      <c r="I10693" s="362"/>
      <c r="J10693" s="362"/>
    </row>
    <row r="10694" spans="1:10" x14ac:dyDescent="0.25">
      <c r="A10694" s="362"/>
      <c r="B10694" s="609">
        <v>44837</v>
      </c>
      <c r="C10694" s="362" t="s">
        <v>3435</v>
      </c>
      <c r="D10694" s="560">
        <v>28916075</v>
      </c>
      <c r="E10694" s="560"/>
      <c r="F10694" s="1436">
        <v>28916100</v>
      </c>
      <c r="G10694" s="560">
        <f t="shared" si="276"/>
        <v>-25</v>
      </c>
      <c r="H10694" s="362"/>
      <c r="I10694" s="362"/>
      <c r="J10694" s="362"/>
    </row>
    <row r="10695" spans="1:10" x14ac:dyDescent="0.25">
      <c r="A10695" s="362"/>
      <c r="B10695" s="609">
        <v>44837</v>
      </c>
      <c r="C10695" s="370" t="s">
        <v>85</v>
      </c>
      <c r="D10695" s="560">
        <v>62393200</v>
      </c>
      <c r="E10695" s="560"/>
      <c r="F10695" s="1436">
        <v>62393200</v>
      </c>
      <c r="G10695" s="560">
        <f t="shared" si="276"/>
        <v>0</v>
      </c>
      <c r="H10695" s="362"/>
      <c r="I10695" s="362"/>
      <c r="J10695" s="362"/>
    </row>
    <row r="10696" spans="1:10" x14ac:dyDescent="0.25">
      <c r="A10696" s="362"/>
      <c r="B10696" s="609">
        <v>44837</v>
      </c>
      <c r="C10696" s="370" t="s">
        <v>6299</v>
      </c>
      <c r="D10696" s="560">
        <v>17959000</v>
      </c>
      <c r="E10696" s="560"/>
      <c r="F10696" s="1436">
        <v>14959000</v>
      </c>
      <c r="G10696" s="560">
        <f t="shared" si="276"/>
        <v>3000000</v>
      </c>
      <c r="H10696" s="362"/>
      <c r="I10696" s="362"/>
      <c r="J10696" s="362"/>
    </row>
    <row r="10697" spans="1:10" x14ac:dyDescent="0.25">
      <c r="A10697" s="530"/>
      <c r="B10697" s="530"/>
      <c r="C10697" s="530"/>
      <c r="D10697" s="562">
        <f>SUM(D10681:D10696)</f>
        <v>1955249623</v>
      </c>
      <c r="E10697" s="562">
        <f t="shared" ref="E10697:G10697" si="279">SUM(E10681:E10696)</f>
        <v>0</v>
      </c>
      <c r="F10697" s="562">
        <f t="shared" si="279"/>
        <v>1952266500</v>
      </c>
      <c r="G10697" s="562">
        <f t="shared" si="279"/>
        <v>2983123</v>
      </c>
      <c r="H10697" s="530"/>
      <c r="I10697" s="530"/>
      <c r="J10697" s="530"/>
    </row>
    <row r="10698" spans="1:10" x14ac:dyDescent="0.25">
      <c r="A10698" s="362"/>
      <c r="B10698" s="609">
        <v>44838</v>
      </c>
      <c r="C10698" s="362" t="s">
        <v>86</v>
      </c>
      <c r="D10698" s="560">
        <v>50974786</v>
      </c>
      <c r="E10698" s="560"/>
      <c r="F10698" s="1436">
        <v>50974800</v>
      </c>
      <c r="G10698" s="560">
        <f t="shared" si="276"/>
        <v>-14</v>
      </c>
      <c r="H10698" s="362"/>
      <c r="I10698" s="362"/>
      <c r="J10698" s="362"/>
    </row>
    <row r="10699" spans="1:10" x14ac:dyDescent="0.25">
      <c r="A10699" s="362"/>
      <c r="B10699" s="609">
        <v>44838</v>
      </c>
      <c r="C10699" s="362" t="s">
        <v>87</v>
      </c>
      <c r="D10699" s="560">
        <v>198023587</v>
      </c>
      <c r="E10699" s="560"/>
      <c r="F10699" s="1436">
        <v>198023600</v>
      </c>
      <c r="G10699" s="560">
        <f t="shared" si="276"/>
        <v>-13</v>
      </c>
      <c r="H10699" s="362"/>
      <c r="I10699" s="362"/>
      <c r="J10699" s="362"/>
    </row>
    <row r="10700" spans="1:10" x14ac:dyDescent="0.25">
      <c r="A10700" s="362"/>
      <c r="B10700" s="609">
        <v>44838</v>
      </c>
      <c r="C10700" s="362" t="s">
        <v>88</v>
      </c>
      <c r="D10700" s="560">
        <v>139303054</v>
      </c>
      <c r="E10700" s="560"/>
      <c r="F10700" s="1436">
        <v>139303100</v>
      </c>
      <c r="G10700" s="560">
        <f t="shared" si="276"/>
        <v>-46</v>
      </c>
      <c r="H10700" s="362"/>
      <c r="I10700" s="362"/>
      <c r="J10700" s="362"/>
    </row>
    <row r="10701" spans="1:10" x14ac:dyDescent="0.25">
      <c r="A10701" s="362"/>
      <c r="B10701" s="609">
        <v>44838</v>
      </c>
      <c r="C10701" s="362" t="s">
        <v>82</v>
      </c>
      <c r="D10701" s="560">
        <v>72516543</v>
      </c>
      <c r="E10701" s="560"/>
      <c r="F10701" s="1436">
        <v>72516700</v>
      </c>
      <c r="G10701" s="560">
        <f t="shared" si="276"/>
        <v>-157</v>
      </c>
      <c r="H10701" s="362"/>
      <c r="I10701" s="362"/>
      <c r="J10701" s="362"/>
    </row>
    <row r="10702" spans="1:10" x14ac:dyDescent="0.25">
      <c r="A10702" s="362"/>
      <c r="B10702" s="609">
        <v>44838</v>
      </c>
      <c r="C10702" s="362" t="s">
        <v>80</v>
      </c>
      <c r="D10702" s="560">
        <v>213398000</v>
      </c>
      <c r="E10702" s="560"/>
      <c r="F10702" s="1436">
        <v>213398000</v>
      </c>
      <c r="G10702" s="560">
        <f t="shared" si="276"/>
        <v>0</v>
      </c>
      <c r="H10702" s="362"/>
      <c r="I10702" s="362"/>
      <c r="J10702" s="362"/>
    </row>
    <row r="10703" spans="1:10" x14ac:dyDescent="0.25">
      <c r="A10703" s="362"/>
      <c r="B10703" s="609">
        <v>44838</v>
      </c>
      <c r="C10703" s="362" t="s">
        <v>83</v>
      </c>
      <c r="D10703" s="560">
        <v>273016005</v>
      </c>
      <c r="E10703" s="560"/>
      <c r="F10703" s="1436">
        <v>273015900</v>
      </c>
      <c r="G10703" s="560">
        <f t="shared" si="276"/>
        <v>105</v>
      </c>
      <c r="H10703" s="362"/>
      <c r="I10703" s="362"/>
      <c r="J10703" s="362"/>
    </row>
    <row r="10704" spans="1:10" x14ac:dyDescent="0.25">
      <c r="A10704" s="362"/>
      <c r="B10704" s="609">
        <v>44838</v>
      </c>
      <c r="C10704" s="362" t="s">
        <v>78</v>
      </c>
      <c r="D10704" s="560">
        <v>113758300</v>
      </c>
      <c r="E10704" s="560"/>
      <c r="F10704" s="1436">
        <v>113758300</v>
      </c>
      <c r="G10704" s="560">
        <f t="shared" si="276"/>
        <v>0</v>
      </c>
      <c r="H10704" s="362"/>
      <c r="I10704" s="362"/>
      <c r="J10704" s="362"/>
    </row>
    <row r="10705" spans="1:10" x14ac:dyDescent="0.25">
      <c r="A10705" s="362"/>
      <c r="B10705" s="609">
        <v>44838</v>
      </c>
      <c r="C10705" s="362" t="s">
        <v>141</v>
      </c>
      <c r="D10705" s="560">
        <v>125216305</v>
      </c>
      <c r="E10705" s="560"/>
      <c r="F10705" s="1436">
        <v>125216400</v>
      </c>
      <c r="G10705" s="560">
        <f t="shared" si="276"/>
        <v>-95</v>
      </c>
      <c r="H10705" s="362"/>
      <c r="I10705" s="362"/>
      <c r="J10705" s="362"/>
    </row>
    <row r="10706" spans="1:10" x14ac:dyDescent="0.25">
      <c r="A10706" s="362"/>
      <c r="B10706" s="609">
        <v>44838</v>
      </c>
      <c r="C10706" s="362" t="s">
        <v>89</v>
      </c>
      <c r="D10706" s="560">
        <v>181627300</v>
      </c>
      <c r="E10706" s="560"/>
      <c r="F10706" s="1436">
        <v>181627300</v>
      </c>
      <c r="G10706" s="560">
        <f t="shared" si="276"/>
        <v>0</v>
      </c>
      <c r="H10706" s="362"/>
      <c r="I10706" s="362"/>
      <c r="J10706" s="362"/>
    </row>
    <row r="10707" spans="1:10" x14ac:dyDescent="0.25">
      <c r="A10707" s="362"/>
      <c r="B10707" s="609">
        <v>44838</v>
      </c>
      <c r="C10707" s="362" t="s">
        <v>81</v>
      </c>
      <c r="D10707" s="560">
        <v>87711090</v>
      </c>
      <c r="E10707" s="560"/>
      <c r="F10707" s="1436">
        <v>87711100</v>
      </c>
      <c r="G10707" s="560">
        <f t="shared" si="276"/>
        <v>-10</v>
      </c>
      <c r="H10707" s="362"/>
      <c r="I10707" s="362"/>
      <c r="J10707" s="362"/>
    </row>
    <row r="10708" spans="1:10" x14ac:dyDescent="0.25">
      <c r="A10708" s="362"/>
      <c r="B10708" s="609">
        <v>44838</v>
      </c>
      <c r="C10708" s="362" t="s">
        <v>84</v>
      </c>
      <c r="D10708" s="560">
        <v>268717600</v>
      </c>
      <c r="E10708" s="560"/>
      <c r="F10708" s="1436">
        <v>268718400</v>
      </c>
      <c r="G10708" s="560">
        <f t="shared" si="276"/>
        <v>-800</v>
      </c>
      <c r="H10708" s="362"/>
      <c r="I10708" s="362"/>
      <c r="J10708" s="362"/>
    </row>
    <row r="10709" spans="1:10" x14ac:dyDescent="0.25">
      <c r="A10709" s="362"/>
      <c r="B10709" s="609">
        <v>44838</v>
      </c>
      <c r="C10709" s="362" t="s">
        <v>4751</v>
      </c>
      <c r="D10709" s="560">
        <v>240918900</v>
      </c>
      <c r="E10709" s="560"/>
      <c r="F10709" s="1436">
        <v>240918900</v>
      </c>
      <c r="G10709" s="560">
        <f t="shared" si="276"/>
        <v>0</v>
      </c>
      <c r="H10709" s="362"/>
      <c r="I10709" s="362"/>
      <c r="J10709" s="362"/>
    </row>
    <row r="10710" spans="1:10" x14ac:dyDescent="0.25">
      <c r="A10710" s="362"/>
      <c r="B10710" s="609">
        <v>44838</v>
      </c>
      <c r="C10710" s="362" t="s">
        <v>6301</v>
      </c>
      <c r="D10710" s="560">
        <v>179459459</v>
      </c>
      <c r="E10710" s="560"/>
      <c r="F10710" s="1436">
        <v>179459500</v>
      </c>
      <c r="G10710" s="560">
        <f t="shared" si="276"/>
        <v>-41</v>
      </c>
      <c r="H10710" s="362"/>
      <c r="I10710" s="362"/>
      <c r="J10710" s="362"/>
    </row>
    <row r="10711" spans="1:10" x14ac:dyDescent="0.25">
      <c r="A10711" s="362"/>
      <c r="B10711" s="609">
        <v>44838</v>
      </c>
      <c r="C10711" s="362" t="s">
        <v>3435</v>
      </c>
      <c r="D10711" s="560">
        <v>96760900</v>
      </c>
      <c r="E10711" s="560"/>
      <c r="F10711" s="1436">
        <v>96760900</v>
      </c>
      <c r="G10711" s="560">
        <f t="shared" si="276"/>
        <v>0</v>
      </c>
      <c r="H10711" s="362"/>
      <c r="I10711" s="362"/>
      <c r="J10711" s="362"/>
    </row>
    <row r="10712" spans="1:10" x14ac:dyDescent="0.25">
      <c r="A10712" s="362"/>
      <c r="B10712" s="609">
        <v>44838</v>
      </c>
      <c r="C10712" s="370" t="s">
        <v>85</v>
      </c>
      <c r="D10712" s="560">
        <v>44953900</v>
      </c>
      <c r="E10712" s="560"/>
      <c r="F10712" s="1436">
        <v>44953900</v>
      </c>
      <c r="G10712" s="560">
        <f t="shared" si="276"/>
        <v>0</v>
      </c>
      <c r="H10712" s="362"/>
      <c r="I10712" s="362"/>
      <c r="J10712" s="362"/>
    </row>
    <row r="10713" spans="1:10" x14ac:dyDescent="0.25">
      <c r="A10713" s="362"/>
      <c r="B10713" s="609">
        <v>44838</v>
      </c>
      <c r="C10713" s="370" t="s">
        <v>6299</v>
      </c>
      <c r="D10713" s="560">
        <v>19388163</v>
      </c>
      <c r="E10713" s="560"/>
      <c r="F10713" s="1436">
        <v>19388300</v>
      </c>
      <c r="G10713" s="560">
        <f t="shared" ref="G10713:G10776" si="280">D10713-F10713</f>
        <v>-137</v>
      </c>
      <c r="H10713" s="362"/>
      <c r="I10713" s="362"/>
      <c r="J10713" s="362"/>
    </row>
    <row r="10714" spans="1:10" x14ac:dyDescent="0.25">
      <c r="A10714" s="562"/>
      <c r="B10714" s="562"/>
      <c r="C10714" s="562"/>
      <c r="D10714" s="562">
        <f>SUM(D10698:D10713)</f>
        <v>2305743892</v>
      </c>
      <c r="E10714" s="562">
        <f t="shared" ref="E10714:G10714" si="281">SUM(E10698:E10713)</f>
        <v>0</v>
      </c>
      <c r="F10714" s="562">
        <f t="shared" si="281"/>
        <v>2305745100</v>
      </c>
      <c r="G10714" s="562">
        <f t="shared" si="281"/>
        <v>-1208</v>
      </c>
      <c r="H10714" s="562"/>
      <c r="I10714" s="562"/>
      <c r="J10714" s="562"/>
    </row>
    <row r="10715" spans="1:10" x14ac:dyDescent="0.25">
      <c r="A10715" s="362"/>
      <c r="B10715" s="609">
        <v>44839</v>
      </c>
      <c r="C10715" s="362" t="s">
        <v>86</v>
      </c>
      <c r="D10715" s="560">
        <v>49237764</v>
      </c>
      <c r="E10715" s="560"/>
      <c r="F10715" s="1436">
        <v>49237800</v>
      </c>
      <c r="G10715" s="560">
        <f t="shared" si="280"/>
        <v>-36</v>
      </c>
      <c r="H10715" s="362"/>
      <c r="I10715" s="362"/>
      <c r="J10715" s="362"/>
    </row>
    <row r="10716" spans="1:10" x14ac:dyDescent="0.25">
      <c r="A10716" s="362"/>
      <c r="B10716" s="609">
        <v>44839</v>
      </c>
      <c r="C10716" s="362" t="s">
        <v>87</v>
      </c>
      <c r="D10716" s="560">
        <v>173833580</v>
      </c>
      <c r="E10716" s="560"/>
      <c r="F10716" s="1436">
        <v>173833600</v>
      </c>
      <c r="G10716" s="560">
        <f t="shared" si="280"/>
        <v>-20</v>
      </c>
      <c r="H10716" s="362"/>
      <c r="I10716" s="362"/>
      <c r="J10716" s="362"/>
    </row>
    <row r="10717" spans="1:10" x14ac:dyDescent="0.25">
      <c r="A10717" s="362"/>
      <c r="B10717" s="609">
        <v>44839</v>
      </c>
      <c r="C10717" s="362" t="s">
        <v>88</v>
      </c>
      <c r="D10717" s="560">
        <v>164640372</v>
      </c>
      <c r="E10717" s="560"/>
      <c r="F10717" s="1436">
        <v>164640400</v>
      </c>
      <c r="G10717" s="560">
        <f t="shared" si="280"/>
        <v>-28</v>
      </c>
      <c r="H10717" s="362"/>
      <c r="I10717" s="362"/>
      <c r="J10717" s="362"/>
    </row>
    <row r="10718" spans="1:10" x14ac:dyDescent="0.25">
      <c r="A10718" s="362"/>
      <c r="B10718" s="609">
        <v>44839</v>
      </c>
      <c r="C10718" s="362" t="s">
        <v>82</v>
      </c>
      <c r="D10718" s="560">
        <v>92868718</v>
      </c>
      <c r="E10718" s="560"/>
      <c r="F10718" s="1436">
        <v>92868900</v>
      </c>
      <c r="G10718" s="560">
        <f t="shared" si="280"/>
        <v>-182</v>
      </c>
      <c r="H10718" s="362"/>
      <c r="I10718" s="362"/>
      <c r="J10718" s="362"/>
    </row>
    <row r="10719" spans="1:10" x14ac:dyDescent="0.25">
      <c r="A10719" s="362"/>
      <c r="B10719" s="609">
        <v>44839</v>
      </c>
      <c r="C10719" s="362" t="s">
        <v>80</v>
      </c>
      <c r="D10719" s="560">
        <v>270681793</v>
      </c>
      <c r="E10719" s="560"/>
      <c r="F10719" s="1436">
        <v>270678700</v>
      </c>
      <c r="G10719" s="560">
        <f t="shared" si="280"/>
        <v>3093</v>
      </c>
      <c r="H10719" s="362"/>
      <c r="I10719" s="362"/>
      <c r="J10719" s="362"/>
    </row>
    <row r="10720" spans="1:10" x14ac:dyDescent="0.25">
      <c r="A10720" s="362"/>
      <c r="B10720" s="609">
        <v>44839</v>
      </c>
      <c r="C10720" s="362" t="s">
        <v>83</v>
      </c>
      <c r="D10720" s="560">
        <v>110413710</v>
      </c>
      <c r="E10720" s="560"/>
      <c r="F10720" s="1436">
        <v>110413700</v>
      </c>
      <c r="G10720" s="560">
        <f t="shared" si="280"/>
        <v>10</v>
      </c>
      <c r="H10720" s="362"/>
      <c r="I10720" s="362"/>
      <c r="J10720" s="362"/>
    </row>
    <row r="10721" spans="1:10" x14ac:dyDescent="0.25">
      <c r="A10721" s="362"/>
      <c r="B10721" s="609">
        <v>44839</v>
      </c>
      <c r="C10721" s="362" t="s">
        <v>78</v>
      </c>
      <c r="D10721" s="560">
        <v>137313000</v>
      </c>
      <c r="E10721" s="560"/>
      <c r="F10721" s="1436">
        <v>137313000</v>
      </c>
      <c r="G10721" s="560">
        <f t="shared" si="280"/>
        <v>0</v>
      </c>
      <c r="H10721" s="362"/>
      <c r="I10721" s="362"/>
      <c r="J10721" s="362"/>
    </row>
    <row r="10722" spans="1:10" x14ac:dyDescent="0.25">
      <c r="A10722" s="362"/>
      <c r="B10722" s="609">
        <v>44839</v>
      </c>
      <c r="C10722" s="362" t="s">
        <v>141</v>
      </c>
      <c r="D10722" s="560">
        <v>126586977</v>
      </c>
      <c r="E10722" s="560"/>
      <c r="F10722" s="1436">
        <v>126587000</v>
      </c>
      <c r="G10722" s="560">
        <f t="shared" si="280"/>
        <v>-23</v>
      </c>
      <c r="H10722" s="362"/>
      <c r="I10722" s="362"/>
      <c r="J10722" s="362"/>
    </row>
    <row r="10723" spans="1:10" x14ac:dyDescent="0.25">
      <c r="A10723" s="362"/>
      <c r="B10723" s="609">
        <v>44839</v>
      </c>
      <c r="C10723" s="362" t="s">
        <v>89</v>
      </c>
      <c r="D10723" s="560">
        <v>188346400</v>
      </c>
      <c r="E10723" s="560"/>
      <c r="F10723" s="1436">
        <v>188346400</v>
      </c>
      <c r="G10723" s="560">
        <f t="shared" si="280"/>
        <v>0</v>
      </c>
      <c r="H10723" s="362"/>
      <c r="I10723" s="362"/>
      <c r="J10723" s="362"/>
    </row>
    <row r="10724" spans="1:10" x14ac:dyDescent="0.25">
      <c r="A10724" s="362"/>
      <c r="B10724" s="609">
        <v>44839</v>
      </c>
      <c r="C10724" s="362" t="s">
        <v>81</v>
      </c>
      <c r="D10724" s="560">
        <v>145015901</v>
      </c>
      <c r="E10724" s="560"/>
      <c r="F10724" s="1436">
        <v>145005900</v>
      </c>
      <c r="G10724" s="560">
        <f t="shared" si="280"/>
        <v>10001</v>
      </c>
      <c r="H10724" s="362"/>
      <c r="I10724" s="362"/>
      <c r="J10724" s="362"/>
    </row>
    <row r="10725" spans="1:10" x14ac:dyDescent="0.25">
      <c r="A10725" s="362"/>
      <c r="B10725" s="609">
        <v>44839</v>
      </c>
      <c r="C10725" s="362" t="s">
        <v>84</v>
      </c>
      <c r="D10725" s="560">
        <v>336447779</v>
      </c>
      <c r="E10725" s="560"/>
      <c r="F10725" s="1436">
        <v>336447700</v>
      </c>
      <c r="G10725" s="560">
        <f t="shared" si="280"/>
        <v>79</v>
      </c>
      <c r="H10725" s="362"/>
      <c r="I10725" s="362"/>
      <c r="J10725" s="362"/>
    </row>
    <row r="10726" spans="1:10" x14ac:dyDescent="0.25">
      <c r="A10726" s="362"/>
      <c r="B10726" s="609">
        <v>44839</v>
      </c>
      <c r="C10726" s="362" t="s">
        <v>4751</v>
      </c>
      <c r="D10726" s="560">
        <v>184054000</v>
      </c>
      <c r="E10726" s="560"/>
      <c r="F10726" s="1436">
        <v>184054000</v>
      </c>
      <c r="G10726" s="560">
        <f t="shared" si="280"/>
        <v>0</v>
      </c>
      <c r="H10726" s="362"/>
      <c r="I10726" s="362"/>
      <c r="J10726" s="362"/>
    </row>
    <row r="10727" spans="1:10" x14ac:dyDescent="0.25">
      <c r="A10727" s="362"/>
      <c r="B10727" s="609">
        <v>44839</v>
      </c>
      <c r="C10727" s="362" t="s">
        <v>6301</v>
      </c>
      <c r="D10727" s="560">
        <v>139945067</v>
      </c>
      <c r="E10727" s="560"/>
      <c r="F10727" s="1436">
        <v>139945000</v>
      </c>
      <c r="G10727" s="560">
        <f t="shared" si="280"/>
        <v>67</v>
      </c>
      <c r="H10727" s="362"/>
      <c r="I10727" s="362"/>
      <c r="J10727" s="362"/>
    </row>
    <row r="10728" spans="1:10" x14ac:dyDescent="0.25">
      <c r="A10728" s="362"/>
      <c r="B10728" s="609">
        <v>44839</v>
      </c>
      <c r="C10728" s="362" t="s">
        <v>3435</v>
      </c>
      <c r="D10728" s="560">
        <v>45549845</v>
      </c>
      <c r="E10728" s="560"/>
      <c r="F10728" s="1436">
        <v>45549900</v>
      </c>
      <c r="G10728" s="560">
        <f t="shared" si="280"/>
        <v>-55</v>
      </c>
      <c r="H10728" s="362"/>
      <c r="I10728" s="362"/>
      <c r="J10728" s="362"/>
    </row>
    <row r="10729" spans="1:10" x14ac:dyDescent="0.25">
      <c r="A10729" s="362"/>
      <c r="B10729" s="609">
        <v>44839</v>
      </c>
      <c r="C10729" s="370" t="s">
        <v>85</v>
      </c>
      <c r="D10729" s="560">
        <v>57395400</v>
      </c>
      <c r="E10729" s="560"/>
      <c r="F10729" s="1436">
        <v>57395400</v>
      </c>
      <c r="G10729" s="560">
        <f t="shared" si="280"/>
        <v>0</v>
      </c>
      <c r="H10729" s="362"/>
      <c r="I10729" s="362"/>
      <c r="J10729" s="362"/>
    </row>
    <row r="10730" spans="1:10" x14ac:dyDescent="0.25">
      <c r="A10730" s="362"/>
      <c r="B10730" s="609">
        <v>44839</v>
      </c>
      <c r="C10730" s="370" t="s">
        <v>6299</v>
      </c>
      <c r="D10730" s="560">
        <v>18110071</v>
      </c>
      <c r="E10730" s="560"/>
      <c r="F10730" s="1436">
        <v>18110100</v>
      </c>
      <c r="G10730" s="560">
        <f t="shared" si="280"/>
        <v>-29</v>
      </c>
      <c r="H10730" s="362"/>
      <c r="I10730" s="362"/>
      <c r="J10730" s="362"/>
    </row>
    <row r="10731" spans="1:10" x14ac:dyDescent="0.25">
      <c r="A10731" s="530"/>
      <c r="B10731" s="530"/>
      <c r="C10731" s="530"/>
      <c r="D10731" s="562">
        <f>SUM(D10715:D10730)</f>
        <v>2240440377</v>
      </c>
      <c r="E10731" s="562">
        <f t="shared" ref="E10731:G10731" si="282">SUM(E10715:E10730)</f>
        <v>0</v>
      </c>
      <c r="F10731" s="562">
        <f t="shared" si="282"/>
        <v>2240427500</v>
      </c>
      <c r="G10731" s="562">
        <f t="shared" si="282"/>
        <v>12877</v>
      </c>
      <c r="H10731" s="530"/>
      <c r="I10731" s="530"/>
      <c r="J10731" s="530"/>
    </row>
    <row r="10732" spans="1:10" x14ac:dyDescent="0.25">
      <c r="A10732" s="362"/>
      <c r="B10732" s="609">
        <v>44840</v>
      </c>
      <c r="C10732" s="362" t="s">
        <v>86</v>
      </c>
      <c r="D10732" s="560">
        <v>240089362</v>
      </c>
      <c r="E10732" s="560"/>
      <c r="F10732" s="1436">
        <v>240089400</v>
      </c>
      <c r="G10732" s="560">
        <f t="shared" si="280"/>
        <v>-38</v>
      </c>
      <c r="H10732" s="362"/>
      <c r="I10732" s="362"/>
      <c r="J10732" s="362"/>
    </row>
    <row r="10733" spans="1:10" x14ac:dyDescent="0.25">
      <c r="A10733" s="362"/>
      <c r="B10733" s="609">
        <v>44840</v>
      </c>
      <c r="C10733" s="362" t="s">
        <v>87</v>
      </c>
      <c r="D10733" s="560">
        <v>149716247</v>
      </c>
      <c r="E10733" s="560"/>
      <c r="F10733" s="1436">
        <v>149716300</v>
      </c>
      <c r="G10733" s="560">
        <f t="shared" si="280"/>
        <v>-53</v>
      </c>
      <c r="H10733" s="362"/>
      <c r="I10733" s="362"/>
      <c r="J10733" s="362"/>
    </row>
    <row r="10734" spans="1:10" x14ac:dyDescent="0.25">
      <c r="A10734" s="362"/>
      <c r="B10734" s="609">
        <v>44840</v>
      </c>
      <c r="C10734" s="362" t="s">
        <v>88</v>
      </c>
      <c r="D10734" s="560">
        <v>187270633</v>
      </c>
      <c r="E10734" s="560"/>
      <c r="F10734" s="1436">
        <v>187270700</v>
      </c>
      <c r="G10734" s="1436">
        <f t="shared" si="280"/>
        <v>-67</v>
      </c>
      <c r="H10734" s="362"/>
      <c r="I10734" s="362"/>
      <c r="J10734" s="362"/>
    </row>
    <row r="10735" spans="1:10" x14ac:dyDescent="0.25">
      <c r="A10735" s="362"/>
      <c r="B10735" s="609">
        <v>44840</v>
      </c>
      <c r="C10735" s="362" t="s">
        <v>82</v>
      </c>
      <c r="D10735" s="560">
        <v>133331780</v>
      </c>
      <c r="E10735" s="560"/>
      <c r="F10735" s="1436">
        <v>133331800</v>
      </c>
      <c r="G10735" s="560">
        <f t="shared" si="280"/>
        <v>-20</v>
      </c>
      <c r="H10735" s="362"/>
      <c r="I10735" s="362"/>
      <c r="J10735" s="362"/>
    </row>
    <row r="10736" spans="1:10" x14ac:dyDescent="0.25">
      <c r="A10736" s="362"/>
      <c r="B10736" s="609">
        <v>44840</v>
      </c>
      <c r="C10736" s="362" t="s">
        <v>80</v>
      </c>
      <c r="D10736" s="560">
        <v>248482100</v>
      </c>
      <c r="E10736" s="560"/>
      <c r="F10736" s="1436">
        <v>248482100</v>
      </c>
      <c r="G10736" s="560">
        <f t="shared" si="280"/>
        <v>0</v>
      </c>
      <c r="H10736" s="362"/>
      <c r="I10736" s="362"/>
      <c r="J10736" s="362"/>
    </row>
    <row r="10737" spans="1:10" x14ac:dyDescent="0.25">
      <c r="A10737" s="362"/>
      <c r="B10737" s="609">
        <v>44840</v>
      </c>
      <c r="C10737" s="362" t="s">
        <v>83</v>
      </c>
      <c r="D10737" s="560">
        <v>369922200</v>
      </c>
      <c r="E10737" s="560"/>
      <c r="F10737" s="1436">
        <v>369922200</v>
      </c>
      <c r="G10737" s="560">
        <f t="shared" si="280"/>
        <v>0</v>
      </c>
      <c r="H10737" s="362"/>
      <c r="I10737" s="362"/>
      <c r="J10737" s="362"/>
    </row>
    <row r="10738" spans="1:10" x14ac:dyDescent="0.25">
      <c r="A10738" s="362"/>
      <c r="B10738" s="609">
        <v>44840</v>
      </c>
      <c r="C10738" s="362" t="s">
        <v>78</v>
      </c>
      <c r="D10738" s="560">
        <v>141903800</v>
      </c>
      <c r="E10738" s="560"/>
      <c r="F10738" s="1436">
        <v>141903800</v>
      </c>
      <c r="G10738" s="560">
        <f t="shared" si="280"/>
        <v>0</v>
      </c>
      <c r="H10738" s="362"/>
      <c r="I10738" s="362"/>
      <c r="J10738" s="362"/>
    </row>
    <row r="10739" spans="1:10" x14ac:dyDescent="0.25">
      <c r="A10739" s="362"/>
      <c r="B10739" s="609">
        <v>44840</v>
      </c>
      <c r="C10739" s="362" t="s">
        <v>141</v>
      </c>
      <c r="D10739" s="560">
        <v>119369529</v>
      </c>
      <c r="E10739" s="560"/>
      <c r="F10739" s="1436">
        <v>119369600</v>
      </c>
      <c r="G10739" s="560">
        <f t="shared" si="280"/>
        <v>-71</v>
      </c>
      <c r="H10739" s="362"/>
      <c r="I10739" s="362"/>
      <c r="J10739" s="362"/>
    </row>
    <row r="10740" spans="1:10" x14ac:dyDescent="0.25">
      <c r="A10740" s="362"/>
      <c r="B10740" s="609">
        <v>44840</v>
      </c>
      <c r="C10740" s="362" t="s">
        <v>89</v>
      </c>
      <c r="D10740" s="560">
        <v>214610400</v>
      </c>
      <c r="E10740" s="560"/>
      <c r="F10740" s="1436">
        <v>214610400</v>
      </c>
      <c r="G10740" s="560">
        <f t="shared" si="280"/>
        <v>0</v>
      </c>
      <c r="H10740" s="362"/>
      <c r="I10740" s="362"/>
      <c r="J10740" s="362"/>
    </row>
    <row r="10741" spans="1:10" x14ac:dyDescent="0.25">
      <c r="A10741" s="362"/>
      <c r="B10741" s="609">
        <v>44840</v>
      </c>
      <c r="C10741" s="362" t="s">
        <v>81</v>
      </c>
      <c r="D10741" s="560">
        <v>181559000</v>
      </c>
      <c r="E10741" s="560"/>
      <c r="F10741" s="1436">
        <v>181559000</v>
      </c>
      <c r="G10741" s="560">
        <f t="shared" si="280"/>
        <v>0</v>
      </c>
      <c r="H10741" s="362"/>
      <c r="I10741" s="362"/>
      <c r="J10741" s="362"/>
    </row>
    <row r="10742" spans="1:10" x14ac:dyDescent="0.25">
      <c r="A10742" s="362"/>
      <c r="B10742" s="609">
        <v>44840</v>
      </c>
      <c r="C10742" s="362" t="s">
        <v>84</v>
      </c>
      <c r="D10742" s="560">
        <v>326017264</v>
      </c>
      <c r="E10742" s="560"/>
      <c r="F10742" s="1436">
        <v>326017400</v>
      </c>
      <c r="G10742" s="560">
        <f t="shared" si="280"/>
        <v>-136</v>
      </c>
      <c r="H10742" s="362"/>
      <c r="I10742" s="362"/>
      <c r="J10742" s="362"/>
    </row>
    <row r="10743" spans="1:10" x14ac:dyDescent="0.25">
      <c r="A10743" s="362"/>
      <c r="B10743" s="609">
        <v>44840</v>
      </c>
      <c r="C10743" s="362" t="s">
        <v>4751</v>
      </c>
      <c r="D10743" s="560">
        <v>278636500</v>
      </c>
      <c r="E10743" s="560"/>
      <c r="F10743" s="1436">
        <v>278636500</v>
      </c>
      <c r="G10743" s="560">
        <f t="shared" si="280"/>
        <v>0</v>
      </c>
      <c r="H10743" s="362"/>
      <c r="I10743" s="362"/>
      <c r="J10743" s="362"/>
    </row>
    <row r="10744" spans="1:10" x14ac:dyDescent="0.25">
      <c r="A10744" s="362"/>
      <c r="B10744" s="609">
        <v>44840</v>
      </c>
      <c r="C10744" s="362" t="s">
        <v>6301</v>
      </c>
      <c r="D10744" s="560">
        <v>129848606</v>
      </c>
      <c r="E10744" s="560"/>
      <c r="F10744" s="1436">
        <v>129848700</v>
      </c>
      <c r="G10744" s="560">
        <f t="shared" si="280"/>
        <v>-94</v>
      </c>
      <c r="H10744" s="362"/>
      <c r="I10744" s="362"/>
      <c r="J10744" s="362"/>
    </row>
    <row r="10745" spans="1:10" x14ac:dyDescent="0.25">
      <c r="A10745" s="362"/>
      <c r="B10745" s="609">
        <v>44840</v>
      </c>
      <c r="C10745" s="362" t="s">
        <v>3435</v>
      </c>
      <c r="D10745" s="560">
        <v>111772211</v>
      </c>
      <c r="E10745" s="560"/>
      <c r="F10745" s="1436">
        <v>111772400</v>
      </c>
      <c r="G10745" s="560">
        <f t="shared" si="280"/>
        <v>-189</v>
      </c>
      <c r="H10745" s="362"/>
      <c r="I10745" s="362"/>
      <c r="J10745" s="362"/>
    </row>
    <row r="10746" spans="1:10" x14ac:dyDescent="0.25">
      <c r="A10746" s="362"/>
      <c r="B10746" s="609">
        <v>44840</v>
      </c>
      <c r="C10746" s="370" t="s">
        <v>85</v>
      </c>
      <c r="D10746" s="560">
        <v>50574300</v>
      </c>
      <c r="E10746" s="560"/>
      <c r="F10746" s="1436">
        <v>50574300</v>
      </c>
      <c r="G10746" s="560">
        <f t="shared" si="280"/>
        <v>0</v>
      </c>
      <c r="H10746" s="362"/>
      <c r="I10746" s="362"/>
      <c r="J10746" s="362"/>
    </row>
    <row r="10747" spans="1:10" x14ac:dyDescent="0.25">
      <c r="A10747" s="362"/>
      <c r="B10747" s="609">
        <v>44840</v>
      </c>
      <c r="C10747" s="370" t="s">
        <v>6299</v>
      </c>
      <c r="D10747" s="560">
        <v>82284804</v>
      </c>
      <c r="E10747" s="560"/>
      <c r="F10747" s="1436">
        <v>82284800</v>
      </c>
      <c r="G10747" s="560">
        <f t="shared" si="280"/>
        <v>4</v>
      </c>
      <c r="H10747" s="362"/>
      <c r="I10747" s="362"/>
      <c r="J10747" s="362"/>
    </row>
    <row r="10748" spans="1:10" x14ac:dyDescent="0.25">
      <c r="A10748" s="530"/>
      <c r="B10748" s="530"/>
      <c r="C10748" s="530"/>
      <c r="D10748" s="562">
        <f>SUM(D10732:D10747)</f>
        <v>2965388736</v>
      </c>
      <c r="E10748" s="562">
        <f t="shared" ref="E10748:G10748" si="283">SUM(E10732:E10747)</f>
        <v>0</v>
      </c>
      <c r="F10748" s="562">
        <f t="shared" si="283"/>
        <v>2965389400</v>
      </c>
      <c r="G10748" s="562">
        <f t="shared" si="283"/>
        <v>-664</v>
      </c>
      <c r="H10748" s="530"/>
      <c r="I10748" s="530"/>
      <c r="J10748" s="530"/>
    </row>
    <row r="10749" spans="1:10" x14ac:dyDescent="0.25">
      <c r="A10749" s="362"/>
      <c r="B10749" s="609">
        <v>44841</v>
      </c>
      <c r="C10749" s="362" t="s">
        <v>86</v>
      </c>
      <c r="D10749" s="560">
        <v>148243075</v>
      </c>
      <c r="E10749" s="560"/>
      <c r="F10749" s="1436">
        <v>148243200</v>
      </c>
      <c r="G10749" s="560">
        <f t="shared" si="280"/>
        <v>-125</v>
      </c>
      <c r="H10749" s="362"/>
      <c r="I10749" s="362"/>
      <c r="J10749" s="362"/>
    </row>
    <row r="10750" spans="1:10" x14ac:dyDescent="0.25">
      <c r="A10750" s="362"/>
      <c r="B10750" s="609">
        <v>44841</v>
      </c>
      <c r="C10750" s="362" t="s">
        <v>87</v>
      </c>
      <c r="D10750" s="560">
        <v>261999339</v>
      </c>
      <c r="E10750" s="560"/>
      <c r="F10750" s="1436">
        <f>180931100+81068200</f>
        <v>261999300</v>
      </c>
      <c r="G10750" s="560">
        <f t="shared" si="280"/>
        <v>39</v>
      </c>
      <c r="H10750" s="362"/>
      <c r="I10750" s="362"/>
      <c r="J10750" s="362"/>
    </row>
    <row r="10751" spans="1:10" x14ac:dyDescent="0.25">
      <c r="A10751" s="362"/>
      <c r="B10751" s="609">
        <v>44841</v>
      </c>
      <c r="C10751" s="362" t="s">
        <v>88</v>
      </c>
      <c r="D10751" s="560">
        <v>220951413</v>
      </c>
      <c r="E10751" s="560"/>
      <c r="F10751" s="1436">
        <v>220951500</v>
      </c>
      <c r="G10751" s="560">
        <f t="shared" si="280"/>
        <v>-87</v>
      </c>
      <c r="H10751" s="362"/>
      <c r="I10751" s="362"/>
      <c r="J10751" s="362"/>
    </row>
    <row r="10752" spans="1:10" x14ac:dyDescent="0.25">
      <c r="A10752" s="362"/>
      <c r="B10752" s="609">
        <v>44841</v>
      </c>
      <c r="C10752" s="362" t="s">
        <v>82</v>
      </c>
      <c r="D10752" s="560">
        <v>154207830</v>
      </c>
      <c r="E10752" s="560"/>
      <c r="F10752" s="1436">
        <v>154207800</v>
      </c>
      <c r="G10752" s="560">
        <f t="shared" si="280"/>
        <v>30</v>
      </c>
      <c r="H10752" s="362"/>
      <c r="I10752" s="362"/>
      <c r="J10752" s="362"/>
    </row>
    <row r="10753" spans="1:10" x14ac:dyDescent="0.25">
      <c r="A10753" s="362"/>
      <c r="B10753" s="609">
        <v>44841</v>
      </c>
      <c r="C10753" s="362" t="s">
        <v>80</v>
      </c>
      <c r="D10753" s="560">
        <v>271731000</v>
      </c>
      <c r="E10753" s="560"/>
      <c r="F10753" s="1436">
        <v>271731000</v>
      </c>
      <c r="G10753" s="560">
        <f t="shared" si="280"/>
        <v>0</v>
      </c>
      <c r="H10753" s="362"/>
      <c r="I10753" s="362"/>
      <c r="J10753" s="362"/>
    </row>
    <row r="10754" spans="1:10" x14ac:dyDescent="0.25">
      <c r="A10754" s="362"/>
      <c r="B10754" s="609">
        <v>44841</v>
      </c>
      <c r="C10754" s="362" t="s">
        <v>83</v>
      </c>
      <c r="D10754" s="560">
        <v>260433060</v>
      </c>
      <c r="E10754" s="560"/>
      <c r="F10754" s="1436">
        <v>260433000</v>
      </c>
      <c r="G10754" s="560">
        <f t="shared" si="280"/>
        <v>60</v>
      </c>
      <c r="H10754" s="362"/>
      <c r="I10754" s="362"/>
      <c r="J10754" s="362"/>
    </row>
    <row r="10755" spans="1:10" x14ac:dyDescent="0.25">
      <c r="A10755" s="362"/>
      <c r="B10755" s="609">
        <v>44841</v>
      </c>
      <c r="C10755" s="362" t="s">
        <v>78</v>
      </c>
      <c r="D10755" s="560">
        <v>173632100</v>
      </c>
      <c r="E10755" s="560"/>
      <c r="F10755" s="1436">
        <v>173632100</v>
      </c>
      <c r="G10755" s="560">
        <f t="shared" si="280"/>
        <v>0</v>
      </c>
      <c r="H10755" s="362"/>
      <c r="I10755" s="362"/>
      <c r="J10755" s="362"/>
    </row>
    <row r="10756" spans="1:10" x14ac:dyDescent="0.25">
      <c r="A10756" s="362"/>
      <c r="B10756" s="609">
        <v>44841</v>
      </c>
      <c r="C10756" s="362" t="s">
        <v>141</v>
      </c>
      <c r="D10756" s="560">
        <v>119787604</v>
      </c>
      <c r="E10756" s="560"/>
      <c r="F10756" s="1436">
        <v>119787700</v>
      </c>
      <c r="G10756" s="560">
        <f t="shared" si="280"/>
        <v>-96</v>
      </c>
      <c r="H10756" s="362"/>
      <c r="I10756" s="362"/>
      <c r="J10756" s="362"/>
    </row>
    <row r="10757" spans="1:10" x14ac:dyDescent="0.25">
      <c r="A10757" s="362"/>
      <c r="B10757" s="609">
        <v>44841</v>
      </c>
      <c r="C10757" s="362" t="s">
        <v>89</v>
      </c>
      <c r="D10757" s="560">
        <v>255533100</v>
      </c>
      <c r="E10757" s="560"/>
      <c r="F10757" s="1436">
        <v>255533100</v>
      </c>
      <c r="G10757" s="560">
        <f t="shared" si="280"/>
        <v>0</v>
      </c>
      <c r="H10757" s="362"/>
      <c r="I10757" s="362"/>
      <c r="J10757" s="362"/>
    </row>
    <row r="10758" spans="1:10" x14ac:dyDescent="0.25">
      <c r="A10758" s="362"/>
      <c r="B10758" s="609">
        <v>44841</v>
      </c>
      <c r="C10758" s="362" t="s">
        <v>81</v>
      </c>
      <c r="D10758" s="560">
        <v>150809500</v>
      </c>
      <c r="E10758" s="560"/>
      <c r="F10758" s="1436">
        <f>29782076+121027424</f>
        <v>150809500</v>
      </c>
      <c r="G10758" s="560">
        <f t="shared" si="280"/>
        <v>0</v>
      </c>
      <c r="H10758" s="362"/>
      <c r="I10758" s="362"/>
      <c r="J10758" s="362"/>
    </row>
    <row r="10759" spans="1:10" x14ac:dyDescent="0.25">
      <c r="A10759" s="362"/>
      <c r="B10759" s="609">
        <v>44841</v>
      </c>
      <c r="C10759" s="362" t="s">
        <v>84</v>
      </c>
      <c r="D10759" s="560">
        <v>308138153</v>
      </c>
      <c r="E10759" s="560"/>
      <c r="F10759" s="1436">
        <v>308138600</v>
      </c>
      <c r="G10759" s="560">
        <f t="shared" si="280"/>
        <v>-447</v>
      </c>
      <c r="H10759" s="362"/>
      <c r="I10759" s="362"/>
      <c r="J10759" s="362"/>
    </row>
    <row r="10760" spans="1:10" x14ac:dyDescent="0.25">
      <c r="A10760" s="362"/>
      <c r="B10760" s="609">
        <v>44841</v>
      </c>
      <c r="C10760" s="362" t="s">
        <v>4751</v>
      </c>
      <c r="D10760" s="560">
        <v>318784100</v>
      </c>
      <c r="E10760" s="560"/>
      <c r="F10760" s="1436">
        <v>318784100</v>
      </c>
      <c r="G10760" s="560">
        <f t="shared" si="280"/>
        <v>0</v>
      </c>
      <c r="H10760" s="362"/>
      <c r="I10760" s="362"/>
      <c r="J10760" s="362"/>
    </row>
    <row r="10761" spans="1:10" x14ac:dyDescent="0.25">
      <c r="A10761" s="362"/>
      <c r="B10761" s="609">
        <v>44841</v>
      </c>
      <c r="C10761" s="362" t="s">
        <v>6301</v>
      </c>
      <c r="D10761" s="560">
        <v>67009870</v>
      </c>
      <c r="E10761" s="560"/>
      <c r="F10761" s="1436">
        <v>67009900</v>
      </c>
      <c r="G10761" s="560">
        <f t="shared" si="280"/>
        <v>-30</v>
      </c>
      <c r="H10761" s="362"/>
      <c r="I10761" s="362"/>
      <c r="J10761" s="362"/>
    </row>
    <row r="10762" spans="1:10" x14ac:dyDescent="0.25">
      <c r="A10762" s="362"/>
      <c r="B10762" s="609">
        <v>44841</v>
      </c>
      <c r="C10762" s="362" t="s">
        <v>3435</v>
      </c>
      <c r="D10762" s="560"/>
      <c r="E10762" s="560"/>
      <c r="F10762" s="560"/>
      <c r="G10762" s="560">
        <f t="shared" si="280"/>
        <v>0</v>
      </c>
      <c r="H10762" s="362"/>
      <c r="I10762" s="362"/>
      <c r="J10762" s="362"/>
    </row>
    <row r="10763" spans="1:10" x14ac:dyDescent="0.25">
      <c r="A10763" s="362"/>
      <c r="B10763" s="609">
        <v>44841</v>
      </c>
      <c r="C10763" s="370" t="s">
        <v>85</v>
      </c>
      <c r="D10763" s="560">
        <v>62416900</v>
      </c>
      <c r="E10763" s="560"/>
      <c r="F10763" s="1436">
        <v>62416900</v>
      </c>
      <c r="G10763" s="560">
        <f t="shared" si="280"/>
        <v>0</v>
      </c>
      <c r="H10763" s="362"/>
      <c r="I10763" s="362"/>
      <c r="J10763" s="362"/>
    </row>
    <row r="10764" spans="1:10" x14ac:dyDescent="0.25">
      <c r="A10764" s="362"/>
      <c r="B10764" s="609">
        <v>44841</v>
      </c>
      <c r="C10764" s="370" t="s">
        <v>6299</v>
      </c>
      <c r="D10764" s="560">
        <v>21588135</v>
      </c>
      <c r="E10764" s="560"/>
      <c r="F10764" s="1436">
        <v>21588200</v>
      </c>
      <c r="G10764" s="560">
        <f t="shared" si="280"/>
        <v>-65</v>
      </c>
      <c r="H10764" s="362"/>
      <c r="I10764" s="362"/>
      <c r="J10764" s="362"/>
    </row>
    <row r="10765" spans="1:10" x14ac:dyDescent="0.25">
      <c r="A10765" s="530"/>
      <c r="B10765" s="530"/>
      <c r="C10765" s="530"/>
      <c r="D10765" s="562">
        <f>SUM(D10749:D10764)</f>
        <v>2795265179</v>
      </c>
      <c r="E10765" s="562">
        <f t="shared" ref="E10765:G10765" si="284">SUM(E10749:E10764)</f>
        <v>0</v>
      </c>
      <c r="F10765" s="562">
        <f t="shared" si="284"/>
        <v>2795265900</v>
      </c>
      <c r="G10765" s="562">
        <f t="shared" si="284"/>
        <v>-721</v>
      </c>
      <c r="H10765" s="530"/>
      <c r="I10765" s="530"/>
      <c r="J10765" s="530"/>
    </row>
    <row r="10766" spans="1:10" x14ac:dyDescent="0.25">
      <c r="A10766" s="362"/>
      <c r="B10766" s="609">
        <v>44844</v>
      </c>
      <c r="C10766" s="362" t="s">
        <v>86</v>
      </c>
      <c r="D10766" s="560">
        <v>47712515</v>
      </c>
      <c r="E10766" s="560"/>
      <c r="F10766" s="1436">
        <v>47712500</v>
      </c>
      <c r="G10766" s="560">
        <f t="shared" si="280"/>
        <v>15</v>
      </c>
      <c r="H10766" s="362"/>
      <c r="I10766" s="362"/>
      <c r="J10766" s="362"/>
    </row>
    <row r="10767" spans="1:10" x14ac:dyDescent="0.25">
      <c r="A10767" s="362"/>
      <c r="B10767" s="609">
        <v>44844</v>
      </c>
      <c r="C10767" s="362" t="s">
        <v>87</v>
      </c>
      <c r="D10767" s="560">
        <v>230553220</v>
      </c>
      <c r="E10767" s="560"/>
      <c r="F10767" s="1436">
        <v>230553300</v>
      </c>
      <c r="G10767" s="560">
        <f t="shared" si="280"/>
        <v>-80</v>
      </c>
      <c r="H10767" s="362"/>
      <c r="I10767" s="362"/>
      <c r="J10767" s="362"/>
    </row>
    <row r="10768" spans="1:10" x14ac:dyDescent="0.25">
      <c r="A10768" s="362"/>
      <c r="B10768" s="609">
        <v>44844</v>
      </c>
      <c r="C10768" s="362" t="s">
        <v>88</v>
      </c>
      <c r="D10768" s="560">
        <v>237554207</v>
      </c>
      <c r="E10768" s="560"/>
      <c r="F10768" s="1436">
        <v>237554300</v>
      </c>
      <c r="G10768" s="560">
        <f t="shared" si="280"/>
        <v>-93</v>
      </c>
      <c r="H10768" s="362"/>
      <c r="I10768" s="362"/>
      <c r="J10768" s="362"/>
    </row>
    <row r="10769" spans="1:10" x14ac:dyDescent="0.25">
      <c r="A10769" s="362"/>
      <c r="B10769" s="609">
        <v>44844</v>
      </c>
      <c r="C10769" s="362" t="s">
        <v>82</v>
      </c>
      <c r="D10769" s="560">
        <v>70325294</v>
      </c>
      <c r="E10769" s="560"/>
      <c r="F10769" s="1436">
        <v>70325300</v>
      </c>
      <c r="G10769" s="560">
        <f t="shared" si="280"/>
        <v>-6</v>
      </c>
      <c r="H10769" s="362"/>
      <c r="I10769" s="362"/>
      <c r="J10769" s="362"/>
    </row>
    <row r="10770" spans="1:10" x14ac:dyDescent="0.25">
      <c r="A10770" s="362"/>
      <c r="B10770" s="609">
        <v>44844</v>
      </c>
      <c r="C10770" s="362" t="s">
        <v>80</v>
      </c>
      <c r="D10770" s="560">
        <v>565868600</v>
      </c>
      <c r="E10770" s="560"/>
      <c r="F10770" s="1436">
        <v>565868600</v>
      </c>
      <c r="G10770" s="560">
        <f t="shared" si="280"/>
        <v>0</v>
      </c>
      <c r="H10770" s="362"/>
      <c r="I10770" s="362"/>
      <c r="J10770" s="362"/>
    </row>
    <row r="10771" spans="1:10" x14ac:dyDescent="0.25">
      <c r="A10771" s="362"/>
      <c r="B10771" s="609">
        <v>44844</v>
      </c>
      <c r="C10771" s="362" t="s">
        <v>83</v>
      </c>
      <c r="D10771" s="560">
        <v>218208025</v>
      </c>
      <c r="E10771" s="560"/>
      <c r="F10771" s="1436">
        <v>218208000</v>
      </c>
      <c r="G10771" s="560">
        <f t="shared" si="280"/>
        <v>25</v>
      </c>
      <c r="H10771" s="362"/>
      <c r="I10771" s="362"/>
      <c r="J10771" s="362"/>
    </row>
    <row r="10772" spans="1:10" x14ac:dyDescent="0.25">
      <c r="A10772" s="362"/>
      <c r="B10772" s="609">
        <v>44844</v>
      </c>
      <c r="C10772" s="362" t="s">
        <v>78</v>
      </c>
      <c r="D10772" s="560">
        <v>133326700</v>
      </c>
      <c r="E10772" s="560"/>
      <c r="F10772" s="1436">
        <v>133326700</v>
      </c>
      <c r="G10772" s="560">
        <f t="shared" si="280"/>
        <v>0</v>
      </c>
      <c r="H10772" s="362"/>
      <c r="I10772" s="362"/>
      <c r="J10772" s="362"/>
    </row>
    <row r="10773" spans="1:10" x14ac:dyDescent="0.25">
      <c r="A10773" s="362"/>
      <c r="B10773" s="609">
        <v>44844</v>
      </c>
      <c r="C10773" s="362" t="s">
        <v>141</v>
      </c>
      <c r="D10773" s="560">
        <v>155117891</v>
      </c>
      <c r="E10773" s="560"/>
      <c r="F10773" s="1436">
        <v>155117900</v>
      </c>
      <c r="G10773" s="560">
        <f t="shared" si="280"/>
        <v>-9</v>
      </c>
      <c r="H10773" s="362"/>
      <c r="I10773" s="362"/>
      <c r="J10773" s="362"/>
    </row>
    <row r="10774" spans="1:10" x14ac:dyDescent="0.25">
      <c r="A10774" s="362"/>
      <c r="B10774" s="609">
        <v>44844</v>
      </c>
      <c r="C10774" s="362" t="s">
        <v>89</v>
      </c>
      <c r="D10774" s="560">
        <v>198727200</v>
      </c>
      <c r="E10774" s="560"/>
      <c r="F10774" s="1436">
        <v>198727200</v>
      </c>
      <c r="G10774" s="560">
        <f t="shared" si="280"/>
        <v>0</v>
      </c>
      <c r="H10774" s="362"/>
      <c r="I10774" s="362"/>
      <c r="J10774" s="362"/>
    </row>
    <row r="10775" spans="1:10" x14ac:dyDescent="0.25">
      <c r="A10775" s="362"/>
      <c r="B10775" s="609">
        <v>44844</v>
      </c>
      <c r="C10775" s="362" t="s">
        <v>81</v>
      </c>
      <c r="D10775" s="560">
        <v>276224200</v>
      </c>
      <c r="E10775" s="560"/>
      <c r="F10775" s="1436">
        <v>276224200</v>
      </c>
      <c r="G10775" s="560">
        <f t="shared" si="280"/>
        <v>0</v>
      </c>
      <c r="H10775" s="362"/>
      <c r="I10775" s="362"/>
      <c r="J10775" s="362"/>
    </row>
    <row r="10776" spans="1:10" x14ac:dyDescent="0.25">
      <c r="A10776" s="362"/>
      <c r="B10776" s="609">
        <v>44844</v>
      </c>
      <c r="C10776" s="362" t="s">
        <v>84</v>
      </c>
      <c r="D10776" s="560">
        <v>806354136</v>
      </c>
      <c r="E10776" s="560"/>
      <c r="F10776" s="1436">
        <v>806353500</v>
      </c>
      <c r="G10776" s="560">
        <f t="shared" si="280"/>
        <v>636</v>
      </c>
      <c r="H10776" s="362"/>
      <c r="I10776" s="362"/>
      <c r="J10776" s="362"/>
    </row>
    <row r="10777" spans="1:10" x14ac:dyDescent="0.25">
      <c r="A10777" s="362"/>
      <c r="B10777" s="609">
        <v>44844</v>
      </c>
      <c r="C10777" s="362" t="s">
        <v>4751</v>
      </c>
      <c r="D10777" s="560">
        <v>320803000</v>
      </c>
      <c r="E10777" s="560"/>
      <c r="F10777" s="1436">
        <v>320803000</v>
      </c>
      <c r="G10777" s="560">
        <f t="shared" ref="G10777:G10781" si="285">D10777-F10777</f>
        <v>0</v>
      </c>
      <c r="H10777" s="362"/>
      <c r="I10777" s="362"/>
      <c r="J10777" s="362"/>
    </row>
    <row r="10778" spans="1:10" x14ac:dyDescent="0.25">
      <c r="A10778" s="362"/>
      <c r="B10778" s="609">
        <v>44844</v>
      </c>
      <c r="C10778" s="362" t="s">
        <v>6301</v>
      </c>
      <c r="D10778" s="560">
        <v>98843459</v>
      </c>
      <c r="E10778" s="560"/>
      <c r="F10778" s="1436">
        <v>98843500</v>
      </c>
      <c r="G10778" s="560">
        <f t="shared" si="285"/>
        <v>-41</v>
      </c>
      <c r="H10778" s="362"/>
      <c r="I10778" s="362"/>
      <c r="J10778" s="362"/>
    </row>
    <row r="10779" spans="1:10" x14ac:dyDescent="0.25">
      <c r="A10779" s="362"/>
      <c r="B10779" s="609">
        <v>44844</v>
      </c>
      <c r="C10779" s="362" t="s">
        <v>3435</v>
      </c>
      <c r="D10779" s="560">
        <v>32575931</v>
      </c>
      <c r="E10779" s="560"/>
      <c r="F10779" s="1436">
        <v>32576000</v>
      </c>
      <c r="G10779" s="560">
        <f t="shared" si="285"/>
        <v>-69</v>
      </c>
      <c r="H10779" s="362"/>
      <c r="I10779" s="362"/>
      <c r="J10779" s="362"/>
    </row>
    <row r="10780" spans="1:10" x14ac:dyDescent="0.25">
      <c r="A10780" s="362"/>
      <c r="B10780" s="609">
        <v>44844</v>
      </c>
      <c r="C10780" s="370" t="s">
        <v>85</v>
      </c>
      <c r="D10780" s="560">
        <v>56315900</v>
      </c>
      <c r="E10780" s="560"/>
      <c r="F10780" s="1436">
        <v>56315900</v>
      </c>
      <c r="G10780" s="560">
        <f t="shared" si="285"/>
        <v>0</v>
      </c>
      <c r="H10780" s="362"/>
      <c r="I10780" s="362"/>
      <c r="J10780" s="362"/>
    </row>
    <row r="10781" spans="1:10" x14ac:dyDescent="0.25">
      <c r="A10781" s="362"/>
      <c r="B10781" s="609">
        <v>44844</v>
      </c>
      <c r="C10781" s="370" t="s">
        <v>6299</v>
      </c>
      <c r="D10781" s="560">
        <v>40182180</v>
      </c>
      <c r="E10781" s="560"/>
      <c r="F10781" s="1436">
        <v>40182100</v>
      </c>
      <c r="G10781" s="560">
        <f t="shared" si="285"/>
        <v>80</v>
      </c>
      <c r="H10781" s="362"/>
      <c r="I10781" s="362"/>
      <c r="J10781" s="362"/>
    </row>
    <row r="10782" spans="1:10" x14ac:dyDescent="0.25">
      <c r="A10782" s="530"/>
      <c r="B10782" s="530"/>
      <c r="C10782" s="530"/>
      <c r="D10782" s="562">
        <f>SUM(D10766:D10781)</f>
        <v>3488692458</v>
      </c>
      <c r="E10782" s="562">
        <f t="shared" ref="E10782:G10782" si="286">SUM(E10766:E10781)</f>
        <v>0</v>
      </c>
      <c r="F10782" s="562">
        <f t="shared" si="286"/>
        <v>3488692000</v>
      </c>
      <c r="G10782" s="562">
        <f t="shared" si="286"/>
        <v>458</v>
      </c>
      <c r="H10782" s="530"/>
      <c r="I10782" s="530"/>
      <c r="J10782" s="530"/>
    </row>
    <row r="10783" spans="1:10" x14ac:dyDescent="0.25">
      <c r="A10783" s="362"/>
      <c r="B10783" s="609">
        <v>44845</v>
      </c>
      <c r="C10783" s="362" t="s">
        <v>86</v>
      </c>
      <c r="D10783" s="560">
        <v>77065043</v>
      </c>
      <c r="E10783" s="560"/>
      <c r="F10783" s="1436">
        <v>77065000</v>
      </c>
      <c r="G10783" s="560">
        <f t="shared" ref="G10783:G10846" si="287">D10783-F10783</f>
        <v>43</v>
      </c>
      <c r="H10783" s="362"/>
      <c r="I10783" s="362"/>
      <c r="J10783" s="362"/>
    </row>
    <row r="10784" spans="1:10" x14ac:dyDescent="0.25">
      <c r="A10784" s="362"/>
      <c r="B10784" s="1339">
        <v>44845</v>
      </c>
      <c r="C10784" s="362" t="s">
        <v>87</v>
      </c>
      <c r="D10784" s="560">
        <v>205574916</v>
      </c>
      <c r="E10784" s="560"/>
      <c r="F10784" s="1436">
        <v>205575000</v>
      </c>
      <c r="G10784" s="560">
        <f t="shared" si="287"/>
        <v>-84</v>
      </c>
      <c r="H10784" s="362"/>
      <c r="I10784" s="362"/>
      <c r="J10784" s="362"/>
    </row>
    <row r="10785" spans="1:10" x14ac:dyDescent="0.25">
      <c r="A10785" s="362"/>
      <c r="B10785" s="1339">
        <v>44845</v>
      </c>
      <c r="C10785" s="362" t="s">
        <v>88</v>
      </c>
      <c r="D10785" s="560">
        <v>150170782</v>
      </c>
      <c r="E10785" s="560"/>
      <c r="F10785" s="1436">
        <v>150170800</v>
      </c>
      <c r="G10785" s="560">
        <f t="shared" si="287"/>
        <v>-18</v>
      </c>
      <c r="H10785" s="362"/>
      <c r="I10785" s="362"/>
      <c r="J10785" s="362"/>
    </row>
    <row r="10786" spans="1:10" x14ac:dyDescent="0.25">
      <c r="A10786" s="362"/>
      <c r="B10786" s="1339">
        <v>44845</v>
      </c>
      <c r="C10786" s="362" t="s">
        <v>82</v>
      </c>
      <c r="D10786" s="560">
        <v>88719686</v>
      </c>
      <c r="E10786" s="560"/>
      <c r="F10786" s="1436">
        <v>88719800</v>
      </c>
      <c r="G10786" s="560">
        <f t="shared" si="287"/>
        <v>-114</v>
      </c>
      <c r="H10786" s="362"/>
      <c r="I10786" s="362"/>
      <c r="J10786" s="362"/>
    </row>
    <row r="10787" spans="1:10" x14ac:dyDescent="0.25">
      <c r="A10787" s="362"/>
      <c r="B10787" s="1339">
        <v>44845</v>
      </c>
      <c r="C10787" s="362" t="s">
        <v>80</v>
      </c>
      <c r="D10787" s="560">
        <v>403205454</v>
      </c>
      <c r="E10787" s="560"/>
      <c r="F10787" s="1436">
        <v>403217500</v>
      </c>
      <c r="G10787" s="560">
        <f t="shared" si="287"/>
        <v>-12046</v>
      </c>
      <c r="H10787" s="362"/>
      <c r="I10787" s="362"/>
      <c r="J10787" s="362"/>
    </row>
    <row r="10788" spans="1:10" x14ac:dyDescent="0.25">
      <c r="A10788" s="362"/>
      <c r="B10788" s="1339">
        <v>44845</v>
      </c>
      <c r="C10788" s="362" t="s">
        <v>83</v>
      </c>
      <c r="D10788" s="560">
        <v>274147226</v>
      </c>
      <c r="E10788" s="560"/>
      <c r="F10788" s="1436">
        <v>274147200</v>
      </c>
      <c r="G10788" s="560">
        <f t="shared" si="287"/>
        <v>26</v>
      </c>
      <c r="H10788" s="362"/>
      <c r="I10788" s="362"/>
      <c r="J10788" s="362"/>
    </row>
    <row r="10789" spans="1:10" x14ac:dyDescent="0.25">
      <c r="A10789" s="362"/>
      <c r="B10789" s="1339">
        <v>44845</v>
      </c>
      <c r="C10789" s="362" t="s">
        <v>78</v>
      </c>
      <c r="D10789" s="560">
        <v>213788500</v>
      </c>
      <c r="E10789" s="560"/>
      <c r="F10789" s="1436">
        <v>213788500</v>
      </c>
      <c r="G10789" s="560">
        <f t="shared" si="287"/>
        <v>0</v>
      </c>
      <c r="H10789" s="362"/>
      <c r="I10789" s="362"/>
      <c r="J10789" s="362"/>
    </row>
    <row r="10790" spans="1:10" x14ac:dyDescent="0.25">
      <c r="A10790" s="362"/>
      <c r="B10790" s="1339">
        <v>44845</v>
      </c>
      <c r="C10790" s="362" t="s">
        <v>141</v>
      </c>
      <c r="D10790" s="560">
        <v>143667854</v>
      </c>
      <c r="E10790" s="560"/>
      <c r="F10790" s="1436">
        <v>143667900</v>
      </c>
      <c r="G10790" s="560">
        <f t="shared" si="287"/>
        <v>-46</v>
      </c>
      <c r="H10790" s="362"/>
      <c r="I10790" s="362"/>
      <c r="J10790" s="362"/>
    </row>
    <row r="10791" spans="1:10" x14ac:dyDescent="0.25">
      <c r="A10791" s="362"/>
      <c r="B10791" s="1339">
        <v>44845</v>
      </c>
      <c r="C10791" s="362" t="s">
        <v>89</v>
      </c>
      <c r="D10791" s="560">
        <v>183716000</v>
      </c>
      <c r="E10791" s="560"/>
      <c r="F10791" s="1436">
        <v>183716000</v>
      </c>
      <c r="G10791" s="560">
        <f t="shared" si="287"/>
        <v>0</v>
      </c>
      <c r="H10791" s="362"/>
      <c r="I10791" s="362"/>
      <c r="J10791" s="362"/>
    </row>
    <row r="10792" spans="1:10" x14ac:dyDescent="0.25">
      <c r="A10792" s="362"/>
      <c r="B10792" s="1339">
        <v>44845</v>
      </c>
      <c r="C10792" s="362" t="s">
        <v>81</v>
      </c>
      <c r="D10792" s="560">
        <v>188466500</v>
      </c>
      <c r="E10792" s="560"/>
      <c r="F10792" s="1436">
        <v>188466500</v>
      </c>
      <c r="G10792" s="560">
        <f t="shared" si="287"/>
        <v>0</v>
      </c>
      <c r="H10792" s="362"/>
      <c r="I10792" s="362"/>
      <c r="J10792" s="362"/>
    </row>
    <row r="10793" spans="1:10" x14ac:dyDescent="0.25">
      <c r="A10793" s="362"/>
      <c r="B10793" s="1339">
        <v>44845</v>
      </c>
      <c r="C10793" s="362" t="s">
        <v>84</v>
      </c>
      <c r="D10793" s="560">
        <v>347763538</v>
      </c>
      <c r="E10793" s="560"/>
      <c r="F10793" s="1436">
        <v>347846000</v>
      </c>
      <c r="G10793" s="560">
        <f t="shared" si="287"/>
        <v>-82462</v>
      </c>
      <c r="H10793" s="362"/>
      <c r="I10793" s="362"/>
      <c r="J10793" s="362"/>
    </row>
    <row r="10794" spans="1:10" x14ac:dyDescent="0.25">
      <c r="A10794" s="362"/>
      <c r="B10794" s="1339">
        <v>44845</v>
      </c>
      <c r="C10794" s="362" t="s">
        <v>4751</v>
      </c>
      <c r="D10794" s="560">
        <v>219554100</v>
      </c>
      <c r="E10794" s="560"/>
      <c r="F10794" s="1436">
        <v>219554100</v>
      </c>
      <c r="G10794" s="560">
        <f t="shared" si="287"/>
        <v>0</v>
      </c>
      <c r="H10794" s="362"/>
      <c r="I10794" s="362"/>
      <c r="J10794" s="362"/>
    </row>
    <row r="10795" spans="1:10" x14ac:dyDescent="0.25">
      <c r="A10795" s="362"/>
      <c r="B10795" s="1339">
        <v>44845</v>
      </c>
      <c r="C10795" s="362" t="s">
        <v>6301</v>
      </c>
      <c r="D10795" s="560">
        <v>129950943</v>
      </c>
      <c r="E10795" s="560"/>
      <c r="F10795" s="1436">
        <v>129951000</v>
      </c>
      <c r="G10795" s="560">
        <f t="shared" si="287"/>
        <v>-57</v>
      </c>
      <c r="H10795" s="362"/>
      <c r="I10795" s="362"/>
      <c r="J10795" s="362"/>
    </row>
    <row r="10796" spans="1:10" x14ac:dyDescent="0.25">
      <c r="A10796" s="362"/>
      <c r="B10796" s="1339">
        <v>44845</v>
      </c>
      <c r="C10796" s="362" t="s">
        <v>3435</v>
      </c>
      <c r="D10796" s="560">
        <v>60059182</v>
      </c>
      <c r="E10796" s="560"/>
      <c r="F10796" s="1436">
        <v>60059200</v>
      </c>
      <c r="G10796" s="560">
        <f t="shared" si="287"/>
        <v>-18</v>
      </c>
      <c r="H10796" s="362"/>
      <c r="I10796" s="362"/>
      <c r="J10796" s="362"/>
    </row>
    <row r="10797" spans="1:10" x14ac:dyDescent="0.25">
      <c r="A10797" s="362"/>
      <c r="B10797" s="1339">
        <v>44845</v>
      </c>
      <c r="C10797" s="370" t="s">
        <v>85</v>
      </c>
      <c r="D10797" s="560">
        <v>59400100</v>
      </c>
      <c r="E10797" s="560"/>
      <c r="F10797" s="1436">
        <v>59400100</v>
      </c>
      <c r="G10797" s="560">
        <f t="shared" si="287"/>
        <v>0</v>
      </c>
      <c r="H10797" s="362"/>
      <c r="I10797" s="362"/>
      <c r="J10797" s="362"/>
    </row>
    <row r="10798" spans="1:10" x14ac:dyDescent="0.25">
      <c r="A10798" s="362"/>
      <c r="B10798" s="1339">
        <v>44845</v>
      </c>
      <c r="C10798" s="370" t="s">
        <v>6299</v>
      </c>
      <c r="D10798" s="560">
        <v>25829786</v>
      </c>
      <c r="E10798" s="560"/>
      <c r="F10798" s="1436">
        <v>25829800</v>
      </c>
      <c r="G10798" s="560">
        <f t="shared" si="287"/>
        <v>-14</v>
      </c>
      <c r="H10798" s="362"/>
      <c r="I10798" s="362"/>
      <c r="J10798" s="362"/>
    </row>
    <row r="10799" spans="1:10" x14ac:dyDescent="0.25">
      <c r="A10799" s="530"/>
      <c r="B10799" s="530"/>
      <c r="C10799" s="530"/>
      <c r="D10799" s="562">
        <f>SUM(D10783:D10798)</f>
        <v>2771079610</v>
      </c>
      <c r="E10799" s="562">
        <f t="shared" ref="E10799:G10799" si="288">SUM(E10783:E10797)</f>
        <v>0</v>
      </c>
      <c r="F10799" s="562">
        <f>SUM(F10783:F10798)</f>
        <v>2771174400</v>
      </c>
      <c r="G10799" s="562">
        <f t="shared" si="288"/>
        <v>-94776</v>
      </c>
      <c r="H10799" s="530"/>
      <c r="I10799" s="530"/>
      <c r="J10799" s="530"/>
    </row>
    <row r="10800" spans="1:10" x14ac:dyDescent="0.25">
      <c r="A10800" s="362"/>
      <c r="B10800" s="609">
        <v>44846</v>
      </c>
      <c r="C10800" s="362" t="s">
        <v>86</v>
      </c>
      <c r="D10800" s="560">
        <v>77988494</v>
      </c>
      <c r="E10800" s="560"/>
      <c r="F10800" s="560">
        <v>77988500</v>
      </c>
      <c r="G10800" s="560">
        <f t="shared" si="287"/>
        <v>-6</v>
      </c>
      <c r="H10800" s="362"/>
      <c r="I10800" s="362"/>
      <c r="J10800" s="362"/>
    </row>
    <row r="10801" spans="1:10" x14ac:dyDescent="0.25">
      <c r="A10801" s="362"/>
      <c r="B10801" s="609">
        <v>44846</v>
      </c>
      <c r="C10801" s="362" t="s">
        <v>87</v>
      </c>
      <c r="D10801" s="560">
        <v>114763798</v>
      </c>
      <c r="E10801" s="560"/>
      <c r="F10801" s="560">
        <v>114763800</v>
      </c>
      <c r="G10801" s="560">
        <f t="shared" si="287"/>
        <v>-2</v>
      </c>
      <c r="H10801" s="362"/>
      <c r="I10801" s="362"/>
      <c r="J10801" s="362"/>
    </row>
    <row r="10802" spans="1:10" x14ac:dyDescent="0.25">
      <c r="A10802" s="362"/>
      <c r="B10802" s="609">
        <v>44846</v>
      </c>
      <c r="C10802" s="362" t="s">
        <v>88</v>
      </c>
      <c r="D10802" s="560">
        <v>209457125</v>
      </c>
      <c r="E10802" s="560"/>
      <c r="F10802" s="560">
        <v>209457200</v>
      </c>
      <c r="G10802" s="560">
        <f t="shared" si="287"/>
        <v>-75</v>
      </c>
      <c r="H10802" s="362"/>
      <c r="I10802" s="362"/>
      <c r="J10802" s="362"/>
    </row>
    <row r="10803" spans="1:10" x14ac:dyDescent="0.25">
      <c r="A10803" s="362"/>
      <c r="B10803" s="609">
        <v>44846</v>
      </c>
      <c r="C10803" s="362" t="s">
        <v>82</v>
      </c>
      <c r="D10803" s="560">
        <v>101029119</v>
      </c>
      <c r="E10803" s="560"/>
      <c r="F10803" s="560">
        <v>101029200</v>
      </c>
      <c r="G10803" s="560">
        <f t="shared" si="287"/>
        <v>-81</v>
      </c>
      <c r="H10803" s="362"/>
      <c r="I10803" s="362"/>
      <c r="J10803" s="362"/>
    </row>
    <row r="10804" spans="1:10" x14ac:dyDescent="0.25">
      <c r="A10804" s="362"/>
      <c r="B10804" s="609">
        <v>44846</v>
      </c>
      <c r="C10804" s="362" t="s">
        <v>80</v>
      </c>
      <c r="D10804" s="560">
        <v>247934017</v>
      </c>
      <c r="E10804" s="560"/>
      <c r="F10804" s="560">
        <v>247938800</v>
      </c>
      <c r="G10804" s="560">
        <f t="shared" si="287"/>
        <v>-4783</v>
      </c>
      <c r="H10804" s="362"/>
      <c r="I10804" s="362"/>
      <c r="J10804" s="362"/>
    </row>
    <row r="10805" spans="1:10" x14ac:dyDescent="0.25">
      <c r="A10805" s="362"/>
      <c r="B10805" s="609">
        <v>44846</v>
      </c>
      <c r="C10805" s="362" t="s">
        <v>83</v>
      </c>
      <c r="D10805" s="560">
        <v>299701005</v>
      </c>
      <c r="E10805" s="560"/>
      <c r="F10805" s="560">
        <v>299701000</v>
      </c>
      <c r="G10805" s="560">
        <f t="shared" si="287"/>
        <v>5</v>
      </c>
      <c r="H10805" s="362"/>
      <c r="I10805" s="362"/>
      <c r="J10805" s="362"/>
    </row>
    <row r="10806" spans="1:10" x14ac:dyDescent="0.25">
      <c r="A10806" s="362"/>
      <c r="B10806" s="609">
        <v>44846</v>
      </c>
      <c r="C10806" s="362" t="s">
        <v>78</v>
      </c>
      <c r="D10806" s="560">
        <v>146765100</v>
      </c>
      <c r="E10806" s="560"/>
      <c r="F10806" s="560">
        <v>146765100</v>
      </c>
      <c r="G10806" s="560">
        <f t="shared" si="287"/>
        <v>0</v>
      </c>
      <c r="H10806" s="362"/>
      <c r="I10806" s="362"/>
      <c r="J10806" s="362"/>
    </row>
    <row r="10807" spans="1:10" x14ac:dyDescent="0.25">
      <c r="A10807" s="362"/>
      <c r="B10807" s="609">
        <v>44846</v>
      </c>
      <c r="C10807" s="362" t="s">
        <v>141</v>
      </c>
      <c r="D10807" s="560">
        <v>171506386</v>
      </c>
      <c r="E10807" s="560"/>
      <c r="F10807" s="560">
        <v>171506400</v>
      </c>
      <c r="G10807" s="560">
        <f t="shared" si="287"/>
        <v>-14</v>
      </c>
      <c r="H10807" s="362"/>
      <c r="I10807" s="362"/>
      <c r="J10807" s="362"/>
    </row>
    <row r="10808" spans="1:10" x14ac:dyDescent="0.25">
      <c r="A10808" s="362"/>
      <c r="B10808" s="609">
        <v>44846</v>
      </c>
      <c r="C10808" s="362" t="s">
        <v>89</v>
      </c>
      <c r="D10808" s="560">
        <v>167105700</v>
      </c>
      <c r="E10808" s="560"/>
      <c r="F10808" s="560">
        <v>167105700</v>
      </c>
      <c r="G10808" s="560">
        <f t="shared" si="287"/>
        <v>0</v>
      </c>
      <c r="H10808" s="362"/>
      <c r="I10808" s="362"/>
      <c r="J10808" s="362"/>
    </row>
    <row r="10809" spans="1:10" x14ac:dyDescent="0.25">
      <c r="A10809" s="362"/>
      <c r="B10809" s="609">
        <v>44846</v>
      </c>
      <c r="C10809" s="362" t="s">
        <v>81</v>
      </c>
      <c r="D10809" s="560">
        <v>183875400</v>
      </c>
      <c r="E10809" s="560"/>
      <c r="F10809" s="560">
        <v>183875400</v>
      </c>
      <c r="G10809" s="560">
        <f t="shared" si="287"/>
        <v>0</v>
      </c>
      <c r="H10809" s="362"/>
      <c r="I10809" s="362"/>
      <c r="J10809" s="362"/>
    </row>
    <row r="10810" spans="1:10" x14ac:dyDescent="0.25">
      <c r="A10810" s="362"/>
      <c r="B10810" s="609">
        <v>44846</v>
      </c>
      <c r="C10810" s="362" t="s">
        <v>84</v>
      </c>
      <c r="D10810" s="560">
        <v>257488345</v>
      </c>
      <c r="E10810" s="560"/>
      <c r="F10810" s="560">
        <v>257488800</v>
      </c>
      <c r="G10810" s="560">
        <f t="shared" si="287"/>
        <v>-455</v>
      </c>
      <c r="H10810" s="362"/>
      <c r="I10810" s="362"/>
      <c r="J10810" s="362"/>
    </row>
    <row r="10811" spans="1:10" x14ac:dyDescent="0.25">
      <c r="A10811" s="362"/>
      <c r="B10811" s="609">
        <v>44846</v>
      </c>
      <c r="C10811" s="362" t="s">
        <v>4751</v>
      </c>
      <c r="D10811" s="560">
        <v>144957400</v>
      </c>
      <c r="E10811" s="560"/>
      <c r="F10811" s="560">
        <v>144957400</v>
      </c>
      <c r="G10811" s="560">
        <f t="shared" si="287"/>
        <v>0</v>
      </c>
      <c r="H10811" s="362"/>
      <c r="I10811" s="362"/>
      <c r="J10811" s="362"/>
    </row>
    <row r="10812" spans="1:10" x14ac:dyDescent="0.25">
      <c r="A10812" s="362"/>
      <c r="B10812" s="609">
        <v>44846</v>
      </c>
      <c r="C10812" s="362" t="s">
        <v>6301</v>
      </c>
      <c r="D10812" s="560">
        <v>79631519</v>
      </c>
      <c r="E10812" s="560"/>
      <c r="F10812" s="560">
        <v>79631500</v>
      </c>
      <c r="G10812" s="560">
        <f t="shared" si="287"/>
        <v>19</v>
      </c>
      <c r="H10812" s="362"/>
      <c r="I10812" s="362"/>
      <c r="J10812" s="362"/>
    </row>
    <row r="10813" spans="1:10" x14ac:dyDescent="0.25">
      <c r="A10813" s="362"/>
      <c r="B10813" s="609">
        <v>44846</v>
      </c>
      <c r="C10813" s="362" t="s">
        <v>3435</v>
      </c>
      <c r="D10813" s="560">
        <v>35403338</v>
      </c>
      <c r="E10813" s="560"/>
      <c r="F10813" s="560">
        <v>35403400</v>
      </c>
      <c r="G10813" s="560">
        <f t="shared" si="287"/>
        <v>-62</v>
      </c>
      <c r="H10813" s="362"/>
      <c r="I10813" s="362"/>
      <c r="J10813" s="362"/>
    </row>
    <row r="10814" spans="1:10" x14ac:dyDescent="0.25">
      <c r="A10814" s="362"/>
      <c r="B10814" s="609">
        <v>44846</v>
      </c>
      <c r="C10814" s="370" t="s">
        <v>85</v>
      </c>
      <c r="D10814" s="560">
        <v>63758700</v>
      </c>
      <c r="E10814" s="560"/>
      <c r="F10814" s="560">
        <v>63758700</v>
      </c>
      <c r="G10814" s="560">
        <f t="shared" si="287"/>
        <v>0</v>
      </c>
      <c r="H10814" s="362"/>
      <c r="I10814" s="362"/>
      <c r="J10814" s="362"/>
    </row>
    <row r="10815" spans="1:10" x14ac:dyDescent="0.25">
      <c r="A10815" s="362"/>
      <c r="B10815" s="609">
        <v>44846</v>
      </c>
      <c r="C10815" s="370" t="s">
        <v>6299</v>
      </c>
      <c r="D10815" s="560">
        <v>63380192</v>
      </c>
      <c r="E10815" s="560"/>
      <c r="F10815" s="560">
        <v>63380200</v>
      </c>
      <c r="G10815" s="560">
        <f t="shared" si="287"/>
        <v>-8</v>
      </c>
      <c r="H10815" s="362"/>
      <c r="I10815" s="362"/>
      <c r="J10815" s="362"/>
    </row>
    <row r="10816" spans="1:10" x14ac:dyDescent="0.25">
      <c r="A10816" s="530"/>
      <c r="B10816" s="530"/>
      <c r="C10816" s="530"/>
      <c r="D10816" s="562">
        <f>SUM(D10800:D10815)</f>
        <v>2364745638</v>
      </c>
      <c r="E10816" s="562">
        <f t="shared" ref="E10816:G10816" si="289">SUM(E10800:E10815)</f>
        <v>0</v>
      </c>
      <c r="F10816" s="562">
        <f t="shared" si="289"/>
        <v>2364751100</v>
      </c>
      <c r="G10816" s="562">
        <f t="shared" si="289"/>
        <v>-5462</v>
      </c>
      <c r="H10816" s="530"/>
      <c r="I10816" s="530"/>
      <c r="J10816" s="530"/>
    </row>
    <row r="10817" spans="1:10" x14ac:dyDescent="0.25">
      <c r="A10817" s="362"/>
      <c r="B10817" s="609">
        <v>44847</v>
      </c>
      <c r="C10817" s="362" t="s">
        <v>86</v>
      </c>
      <c r="D10817" s="560">
        <v>61078482</v>
      </c>
      <c r="E10817" s="560"/>
      <c r="F10817" s="1436">
        <v>61078500</v>
      </c>
      <c r="G10817" s="560">
        <f t="shared" si="287"/>
        <v>-18</v>
      </c>
      <c r="H10817" s="362"/>
      <c r="I10817" s="362"/>
      <c r="J10817" s="362"/>
    </row>
    <row r="10818" spans="1:10" x14ac:dyDescent="0.25">
      <c r="A10818" s="362"/>
      <c r="B10818" s="609">
        <v>44847</v>
      </c>
      <c r="C10818" s="362" t="s">
        <v>87</v>
      </c>
      <c r="D10818" s="560">
        <v>226065169</v>
      </c>
      <c r="E10818" s="560"/>
      <c r="F10818" s="1436">
        <v>226065500</v>
      </c>
      <c r="G10818" s="560">
        <f t="shared" si="287"/>
        <v>-331</v>
      </c>
      <c r="H10818" s="362"/>
      <c r="I10818" s="362"/>
      <c r="J10818" s="362"/>
    </row>
    <row r="10819" spans="1:10" x14ac:dyDescent="0.25">
      <c r="A10819" s="362"/>
      <c r="B10819" s="609">
        <v>44847</v>
      </c>
      <c r="C10819" s="362" t="s">
        <v>88</v>
      </c>
      <c r="D10819" s="560">
        <v>229131630</v>
      </c>
      <c r="E10819" s="560"/>
      <c r="F10819" s="1436">
        <v>229131400</v>
      </c>
      <c r="G10819" s="560">
        <f t="shared" si="287"/>
        <v>230</v>
      </c>
      <c r="H10819" s="362"/>
      <c r="I10819" s="362"/>
      <c r="J10819" s="362"/>
    </row>
    <row r="10820" spans="1:10" x14ac:dyDescent="0.25">
      <c r="A10820" s="362"/>
      <c r="B10820" s="609">
        <v>44847</v>
      </c>
      <c r="C10820" s="362" t="s">
        <v>82</v>
      </c>
      <c r="D10820" s="560">
        <v>98199299</v>
      </c>
      <c r="E10820" s="560"/>
      <c r="F10820" s="1436">
        <v>98199300</v>
      </c>
      <c r="G10820" s="560">
        <f t="shared" si="287"/>
        <v>-1</v>
      </c>
      <c r="H10820" s="362"/>
      <c r="I10820" s="362"/>
      <c r="J10820" s="362"/>
    </row>
    <row r="10821" spans="1:10" x14ac:dyDescent="0.25">
      <c r="A10821" s="362"/>
      <c r="B10821" s="609">
        <v>44847</v>
      </c>
      <c r="C10821" s="362" t="s">
        <v>80</v>
      </c>
      <c r="D10821" s="560">
        <v>415192800</v>
      </c>
      <c r="E10821" s="560"/>
      <c r="F10821" s="1436">
        <v>415192800</v>
      </c>
      <c r="G10821" s="560">
        <f t="shared" si="287"/>
        <v>0</v>
      </c>
      <c r="H10821" s="362"/>
      <c r="I10821" s="362"/>
      <c r="J10821" s="362"/>
    </row>
    <row r="10822" spans="1:10" x14ac:dyDescent="0.25">
      <c r="A10822" s="362"/>
      <c r="B10822" s="609">
        <v>44847</v>
      </c>
      <c r="C10822" s="362" t="s">
        <v>83</v>
      </c>
      <c r="D10822" s="560">
        <v>164640248</v>
      </c>
      <c r="E10822" s="560"/>
      <c r="F10822" s="1436">
        <v>164640300</v>
      </c>
      <c r="G10822" s="560">
        <f t="shared" si="287"/>
        <v>-52</v>
      </c>
      <c r="H10822" s="362"/>
      <c r="I10822" s="362"/>
      <c r="J10822" s="362"/>
    </row>
    <row r="10823" spans="1:10" x14ac:dyDescent="0.25">
      <c r="A10823" s="362"/>
      <c r="B10823" s="609">
        <v>44847</v>
      </c>
      <c r="C10823" s="362" t="s">
        <v>78</v>
      </c>
      <c r="D10823" s="560">
        <v>129413900</v>
      </c>
      <c r="E10823" s="560"/>
      <c r="F10823" s="1436">
        <v>129413900</v>
      </c>
      <c r="G10823" s="560">
        <f t="shared" si="287"/>
        <v>0</v>
      </c>
      <c r="H10823" s="362"/>
      <c r="I10823" s="362"/>
      <c r="J10823" s="362"/>
    </row>
    <row r="10824" spans="1:10" x14ac:dyDescent="0.25">
      <c r="A10824" s="362"/>
      <c r="B10824" s="609">
        <v>44847</v>
      </c>
      <c r="C10824" s="362" t="s">
        <v>141</v>
      </c>
      <c r="D10824" s="560">
        <v>184547294</v>
      </c>
      <c r="E10824" s="560"/>
      <c r="F10824" s="1436">
        <v>184547300</v>
      </c>
      <c r="G10824" s="560">
        <f t="shared" si="287"/>
        <v>-6</v>
      </c>
      <c r="H10824" s="362"/>
      <c r="I10824" s="362"/>
      <c r="J10824" s="362"/>
    </row>
    <row r="10825" spans="1:10" x14ac:dyDescent="0.25">
      <c r="A10825" s="362"/>
      <c r="B10825" s="609">
        <v>44847</v>
      </c>
      <c r="C10825" s="362" t="s">
        <v>89</v>
      </c>
      <c r="D10825" s="560">
        <v>209822800</v>
      </c>
      <c r="E10825" s="560"/>
      <c r="F10825" s="1436">
        <v>209822800</v>
      </c>
      <c r="G10825" s="560">
        <f t="shared" si="287"/>
        <v>0</v>
      </c>
      <c r="H10825" s="362"/>
      <c r="I10825" s="362"/>
      <c r="J10825" s="362"/>
    </row>
    <row r="10826" spans="1:10" x14ac:dyDescent="0.25">
      <c r="A10826" s="362"/>
      <c r="B10826" s="609">
        <v>44847</v>
      </c>
      <c r="C10826" s="362" t="s">
        <v>81</v>
      </c>
      <c r="D10826" s="560">
        <v>145037100</v>
      </c>
      <c r="E10826" s="560"/>
      <c r="F10826" s="1436">
        <v>145037100</v>
      </c>
      <c r="G10826" s="560">
        <f t="shared" si="287"/>
        <v>0</v>
      </c>
      <c r="H10826" s="362"/>
      <c r="I10826" s="362"/>
      <c r="J10826" s="362"/>
    </row>
    <row r="10827" spans="1:10" x14ac:dyDescent="0.25">
      <c r="A10827" s="362"/>
      <c r="B10827" s="609">
        <v>44847</v>
      </c>
      <c r="C10827" s="362" t="s">
        <v>84</v>
      </c>
      <c r="D10827" s="560">
        <v>282949669</v>
      </c>
      <c r="E10827" s="560"/>
      <c r="F10827" s="1436">
        <v>282949600</v>
      </c>
      <c r="G10827" s="560">
        <f t="shared" si="287"/>
        <v>69</v>
      </c>
      <c r="H10827" s="362"/>
      <c r="I10827" s="362"/>
      <c r="J10827" s="362"/>
    </row>
    <row r="10828" spans="1:10" x14ac:dyDescent="0.25">
      <c r="A10828" s="362"/>
      <c r="B10828" s="609">
        <v>44847</v>
      </c>
      <c r="C10828" s="362" t="s">
        <v>4751</v>
      </c>
      <c r="D10828" s="560">
        <v>215985200</v>
      </c>
      <c r="E10828" s="560"/>
      <c r="F10828" s="1436">
        <v>215985200</v>
      </c>
      <c r="G10828" s="560">
        <f t="shared" si="287"/>
        <v>0</v>
      </c>
      <c r="H10828" s="362"/>
      <c r="I10828" s="362"/>
      <c r="J10828" s="362"/>
    </row>
    <row r="10829" spans="1:10" x14ac:dyDescent="0.25">
      <c r="A10829" s="362"/>
      <c r="B10829" s="609">
        <v>44847</v>
      </c>
      <c r="C10829" s="362" t="s">
        <v>6301</v>
      </c>
      <c r="D10829" s="560">
        <v>145804998</v>
      </c>
      <c r="E10829" s="560"/>
      <c r="F10829" s="1436">
        <v>145805000</v>
      </c>
      <c r="G10829" s="560">
        <f t="shared" si="287"/>
        <v>-2</v>
      </c>
      <c r="H10829" s="362"/>
      <c r="I10829" s="362"/>
      <c r="J10829" s="362"/>
    </row>
    <row r="10830" spans="1:10" x14ac:dyDescent="0.25">
      <c r="A10830" s="362"/>
      <c r="B10830" s="609">
        <v>44847</v>
      </c>
      <c r="C10830" s="362" t="s">
        <v>3435</v>
      </c>
      <c r="D10830" s="560">
        <v>101361433</v>
      </c>
      <c r="E10830" s="560"/>
      <c r="F10830" s="1436">
        <v>101361500</v>
      </c>
      <c r="G10830" s="560">
        <f t="shared" si="287"/>
        <v>-67</v>
      </c>
      <c r="H10830" s="362"/>
      <c r="I10830" s="362"/>
      <c r="J10830" s="362"/>
    </row>
    <row r="10831" spans="1:10" x14ac:dyDescent="0.25">
      <c r="A10831" s="362"/>
      <c r="B10831" s="609">
        <v>44847</v>
      </c>
      <c r="C10831" s="370" t="s">
        <v>85</v>
      </c>
      <c r="D10831" s="560">
        <v>32020300</v>
      </c>
      <c r="E10831" s="560"/>
      <c r="F10831" s="1436">
        <v>32020300</v>
      </c>
      <c r="G10831" s="560">
        <f t="shared" si="287"/>
        <v>0</v>
      </c>
      <c r="H10831" s="362"/>
      <c r="I10831" s="362"/>
      <c r="J10831" s="362"/>
    </row>
    <row r="10832" spans="1:10" x14ac:dyDescent="0.25">
      <c r="A10832" s="362"/>
      <c r="B10832" s="609">
        <v>44847</v>
      </c>
      <c r="C10832" s="370" t="s">
        <v>6299</v>
      </c>
      <c r="D10832" s="560">
        <v>185357384</v>
      </c>
      <c r="E10832" s="560"/>
      <c r="F10832" s="1436">
        <v>185357500</v>
      </c>
      <c r="G10832" s="560">
        <f t="shared" si="287"/>
        <v>-116</v>
      </c>
      <c r="H10832" s="362"/>
      <c r="I10832" s="362"/>
      <c r="J10832" s="362"/>
    </row>
    <row r="10833" spans="1:10" x14ac:dyDescent="0.25">
      <c r="A10833" s="530"/>
      <c r="B10833" s="530"/>
      <c r="C10833" s="530"/>
      <c r="D10833" s="562">
        <f>SUM(D10817:D10832)</f>
        <v>2826607706</v>
      </c>
      <c r="E10833" s="562">
        <f t="shared" ref="E10833:G10833" si="290">SUM(E10817:E10832)</f>
        <v>0</v>
      </c>
      <c r="F10833" s="562">
        <f t="shared" si="290"/>
        <v>2826608000</v>
      </c>
      <c r="G10833" s="562">
        <f t="shared" si="290"/>
        <v>-294</v>
      </c>
      <c r="H10833" s="530"/>
      <c r="I10833" s="530"/>
      <c r="J10833" s="530"/>
    </row>
    <row r="10834" spans="1:10" x14ac:dyDescent="0.25">
      <c r="A10834" s="362"/>
      <c r="B10834" s="609">
        <v>44848</v>
      </c>
      <c r="C10834" s="362" t="s">
        <v>86</v>
      </c>
      <c r="D10834" s="560">
        <v>146077715</v>
      </c>
      <c r="E10834" s="560"/>
      <c r="F10834" s="1436">
        <v>146077800</v>
      </c>
      <c r="G10834" s="560">
        <f t="shared" si="287"/>
        <v>-85</v>
      </c>
      <c r="H10834" s="362"/>
      <c r="I10834" s="362"/>
      <c r="J10834" s="362"/>
    </row>
    <row r="10835" spans="1:10" x14ac:dyDescent="0.25">
      <c r="A10835" s="362"/>
      <c r="B10835" s="609">
        <v>44848</v>
      </c>
      <c r="C10835" s="362" t="s">
        <v>87</v>
      </c>
      <c r="D10835" s="560">
        <v>247332529</v>
      </c>
      <c r="E10835" s="560"/>
      <c r="F10835" s="1436">
        <v>247332600</v>
      </c>
      <c r="G10835" s="560">
        <f t="shared" si="287"/>
        <v>-71</v>
      </c>
      <c r="H10835" s="362"/>
      <c r="I10835" s="362"/>
      <c r="J10835" s="362"/>
    </row>
    <row r="10836" spans="1:10" x14ac:dyDescent="0.25">
      <c r="A10836" s="362"/>
      <c r="B10836" s="609">
        <v>44848</v>
      </c>
      <c r="C10836" s="362" t="s">
        <v>88</v>
      </c>
      <c r="D10836" s="560">
        <v>422549739</v>
      </c>
      <c r="E10836" s="560"/>
      <c r="F10836" s="1436">
        <v>422549800</v>
      </c>
      <c r="G10836" s="560">
        <f t="shared" si="287"/>
        <v>-61</v>
      </c>
      <c r="H10836" s="362"/>
      <c r="I10836" s="362"/>
      <c r="J10836" s="362"/>
    </row>
    <row r="10837" spans="1:10" x14ac:dyDescent="0.25">
      <c r="A10837" s="362"/>
      <c r="B10837" s="609">
        <v>44848</v>
      </c>
      <c r="C10837" s="362" t="s">
        <v>82</v>
      </c>
      <c r="D10837" s="560">
        <v>129261819</v>
      </c>
      <c r="E10837" s="560"/>
      <c r="F10837" s="1436">
        <v>129261900</v>
      </c>
      <c r="G10837" s="560">
        <f t="shared" si="287"/>
        <v>-81</v>
      </c>
      <c r="H10837" s="362"/>
      <c r="I10837" s="362"/>
      <c r="J10837" s="362"/>
    </row>
    <row r="10838" spans="1:10" x14ac:dyDescent="0.25">
      <c r="A10838" s="362"/>
      <c r="B10838" s="609">
        <v>44848</v>
      </c>
      <c r="C10838" s="362" t="s">
        <v>80</v>
      </c>
      <c r="D10838" s="560">
        <v>507759500</v>
      </c>
      <c r="E10838" s="560"/>
      <c r="F10838" s="1436">
        <v>507759500</v>
      </c>
      <c r="G10838" s="560">
        <f t="shared" si="287"/>
        <v>0</v>
      </c>
      <c r="H10838" s="362"/>
      <c r="I10838" s="362"/>
      <c r="J10838" s="362"/>
    </row>
    <row r="10839" spans="1:10" x14ac:dyDescent="0.25">
      <c r="A10839" s="362"/>
      <c r="B10839" s="609">
        <v>44848</v>
      </c>
      <c r="C10839" s="362" t="s">
        <v>83</v>
      </c>
      <c r="D10839" s="560">
        <v>153861755</v>
      </c>
      <c r="E10839" s="560"/>
      <c r="F10839" s="1436">
        <v>153861700</v>
      </c>
      <c r="G10839" s="560">
        <f t="shared" si="287"/>
        <v>55</v>
      </c>
      <c r="H10839" s="362"/>
      <c r="I10839" s="362"/>
      <c r="J10839" s="362"/>
    </row>
    <row r="10840" spans="1:10" x14ac:dyDescent="0.25">
      <c r="A10840" s="362"/>
      <c r="B10840" s="609">
        <v>44848</v>
      </c>
      <c r="C10840" s="362" t="s">
        <v>78</v>
      </c>
      <c r="D10840" s="560">
        <v>128682700</v>
      </c>
      <c r="E10840" s="560"/>
      <c r="F10840" s="1436">
        <v>128682700</v>
      </c>
      <c r="G10840" s="560">
        <f t="shared" si="287"/>
        <v>0</v>
      </c>
      <c r="H10840" s="362"/>
      <c r="I10840" s="362"/>
      <c r="J10840" s="362"/>
    </row>
    <row r="10841" spans="1:10" x14ac:dyDescent="0.25">
      <c r="A10841" s="362"/>
      <c r="B10841" s="609">
        <v>44848</v>
      </c>
      <c r="C10841" s="362" t="s">
        <v>141</v>
      </c>
      <c r="D10841" s="560">
        <v>82091737</v>
      </c>
      <c r="E10841" s="560"/>
      <c r="F10841" s="1436">
        <v>82091800</v>
      </c>
      <c r="G10841" s="560">
        <f t="shared" si="287"/>
        <v>-63</v>
      </c>
      <c r="H10841" s="362"/>
      <c r="I10841" s="362"/>
      <c r="J10841" s="362"/>
    </row>
    <row r="10842" spans="1:10" x14ac:dyDescent="0.25">
      <c r="A10842" s="362"/>
      <c r="B10842" s="609">
        <v>44848</v>
      </c>
      <c r="C10842" s="362" t="s">
        <v>89</v>
      </c>
      <c r="D10842" s="560">
        <v>269873500</v>
      </c>
      <c r="E10842" s="560"/>
      <c r="F10842" s="1436">
        <v>269873500</v>
      </c>
      <c r="G10842" s="560">
        <f t="shared" si="287"/>
        <v>0</v>
      </c>
      <c r="H10842" s="362"/>
      <c r="I10842" s="362"/>
      <c r="J10842" s="362"/>
    </row>
    <row r="10843" spans="1:10" x14ac:dyDescent="0.25">
      <c r="A10843" s="362"/>
      <c r="B10843" s="609">
        <v>44848</v>
      </c>
      <c r="C10843" s="362" t="s">
        <v>81</v>
      </c>
      <c r="D10843" s="560">
        <v>119401683</v>
      </c>
      <c r="E10843" s="560"/>
      <c r="F10843" s="1436">
        <v>119401700</v>
      </c>
      <c r="G10843" s="560">
        <f t="shared" si="287"/>
        <v>-17</v>
      </c>
      <c r="H10843" s="362"/>
      <c r="I10843" s="362"/>
      <c r="J10843" s="362"/>
    </row>
    <row r="10844" spans="1:10" x14ac:dyDescent="0.25">
      <c r="A10844" s="362"/>
      <c r="B10844" s="609">
        <v>44848</v>
      </c>
      <c r="C10844" s="362" t="s">
        <v>84</v>
      </c>
      <c r="D10844" s="560">
        <v>493927272</v>
      </c>
      <c r="E10844" s="560"/>
      <c r="F10844" s="1436">
        <v>493927200</v>
      </c>
      <c r="G10844" s="560">
        <f t="shared" si="287"/>
        <v>72</v>
      </c>
      <c r="H10844" s="362"/>
      <c r="I10844" s="362"/>
      <c r="J10844" s="362"/>
    </row>
    <row r="10845" spans="1:10" x14ac:dyDescent="0.25">
      <c r="A10845" s="362"/>
      <c r="B10845" s="609">
        <v>44848</v>
      </c>
      <c r="C10845" s="362" t="s">
        <v>4751</v>
      </c>
      <c r="D10845" s="560">
        <v>189430600</v>
      </c>
      <c r="E10845" s="560"/>
      <c r="F10845" s="1436">
        <v>189430700</v>
      </c>
      <c r="G10845" s="560">
        <f t="shared" si="287"/>
        <v>-100</v>
      </c>
      <c r="H10845" s="362"/>
      <c r="I10845" s="362"/>
      <c r="J10845" s="362"/>
    </row>
    <row r="10846" spans="1:10" x14ac:dyDescent="0.25">
      <c r="A10846" s="362"/>
      <c r="B10846" s="609">
        <v>44848</v>
      </c>
      <c r="C10846" s="362" t="s">
        <v>6301</v>
      </c>
      <c r="D10846" s="560">
        <v>63073116</v>
      </c>
      <c r="E10846" s="560"/>
      <c r="F10846" s="1436">
        <v>63073000</v>
      </c>
      <c r="G10846" s="560">
        <f t="shared" si="287"/>
        <v>116</v>
      </c>
      <c r="H10846" s="362"/>
      <c r="I10846" s="362"/>
      <c r="J10846" s="362"/>
    </row>
    <row r="10847" spans="1:10" x14ac:dyDescent="0.25">
      <c r="A10847" s="362"/>
      <c r="B10847" s="609">
        <v>44848</v>
      </c>
      <c r="C10847" s="362" t="s">
        <v>3435</v>
      </c>
      <c r="D10847" s="560">
        <v>108737117</v>
      </c>
      <c r="E10847" s="560"/>
      <c r="F10847" s="1436">
        <v>108737200</v>
      </c>
      <c r="G10847" s="560">
        <f t="shared" ref="G10847:G10883" si="291">D10847-F10847</f>
        <v>-83</v>
      </c>
      <c r="H10847" s="362"/>
      <c r="I10847" s="362"/>
      <c r="J10847" s="362"/>
    </row>
    <row r="10848" spans="1:10" x14ac:dyDescent="0.25">
      <c r="A10848" s="362"/>
      <c r="B10848" s="609">
        <v>44848</v>
      </c>
      <c r="C10848" s="370" t="s">
        <v>85</v>
      </c>
      <c r="D10848" s="560">
        <v>28244700</v>
      </c>
      <c r="E10848" s="560"/>
      <c r="F10848" s="1436">
        <v>28244700</v>
      </c>
      <c r="G10848" s="560">
        <f t="shared" si="291"/>
        <v>0</v>
      </c>
      <c r="H10848" s="362"/>
      <c r="I10848" s="362"/>
      <c r="J10848" s="362"/>
    </row>
    <row r="10849" spans="1:10" x14ac:dyDescent="0.25">
      <c r="A10849" s="362"/>
      <c r="B10849" s="609">
        <v>44848</v>
      </c>
      <c r="C10849" s="370" t="s">
        <v>6299</v>
      </c>
      <c r="D10849" s="560">
        <v>75227405</v>
      </c>
      <c r="E10849" s="560"/>
      <c r="F10849" s="563">
        <v>75227500</v>
      </c>
      <c r="G10849" s="560">
        <f t="shared" si="291"/>
        <v>-95</v>
      </c>
      <c r="H10849" s="362"/>
      <c r="I10849" s="362"/>
      <c r="J10849" s="362"/>
    </row>
    <row r="10850" spans="1:10" x14ac:dyDescent="0.25">
      <c r="A10850" s="530"/>
      <c r="B10850" s="530"/>
      <c r="C10850" s="530"/>
      <c r="D10850" s="562">
        <f>SUM(D10834:D10849)</f>
        <v>3165532887</v>
      </c>
      <c r="E10850" s="562">
        <f t="shared" ref="E10850:G10850" si="292">SUM(E10834:E10849)</f>
        <v>0</v>
      </c>
      <c r="F10850" s="562">
        <f t="shared" si="292"/>
        <v>3165533300</v>
      </c>
      <c r="G10850" s="562">
        <f t="shared" si="292"/>
        <v>-413</v>
      </c>
      <c r="H10850" s="530"/>
      <c r="I10850" s="530"/>
      <c r="J10850" s="530"/>
    </row>
    <row r="10851" spans="1:10" x14ac:dyDescent="0.25">
      <c r="A10851" s="362"/>
      <c r="B10851" s="609">
        <v>44849</v>
      </c>
      <c r="C10851" s="362" t="s">
        <v>86</v>
      </c>
      <c r="D10851" s="560">
        <v>93778469</v>
      </c>
      <c r="E10851" s="560"/>
      <c r="F10851" s="560">
        <v>93778600</v>
      </c>
      <c r="G10851" s="560">
        <f t="shared" si="291"/>
        <v>-131</v>
      </c>
      <c r="H10851" s="362"/>
      <c r="I10851" s="362"/>
      <c r="J10851" s="362"/>
    </row>
    <row r="10852" spans="1:10" x14ac:dyDescent="0.25">
      <c r="A10852" s="362"/>
      <c r="B10852" s="609">
        <v>44849</v>
      </c>
      <c r="C10852" s="362" t="s">
        <v>87</v>
      </c>
      <c r="D10852" s="560">
        <v>146778652</v>
      </c>
      <c r="E10852" s="560"/>
      <c r="F10852" s="560">
        <v>146778700</v>
      </c>
      <c r="G10852" s="560">
        <f t="shared" si="291"/>
        <v>-48</v>
      </c>
      <c r="H10852" s="362"/>
      <c r="I10852" s="362"/>
      <c r="J10852" s="362"/>
    </row>
    <row r="10853" spans="1:10" x14ac:dyDescent="0.25">
      <c r="A10853" s="362"/>
      <c r="B10853" s="609">
        <v>44849</v>
      </c>
      <c r="C10853" s="362" t="s">
        <v>88</v>
      </c>
      <c r="D10853" s="560">
        <v>296823139</v>
      </c>
      <c r="E10853" s="560"/>
      <c r="F10853" s="560">
        <v>303824500</v>
      </c>
      <c r="G10853" s="560">
        <f t="shared" si="291"/>
        <v>-7001361</v>
      </c>
      <c r="H10853" s="362"/>
      <c r="I10853" s="362"/>
      <c r="J10853" s="362"/>
    </row>
    <row r="10854" spans="1:10" x14ac:dyDescent="0.25">
      <c r="A10854" s="362"/>
      <c r="B10854" s="609">
        <v>44849</v>
      </c>
      <c r="C10854" s="362" t="s">
        <v>82</v>
      </c>
      <c r="D10854" s="560">
        <v>72909779</v>
      </c>
      <c r="E10854" s="560"/>
      <c r="F10854" s="560"/>
      <c r="G10854" s="560">
        <f t="shared" si="291"/>
        <v>72909779</v>
      </c>
      <c r="H10854" s="362"/>
      <c r="I10854" s="362"/>
      <c r="J10854" s="362"/>
    </row>
    <row r="10855" spans="1:10" x14ac:dyDescent="0.25">
      <c r="A10855" s="362"/>
      <c r="B10855" s="609">
        <v>44849</v>
      </c>
      <c r="C10855" s="362" t="s">
        <v>80</v>
      </c>
      <c r="D10855" s="560">
        <v>284368300</v>
      </c>
      <c r="E10855" s="560"/>
      <c r="F10855" s="560">
        <v>284368300</v>
      </c>
      <c r="G10855" s="560">
        <f t="shared" si="291"/>
        <v>0</v>
      </c>
      <c r="H10855" s="362"/>
      <c r="I10855" s="362"/>
      <c r="J10855" s="362"/>
    </row>
    <row r="10856" spans="1:10" x14ac:dyDescent="0.25">
      <c r="A10856" s="362"/>
      <c r="B10856" s="609">
        <v>44849</v>
      </c>
      <c r="C10856" s="362" t="s">
        <v>83</v>
      </c>
      <c r="D10856" s="560">
        <v>371133700</v>
      </c>
      <c r="E10856" s="560"/>
      <c r="F10856" s="560">
        <v>371133700</v>
      </c>
      <c r="G10856" s="560">
        <f t="shared" si="291"/>
        <v>0</v>
      </c>
      <c r="H10856" s="362"/>
      <c r="I10856" s="362"/>
      <c r="J10856" s="362"/>
    </row>
    <row r="10857" spans="1:10" x14ac:dyDescent="0.25">
      <c r="A10857" s="362"/>
      <c r="B10857" s="609">
        <v>44849</v>
      </c>
      <c r="C10857" s="362" t="s">
        <v>78</v>
      </c>
      <c r="D10857" s="560">
        <v>138466400</v>
      </c>
      <c r="E10857" s="560"/>
      <c r="F10857" s="560">
        <v>138466400</v>
      </c>
      <c r="G10857" s="560">
        <f t="shared" si="291"/>
        <v>0</v>
      </c>
      <c r="H10857" s="362"/>
      <c r="I10857" s="362"/>
      <c r="J10857" s="362"/>
    </row>
    <row r="10858" spans="1:10" x14ac:dyDescent="0.25">
      <c r="A10858" s="362"/>
      <c r="B10858" s="609">
        <v>44849</v>
      </c>
      <c r="C10858" s="362" t="s">
        <v>141</v>
      </c>
      <c r="D10858" s="560">
        <v>54760180</v>
      </c>
      <c r="E10858" s="560"/>
      <c r="F10858" s="560">
        <v>54760200</v>
      </c>
      <c r="G10858" s="560">
        <f t="shared" si="291"/>
        <v>-20</v>
      </c>
      <c r="H10858" s="362"/>
      <c r="I10858" s="362"/>
      <c r="J10858" s="362"/>
    </row>
    <row r="10859" spans="1:10" x14ac:dyDescent="0.25">
      <c r="A10859" s="362"/>
      <c r="B10859" s="609">
        <v>44849</v>
      </c>
      <c r="C10859" s="362" t="s">
        <v>89</v>
      </c>
      <c r="D10859" s="560">
        <v>107428200</v>
      </c>
      <c r="E10859" s="560"/>
      <c r="F10859" s="560">
        <v>107428200</v>
      </c>
      <c r="G10859" s="560">
        <f t="shared" si="291"/>
        <v>0</v>
      </c>
      <c r="H10859" s="362"/>
      <c r="I10859" s="362"/>
      <c r="J10859" s="362"/>
    </row>
    <row r="10860" spans="1:10" x14ac:dyDescent="0.25">
      <c r="A10860" s="362"/>
      <c r="B10860" s="609">
        <v>44849</v>
      </c>
      <c r="C10860" s="362" t="s">
        <v>81</v>
      </c>
      <c r="D10860" s="560">
        <v>160995869</v>
      </c>
      <c r="E10860" s="560"/>
      <c r="F10860" s="560">
        <f>21497102+139498798</f>
        <v>160995900</v>
      </c>
      <c r="G10860" s="560">
        <f t="shared" si="291"/>
        <v>-31</v>
      </c>
      <c r="H10860" s="362"/>
      <c r="I10860" s="362"/>
      <c r="J10860" s="362"/>
    </row>
    <row r="10861" spans="1:10" x14ac:dyDescent="0.25">
      <c r="A10861" s="362"/>
      <c r="B10861" s="609">
        <v>44849</v>
      </c>
      <c r="C10861" s="362" t="s">
        <v>84</v>
      </c>
      <c r="D10861" s="560">
        <v>348643044</v>
      </c>
      <c r="E10861" s="560"/>
      <c r="F10861" s="560">
        <v>348642900</v>
      </c>
      <c r="G10861" s="560">
        <f t="shared" si="291"/>
        <v>144</v>
      </c>
      <c r="H10861" s="362"/>
      <c r="I10861" s="362"/>
      <c r="J10861" s="362"/>
    </row>
    <row r="10862" spans="1:10" x14ac:dyDescent="0.25">
      <c r="A10862" s="362"/>
      <c r="B10862" s="609">
        <v>44849</v>
      </c>
      <c r="C10862" s="362" t="s">
        <v>4751</v>
      </c>
      <c r="D10862" s="560">
        <v>170301300</v>
      </c>
      <c r="E10862" s="560"/>
      <c r="F10862" s="560">
        <v>170301300</v>
      </c>
      <c r="G10862" s="560">
        <f t="shared" si="291"/>
        <v>0</v>
      </c>
      <c r="H10862" s="362"/>
      <c r="I10862" s="362"/>
      <c r="J10862" s="362"/>
    </row>
    <row r="10863" spans="1:10" x14ac:dyDescent="0.25">
      <c r="A10863" s="362"/>
      <c r="B10863" s="609">
        <v>44849</v>
      </c>
      <c r="C10863" s="362" t="s">
        <v>6301</v>
      </c>
      <c r="D10863" s="560"/>
      <c r="E10863" s="560"/>
      <c r="F10863" s="560"/>
      <c r="G10863" s="560">
        <f t="shared" si="291"/>
        <v>0</v>
      </c>
      <c r="H10863" s="362"/>
      <c r="I10863" s="362"/>
      <c r="J10863" s="362"/>
    </row>
    <row r="10864" spans="1:10" x14ac:dyDescent="0.25">
      <c r="A10864" s="362"/>
      <c r="B10864" s="609">
        <v>44849</v>
      </c>
      <c r="C10864" s="362" t="s">
        <v>3435</v>
      </c>
      <c r="D10864" s="560"/>
      <c r="E10864" s="560"/>
      <c r="F10864" s="560"/>
      <c r="G10864" s="560">
        <f t="shared" si="291"/>
        <v>0</v>
      </c>
      <c r="H10864" s="362"/>
      <c r="I10864" s="362"/>
      <c r="J10864" s="362"/>
    </row>
    <row r="10865" spans="1:10" x14ac:dyDescent="0.25">
      <c r="A10865" s="362"/>
      <c r="B10865" s="609">
        <v>44849</v>
      </c>
      <c r="C10865" s="370" t="s">
        <v>85</v>
      </c>
      <c r="D10865" s="560">
        <v>51162100</v>
      </c>
      <c r="E10865" s="560"/>
      <c r="F10865" s="560">
        <v>51162100</v>
      </c>
      <c r="G10865" s="560">
        <f t="shared" si="291"/>
        <v>0</v>
      </c>
      <c r="H10865" s="362"/>
      <c r="I10865" s="362"/>
      <c r="J10865" s="362"/>
    </row>
    <row r="10866" spans="1:10" x14ac:dyDescent="0.25">
      <c r="A10866" s="362"/>
      <c r="B10866" s="609">
        <v>44849</v>
      </c>
      <c r="C10866" s="370" t="s">
        <v>6299</v>
      </c>
      <c r="D10866" s="560">
        <v>32776931</v>
      </c>
      <c r="E10866" s="560"/>
      <c r="F10866" s="560"/>
      <c r="G10866" s="560">
        <f t="shared" si="291"/>
        <v>32776931</v>
      </c>
      <c r="H10866" s="362"/>
      <c r="I10866" s="362"/>
      <c r="J10866" s="362"/>
    </row>
    <row r="10867" spans="1:10" x14ac:dyDescent="0.25">
      <c r="A10867" s="530"/>
      <c r="B10867" s="530"/>
      <c r="C10867" s="530"/>
      <c r="D10867" s="562">
        <f ca="1">SUM(D10851:D10867)</f>
        <v>0</v>
      </c>
      <c r="E10867" s="562">
        <f t="shared" ref="E10867:G10867" ca="1" si="293">SUM(E10851:E10867)</f>
        <v>0</v>
      </c>
      <c r="F10867" s="562">
        <f t="shared" ca="1" si="293"/>
        <v>0</v>
      </c>
      <c r="G10867" s="562">
        <f t="shared" ca="1" si="293"/>
        <v>0</v>
      </c>
      <c r="H10867" s="530"/>
      <c r="I10867" s="530"/>
      <c r="J10867" s="530"/>
    </row>
    <row r="10868" spans="1:10" x14ac:dyDescent="0.25">
      <c r="A10868" s="362"/>
      <c r="B10868" s="609">
        <v>44851</v>
      </c>
      <c r="C10868" s="362" t="s">
        <v>86</v>
      </c>
      <c r="D10868" s="362"/>
      <c r="E10868" s="362"/>
      <c r="F10868" s="362"/>
      <c r="G10868" s="560">
        <f t="shared" si="291"/>
        <v>0</v>
      </c>
      <c r="H10868" s="362"/>
      <c r="I10868" s="362"/>
      <c r="J10868" s="362"/>
    </row>
    <row r="10869" spans="1:10" x14ac:dyDescent="0.25">
      <c r="A10869" s="362"/>
      <c r="B10869" s="609">
        <v>44851</v>
      </c>
      <c r="C10869" s="362" t="s">
        <v>87</v>
      </c>
      <c r="D10869" s="362"/>
      <c r="E10869" s="362"/>
      <c r="F10869" s="362"/>
      <c r="G10869" s="560">
        <f t="shared" si="291"/>
        <v>0</v>
      </c>
      <c r="H10869" s="362"/>
      <c r="I10869" s="362"/>
      <c r="J10869" s="362"/>
    </row>
    <row r="10870" spans="1:10" x14ac:dyDescent="0.25">
      <c r="A10870" s="362"/>
      <c r="B10870" s="609">
        <v>44851</v>
      </c>
      <c r="C10870" s="362" t="s">
        <v>88</v>
      </c>
      <c r="D10870" s="362"/>
      <c r="E10870" s="362"/>
      <c r="F10870" s="362"/>
      <c r="G10870" s="560">
        <f t="shared" si="291"/>
        <v>0</v>
      </c>
      <c r="H10870" s="362"/>
      <c r="I10870" s="362"/>
      <c r="J10870" s="362"/>
    </row>
    <row r="10871" spans="1:10" x14ac:dyDescent="0.25">
      <c r="A10871" s="362"/>
      <c r="B10871" s="609">
        <v>44851</v>
      </c>
      <c r="C10871" s="362" t="s">
        <v>82</v>
      </c>
      <c r="D10871" s="362"/>
      <c r="E10871" s="362"/>
      <c r="F10871" s="362"/>
      <c r="G10871" s="560">
        <f t="shared" si="291"/>
        <v>0</v>
      </c>
      <c r="H10871" s="362"/>
      <c r="I10871" s="362"/>
      <c r="J10871" s="362"/>
    </row>
    <row r="10872" spans="1:10" x14ac:dyDescent="0.25">
      <c r="A10872" s="362"/>
      <c r="B10872" s="609">
        <v>44851</v>
      </c>
      <c r="C10872" s="362" t="s">
        <v>80</v>
      </c>
      <c r="D10872" s="362"/>
      <c r="E10872" s="362"/>
      <c r="F10872" s="362"/>
      <c r="G10872" s="560">
        <f t="shared" si="291"/>
        <v>0</v>
      </c>
      <c r="H10872" s="362"/>
      <c r="I10872" s="362"/>
      <c r="J10872" s="362"/>
    </row>
    <row r="10873" spans="1:10" x14ac:dyDescent="0.25">
      <c r="A10873" s="362"/>
      <c r="B10873" s="609">
        <v>44851</v>
      </c>
      <c r="C10873" s="362" t="s">
        <v>83</v>
      </c>
      <c r="D10873" s="362"/>
      <c r="E10873" s="362"/>
      <c r="F10873" s="362"/>
      <c r="G10873" s="560">
        <f t="shared" si="291"/>
        <v>0</v>
      </c>
      <c r="H10873" s="362"/>
      <c r="I10873" s="362"/>
      <c r="J10873" s="362"/>
    </row>
    <row r="10874" spans="1:10" x14ac:dyDescent="0.25">
      <c r="A10874" s="362"/>
      <c r="B10874" s="609">
        <v>44851</v>
      </c>
      <c r="C10874" s="362" t="s">
        <v>78</v>
      </c>
      <c r="D10874" s="362"/>
      <c r="E10874" s="362"/>
      <c r="F10874" s="362"/>
      <c r="G10874" s="560">
        <f t="shared" si="291"/>
        <v>0</v>
      </c>
      <c r="H10874" s="362"/>
      <c r="I10874" s="362"/>
      <c r="J10874" s="362"/>
    </row>
    <row r="10875" spans="1:10" x14ac:dyDescent="0.25">
      <c r="A10875" s="362"/>
      <c r="B10875" s="609">
        <v>44851</v>
      </c>
      <c r="C10875" s="362" t="s">
        <v>141</v>
      </c>
      <c r="D10875" s="362"/>
      <c r="E10875" s="362"/>
      <c r="F10875" s="362"/>
      <c r="G10875" s="560">
        <f t="shared" si="291"/>
        <v>0</v>
      </c>
      <c r="H10875" s="362"/>
      <c r="I10875" s="362"/>
      <c r="J10875" s="362"/>
    </row>
    <row r="10876" spans="1:10" x14ac:dyDescent="0.25">
      <c r="A10876" s="362"/>
      <c r="B10876" s="609">
        <v>44851</v>
      </c>
      <c r="C10876" s="362" t="s">
        <v>89</v>
      </c>
      <c r="D10876" s="362"/>
      <c r="E10876" s="362"/>
      <c r="F10876" s="362"/>
      <c r="G10876" s="560">
        <f t="shared" si="291"/>
        <v>0</v>
      </c>
      <c r="H10876" s="362"/>
      <c r="I10876" s="362"/>
      <c r="J10876" s="362"/>
    </row>
    <row r="10877" spans="1:10" x14ac:dyDescent="0.25">
      <c r="A10877" s="362"/>
      <c r="B10877" s="609">
        <v>44851</v>
      </c>
      <c r="C10877" s="362" t="s">
        <v>81</v>
      </c>
      <c r="D10877" s="362"/>
      <c r="E10877" s="362"/>
      <c r="F10877" s="362"/>
      <c r="G10877" s="560">
        <f t="shared" si="291"/>
        <v>0</v>
      </c>
      <c r="H10877" s="362"/>
      <c r="I10877" s="362"/>
      <c r="J10877" s="362"/>
    </row>
    <row r="10878" spans="1:10" x14ac:dyDescent="0.25">
      <c r="A10878" s="362"/>
      <c r="B10878" s="609">
        <v>44851</v>
      </c>
      <c r="C10878" s="362" t="s">
        <v>84</v>
      </c>
      <c r="D10878" s="362"/>
      <c r="E10878" s="362"/>
      <c r="F10878" s="362"/>
      <c r="G10878" s="560">
        <f t="shared" si="291"/>
        <v>0</v>
      </c>
      <c r="H10878" s="362"/>
      <c r="I10878" s="362"/>
      <c r="J10878" s="362"/>
    </row>
    <row r="10879" spans="1:10" x14ac:dyDescent="0.25">
      <c r="A10879" s="362"/>
      <c r="B10879" s="609">
        <v>44851</v>
      </c>
      <c r="C10879" s="362" t="s">
        <v>4751</v>
      </c>
      <c r="D10879" s="362"/>
      <c r="E10879" s="362"/>
      <c r="F10879" s="362"/>
      <c r="G10879" s="560">
        <f t="shared" si="291"/>
        <v>0</v>
      </c>
      <c r="H10879" s="362"/>
      <c r="I10879" s="362"/>
      <c r="J10879" s="362"/>
    </row>
    <row r="10880" spans="1:10" x14ac:dyDescent="0.25">
      <c r="A10880" s="362"/>
      <c r="B10880" s="609">
        <v>44851</v>
      </c>
      <c r="C10880" s="362" t="s">
        <v>6301</v>
      </c>
      <c r="D10880" s="362"/>
      <c r="E10880" s="362"/>
      <c r="F10880" s="362"/>
      <c r="G10880" s="560">
        <f t="shared" si="291"/>
        <v>0</v>
      </c>
      <c r="H10880" s="362"/>
      <c r="I10880" s="362"/>
      <c r="J10880" s="362"/>
    </row>
    <row r="10881" spans="1:10" x14ac:dyDescent="0.25">
      <c r="A10881" s="362"/>
      <c r="B10881" s="609">
        <v>44851</v>
      </c>
      <c r="C10881" s="362" t="s">
        <v>3435</v>
      </c>
      <c r="D10881" s="362"/>
      <c r="E10881" s="362"/>
      <c r="F10881" s="362"/>
      <c r="G10881" s="560">
        <f t="shared" si="291"/>
        <v>0</v>
      </c>
      <c r="H10881" s="362"/>
      <c r="I10881" s="362"/>
      <c r="J10881" s="362"/>
    </row>
    <row r="10882" spans="1:10" x14ac:dyDescent="0.25">
      <c r="A10882" s="362"/>
      <c r="B10882" s="609">
        <v>44851</v>
      </c>
      <c r="C10882" s="370" t="s">
        <v>85</v>
      </c>
      <c r="D10882" s="362"/>
      <c r="E10882" s="362"/>
      <c r="F10882" s="362"/>
      <c r="G10882" s="560">
        <f t="shared" si="291"/>
        <v>0</v>
      </c>
      <c r="H10882" s="362"/>
      <c r="I10882" s="362"/>
      <c r="J10882" s="362"/>
    </row>
    <row r="10883" spans="1:10" x14ac:dyDescent="0.25">
      <c r="A10883" s="362"/>
      <c r="B10883" s="609">
        <v>44851</v>
      </c>
      <c r="C10883" s="370" t="s">
        <v>6299</v>
      </c>
      <c r="D10883" s="362"/>
      <c r="E10883" s="362"/>
      <c r="F10883" s="362"/>
      <c r="G10883" s="560">
        <f t="shared" si="291"/>
        <v>0</v>
      </c>
      <c r="H10883" s="362"/>
      <c r="I10883" s="362"/>
      <c r="J10883" s="362"/>
    </row>
    <row r="10884" spans="1:10" x14ac:dyDescent="0.25">
      <c r="A10884" s="530"/>
      <c r="B10884" s="530"/>
      <c r="C10884" s="530"/>
      <c r="D10884" s="530">
        <f>SUM(D10868:D10883)</f>
        <v>0</v>
      </c>
      <c r="E10884" s="530">
        <f t="shared" ref="E10884:G10884" si="294">SUM(E10868:E10883)</f>
        <v>0</v>
      </c>
      <c r="F10884" s="530">
        <f t="shared" si="294"/>
        <v>0</v>
      </c>
      <c r="G10884" s="530">
        <f t="shared" si="294"/>
        <v>0</v>
      </c>
      <c r="H10884" s="530"/>
      <c r="I10884" s="530"/>
      <c r="J10884" s="530"/>
    </row>
    <row r="10885" spans="1:10" x14ac:dyDescent="0.25">
      <c r="A10885" s="362"/>
      <c r="B10885" s="362"/>
      <c r="C10885" s="362"/>
      <c r="D10885" s="362"/>
      <c r="E10885" s="362"/>
      <c r="F10885" s="362"/>
      <c r="G10885" s="362"/>
      <c r="H10885" s="362"/>
      <c r="I10885" s="362"/>
      <c r="J10885" s="362"/>
    </row>
    <row r="10886" spans="1:10" x14ac:dyDescent="0.25">
      <c r="A10886" s="362"/>
      <c r="B10886" s="362"/>
      <c r="C10886" s="362"/>
      <c r="D10886" s="362"/>
      <c r="E10886" s="362"/>
      <c r="F10886" s="362"/>
      <c r="G10886" s="362"/>
      <c r="H10886" s="362"/>
      <c r="I10886" s="362"/>
      <c r="J10886" s="362"/>
    </row>
    <row r="10887" spans="1:10" x14ac:dyDescent="0.25">
      <c r="A10887" s="362"/>
      <c r="B10887" s="362"/>
      <c r="C10887" s="362"/>
      <c r="D10887" s="362"/>
      <c r="E10887" s="362"/>
      <c r="F10887" s="362"/>
      <c r="G10887" s="362"/>
      <c r="H10887" s="362"/>
      <c r="I10887" s="362"/>
      <c r="J10887" s="362"/>
    </row>
    <row r="10888" spans="1:10" x14ac:dyDescent="0.25">
      <c r="A10888" s="362"/>
      <c r="B10888" s="362"/>
      <c r="C10888" s="362"/>
      <c r="D10888" s="362"/>
      <c r="E10888" s="362"/>
      <c r="F10888" s="362"/>
      <c r="G10888" s="362"/>
      <c r="H10888" s="362"/>
      <c r="I10888" s="362"/>
      <c r="J10888" s="362"/>
    </row>
    <row r="10889" spans="1:10" x14ac:dyDescent="0.25">
      <c r="A10889" s="362"/>
      <c r="B10889" s="362"/>
      <c r="C10889" s="362"/>
      <c r="D10889" s="362"/>
      <c r="E10889" s="362"/>
      <c r="F10889" s="362"/>
      <c r="G10889" s="362"/>
      <c r="H10889" s="362"/>
      <c r="I10889" s="362"/>
      <c r="J10889" s="362"/>
    </row>
    <row r="10890" spans="1:10" x14ac:dyDescent="0.25">
      <c r="A10890" s="362"/>
      <c r="B10890" s="362"/>
      <c r="C10890" s="362"/>
      <c r="D10890" s="362"/>
      <c r="E10890" s="362"/>
      <c r="F10890" s="362"/>
      <c r="G10890" s="362"/>
      <c r="H10890" s="362"/>
      <c r="I10890" s="362"/>
      <c r="J10890" s="362"/>
    </row>
    <row r="10891" spans="1:10" x14ac:dyDescent="0.25">
      <c r="A10891" s="362"/>
      <c r="B10891" s="362"/>
      <c r="C10891" s="362"/>
      <c r="D10891" s="362"/>
      <c r="E10891" s="362"/>
      <c r="F10891" s="362"/>
      <c r="G10891" s="362"/>
      <c r="H10891" s="362"/>
      <c r="I10891" s="362"/>
      <c r="J10891" s="362"/>
    </row>
    <row r="10892" spans="1:10" x14ac:dyDescent="0.25">
      <c r="A10892" s="362"/>
      <c r="B10892" s="362"/>
      <c r="C10892" s="362"/>
      <c r="D10892" s="362"/>
      <c r="E10892" s="362"/>
      <c r="F10892" s="362"/>
      <c r="G10892" s="362"/>
      <c r="H10892" s="362"/>
      <c r="I10892" s="362"/>
      <c r="J10892" s="362"/>
    </row>
    <row r="10893" spans="1:10" x14ac:dyDescent="0.25">
      <c r="A10893" s="362"/>
      <c r="B10893" s="362"/>
      <c r="C10893" s="362"/>
      <c r="D10893" s="362"/>
      <c r="E10893" s="362"/>
      <c r="F10893" s="362"/>
      <c r="G10893" s="362"/>
      <c r="H10893" s="362"/>
      <c r="I10893" s="362"/>
      <c r="J10893" s="362"/>
    </row>
    <row r="10894" spans="1:10" x14ac:dyDescent="0.25">
      <c r="A10894" s="362"/>
      <c r="B10894" s="362"/>
      <c r="C10894" s="362"/>
      <c r="D10894" s="362"/>
      <c r="E10894" s="362"/>
      <c r="F10894" s="362"/>
      <c r="G10894" s="362"/>
      <c r="H10894" s="362"/>
      <c r="I10894" s="362"/>
      <c r="J10894" s="362"/>
    </row>
    <row r="10895" spans="1:10" x14ac:dyDescent="0.25">
      <c r="A10895" s="362"/>
      <c r="B10895" s="362"/>
      <c r="C10895" s="362"/>
      <c r="D10895" s="362"/>
      <c r="E10895" s="362"/>
      <c r="F10895" s="362"/>
      <c r="G10895" s="362"/>
      <c r="H10895" s="362"/>
      <c r="I10895" s="362"/>
      <c r="J10895" s="362"/>
    </row>
    <row r="10896" spans="1:10" x14ac:dyDescent="0.25">
      <c r="A10896" s="362"/>
      <c r="B10896" s="362"/>
      <c r="C10896" s="362"/>
      <c r="D10896" s="362"/>
      <c r="E10896" s="362"/>
      <c r="F10896" s="362"/>
      <c r="G10896" s="362"/>
      <c r="H10896" s="362"/>
      <c r="I10896" s="362"/>
      <c r="J10896" s="362"/>
    </row>
    <row r="10897" spans="1:10" x14ac:dyDescent="0.25">
      <c r="A10897" s="362"/>
      <c r="B10897" s="362"/>
      <c r="C10897" s="362"/>
      <c r="D10897" s="362"/>
      <c r="E10897" s="362"/>
      <c r="F10897" s="362"/>
      <c r="G10897" s="362"/>
      <c r="H10897" s="362"/>
      <c r="I10897" s="362"/>
      <c r="J10897" s="362"/>
    </row>
    <row r="10898" spans="1:10" x14ac:dyDescent="0.25">
      <c r="A10898" s="362"/>
      <c r="B10898" s="362"/>
      <c r="C10898" s="362"/>
      <c r="D10898" s="362"/>
      <c r="E10898" s="362"/>
      <c r="F10898" s="362"/>
      <c r="G10898" s="362"/>
      <c r="H10898" s="362"/>
      <c r="I10898" s="362"/>
      <c r="J10898" s="362"/>
    </row>
    <row r="10899" spans="1:10" x14ac:dyDescent="0.25">
      <c r="A10899" s="362"/>
      <c r="B10899" s="362"/>
      <c r="C10899" s="362"/>
      <c r="D10899" s="362"/>
      <c r="E10899" s="362"/>
      <c r="F10899" s="362"/>
      <c r="G10899" s="362"/>
      <c r="H10899" s="362"/>
      <c r="I10899" s="362"/>
      <c r="J10899" s="362"/>
    </row>
    <row r="10900" spans="1:10" x14ac:dyDescent="0.25">
      <c r="A10900" s="362"/>
      <c r="B10900" s="362"/>
      <c r="C10900" s="362"/>
      <c r="D10900" s="362"/>
      <c r="E10900" s="362"/>
      <c r="F10900" s="362"/>
      <c r="G10900" s="362"/>
      <c r="H10900" s="362"/>
      <c r="I10900" s="362"/>
      <c r="J10900" s="362"/>
    </row>
    <row r="10901" spans="1:10" x14ac:dyDescent="0.25">
      <c r="A10901" s="362"/>
      <c r="B10901" s="362"/>
      <c r="C10901" s="362"/>
      <c r="D10901" s="362"/>
      <c r="E10901" s="362"/>
      <c r="F10901" s="362"/>
      <c r="G10901" s="362"/>
      <c r="H10901" s="362"/>
      <c r="I10901" s="362"/>
      <c r="J10901" s="362"/>
    </row>
    <row r="10902" spans="1:10" x14ac:dyDescent="0.25">
      <c r="A10902" s="362"/>
      <c r="B10902" s="362"/>
      <c r="C10902" s="362"/>
      <c r="D10902" s="362"/>
      <c r="E10902" s="362"/>
      <c r="F10902" s="362"/>
      <c r="G10902" s="362"/>
      <c r="H10902" s="362"/>
      <c r="I10902" s="362"/>
      <c r="J10902" s="362"/>
    </row>
    <row r="10903" spans="1:10" x14ac:dyDescent="0.25">
      <c r="A10903" s="362"/>
      <c r="B10903" s="362"/>
      <c r="C10903" s="362"/>
      <c r="D10903" s="362"/>
      <c r="E10903" s="362"/>
      <c r="F10903" s="362"/>
      <c r="G10903" s="362"/>
      <c r="H10903" s="362"/>
      <c r="I10903" s="362"/>
      <c r="J10903" s="362"/>
    </row>
    <row r="10904" spans="1:10" x14ac:dyDescent="0.25">
      <c r="A10904" s="362"/>
      <c r="B10904" s="362"/>
      <c r="C10904" s="362"/>
      <c r="D10904" s="362"/>
      <c r="E10904" s="362"/>
      <c r="F10904" s="362"/>
      <c r="G10904" s="362"/>
      <c r="H10904" s="362"/>
      <c r="I10904" s="362"/>
      <c r="J10904" s="362"/>
    </row>
    <row r="10905" spans="1:10" x14ac:dyDescent="0.25">
      <c r="A10905" s="362"/>
      <c r="B10905" s="362"/>
      <c r="C10905" s="362"/>
      <c r="D10905" s="362"/>
      <c r="E10905" s="362"/>
      <c r="F10905" s="362"/>
      <c r="G10905" s="362"/>
      <c r="H10905" s="362"/>
      <c r="I10905" s="362"/>
      <c r="J10905" s="362"/>
    </row>
    <row r="10906" spans="1:10" x14ac:dyDescent="0.25">
      <c r="A10906" s="362"/>
      <c r="B10906" s="362"/>
      <c r="C10906" s="362"/>
      <c r="D10906" s="362"/>
      <c r="E10906" s="362"/>
      <c r="F10906" s="362"/>
      <c r="G10906" s="362"/>
      <c r="H10906" s="362"/>
      <c r="I10906" s="362"/>
      <c r="J10906" s="362"/>
    </row>
    <row r="10907" spans="1:10" x14ac:dyDescent="0.25">
      <c r="A10907" s="362"/>
      <c r="B10907" s="362"/>
      <c r="C10907" s="362"/>
      <c r="D10907" s="362"/>
      <c r="E10907" s="362"/>
      <c r="F10907" s="362"/>
      <c r="G10907" s="362"/>
      <c r="H10907" s="362"/>
      <c r="I10907" s="362"/>
      <c r="J10907" s="362"/>
    </row>
    <row r="10908" spans="1:10" x14ac:dyDescent="0.25">
      <c r="A10908" s="362"/>
      <c r="B10908" s="362"/>
      <c r="C10908" s="362"/>
      <c r="D10908" s="362"/>
      <c r="E10908" s="362"/>
      <c r="F10908" s="362"/>
      <c r="G10908" s="362"/>
      <c r="H10908" s="362"/>
      <c r="I10908" s="362"/>
      <c r="J10908" s="362"/>
    </row>
    <row r="10909" spans="1:10" x14ac:dyDescent="0.25">
      <c r="A10909" s="362"/>
      <c r="B10909" s="362"/>
      <c r="C10909" s="362"/>
      <c r="D10909" s="362"/>
      <c r="E10909" s="362"/>
      <c r="F10909" s="362"/>
      <c r="G10909" s="362"/>
      <c r="H10909" s="362"/>
      <c r="I10909" s="362"/>
      <c r="J10909" s="362"/>
    </row>
    <row r="10910" spans="1:10" x14ac:dyDescent="0.25">
      <c r="A10910" s="362"/>
      <c r="B10910" s="362"/>
      <c r="C10910" s="362"/>
      <c r="D10910" s="362"/>
      <c r="E10910" s="362"/>
      <c r="F10910" s="362"/>
      <c r="G10910" s="362"/>
      <c r="H10910" s="362"/>
      <c r="I10910" s="362"/>
      <c r="J10910" s="362"/>
    </row>
    <row r="10911" spans="1:10" x14ac:dyDescent="0.25">
      <c r="A10911" s="362"/>
      <c r="B10911" s="362"/>
      <c r="C10911" s="362"/>
      <c r="D10911" s="362"/>
      <c r="E10911" s="362"/>
      <c r="F10911" s="362"/>
      <c r="G10911" s="362"/>
      <c r="H10911" s="362"/>
      <c r="I10911" s="362"/>
      <c r="J10911" s="362"/>
    </row>
    <row r="10912" spans="1:10" x14ac:dyDescent="0.25">
      <c r="A10912" s="362"/>
      <c r="B10912" s="362"/>
      <c r="C10912" s="362"/>
      <c r="D10912" s="362"/>
      <c r="E10912" s="362"/>
      <c r="F10912" s="362"/>
      <c r="G10912" s="362"/>
      <c r="H10912" s="362"/>
      <c r="I10912" s="362"/>
      <c r="J10912" s="362"/>
    </row>
    <row r="10913" spans="1:10" x14ac:dyDescent="0.25">
      <c r="A10913" s="362"/>
      <c r="B10913" s="362"/>
      <c r="C10913" s="362"/>
      <c r="D10913" s="362"/>
      <c r="E10913" s="362"/>
      <c r="F10913" s="362"/>
      <c r="G10913" s="362"/>
      <c r="H10913" s="362"/>
      <c r="I10913" s="362"/>
      <c r="J10913" s="362"/>
    </row>
    <row r="10914" spans="1:10" x14ac:dyDescent="0.25">
      <c r="A10914" s="362"/>
      <c r="B10914" s="362"/>
      <c r="C10914" s="362"/>
      <c r="D10914" s="362"/>
      <c r="E10914" s="362"/>
      <c r="F10914" s="362"/>
      <c r="G10914" s="362"/>
      <c r="H10914" s="362"/>
      <c r="I10914" s="362"/>
      <c r="J10914" s="362"/>
    </row>
    <row r="10915" spans="1:10" x14ac:dyDescent="0.25">
      <c r="A10915" s="362"/>
      <c r="B10915" s="362"/>
      <c r="C10915" s="362"/>
      <c r="D10915" s="362"/>
      <c r="E10915" s="362"/>
      <c r="F10915" s="362"/>
      <c r="G10915" s="362"/>
      <c r="H10915" s="362"/>
      <c r="I10915" s="362"/>
      <c r="J10915" s="362"/>
    </row>
    <row r="10916" spans="1:10" x14ac:dyDescent="0.25">
      <c r="A10916" s="362"/>
      <c r="B10916" s="362"/>
      <c r="C10916" s="362"/>
      <c r="D10916" s="362"/>
      <c r="E10916" s="362"/>
      <c r="F10916" s="362"/>
      <c r="G10916" s="362"/>
      <c r="H10916" s="362"/>
      <c r="I10916" s="362"/>
      <c r="J10916" s="362"/>
    </row>
    <row r="10917" spans="1:10" x14ac:dyDescent="0.25">
      <c r="A10917" s="362"/>
      <c r="B10917" s="362"/>
      <c r="C10917" s="362"/>
      <c r="D10917" s="362"/>
      <c r="E10917" s="362"/>
      <c r="F10917" s="362"/>
      <c r="G10917" s="362"/>
      <c r="H10917" s="362"/>
      <c r="I10917" s="362"/>
      <c r="J10917" s="362"/>
    </row>
    <row r="10918" spans="1:10" x14ac:dyDescent="0.25">
      <c r="A10918" s="362"/>
      <c r="B10918" s="362"/>
      <c r="C10918" s="362"/>
      <c r="D10918" s="362"/>
      <c r="E10918" s="362"/>
      <c r="F10918" s="362"/>
      <c r="G10918" s="362"/>
      <c r="H10918" s="362"/>
      <c r="I10918" s="362"/>
      <c r="J10918" s="362"/>
    </row>
    <row r="10919" spans="1:10" x14ac:dyDescent="0.25">
      <c r="A10919" s="362"/>
      <c r="B10919" s="362"/>
      <c r="C10919" s="362"/>
      <c r="D10919" s="362"/>
      <c r="E10919" s="362"/>
      <c r="F10919" s="362"/>
      <c r="G10919" s="362"/>
      <c r="H10919" s="362"/>
      <c r="I10919" s="362"/>
      <c r="J10919" s="362"/>
    </row>
    <row r="10920" spans="1:10" x14ac:dyDescent="0.25">
      <c r="A10920" s="362"/>
      <c r="B10920" s="362"/>
      <c r="C10920" s="362"/>
      <c r="D10920" s="362"/>
      <c r="E10920" s="362"/>
      <c r="F10920" s="362"/>
      <c r="G10920" s="362"/>
      <c r="H10920" s="362"/>
      <c r="I10920" s="362"/>
      <c r="J10920" s="362"/>
    </row>
    <row r="10921" spans="1:10" x14ac:dyDescent="0.25">
      <c r="A10921" s="362"/>
      <c r="B10921" s="362"/>
      <c r="C10921" s="362"/>
      <c r="D10921" s="362"/>
      <c r="E10921" s="362"/>
      <c r="F10921" s="362"/>
      <c r="G10921" s="362"/>
      <c r="H10921" s="362"/>
      <c r="I10921" s="362"/>
      <c r="J10921" s="362"/>
    </row>
    <row r="10922" spans="1:10" x14ac:dyDescent="0.25">
      <c r="A10922" s="362"/>
      <c r="B10922" s="362"/>
      <c r="C10922" s="362"/>
      <c r="D10922" s="362"/>
      <c r="E10922" s="362"/>
      <c r="F10922" s="362"/>
      <c r="G10922" s="362"/>
      <c r="H10922" s="362"/>
      <c r="I10922" s="362"/>
      <c r="J10922" s="362"/>
    </row>
    <row r="10923" spans="1:10" x14ac:dyDescent="0.25">
      <c r="A10923" s="362"/>
      <c r="B10923" s="362"/>
      <c r="C10923" s="362"/>
      <c r="D10923" s="362"/>
      <c r="E10923" s="362"/>
      <c r="F10923" s="362"/>
      <c r="G10923" s="362"/>
      <c r="H10923" s="362"/>
      <c r="I10923" s="362"/>
      <c r="J10923" s="362"/>
    </row>
    <row r="10924" spans="1:10" x14ac:dyDescent="0.25">
      <c r="A10924" s="362"/>
      <c r="B10924" s="362"/>
      <c r="C10924" s="362"/>
      <c r="D10924" s="362"/>
      <c r="E10924" s="362"/>
      <c r="F10924" s="362"/>
      <c r="G10924" s="362"/>
      <c r="H10924" s="362"/>
      <c r="I10924" s="362"/>
      <c r="J10924" s="362"/>
    </row>
    <row r="10925" spans="1:10" x14ac:dyDescent="0.25">
      <c r="A10925" s="362"/>
      <c r="B10925" s="362"/>
      <c r="C10925" s="362"/>
      <c r="D10925" s="362"/>
      <c r="E10925" s="362"/>
      <c r="F10925" s="362"/>
      <c r="G10925" s="362"/>
      <c r="H10925" s="362"/>
      <c r="I10925" s="362"/>
      <c r="J10925" s="362"/>
    </row>
    <row r="10926" spans="1:10" x14ac:dyDescent="0.25">
      <c r="A10926" s="362"/>
      <c r="B10926" s="362"/>
      <c r="C10926" s="362"/>
      <c r="D10926" s="362"/>
      <c r="E10926" s="362"/>
      <c r="F10926" s="362"/>
      <c r="G10926" s="362"/>
      <c r="H10926" s="362"/>
      <c r="I10926" s="362"/>
      <c r="J10926" s="362"/>
    </row>
    <row r="10927" spans="1:10" x14ac:dyDescent="0.25">
      <c r="A10927" s="362"/>
      <c r="B10927" s="362"/>
      <c r="C10927" s="362"/>
      <c r="D10927" s="362"/>
      <c r="E10927" s="362"/>
      <c r="F10927" s="362"/>
      <c r="G10927" s="362"/>
      <c r="H10927" s="362"/>
      <c r="I10927" s="362"/>
      <c r="J10927" s="362"/>
    </row>
    <row r="10928" spans="1:10" x14ac:dyDescent="0.25">
      <c r="A10928" s="362"/>
      <c r="B10928" s="362"/>
      <c r="C10928" s="362"/>
      <c r="D10928" s="362"/>
      <c r="E10928" s="362"/>
      <c r="F10928" s="362"/>
      <c r="G10928" s="362"/>
      <c r="H10928" s="362"/>
      <c r="I10928" s="362"/>
      <c r="J10928" s="362"/>
    </row>
    <row r="10929" spans="1:10" x14ac:dyDescent="0.25">
      <c r="A10929" s="362"/>
      <c r="B10929" s="362"/>
      <c r="C10929" s="362"/>
      <c r="D10929" s="362"/>
      <c r="E10929" s="362"/>
      <c r="F10929" s="362"/>
      <c r="G10929" s="362"/>
      <c r="H10929" s="362"/>
      <c r="I10929" s="362"/>
      <c r="J10929" s="362"/>
    </row>
    <row r="10930" spans="1:10" x14ac:dyDescent="0.25">
      <c r="A10930" s="362"/>
      <c r="B10930" s="362"/>
      <c r="C10930" s="362"/>
      <c r="D10930" s="362"/>
      <c r="E10930" s="362"/>
      <c r="F10930" s="362"/>
      <c r="G10930" s="362"/>
      <c r="H10930" s="362"/>
      <c r="I10930" s="362"/>
      <c r="J10930" s="362"/>
    </row>
    <row r="10931" spans="1:10" x14ac:dyDescent="0.25">
      <c r="A10931" s="362"/>
      <c r="B10931" s="362"/>
      <c r="C10931" s="362"/>
      <c r="D10931" s="362"/>
      <c r="E10931" s="362"/>
      <c r="F10931" s="362"/>
      <c r="G10931" s="362"/>
      <c r="H10931" s="362"/>
      <c r="I10931" s="362"/>
      <c r="J10931" s="362"/>
    </row>
    <row r="10932" spans="1:10" x14ac:dyDescent="0.25">
      <c r="A10932" s="362"/>
      <c r="B10932" s="362"/>
      <c r="C10932" s="362"/>
      <c r="D10932" s="362"/>
      <c r="E10932" s="362"/>
      <c r="F10932" s="362"/>
      <c r="G10932" s="362"/>
      <c r="H10932" s="362"/>
      <c r="I10932" s="362"/>
      <c r="J10932" s="362"/>
    </row>
    <row r="10933" spans="1:10" x14ac:dyDescent="0.25">
      <c r="A10933" s="362"/>
      <c r="B10933" s="362"/>
      <c r="C10933" s="362"/>
      <c r="D10933" s="362"/>
      <c r="E10933" s="362"/>
      <c r="F10933" s="362"/>
      <c r="G10933" s="362"/>
      <c r="H10933" s="362"/>
      <c r="I10933" s="362"/>
      <c r="J10933" s="362"/>
    </row>
    <row r="10934" spans="1:10" x14ac:dyDescent="0.25">
      <c r="A10934" s="362"/>
      <c r="B10934" s="362"/>
      <c r="C10934" s="362"/>
      <c r="D10934" s="362"/>
      <c r="E10934" s="362"/>
      <c r="F10934" s="362"/>
      <c r="G10934" s="362"/>
      <c r="H10934" s="362"/>
      <c r="I10934" s="362"/>
      <c r="J10934" s="362"/>
    </row>
    <row r="10935" spans="1:10" x14ac:dyDescent="0.25">
      <c r="A10935" s="362"/>
      <c r="B10935" s="362"/>
      <c r="C10935" s="362"/>
      <c r="D10935" s="362"/>
      <c r="E10935" s="362"/>
      <c r="F10935" s="362"/>
      <c r="G10935" s="362"/>
      <c r="H10935" s="362"/>
      <c r="I10935" s="362"/>
      <c r="J10935" s="362"/>
    </row>
    <row r="10936" spans="1:10" x14ac:dyDescent="0.25">
      <c r="A10936" s="362"/>
      <c r="B10936" s="362"/>
      <c r="C10936" s="362"/>
      <c r="D10936" s="362"/>
      <c r="E10936" s="362"/>
      <c r="F10936" s="362"/>
      <c r="G10936" s="362"/>
      <c r="H10936" s="362"/>
      <c r="I10936" s="362"/>
      <c r="J10936" s="362"/>
    </row>
    <row r="10937" spans="1:10" x14ac:dyDescent="0.25">
      <c r="A10937" s="362"/>
      <c r="B10937" s="362"/>
      <c r="C10937" s="362"/>
      <c r="D10937" s="362"/>
      <c r="E10937" s="362"/>
      <c r="F10937" s="362"/>
      <c r="G10937" s="362"/>
      <c r="H10937" s="362"/>
      <c r="I10937" s="362"/>
      <c r="J10937" s="362"/>
    </row>
    <row r="10938" spans="1:10" x14ac:dyDescent="0.25">
      <c r="A10938" s="362"/>
      <c r="B10938" s="362"/>
      <c r="C10938" s="362"/>
      <c r="D10938" s="362"/>
      <c r="E10938" s="362"/>
      <c r="F10938" s="362"/>
      <c r="G10938" s="362"/>
      <c r="H10938" s="362"/>
      <c r="I10938" s="362"/>
      <c r="J10938" s="362"/>
    </row>
    <row r="10939" spans="1:10" x14ac:dyDescent="0.25">
      <c r="A10939" s="362"/>
      <c r="B10939" s="362"/>
      <c r="C10939" s="362"/>
      <c r="D10939" s="362"/>
      <c r="E10939" s="362"/>
      <c r="F10939" s="362"/>
      <c r="G10939" s="362"/>
      <c r="H10939" s="362"/>
      <c r="I10939" s="362"/>
      <c r="J10939" s="362"/>
    </row>
    <row r="10940" spans="1:10" x14ac:dyDescent="0.25">
      <c r="A10940" s="362"/>
      <c r="B10940" s="362"/>
      <c r="C10940" s="362"/>
      <c r="D10940" s="362"/>
      <c r="E10940" s="362"/>
      <c r="F10940" s="362"/>
      <c r="G10940" s="362"/>
      <c r="H10940" s="362"/>
      <c r="I10940" s="362"/>
      <c r="J10940" s="362"/>
    </row>
    <row r="10941" spans="1:10" x14ac:dyDescent="0.25">
      <c r="A10941" s="362"/>
      <c r="B10941" s="362"/>
      <c r="C10941" s="362"/>
      <c r="D10941" s="362"/>
      <c r="E10941" s="362"/>
      <c r="F10941" s="362"/>
      <c r="G10941" s="362"/>
      <c r="H10941" s="362"/>
      <c r="I10941" s="362"/>
      <c r="J10941" s="362"/>
    </row>
    <row r="10942" spans="1:10" x14ac:dyDescent="0.25">
      <c r="A10942" s="362"/>
      <c r="B10942" s="362"/>
      <c r="C10942" s="362"/>
      <c r="D10942" s="362"/>
      <c r="E10942" s="362"/>
      <c r="F10942" s="362"/>
      <c r="G10942" s="362"/>
      <c r="H10942" s="362"/>
      <c r="I10942" s="362"/>
      <c r="J10942" s="362"/>
    </row>
  </sheetData>
  <mergeCells count="14">
    <mergeCell ref="A2953:J2953"/>
    <mergeCell ref="A2568:J2568"/>
    <mergeCell ref="A1463:J1463"/>
    <mergeCell ref="I1:I3"/>
    <mergeCell ref="A342:I342"/>
    <mergeCell ref="A5:I5"/>
    <mergeCell ref="J1:J3"/>
    <mergeCell ref="H1:H3"/>
    <mergeCell ref="G1:G3"/>
    <mergeCell ref="D1:E2"/>
    <mergeCell ref="A1:A3"/>
    <mergeCell ref="B1:B3"/>
    <mergeCell ref="C1:C3"/>
    <mergeCell ref="F1:F3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Q47"/>
  <sheetViews>
    <sheetView topLeftCell="AG1" zoomScale="80" zoomScaleNormal="80" workbookViewId="0">
      <selection activeCell="AV9" sqref="AV9:AV10"/>
    </sheetView>
  </sheetViews>
  <sheetFormatPr defaultRowHeight="15" x14ac:dyDescent="0.25"/>
  <cols>
    <col min="1" max="1" width="13.7109375" style="254" customWidth="1"/>
    <col min="2" max="2" width="9.140625" style="254"/>
    <col min="3" max="3" width="11.140625" style="254" bestFit="1" customWidth="1"/>
    <col min="4" max="4" width="9.5703125" style="254" bestFit="1" customWidth="1"/>
    <col min="5" max="5" width="9.140625" style="254"/>
    <col min="6" max="6" width="9.5703125" style="254" bestFit="1" customWidth="1"/>
    <col min="7" max="7" width="9.140625" style="254"/>
    <col min="8" max="8" width="11.5703125" style="254" bestFit="1" customWidth="1"/>
    <col min="9" max="9" width="13" style="254" bestFit="1" customWidth="1"/>
    <col min="10" max="10" width="9.140625" style="254"/>
    <col min="11" max="11" width="10.140625" style="254" bestFit="1" customWidth="1"/>
    <col min="12" max="12" width="9.5703125" style="254" bestFit="1" customWidth="1"/>
    <col min="13" max="13" width="9.140625" style="254"/>
    <col min="14" max="14" width="9.5703125" style="254" bestFit="1" customWidth="1"/>
    <col min="15" max="15" width="9.140625" style="254"/>
    <col min="16" max="16" width="11.5703125" style="254" bestFit="1" customWidth="1"/>
    <col min="17" max="17" width="13" style="254" bestFit="1" customWidth="1"/>
    <col min="18" max="19" width="9.140625" style="254"/>
    <col min="20" max="20" width="9.5703125" style="254" bestFit="1" customWidth="1"/>
    <col min="21" max="21" width="9.140625" style="254"/>
    <col min="22" max="22" width="9.5703125" style="254" bestFit="1" customWidth="1"/>
    <col min="23" max="23" width="9.140625" style="254"/>
    <col min="24" max="24" width="11.5703125" style="254" bestFit="1" customWidth="1"/>
    <col min="25" max="25" width="13" style="254" bestFit="1" customWidth="1"/>
    <col min="26" max="27" width="9.140625" style="254"/>
    <col min="28" max="28" width="9.5703125" style="254" bestFit="1" customWidth="1"/>
    <col min="29" max="29" width="9.140625" style="254"/>
    <col min="30" max="30" width="9.5703125" style="254" bestFit="1" customWidth="1"/>
    <col min="31" max="31" width="9.140625" style="254"/>
    <col min="32" max="32" width="11.5703125" style="254" bestFit="1" customWidth="1"/>
    <col min="33" max="33" width="15" style="254" customWidth="1"/>
    <col min="34" max="34" width="13.140625" style="254" customWidth="1"/>
    <col min="35" max="39" width="9.140625" style="254"/>
    <col min="40" max="40" width="11.5703125" style="254" bestFit="1" customWidth="1"/>
    <col min="41" max="41" width="18.5703125" style="254" customWidth="1"/>
    <col min="42" max="43" width="9.140625" style="254"/>
    <col min="44" max="44" width="9.5703125" style="254" bestFit="1" customWidth="1"/>
    <col min="45" max="45" width="9.140625" style="254"/>
    <col min="46" max="46" width="13.28515625" style="254" customWidth="1"/>
    <col min="47" max="47" width="9.140625" style="254"/>
    <col min="48" max="48" width="11.5703125" style="254" bestFit="1" customWidth="1"/>
    <col min="49" max="49" width="18.5703125" style="254" customWidth="1"/>
    <col min="50" max="55" width="9.140625" style="254"/>
    <col min="56" max="56" width="12.5703125" style="254" customWidth="1"/>
    <col min="57" max="57" width="13" style="254" bestFit="1" customWidth="1"/>
    <col min="58" max="59" width="9.140625" style="254"/>
    <col min="60" max="60" width="9.5703125" style="254" bestFit="1" customWidth="1"/>
    <col min="61" max="61" width="9.140625" style="254"/>
    <col min="62" max="62" width="9.5703125" style="254" bestFit="1" customWidth="1"/>
    <col min="63" max="63" width="9.140625" style="254"/>
    <col min="64" max="64" width="11.5703125" style="254" bestFit="1" customWidth="1"/>
    <col min="65" max="65" width="13" style="254" bestFit="1" customWidth="1"/>
    <col min="66" max="66" width="9.140625" style="254"/>
    <col min="67" max="67" width="14.42578125" style="254" bestFit="1" customWidth="1"/>
    <col min="68" max="68" width="9.5703125" style="254" bestFit="1" customWidth="1"/>
    <col min="69" max="69" width="9.140625" style="254"/>
    <col min="70" max="70" width="9.5703125" style="254" bestFit="1" customWidth="1"/>
    <col min="71" max="71" width="9.140625" style="254"/>
    <col min="72" max="72" width="11.5703125" style="254" bestFit="1" customWidth="1"/>
    <col min="73" max="73" width="13" style="254" bestFit="1" customWidth="1"/>
    <col min="74" max="75" width="9.140625" style="254"/>
    <col min="76" max="76" width="9.5703125" style="254" bestFit="1" customWidth="1"/>
    <col min="77" max="77" width="9.140625" style="254"/>
    <col min="78" max="78" width="9.5703125" style="254" bestFit="1" customWidth="1"/>
    <col min="79" max="79" width="9.140625" style="254"/>
    <col min="80" max="80" width="11.5703125" style="254" bestFit="1" customWidth="1"/>
    <col min="81" max="81" width="20" style="254" customWidth="1"/>
    <col min="82" max="83" width="9.140625" style="254"/>
    <col min="84" max="84" width="11.7109375" style="254" customWidth="1"/>
    <col min="85" max="85" width="9.140625" style="254"/>
    <col min="86" max="86" width="13.85546875" style="254" customWidth="1"/>
    <col min="87" max="87" width="9.140625" style="254"/>
    <col min="88" max="88" width="11.5703125" style="254" bestFit="1" customWidth="1"/>
    <col min="89" max="16384" width="9.140625" style="254"/>
  </cols>
  <sheetData>
    <row r="1" spans="1:95" x14ac:dyDescent="0.25">
      <c r="A1" s="304" t="s">
        <v>5339</v>
      </c>
    </row>
    <row r="4" spans="1:95" ht="17.25" customHeight="1" x14ac:dyDescent="0.25">
      <c r="A4" s="1630" t="s">
        <v>80</v>
      </c>
      <c r="B4" s="1630"/>
      <c r="C4" s="1630"/>
      <c r="D4" s="1630"/>
      <c r="E4" s="1630"/>
      <c r="F4" s="1630"/>
      <c r="G4" s="1630"/>
      <c r="H4" s="1398"/>
      <c r="I4" s="1634" t="s">
        <v>82</v>
      </c>
      <c r="J4" s="1635"/>
      <c r="K4" s="1635"/>
      <c r="L4" s="1635"/>
      <c r="M4" s="1635"/>
      <c r="N4" s="1635"/>
      <c r="O4" s="1635"/>
      <c r="P4" s="1636"/>
      <c r="Q4" s="1629" t="s">
        <v>83</v>
      </c>
      <c r="R4" s="1629"/>
      <c r="S4" s="1629"/>
      <c r="T4" s="1629"/>
      <c r="U4" s="1629"/>
      <c r="V4" s="1629"/>
      <c r="W4" s="1629"/>
      <c r="X4" s="1397"/>
      <c r="Y4" s="1630" t="s">
        <v>88</v>
      </c>
      <c r="Z4" s="1630"/>
      <c r="AA4" s="1630"/>
      <c r="AB4" s="1630"/>
      <c r="AC4" s="1630"/>
      <c r="AD4" s="1630"/>
      <c r="AE4" s="1630"/>
      <c r="AF4" s="1398"/>
      <c r="AG4" s="1629" t="s">
        <v>87</v>
      </c>
      <c r="AH4" s="1629"/>
      <c r="AI4" s="1629"/>
      <c r="AJ4" s="1629"/>
      <c r="AK4" s="1629"/>
      <c r="AL4" s="1629"/>
      <c r="AM4" s="1629"/>
      <c r="AN4" s="1397"/>
      <c r="AO4" s="1630" t="s">
        <v>150</v>
      </c>
      <c r="AP4" s="1630"/>
      <c r="AQ4" s="1630"/>
      <c r="AR4" s="1630"/>
      <c r="AS4" s="1630"/>
      <c r="AT4" s="1630"/>
      <c r="AU4" s="1630"/>
      <c r="AV4" s="1398"/>
      <c r="AW4" s="1629" t="s">
        <v>89</v>
      </c>
      <c r="AX4" s="1629"/>
      <c r="AY4" s="1629"/>
      <c r="AZ4" s="1629"/>
      <c r="BA4" s="1629"/>
      <c r="BB4" s="1629"/>
      <c r="BC4" s="1629"/>
      <c r="BD4" s="1397"/>
      <c r="BE4" s="1630" t="s">
        <v>84</v>
      </c>
      <c r="BF4" s="1630"/>
      <c r="BG4" s="1630"/>
      <c r="BH4" s="1630"/>
      <c r="BI4" s="1630"/>
      <c r="BJ4" s="1630"/>
      <c r="BK4" s="1630"/>
      <c r="BL4" s="1630"/>
      <c r="BM4" s="1634" t="s">
        <v>81</v>
      </c>
      <c r="BN4" s="1635"/>
      <c r="BO4" s="1635"/>
      <c r="BP4" s="1635"/>
      <c r="BQ4" s="1635"/>
      <c r="BR4" s="1635"/>
      <c r="BS4" s="1635"/>
      <c r="BT4" s="1636"/>
      <c r="BU4" s="1645" t="s">
        <v>78</v>
      </c>
      <c r="BV4" s="1646"/>
      <c r="BW4" s="1646"/>
      <c r="BX4" s="1646"/>
      <c r="BY4" s="1646"/>
      <c r="BZ4" s="1646"/>
      <c r="CA4" s="1646"/>
      <c r="CB4" s="1647"/>
      <c r="CC4" s="1629" t="s">
        <v>86</v>
      </c>
      <c r="CD4" s="1629"/>
      <c r="CE4" s="1629"/>
      <c r="CF4" s="1629"/>
      <c r="CG4" s="1629"/>
      <c r="CH4" s="1629"/>
      <c r="CI4" s="1629"/>
      <c r="CJ4" s="1397"/>
      <c r="CK4" s="1630" t="s">
        <v>85</v>
      </c>
      <c r="CL4" s="1630"/>
      <c r="CM4" s="1630"/>
      <c r="CN4" s="1630"/>
      <c r="CO4" s="1630"/>
      <c r="CP4" s="1630"/>
      <c r="CQ4" s="1630"/>
    </row>
    <row r="5" spans="1:95" ht="30" customHeight="1" x14ac:dyDescent="0.25">
      <c r="A5" s="1640" t="s">
        <v>5340</v>
      </c>
      <c r="B5" s="1640" t="s">
        <v>5341</v>
      </c>
      <c r="C5" s="1641" t="s">
        <v>139</v>
      </c>
      <c r="D5" s="1641" t="s">
        <v>5342</v>
      </c>
      <c r="E5" s="1641"/>
      <c r="F5" s="1641"/>
      <c r="G5" s="1641" t="s">
        <v>5343</v>
      </c>
      <c r="H5" s="1642" t="s">
        <v>5344</v>
      </c>
      <c r="I5" s="1639" t="s">
        <v>5340</v>
      </c>
      <c r="J5" s="1639" t="s">
        <v>5341</v>
      </c>
      <c r="K5" s="1631" t="s">
        <v>139</v>
      </c>
      <c r="L5" s="1631" t="s">
        <v>5342</v>
      </c>
      <c r="M5" s="1631"/>
      <c r="N5" s="1631"/>
      <c r="O5" s="1631" t="s">
        <v>5343</v>
      </c>
      <c r="P5" s="1637" t="s">
        <v>5345</v>
      </c>
      <c r="Q5" s="1639" t="s">
        <v>5340</v>
      </c>
      <c r="R5" s="1639" t="s">
        <v>5341</v>
      </c>
      <c r="S5" s="1631" t="s">
        <v>139</v>
      </c>
      <c r="T5" s="1631" t="s">
        <v>5342</v>
      </c>
      <c r="U5" s="1631"/>
      <c r="V5" s="1631"/>
      <c r="W5" s="1631" t="s">
        <v>5343</v>
      </c>
      <c r="X5" s="1637" t="s">
        <v>5346</v>
      </c>
      <c r="Y5" s="1640" t="s">
        <v>5340</v>
      </c>
      <c r="Z5" s="1640" t="s">
        <v>5341</v>
      </c>
      <c r="AA5" s="1641" t="s">
        <v>139</v>
      </c>
      <c r="AB5" s="1641" t="s">
        <v>5342</v>
      </c>
      <c r="AC5" s="1641"/>
      <c r="AD5" s="1641"/>
      <c r="AE5" s="1641" t="s">
        <v>5343</v>
      </c>
      <c r="AF5" s="1642" t="s">
        <v>5346</v>
      </c>
      <c r="AG5" s="1639" t="s">
        <v>5340</v>
      </c>
      <c r="AH5" s="1639" t="s">
        <v>5341</v>
      </c>
      <c r="AI5" s="1631" t="s">
        <v>139</v>
      </c>
      <c r="AJ5" s="1631" t="s">
        <v>5342</v>
      </c>
      <c r="AK5" s="1631"/>
      <c r="AL5" s="1631"/>
      <c r="AM5" s="1631" t="s">
        <v>5343</v>
      </c>
      <c r="AN5" s="1632" t="s">
        <v>5345</v>
      </c>
      <c r="AO5" s="1640" t="s">
        <v>5340</v>
      </c>
      <c r="AP5" s="1640" t="s">
        <v>5341</v>
      </c>
      <c r="AQ5" s="1641" t="s">
        <v>139</v>
      </c>
      <c r="AR5" s="1641" t="s">
        <v>5342</v>
      </c>
      <c r="AS5" s="1641"/>
      <c r="AT5" s="1641"/>
      <c r="AU5" s="1641" t="s">
        <v>5343</v>
      </c>
      <c r="AV5" s="1642" t="s">
        <v>5345</v>
      </c>
      <c r="AW5" s="1639" t="s">
        <v>5340</v>
      </c>
      <c r="AX5" s="1639" t="s">
        <v>5341</v>
      </c>
      <c r="AY5" s="1631" t="s">
        <v>139</v>
      </c>
      <c r="AZ5" s="1631" t="s">
        <v>5342</v>
      </c>
      <c r="BA5" s="1631"/>
      <c r="BB5" s="1631"/>
      <c r="BC5" s="1631" t="s">
        <v>5343</v>
      </c>
      <c r="BD5" s="1637" t="s">
        <v>6049</v>
      </c>
      <c r="BE5" s="1644" t="s">
        <v>5340</v>
      </c>
      <c r="BF5" s="1644" t="s">
        <v>5341</v>
      </c>
      <c r="BG5" s="1643" t="s">
        <v>139</v>
      </c>
      <c r="BH5" s="1643" t="s">
        <v>5342</v>
      </c>
      <c r="BI5" s="1643"/>
      <c r="BJ5" s="1643"/>
      <c r="BK5" s="1643" t="s">
        <v>5343</v>
      </c>
      <c r="BL5" s="1648" t="s">
        <v>5862</v>
      </c>
      <c r="BM5" s="1639" t="s">
        <v>5340</v>
      </c>
      <c r="BN5" s="1639" t="s">
        <v>5341</v>
      </c>
      <c r="BO5" s="1631" t="s">
        <v>139</v>
      </c>
      <c r="BP5" s="1631" t="s">
        <v>5342</v>
      </c>
      <c r="BQ5" s="1631"/>
      <c r="BR5" s="1631"/>
      <c r="BS5" s="1631" t="s">
        <v>5343</v>
      </c>
      <c r="BT5" s="1637" t="s">
        <v>5345</v>
      </c>
      <c r="BU5" s="1640" t="s">
        <v>5340</v>
      </c>
      <c r="BV5" s="1640" t="s">
        <v>5341</v>
      </c>
      <c r="BW5" s="1641" t="s">
        <v>139</v>
      </c>
      <c r="BX5" s="1641" t="s">
        <v>5342</v>
      </c>
      <c r="BY5" s="1641"/>
      <c r="BZ5" s="1641"/>
      <c r="CA5" s="1641" t="s">
        <v>5343</v>
      </c>
      <c r="CB5" s="1642" t="s">
        <v>5345</v>
      </c>
      <c r="CC5" s="1639" t="s">
        <v>5340</v>
      </c>
      <c r="CD5" s="1639" t="s">
        <v>5341</v>
      </c>
      <c r="CE5" s="1631" t="s">
        <v>139</v>
      </c>
      <c r="CF5" s="1631" t="s">
        <v>5342</v>
      </c>
      <c r="CG5" s="1631"/>
      <c r="CH5" s="1631"/>
      <c r="CI5" s="1631" t="s">
        <v>5343</v>
      </c>
      <c r="CJ5" s="1632" t="s">
        <v>5345</v>
      </c>
      <c r="CK5" s="1640" t="s">
        <v>5340</v>
      </c>
      <c r="CL5" s="1640" t="s">
        <v>5341</v>
      </c>
      <c r="CM5" s="1641" t="s">
        <v>139</v>
      </c>
      <c r="CN5" s="1641" t="s">
        <v>5342</v>
      </c>
      <c r="CO5" s="1641"/>
      <c r="CP5" s="1641"/>
      <c r="CQ5" s="1641" t="s">
        <v>5343</v>
      </c>
    </row>
    <row r="6" spans="1:95" x14ac:dyDescent="0.25">
      <c r="A6" s="1640"/>
      <c r="B6" s="1640"/>
      <c r="C6" s="1641"/>
      <c r="D6" s="1395" t="s">
        <v>5347</v>
      </c>
      <c r="E6" s="1395" t="s">
        <v>215</v>
      </c>
      <c r="F6" s="1395" t="s">
        <v>24</v>
      </c>
      <c r="G6" s="1641"/>
      <c r="H6" s="1643"/>
      <c r="I6" s="1639"/>
      <c r="J6" s="1639"/>
      <c r="K6" s="1631"/>
      <c r="L6" s="1396" t="s">
        <v>5347</v>
      </c>
      <c r="M6" s="1396" t="s">
        <v>215</v>
      </c>
      <c r="N6" s="1396" t="s">
        <v>24</v>
      </c>
      <c r="O6" s="1631"/>
      <c r="P6" s="1638"/>
      <c r="Q6" s="1639"/>
      <c r="R6" s="1639"/>
      <c r="S6" s="1631"/>
      <c r="T6" s="1396" t="s">
        <v>5347</v>
      </c>
      <c r="U6" s="1396" t="s">
        <v>215</v>
      </c>
      <c r="V6" s="1396" t="s">
        <v>24</v>
      </c>
      <c r="W6" s="1631"/>
      <c r="X6" s="1638"/>
      <c r="Y6" s="1640"/>
      <c r="Z6" s="1640"/>
      <c r="AA6" s="1641"/>
      <c r="AB6" s="1395" t="s">
        <v>5347</v>
      </c>
      <c r="AC6" s="1395" t="s">
        <v>215</v>
      </c>
      <c r="AD6" s="1395" t="s">
        <v>24</v>
      </c>
      <c r="AE6" s="1641"/>
      <c r="AF6" s="1643"/>
      <c r="AG6" s="1639"/>
      <c r="AH6" s="1639"/>
      <c r="AI6" s="1631"/>
      <c r="AJ6" s="1396" t="s">
        <v>5347</v>
      </c>
      <c r="AK6" s="1396" t="s">
        <v>215</v>
      </c>
      <c r="AL6" s="1396" t="s">
        <v>24</v>
      </c>
      <c r="AM6" s="1631"/>
      <c r="AN6" s="1633"/>
      <c r="AO6" s="1640"/>
      <c r="AP6" s="1640"/>
      <c r="AQ6" s="1641"/>
      <c r="AR6" s="1395" t="s">
        <v>5347</v>
      </c>
      <c r="AS6" s="1395" t="s">
        <v>215</v>
      </c>
      <c r="AT6" s="1395" t="s">
        <v>24</v>
      </c>
      <c r="AU6" s="1641"/>
      <c r="AV6" s="1643"/>
      <c r="AW6" s="1639"/>
      <c r="AX6" s="1639"/>
      <c r="AY6" s="1631"/>
      <c r="AZ6" s="1396" t="s">
        <v>5347</v>
      </c>
      <c r="BA6" s="1396" t="s">
        <v>215</v>
      </c>
      <c r="BB6" s="1396" t="s">
        <v>24</v>
      </c>
      <c r="BC6" s="1631"/>
      <c r="BD6" s="1638"/>
      <c r="BE6" s="1640"/>
      <c r="BF6" s="1640"/>
      <c r="BG6" s="1641"/>
      <c r="BH6" s="1395" t="s">
        <v>5347</v>
      </c>
      <c r="BI6" s="1395" t="s">
        <v>215</v>
      </c>
      <c r="BJ6" s="1395" t="s">
        <v>24</v>
      </c>
      <c r="BK6" s="1641"/>
      <c r="BL6" s="1644"/>
      <c r="BM6" s="1639"/>
      <c r="BN6" s="1639"/>
      <c r="BO6" s="1631"/>
      <c r="BP6" s="1396" t="s">
        <v>5347</v>
      </c>
      <c r="BQ6" s="1396" t="s">
        <v>215</v>
      </c>
      <c r="BR6" s="1396" t="s">
        <v>24</v>
      </c>
      <c r="BS6" s="1631"/>
      <c r="BT6" s="1638"/>
      <c r="BU6" s="1640"/>
      <c r="BV6" s="1640"/>
      <c r="BW6" s="1641"/>
      <c r="BX6" s="1395" t="s">
        <v>5347</v>
      </c>
      <c r="BY6" s="1395" t="s">
        <v>215</v>
      </c>
      <c r="BZ6" s="1395" t="s">
        <v>24</v>
      </c>
      <c r="CA6" s="1641"/>
      <c r="CB6" s="1643"/>
      <c r="CC6" s="1639"/>
      <c r="CD6" s="1639"/>
      <c r="CE6" s="1631"/>
      <c r="CF6" s="1396" t="s">
        <v>5347</v>
      </c>
      <c r="CG6" s="1396" t="s">
        <v>215</v>
      </c>
      <c r="CH6" s="1396" t="s">
        <v>24</v>
      </c>
      <c r="CI6" s="1631"/>
      <c r="CJ6" s="1633"/>
      <c r="CK6" s="1640"/>
      <c r="CL6" s="1640"/>
      <c r="CM6" s="1641"/>
      <c r="CN6" s="1395" t="s">
        <v>5347</v>
      </c>
      <c r="CO6" s="1395" t="s">
        <v>215</v>
      </c>
      <c r="CP6" s="1395" t="s">
        <v>24</v>
      </c>
      <c r="CQ6" s="1641"/>
    </row>
    <row r="7" spans="1:95" x14ac:dyDescent="0.25">
      <c r="A7" s="853">
        <v>19.617672020000001</v>
      </c>
      <c r="B7" s="612">
        <v>43678</v>
      </c>
      <c r="C7" s="362" t="s">
        <v>80</v>
      </c>
      <c r="D7" s="610">
        <v>500000</v>
      </c>
      <c r="E7" s="610">
        <v>49999</v>
      </c>
      <c r="F7" s="610">
        <f t="shared" ref="F7:F39" si="0">D7+E7</f>
        <v>549999</v>
      </c>
      <c r="G7" s="362" t="s">
        <v>5931</v>
      </c>
      <c r="H7" s="364">
        <v>44085</v>
      </c>
      <c r="I7" s="614" t="s">
        <v>5350</v>
      </c>
      <c r="J7" s="612">
        <v>43647</v>
      </c>
      <c r="K7" s="362" t="s">
        <v>82</v>
      </c>
      <c r="L7" s="610">
        <v>318182</v>
      </c>
      <c r="M7" s="610">
        <v>31818</v>
      </c>
      <c r="N7" s="610">
        <f t="shared" ref="N7:N38" si="1">L7+M7</f>
        <v>350000</v>
      </c>
      <c r="O7" s="362" t="s">
        <v>5348</v>
      </c>
      <c r="P7" s="364"/>
      <c r="Q7" s="362">
        <v>20.08817896</v>
      </c>
      <c r="R7" s="612">
        <v>43800</v>
      </c>
      <c r="S7" s="362" t="s">
        <v>83</v>
      </c>
      <c r="T7" s="610">
        <v>350000</v>
      </c>
      <c r="U7" s="610">
        <v>35000</v>
      </c>
      <c r="V7" s="610">
        <f t="shared" ref="V7:V36" si="2">T7+U7</f>
        <v>385000</v>
      </c>
      <c r="W7" s="362" t="s">
        <v>5349</v>
      </c>
      <c r="X7" s="364">
        <v>44118</v>
      </c>
      <c r="Y7" s="362">
        <v>20.756964960000001</v>
      </c>
      <c r="Z7" s="612">
        <v>43891</v>
      </c>
      <c r="AA7" s="362" t="s">
        <v>88</v>
      </c>
      <c r="AB7" s="610">
        <v>318182</v>
      </c>
      <c r="AC7" s="610">
        <v>31818</v>
      </c>
      <c r="AD7" s="610">
        <f t="shared" ref="AD7:AD34" si="3">AB7+AC7</f>
        <v>350000</v>
      </c>
      <c r="AE7" s="362" t="s">
        <v>5348</v>
      </c>
      <c r="AF7" s="364">
        <v>44085</v>
      </c>
      <c r="AG7" s="362">
        <v>21.207768819999998</v>
      </c>
      <c r="AH7" s="612">
        <v>44228</v>
      </c>
      <c r="AI7" s="362" t="s">
        <v>87</v>
      </c>
      <c r="AJ7" s="560">
        <v>175000</v>
      </c>
      <c r="AK7" s="560">
        <v>17500</v>
      </c>
      <c r="AL7" s="560">
        <f>AJ7+AK7</f>
        <v>192500</v>
      </c>
      <c r="AM7" s="362" t="s">
        <v>5348</v>
      </c>
      <c r="AN7" s="364">
        <v>44452</v>
      </c>
      <c r="AO7" s="362">
        <v>19.021532650000001</v>
      </c>
      <c r="AP7" s="612">
        <v>43617</v>
      </c>
      <c r="AQ7" s="362" t="s">
        <v>150</v>
      </c>
      <c r="AR7" s="610">
        <v>454545</v>
      </c>
      <c r="AS7" s="610">
        <v>45454</v>
      </c>
      <c r="AT7" s="610">
        <f t="shared" ref="AT7:AT21" si="4">AR7+AS7</f>
        <v>499999</v>
      </c>
      <c r="AU7" s="362" t="s">
        <v>5348</v>
      </c>
      <c r="AV7" s="362" t="s">
        <v>6280</v>
      </c>
      <c r="AW7" s="370">
        <v>21.207499009999999</v>
      </c>
      <c r="AX7" s="848">
        <v>44197</v>
      </c>
      <c r="AY7" s="370" t="s">
        <v>144</v>
      </c>
      <c r="AZ7" s="563">
        <v>163636</v>
      </c>
      <c r="BA7" s="563">
        <v>16363</v>
      </c>
      <c r="BB7" s="563">
        <f>AZ7+BA7</f>
        <v>179999</v>
      </c>
      <c r="BC7" s="370" t="s">
        <v>5348</v>
      </c>
      <c r="BD7" s="364">
        <v>44260</v>
      </c>
      <c r="BE7" s="718">
        <v>19.617549889999999</v>
      </c>
      <c r="BF7" s="719">
        <v>43647</v>
      </c>
      <c r="BG7" s="720" t="s">
        <v>84</v>
      </c>
      <c r="BH7" s="721">
        <v>318182</v>
      </c>
      <c r="BI7" s="721">
        <v>31818</v>
      </c>
      <c r="BJ7" s="722">
        <v>0</v>
      </c>
      <c r="BK7" s="720" t="s">
        <v>5348</v>
      </c>
      <c r="BL7" s="977">
        <v>44021</v>
      </c>
      <c r="BM7" s="362">
        <v>20.70740198</v>
      </c>
      <c r="BN7" s="612">
        <v>43831</v>
      </c>
      <c r="BO7" s="362" t="s">
        <v>81</v>
      </c>
      <c r="BP7" s="610">
        <v>334848</v>
      </c>
      <c r="BQ7" s="610">
        <v>33484</v>
      </c>
      <c r="BR7" s="610">
        <f t="shared" ref="BR7:BR35" si="5">BP7+BQ7</f>
        <v>368332</v>
      </c>
      <c r="BS7" s="362" t="s">
        <v>5348</v>
      </c>
      <c r="BT7" s="364">
        <v>43979</v>
      </c>
      <c r="BU7" s="362">
        <v>19.02150481</v>
      </c>
      <c r="BV7" s="612">
        <v>43617</v>
      </c>
      <c r="BW7" s="362" t="s">
        <v>78</v>
      </c>
      <c r="BX7" s="610">
        <v>318182</v>
      </c>
      <c r="BY7" s="610">
        <v>31818</v>
      </c>
      <c r="BZ7" s="610">
        <f t="shared" ref="BZ7:BZ38" si="6">BY7+BX7</f>
        <v>350000</v>
      </c>
      <c r="CA7" s="362" t="s">
        <v>5348</v>
      </c>
      <c r="CB7" s="364"/>
      <c r="CC7" s="967">
        <v>21.121278650000001</v>
      </c>
      <c r="CD7" s="612">
        <v>44317</v>
      </c>
      <c r="CE7" s="362" t="s">
        <v>86</v>
      </c>
      <c r="CF7" s="610">
        <v>318182</v>
      </c>
      <c r="CG7" s="610">
        <v>31818</v>
      </c>
      <c r="CH7" s="613">
        <f>CF7+CG7</f>
        <v>350000</v>
      </c>
      <c r="CI7" s="362" t="s">
        <v>5348</v>
      </c>
      <c r="CJ7" s="364">
        <v>44456</v>
      </c>
      <c r="CK7" s="362"/>
      <c r="CL7" s="362"/>
      <c r="CM7" s="362"/>
      <c r="CN7" s="362"/>
      <c r="CO7" s="362"/>
      <c r="CP7" s="362"/>
      <c r="CQ7" s="362"/>
    </row>
    <row r="8" spans="1:95" x14ac:dyDescent="0.25">
      <c r="A8" s="853">
        <v>19.61779889</v>
      </c>
      <c r="B8" s="612">
        <v>43709</v>
      </c>
      <c r="C8" s="362" t="s">
        <v>80</v>
      </c>
      <c r="D8" s="610">
        <v>500000</v>
      </c>
      <c r="E8" s="610">
        <v>49999</v>
      </c>
      <c r="F8" s="610">
        <f t="shared" si="0"/>
        <v>549999</v>
      </c>
      <c r="G8" s="362" t="s">
        <v>5931</v>
      </c>
      <c r="H8" s="364">
        <v>44085</v>
      </c>
      <c r="I8" s="611">
        <v>20.088178970000001</v>
      </c>
      <c r="J8" s="612">
        <v>43770</v>
      </c>
      <c r="K8" s="362" t="s">
        <v>82</v>
      </c>
      <c r="L8" s="610">
        <v>318182</v>
      </c>
      <c r="M8" s="610">
        <v>31818</v>
      </c>
      <c r="N8" s="610">
        <f t="shared" si="1"/>
        <v>350000</v>
      </c>
      <c r="O8" s="362" t="s">
        <v>5348</v>
      </c>
      <c r="P8" s="364">
        <v>44118</v>
      </c>
      <c r="Q8" s="362">
        <v>20.707465549999998</v>
      </c>
      <c r="R8" s="612">
        <v>43831</v>
      </c>
      <c r="S8" s="370" t="s">
        <v>83</v>
      </c>
      <c r="T8" s="849">
        <v>350000</v>
      </c>
      <c r="U8" s="849">
        <v>35000</v>
      </c>
      <c r="V8" s="849">
        <f t="shared" si="2"/>
        <v>385000</v>
      </c>
      <c r="W8" s="370" t="s">
        <v>5348</v>
      </c>
      <c r="X8" s="566">
        <v>44062</v>
      </c>
      <c r="Y8" s="362">
        <v>20.75710059</v>
      </c>
      <c r="Z8" s="612">
        <v>43922</v>
      </c>
      <c r="AA8" s="362" t="s">
        <v>88</v>
      </c>
      <c r="AB8" s="610">
        <v>318182</v>
      </c>
      <c r="AC8" s="610">
        <v>31818</v>
      </c>
      <c r="AD8" s="610">
        <f t="shared" si="3"/>
        <v>350000</v>
      </c>
      <c r="AE8" s="362" t="s">
        <v>5348</v>
      </c>
      <c r="AF8" s="364">
        <v>44085</v>
      </c>
      <c r="AG8" s="362">
        <v>21.207980320000001</v>
      </c>
      <c r="AH8" s="612">
        <v>44256</v>
      </c>
      <c r="AI8" s="362" t="s">
        <v>87</v>
      </c>
      <c r="AJ8" s="560">
        <v>350000</v>
      </c>
      <c r="AK8" s="560">
        <v>35000</v>
      </c>
      <c r="AL8" s="560">
        <f t="shared" ref="AL8:AL23" si="7">AJ8+AK8</f>
        <v>385000</v>
      </c>
      <c r="AM8" s="362" t="s">
        <v>5348</v>
      </c>
      <c r="AN8" s="364">
        <v>44452</v>
      </c>
      <c r="AO8" s="362">
        <v>22.244365569999999</v>
      </c>
      <c r="AP8" s="612">
        <v>44621</v>
      </c>
      <c r="AQ8" s="362" t="s">
        <v>150</v>
      </c>
      <c r="AR8" s="610">
        <v>300000</v>
      </c>
      <c r="AS8" s="610">
        <v>33000</v>
      </c>
      <c r="AT8" s="610">
        <f t="shared" si="4"/>
        <v>333000</v>
      </c>
      <c r="AU8" s="362" t="s">
        <v>5348</v>
      </c>
      <c r="AV8" s="609">
        <v>44750</v>
      </c>
      <c r="AW8" s="370">
        <v>21.207635740000001</v>
      </c>
      <c r="AX8" s="848">
        <v>44228</v>
      </c>
      <c r="AY8" s="370" t="s">
        <v>144</v>
      </c>
      <c r="AZ8" s="563">
        <v>327273</v>
      </c>
      <c r="BA8" s="563">
        <v>32727</v>
      </c>
      <c r="BB8" s="563">
        <f>AZ8+BA8</f>
        <v>360000</v>
      </c>
      <c r="BC8" s="370" t="s">
        <v>5348</v>
      </c>
      <c r="BD8" s="364">
        <v>44286</v>
      </c>
      <c r="BE8" s="720">
        <v>20.757013730000001</v>
      </c>
      <c r="BF8" s="719">
        <v>43678</v>
      </c>
      <c r="BG8" s="720" t="s">
        <v>84</v>
      </c>
      <c r="BH8" s="721">
        <v>159091</v>
      </c>
      <c r="BI8" s="721">
        <v>15909</v>
      </c>
      <c r="BJ8" s="722">
        <f t="shared" ref="BJ8:BJ33" si="8">BH8+BI8</f>
        <v>175000</v>
      </c>
      <c r="BK8" s="720" t="s">
        <v>5348</v>
      </c>
      <c r="BL8" s="977">
        <v>44021</v>
      </c>
      <c r="BM8" s="362">
        <v>20.70758622</v>
      </c>
      <c r="BN8" s="612">
        <v>43862</v>
      </c>
      <c r="BO8" s="362" t="s">
        <v>81</v>
      </c>
      <c r="BP8" s="610">
        <v>334848</v>
      </c>
      <c r="BQ8" s="610">
        <v>33484</v>
      </c>
      <c r="BR8" s="610">
        <f t="shared" si="5"/>
        <v>368332</v>
      </c>
      <c r="BS8" s="362" t="s">
        <v>5348</v>
      </c>
      <c r="BT8" s="364">
        <v>43979</v>
      </c>
      <c r="BU8" s="362">
        <v>19.617470189999999</v>
      </c>
      <c r="BV8" s="612">
        <v>43647</v>
      </c>
      <c r="BW8" s="362" t="s">
        <v>78</v>
      </c>
      <c r="BX8" s="610">
        <v>318182</v>
      </c>
      <c r="BY8" s="610">
        <v>31818</v>
      </c>
      <c r="BZ8" s="610">
        <f t="shared" si="6"/>
        <v>350000</v>
      </c>
      <c r="CA8" s="362" t="s">
        <v>5348</v>
      </c>
      <c r="CB8" s="364"/>
      <c r="CC8" s="967">
        <v>21.121500619999999</v>
      </c>
      <c r="CD8" s="612">
        <v>44348</v>
      </c>
      <c r="CE8" s="362" t="s">
        <v>86</v>
      </c>
      <c r="CF8" s="610">
        <v>318182</v>
      </c>
      <c r="CG8" s="610">
        <v>31818</v>
      </c>
      <c r="CH8" s="613">
        <f t="shared" ref="CH8:CH20" si="9">CF8+CG8</f>
        <v>350000</v>
      </c>
      <c r="CI8" s="362" t="s">
        <v>5348</v>
      </c>
      <c r="CJ8" s="364">
        <v>44456</v>
      </c>
      <c r="CK8" s="362"/>
      <c r="CL8" s="362"/>
      <c r="CM8" s="362"/>
      <c r="CN8" s="362"/>
      <c r="CO8" s="362"/>
      <c r="CP8" s="362"/>
      <c r="CQ8" s="362"/>
    </row>
    <row r="9" spans="1:95" x14ac:dyDescent="0.25">
      <c r="A9" s="853">
        <v>20.088178939999999</v>
      </c>
      <c r="B9" s="612">
        <v>43770</v>
      </c>
      <c r="C9" s="362" t="s">
        <v>80</v>
      </c>
      <c r="D9" s="610">
        <v>500000</v>
      </c>
      <c r="E9" s="610">
        <v>49999</v>
      </c>
      <c r="F9" s="610">
        <f t="shared" si="0"/>
        <v>549999</v>
      </c>
      <c r="G9" s="362" t="s">
        <v>5348</v>
      </c>
      <c r="H9" s="364">
        <v>44118</v>
      </c>
      <c r="I9" s="362">
        <v>20.088178979999999</v>
      </c>
      <c r="J9" s="612">
        <v>43800</v>
      </c>
      <c r="K9" s="362" t="s">
        <v>82</v>
      </c>
      <c r="L9" s="610">
        <v>318182</v>
      </c>
      <c r="M9" s="610">
        <v>31818</v>
      </c>
      <c r="N9" s="610">
        <f t="shared" si="1"/>
        <v>350000</v>
      </c>
      <c r="O9" s="362" t="s">
        <v>5348</v>
      </c>
      <c r="P9" s="364">
        <v>44118</v>
      </c>
      <c r="Q9" s="362">
        <v>20.707589349999999</v>
      </c>
      <c r="R9" s="612">
        <v>43862</v>
      </c>
      <c r="S9" s="370" t="s">
        <v>83</v>
      </c>
      <c r="T9" s="849">
        <v>350000</v>
      </c>
      <c r="U9" s="849">
        <v>35000</v>
      </c>
      <c r="V9" s="849">
        <f t="shared" si="2"/>
        <v>385000</v>
      </c>
      <c r="W9" s="370" t="s">
        <v>5348</v>
      </c>
      <c r="X9" s="566">
        <v>44062</v>
      </c>
      <c r="Y9" s="362">
        <v>20.75731974</v>
      </c>
      <c r="Z9" s="612">
        <v>43983</v>
      </c>
      <c r="AA9" s="362" t="s">
        <v>88</v>
      </c>
      <c r="AB9" s="610">
        <v>318182</v>
      </c>
      <c r="AC9" s="610">
        <v>31818</v>
      </c>
      <c r="AD9" s="610">
        <f t="shared" si="3"/>
        <v>350000</v>
      </c>
      <c r="AE9" s="362" t="s">
        <v>5348</v>
      </c>
      <c r="AF9" s="364">
        <v>44085</v>
      </c>
      <c r="AG9" s="362">
        <v>21.121059809999998</v>
      </c>
      <c r="AH9" s="612">
        <v>44287</v>
      </c>
      <c r="AI9" s="362" t="s">
        <v>87</v>
      </c>
      <c r="AJ9" s="560">
        <v>350000</v>
      </c>
      <c r="AK9" s="560">
        <v>35000</v>
      </c>
      <c r="AL9" s="560">
        <f t="shared" si="7"/>
        <v>385000</v>
      </c>
      <c r="AM9" s="362" t="s">
        <v>5348</v>
      </c>
      <c r="AN9" s="364">
        <v>44452</v>
      </c>
      <c r="AO9" s="362">
        <v>22.244472649999999</v>
      </c>
      <c r="AP9" s="612">
        <v>44652</v>
      </c>
      <c r="AQ9" s="362" t="s">
        <v>150</v>
      </c>
      <c r="AR9" s="610">
        <v>600000</v>
      </c>
      <c r="AS9" s="610">
        <v>66000</v>
      </c>
      <c r="AT9" s="610">
        <f t="shared" si="4"/>
        <v>666000</v>
      </c>
      <c r="AU9" s="362" t="s">
        <v>5348</v>
      </c>
      <c r="AV9" s="609">
        <v>44750</v>
      </c>
      <c r="AW9" s="370">
        <v>21.208052049999999</v>
      </c>
      <c r="AX9" s="848">
        <v>44287</v>
      </c>
      <c r="AY9" s="370" t="s">
        <v>144</v>
      </c>
      <c r="AZ9" s="563">
        <v>327273</v>
      </c>
      <c r="BA9" s="563">
        <v>32727</v>
      </c>
      <c r="BB9" s="563">
        <f>AZ9+BA9</f>
        <v>360000</v>
      </c>
      <c r="BC9" s="370" t="s">
        <v>5348</v>
      </c>
      <c r="BD9" s="364">
        <v>44351</v>
      </c>
      <c r="BE9" s="720">
        <v>20.757013740000001</v>
      </c>
      <c r="BF9" s="719">
        <v>43709</v>
      </c>
      <c r="BG9" s="720" t="s">
        <v>84</v>
      </c>
      <c r="BH9" s="721">
        <v>159091</v>
      </c>
      <c r="BI9" s="721">
        <v>15909</v>
      </c>
      <c r="BJ9" s="722">
        <f t="shared" si="8"/>
        <v>175000</v>
      </c>
      <c r="BK9" s="720" t="s">
        <v>5348</v>
      </c>
      <c r="BL9" s="977">
        <v>44021</v>
      </c>
      <c r="BM9" s="362">
        <v>20.756898209999999</v>
      </c>
      <c r="BN9" s="612">
        <v>43891</v>
      </c>
      <c r="BO9" s="362" t="s">
        <v>81</v>
      </c>
      <c r="BP9" s="610">
        <v>334848</v>
      </c>
      <c r="BQ9" s="610">
        <v>33484</v>
      </c>
      <c r="BR9" s="610">
        <f t="shared" si="5"/>
        <v>368332</v>
      </c>
      <c r="BS9" s="362" t="s">
        <v>5348</v>
      </c>
      <c r="BT9" s="364">
        <v>43979</v>
      </c>
      <c r="BU9" s="362">
        <v>19.61759644</v>
      </c>
      <c r="BV9" s="612">
        <v>43678</v>
      </c>
      <c r="BW9" s="362" t="s">
        <v>78</v>
      </c>
      <c r="BX9" s="610">
        <v>318182</v>
      </c>
      <c r="BY9" s="610">
        <v>31818</v>
      </c>
      <c r="BZ9" s="610">
        <f t="shared" si="6"/>
        <v>350000</v>
      </c>
      <c r="CA9" s="362" t="s">
        <v>5348</v>
      </c>
      <c r="CB9" s="364"/>
      <c r="CC9" s="967">
        <v>21.554416660000001</v>
      </c>
      <c r="CD9" s="612">
        <v>44378</v>
      </c>
      <c r="CE9" s="362" t="s">
        <v>86</v>
      </c>
      <c r="CF9" s="610">
        <v>318182</v>
      </c>
      <c r="CG9" s="610">
        <v>31818</v>
      </c>
      <c r="CH9" s="613">
        <f t="shared" si="9"/>
        <v>350000</v>
      </c>
      <c r="CI9" s="362" t="s">
        <v>5348</v>
      </c>
      <c r="CJ9" s="364">
        <v>44456</v>
      </c>
      <c r="CK9" s="362"/>
      <c r="CL9" s="362"/>
      <c r="CM9" s="362"/>
      <c r="CN9" s="362"/>
      <c r="CO9" s="362"/>
      <c r="CP9" s="362"/>
      <c r="CQ9" s="362"/>
    </row>
    <row r="10" spans="1:95" x14ac:dyDescent="0.25">
      <c r="A10" s="853">
        <v>20.08817895</v>
      </c>
      <c r="B10" s="612">
        <v>43800</v>
      </c>
      <c r="C10" s="362" t="s">
        <v>80</v>
      </c>
      <c r="D10" s="610">
        <v>500000</v>
      </c>
      <c r="E10" s="610">
        <v>50000</v>
      </c>
      <c r="F10" s="610">
        <f t="shared" si="0"/>
        <v>550000</v>
      </c>
      <c r="G10" s="362" t="s">
        <v>5348</v>
      </c>
      <c r="H10" s="364">
        <v>44146</v>
      </c>
      <c r="I10" s="362">
        <v>20.707465559999999</v>
      </c>
      <c r="J10" s="612">
        <v>43831</v>
      </c>
      <c r="K10" s="362" t="s">
        <v>82</v>
      </c>
      <c r="L10" s="610">
        <v>318182</v>
      </c>
      <c r="M10" s="610">
        <v>31818</v>
      </c>
      <c r="N10" s="610">
        <f t="shared" si="1"/>
        <v>350000</v>
      </c>
      <c r="O10" s="362" t="s">
        <v>5348</v>
      </c>
      <c r="P10" s="364">
        <v>44085</v>
      </c>
      <c r="Q10" s="362">
        <v>20.756964979999999</v>
      </c>
      <c r="R10" s="612">
        <v>43891</v>
      </c>
      <c r="S10" s="370" t="s">
        <v>83</v>
      </c>
      <c r="T10" s="849">
        <v>350000</v>
      </c>
      <c r="U10" s="849">
        <v>35000</v>
      </c>
      <c r="V10" s="849">
        <f t="shared" si="2"/>
        <v>385000</v>
      </c>
      <c r="W10" s="370" t="s">
        <v>5348</v>
      </c>
      <c r="X10" s="566">
        <v>44062</v>
      </c>
      <c r="Y10" s="362">
        <v>20.088038990000001</v>
      </c>
      <c r="Z10" s="612">
        <v>44013</v>
      </c>
      <c r="AA10" s="362" t="s">
        <v>88</v>
      </c>
      <c r="AB10" s="610">
        <v>318182</v>
      </c>
      <c r="AC10" s="610">
        <v>31818</v>
      </c>
      <c r="AD10" s="610">
        <f t="shared" si="3"/>
        <v>350000</v>
      </c>
      <c r="AE10" s="362" t="s">
        <v>5348</v>
      </c>
      <c r="AF10" s="364">
        <v>44085</v>
      </c>
      <c r="AG10" s="362">
        <v>21.12127868</v>
      </c>
      <c r="AH10" s="612">
        <v>44317</v>
      </c>
      <c r="AI10" s="362" t="s">
        <v>87</v>
      </c>
      <c r="AJ10" s="560">
        <v>350000</v>
      </c>
      <c r="AK10" s="560">
        <v>35000</v>
      </c>
      <c r="AL10" s="560">
        <f t="shared" si="7"/>
        <v>385000</v>
      </c>
      <c r="AM10" s="362" t="s">
        <v>5348</v>
      </c>
      <c r="AN10" s="364">
        <v>44452</v>
      </c>
      <c r="AO10" s="362">
        <v>22.37327135</v>
      </c>
      <c r="AP10" s="612">
        <v>44682</v>
      </c>
      <c r="AQ10" s="362" t="s">
        <v>150</v>
      </c>
      <c r="AR10" s="610">
        <v>600000</v>
      </c>
      <c r="AS10" s="610">
        <v>66000</v>
      </c>
      <c r="AT10" s="610">
        <f t="shared" si="4"/>
        <v>666000</v>
      </c>
      <c r="AU10" s="362" t="s">
        <v>5348</v>
      </c>
      <c r="AV10" s="609">
        <v>44750</v>
      </c>
      <c r="AW10" s="362">
        <v>21.121145309999999</v>
      </c>
      <c r="AX10" s="612">
        <v>44317</v>
      </c>
      <c r="AY10" s="370" t="s">
        <v>144</v>
      </c>
      <c r="AZ10" s="560">
        <v>327273</v>
      </c>
      <c r="BA10" s="560">
        <v>32727</v>
      </c>
      <c r="BB10" s="563">
        <f t="shared" ref="BB10:BB23" si="10">AZ10+BA10</f>
        <v>360000</v>
      </c>
      <c r="BC10" s="370" t="s">
        <v>5348</v>
      </c>
      <c r="BD10" s="364">
        <v>44452</v>
      </c>
      <c r="BE10" s="718">
        <v>19.617932540000002</v>
      </c>
      <c r="BF10" s="719">
        <v>43739</v>
      </c>
      <c r="BG10" s="720" t="s">
        <v>84</v>
      </c>
      <c r="BH10" s="721">
        <v>318182</v>
      </c>
      <c r="BI10" s="721">
        <v>31818</v>
      </c>
      <c r="BJ10" s="722">
        <f t="shared" si="8"/>
        <v>350000</v>
      </c>
      <c r="BK10" s="720" t="s">
        <v>5348</v>
      </c>
      <c r="BL10" s="977">
        <v>44021</v>
      </c>
      <c r="BM10" s="362">
        <v>20.757154109999998</v>
      </c>
      <c r="BN10" s="612">
        <v>43952</v>
      </c>
      <c r="BO10" s="362" t="s">
        <v>81</v>
      </c>
      <c r="BP10" s="610">
        <v>334848</v>
      </c>
      <c r="BQ10" s="610">
        <v>33484</v>
      </c>
      <c r="BR10" s="610">
        <f t="shared" si="5"/>
        <v>368332</v>
      </c>
      <c r="BS10" s="362" t="s">
        <v>5348</v>
      </c>
      <c r="BT10" s="364">
        <v>44014</v>
      </c>
      <c r="BU10" s="362">
        <v>20.707390440000001</v>
      </c>
      <c r="BV10" s="612">
        <v>43831</v>
      </c>
      <c r="BW10" s="362" t="s">
        <v>78</v>
      </c>
      <c r="BX10" s="610">
        <v>334848</v>
      </c>
      <c r="BY10" s="610">
        <v>33484</v>
      </c>
      <c r="BZ10" s="610">
        <f t="shared" si="6"/>
        <v>368332</v>
      </c>
      <c r="CA10" s="362" t="s">
        <v>5348</v>
      </c>
      <c r="CB10" s="364">
        <v>43979</v>
      </c>
      <c r="CC10" s="967">
        <v>21.554628829999999</v>
      </c>
      <c r="CD10" s="612">
        <v>44409</v>
      </c>
      <c r="CE10" s="362" t="s">
        <v>86</v>
      </c>
      <c r="CF10" s="560">
        <v>318182</v>
      </c>
      <c r="CG10" s="560">
        <v>31818</v>
      </c>
      <c r="CH10" s="613">
        <f t="shared" si="9"/>
        <v>350000</v>
      </c>
      <c r="CI10" s="362" t="s">
        <v>5348</v>
      </c>
      <c r="CJ10" s="364">
        <v>44484</v>
      </c>
      <c r="CK10" s="362"/>
      <c r="CL10" s="362"/>
      <c r="CM10" s="362"/>
      <c r="CN10" s="362"/>
      <c r="CO10" s="362"/>
      <c r="CP10" s="362"/>
      <c r="CQ10" s="362"/>
    </row>
    <row r="11" spans="1:95" x14ac:dyDescent="0.25">
      <c r="A11" s="853">
        <v>20.707465540000001</v>
      </c>
      <c r="B11" s="612">
        <v>43831</v>
      </c>
      <c r="C11" s="362" t="s">
        <v>80</v>
      </c>
      <c r="D11" s="610">
        <v>500000</v>
      </c>
      <c r="E11" s="610">
        <v>50000</v>
      </c>
      <c r="F11" s="610">
        <f t="shared" si="0"/>
        <v>550000</v>
      </c>
      <c r="G11" s="362" t="s">
        <v>5348</v>
      </c>
      <c r="H11" s="364">
        <v>43979</v>
      </c>
      <c r="I11" s="362">
        <v>20.70758936</v>
      </c>
      <c r="J11" s="612">
        <v>43862</v>
      </c>
      <c r="K11" s="362" t="s">
        <v>82</v>
      </c>
      <c r="L11" s="610">
        <v>318182</v>
      </c>
      <c r="M11" s="610">
        <v>31818</v>
      </c>
      <c r="N11" s="610">
        <f t="shared" si="1"/>
        <v>350000</v>
      </c>
      <c r="O11" s="362" t="s">
        <v>5931</v>
      </c>
      <c r="P11" s="364">
        <v>44286</v>
      </c>
      <c r="Q11" s="362">
        <v>20.757100609999998</v>
      </c>
      <c r="R11" s="612">
        <v>43922</v>
      </c>
      <c r="S11" s="370" t="s">
        <v>83</v>
      </c>
      <c r="T11" s="849">
        <v>350000</v>
      </c>
      <c r="U11" s="849">
        <v>35000</v>
      </c>
      <c r="V11" s="849">
        <f t="shared" si="2"/>
        <v>385000</v>
      </c>
      <c r="W11" s="370" t="s">
        <v>5348</v>
      </c>
      <c r="X11" s="566">
        <v>44062</v>
      </c>
      <c r="Y11" s="362">
        <v>20.088152950000001</v>
      </c>
      <c r="Z11" s="612">
        <v>44044</v>
      </c>
      <c r="AA11" s="362" t="s">
        <v>88</v>
      </c>
      <c r="AB11" s="610">
        <v>318182</v>
      </c>
      <c r="AC11" s="610">
        <v>31818</v>
      </c>
      <c r="AD11" s="610">
        <f t="shared" si="3"/>
        <v>350000</v>
      </c>
      <c r="AE11" s="362" t="s">
        <v>5348</v>
      </c>
      <c r="AF11" s="364">
        <v>44098</v>
      </c>
      <c r="AG11" s="362">
        <v>21.121500650000002</v>
      </c>
      <c r="AH11" s="612">
        <v>44348</v>
      </c>
      <c r="AI11" s="362" t="s">
        <v>87</v>
      </c>
      <c r="AJ11" s="560">
        <v>350000</v>
      </c>
      <c r="AK11" s="560">
        <v>35000</v>
      </c>
      <c r="AL11" s="560">
        <f t="shared" si="7"/>
        <v>385000</v>
      </c>
      <c r="AM11" s="362" t="s">
        <v>5348</v>
      </c>
      <c r="AN11" s="364">
        <v>44452</v>
      </c>
      <c r="AO11" s="362">
        <v>22.37349399</v>
      </c>
      <c r="AP11" s="612">
        <v>44713</v>
      </c>
      <c r="AQ11" s="362" t="s">
        <v>150</v>
      </c>
      <c r="AR11" s="610">
        <v>600000</v>
      </c>
      <c r="AS11" s="610">
        <v>66000</v>
      </c>
      <c r="AT11" s="610">
        <f t="shared" si="4"/>
        <v>666000</v>
      </c>
      <c r="AU11" s="362" t="s">
        <v>5348</v>
      </c>
      <c r="AV11" s="362" t="s">
        <v>6154</v>
      </c>
      <c r="AW11" s="362">
        <v>21.121370219999999</v>
      </c>
      <c r="AX11" s="612">
        <v>44348</v>
      </c>
      <c r="AY11" s="370" t="s">
        <v>144</v>
      </c>
      <c r="AZ11" s="560">
        <v>327273</v>
      </c>
      <c r="BA11" s="560">
        <v>32727</v>
      </c>
      <c r="BB11" s="563">
        <f t="shared" si="10"/>
        <v>360000</v>
      </c>
      <c r="BC11" s="370" t="s">
        <v>5348</v>
      </c>
      <c r="BD11" s="364">
        <v>44452</v>
      </c>
      <c r="BE11" s="362">
        <v>20.08813151</v>
      </c>
      <c r="BF11" s="612">
        <v>44044</v>
      </c>
      <c r="BG11" s="362" t="s">
        <v>84</v>
      </c>
      <c r="BH11" s="560">
        <v>159091</v>
      </c>
      <c r="BI11" s="560">
        <v>15909</v>
      </c>
      <c r="BJ11" s="560">
        <f t="shared" si="8"/>
        <v>175000</v>
      </c>
      <c r="BK11" s="362" t="s">
        <v>5348</v>
      </c>
      <c r="BL11" s="364">
        <v>44153</v>
      </c>
      <c r="BM11" s="362">
        <v>20.75731803</v>
      </c>
      <c r="BN11" s="612">
        <v>43983</v>
      </c>
      <c r="BO11" s="362" t="s">
        <v>81</v>
      </c>
      <c r="BP11" s="610">
        <v>334848</v>
      </c>
      <c r="BQ11" s="610">
        <v>33484</v>
      </c>
      <c r="BR11" s="610">
        <f t="shared" si="5"/>
        <v>368332</v>
      </c>
      <c r="BS11" s="362" t="s">
        <v>5931</v>
      </c>
      <c r="BT11" s="364">
        <v>44036</v>
      </c>
      <c r="BU11" s="362">
        <v>20.70751138</v>
      </c>
      <c r="BV11" s="612">
        <v>43862</v>
      </c>
      <c r="BW11" s="362" t="s">
        <v>78</v>
      </c>
      <c r="BX11" s="610">
        <v>334848</v>
      </c>
      <c r="BY11" s="610">
        <v>33484</v>
      </c>
      <c r="BZ11" s="610">
        <f t="shared" si="6"/>
        <v>368332</v>
      </c>
      <c r="CA11" s="362" t="s">
        <v>5348</v>
      </c>
      <c r="CB11" s="364">
        <v>43979</v>
      </c>
      <c r="CC11" s="370">
        <v>21.55484852</v>
      </c>
      <c r="CD11" s="612">
        <v>44440</v>
      </c>
      <c r="CE11" s="362" t="s">
        <v>86</v>
      </c>
      <c r="CF11" s="560">
        <v>318182</v>
      </c>
      <c r="CG11" s="560">
        <v>31818</v>
      </c>
      <c r="CH11" s="613">
        <f t="shared" si="9"/>
        <v>350000</v>
      </c>
      <c r="CI11" s="362" t="s">
        <v>5348</v>
      </c>
      <c r="CJ11" s="364">
        <v>44565</v>
      </c>
      <c r="CK11" s="362"/>
      <c r="CL11" s="362"/>
      <c r="CM11" s="362"/>
      <c r="CN11" s="362"/>
      <c r="CO11" s="362"/>
      <c r="CP11" s="362"/>
      <c r="CQ11" s="362"/>
    </row>
    <row r="12" spans="1:95" x14ac:dyDescent="0.25">
      <c r="A12" s="853">
        <v>20.707589339999998</v>
      </c>
      <c r="B12" s="612">
        <v>43862</v>
      </c>
      <c r="C12" s="362" t="s">
        <v>80</v>
      </c>
      <c r="D12" s="610">
        <v>500000</v>
      </c>
      <c r="E12" s="610">
        <v>50000</v>
      </c>
      <c r="F12" s="610">
        <f t="shared" si="0"/>
        <v>550000</v>
      </c>
      <c r="G12" s="362" t="s">
        <v>5348</v>
      </c>
      <c r="H12" s="364">
        <v>43979</v>
      </c>
      <c r="I12" s="362">
        <v>20.75696499</v>
      </c>
      <c r="J12" s="612">
        <v>43891</v>
      </c>
      <c r="K12" s="362" t="s">
        <v>82</v>
      </c>
      <c r="L12" s="610">
        <v>159091</v>
      </c>
      <c r="M12" s="610">
        <v>15909</v>
      </c>
      <c r="N12" s="610">
        <f t="shared" si="1"/>
        <v>175000</v>
      </c>
      <c r="O12" s="362" t="s">
        <v>5931</v>
      </c>
      <c r="P12" s="364">
        <v>44085</v>
      </c>
      <c r="Q12" s="362">
        <v>20.757275029999999</v>
      </c>
      <c r="R12" s="612">
        <v>43983</v>
      </c>
      <c r="S12" s="370" t="s">
        <v>83</v>
      </c>
      <c r="T12" s="849">
        <v>350000</v>
      </c>
      <c r="U12" s="849">
        <v>35000</v>
      </c>
      <c r="V12" s="849">
        <f t="shared" si="2"/>
        <v>385000</v>
      </c>
      <c r="W12" s="370" t="s">
        <v>5348</v>
      </c>
      <c r="X12" s="566">
        <v>44062</v>
      </c>
      <c r="Y12" s="362">
        <v>20.088152950000001</v>
      </c>
      <c r="Z12" s="612">
        <v>44044</v>
      </c>
      <c r="AA12" s="362" t="s">
        <v>88</v>
      </c>
      <c r="AB12" s="610">
        <v>318182</v>
      </c>
      <c r="AC12" s="610">
        <v>31818</v>
      </c>
      <c r="AD12" s="610">
        <f t="shared" si="3"/>
        <v>350000</v>
      </c>
      <c r="AE12" s="362" t="s">
        <v>5348</v>
      </c>
      <c r="AF12" s="364">
        <v>44118</v>
      </c>
      <c r="AG12" s="362">
        <v>21.55441669</v>
      </c>
      <c r="AH12" s="612">
        <v>44378</v>
      </c>
      <c r="AI12" s="362" t="s">
        <v>87</v>
      </c>
      <c r="AJ12" s="560">
        <v>350000</v>
      </c>
      <c r="AK12" s="560">
        <v>35000</v>
      </c>
      <c r="AL12" s="560">
        <f t="shared" si="7"/>
        <v>385000</v>
      </c>
      <c r="AM12" s="362" t="s">
        <v>5348</v>
      </c>
      <c r="AN12" s="364">
        <v>44452</v>
      </c>
      <c r="AO12" s="362"/>
      <c r="AP12" s="362"/>
      <c r="AQ12" s="362"/>
      <c r="AR12" s="610"/>
      <c r="AS12" s="610"/>
      <c r="AT12" s="610">
        <f t="shared" si="4"/>
        <v>0</v>
      </c>
      <c r="AU12" s="362"/>
      <c r="AV12" s="362"/>
      <c r="AW12" s="362">
        <v>21.121594080000001</v>
      </c>
      <c r="AX12" s="612">
        <v>44378</v>
      </c>
      <c r="AY12" s="370" t="s">
        <v>144</v>
      </c>
      <c r="AZ12" s="560">
        <v>327273</v>
      </c>
      <c r="BA12" s="560">
        <v>32727</v>
      </c>
      <c r="BB12" s="563">
        <f t="shared" si="10"/>
        <v>360000</v>
      </c>
      <c r="BC12" s="370" t="s">
        <v>5348</v>
      </c>
      <c r="BD12" s="364">
        <v>44452</v>
      </c>
      <c r="BE12" s="362">
        <v>20.088342300000001</v>
      </c>
      <c r="BF12" s="612">
        <v>44075</v>
      </c>
      <c r="BG12" s="362" t="s">
        <v>84</v>
      </c>
      <c r="BH12" s="362">
        <v>318182</v>
      </c>
      <c r="BI12" s="362">
        <v>31818</v>
      </c>
      <c r="BJ12" s="560">
        <f t="shared" si="8"/>
        <v>350000</v>
      </c>
      <c r="BK12" s="362" t="s">
        <v>5348</v>
      </c>
      <c r="BL12" s="364">
        <v>44175</v>
      </c>
      <c r="BM12" s="362">
        <v>20.087969359999999</v>
      </c>
      <c r="BN12" s="612">
        <v>44013</v>
      </c>
      <c r="BO12" s="362" t="s">
        <v>81</v>
      </c>
      <c r="BP12" s="610">
        <v>334848</v>
      </c>
      <c r="BQ12" s="610">
        <v>33484</v>
      </c>
      <c r="BR12" s="610">
        <f t="shared" si="5"/>
        <v>368332</v>
      </c>
      <c r="BS12" s="362" t="s">
        <v>5931</v>
      </c>
      <c r="BT12" s="364">
        <v>44071</v>
      </c>
      <c r="BU12" s="614" t="s">
        <v>5351</v>
      </c>
      <c r="BV12" s="612">
        <v>43891</v>
      </c>
      <c r="BW12" s="362" t="s">
        <v>78</v>
      </c>
      <c r="BX12" s="610">
        <v>334848</v>
      </c>
      <c r="BY12" s="610">
        <v>33484</v>
      </c>
      <c r="BZ12" s="610">
        <f t="shared" si="6"/>
        <v>368332</v>
      </c>
      <c r="CA12" s="362" t="s">
        <v>5349</v>
      </c>
      <c r="CB12" s="364"/>
      <c r="CC12" s="362">
        <v>21.555064590000001</v>
      </c>
      <c r="CD12" s="612">
        <v>44470</v>
      </c>
      <c r="CE12" s="362" t="s">
        <v>86</v>
      </c>
      <c r="CF12" s="560">
        <v>318182</v>
      </c>
      <c r="CG12" s="560">
        <v>31818</v>
      </c>
      <c r="CH12" s="560">
        <f t="shared" si="9"/>
        <v>350000</v>
      </c>
      <c r="CI12" s="362" t="s">
        <v>5348</v>
      </c>
      <c r="CJ12" s="364">
        <v>44610</v>
      </c>
      <c r="CK12" s="362"/>
      <c r="CL12" s="362"/>
      <c r="CM12" s="362"/>
      <c r="CN12" s="362"/>
      <c r="CO12" s="362"/>
      <c r="CP12" s="362"/>
      <c r="CQ12" s="362"/>
    </row>
    <row r="13" spans="1:95" x14ac:dyDescent="0.25">
      <c r="A13" s="853">
        <v>20.756964969999999</v>
      </c>
      <c r="B13" s="612">
        <v>43891</v>
      </c>
      <c r="C13" s="362" t="s">
        <v>80</v>
      </c>
      <c r="D13" s="610">
        <v>500000</v>
      </c>
      <c r="E13" s="610">
        <v>49999</v>
      </c>
      <c r="F13" s="610">
        <f t="shared" si="0"/>
        <v>549999</v>
      </c>
      <c r="G13" s="362" t="s">
        <v>5348</v>
      </c>
      <c r="H13" s="364">
        <v>43979</v>
      </c>
      <c r="I13" s="362">
        <v>20.757100619999999</v>
      </c>
      <c r="J13" s="612">
        <v>43922</v>
      </c>
      <c r="K13" s="362" t="s">
        <v>82</v>
      </c>
      <c r="L13" s="610">
        <v>318182</v>
      </c>
      <c r="M13" s="610">
        <v>31818</v>
      </c>
      <c r="N13" s="610">
        <f t="shared" si="1"/>
        <v>350000</v>
      </c>
      <c r="O13" s="362" t="s">
        <v>5348</v>
      </c>
      <c r="P13" s="364">
        <v>43979</v>
      </c>
      <c r="Q13" s="362">
        <v>20.088039009999999</v>
      </c>
      <c r="R13" s="612">
        <v>44013</v>
      </c>
      <c r="S13" s="370" t="s">
        <v>83</v>
      </c>
      <c r="T13" s="849">
        <v>350000</v>
      </c>
      <c r="U13" s="849">
        <v>35000</v>
      </c>
      <c r="V13" s="849">
        <f t="shared" si="2"/>
        <v>385000</v>
      </c>
      <c r="W13" s="370" t="s">
        <v>5348</v>
      </c>
      <c r="X13" s="566">
        <v>44062</v>
      </c>
      <c r="Y13" s="362">
        <v>20.08838239</v>
      </c>
      <c r="Z13" s="612">
        <v>44075</v>
      </c>
      <c r="AA13" s="362" t="s">
        <v>88</v>
      </c>
      <c r="AB13" s="610">
        <v>318182</v>
      </c>
      <c r="AC13" s="610">
        <v>31818</v>
      </c>
      <c r="AD13" s="610">
        <f t="shared" si="3"/>
        <v>350000</v>
      </c>
      <c r="AE13" s="362" t="s">
        <v>5348</v>
      </c>
      <c r="AF13" s="364">
        <v>44146</v>
      </c>
      <c r="AG13" s="362">
        <v>21.554628860000001</v>
      </c>
      <c r="AH13" s="612">
        <v>44409</v>
      </c>
      <c r="AI13" s="362" t="s">
        <v>87</v>
      </c>
      <c r="AJ13" s="560">
        <v>350000</v>
      </c>
      <c r="AK13" s="560">
        <v>35000</v>
      </c>
      <c r="AL13" s="560">
        <f t="shared" si="7"/>
        <v>385000</v>
      </c>
      <c r="AM13" s="362" t="s">
        <v>5348</v>
      </c>
      <c r="AN13" s="364">
        <v>44484</v>
      </c>
      <c r="AO13" s="362"/>
      <c r="AP13" s="362"/>
      <c r="AQ13" s="362"/>
      <c r="AR13" s="610"/>
      <c r="AS13" s="610"/>
      <c r="AT13" s="610">
        <f t="shared" si="4"/>
        <v>0</v>
      </c>
      <c r="AU13" s="362"/>
      <c r="AV13" s="362"/>
      <c r="AW13" s="362">
        <v>21.554487680000001</v>
      </c>
      <c r="AX13" s="612">
        <v>44409</v>
      </c>
      <c r="AY13" s="362" t="s">
        <v>144</v>
      </c>
      <c r="AZ13" s="560">
        <v>327273</v>
      </c>
      <c r="BA13" s="560">
        <v>32727</v>
      </c>
      <c r="BB13" s="563">
        <f t="shared" si="10"/>
        <v>360000</v>
      </c>
      <c r="BC13" s="362" t="s">
        <v>5348</v>
      </c>
      <c r="BD13" s="364">
        <v>44484</v>
      </c>
      <c r="BE13" s="362">
        <v>20.69290226</v>
      </c>
      <c r="BF13" s="612">
        <v>44105</v>
      </c>
      <c r="BG13" s="362" t="s">
        <v>84</v>
      </c>
      <c r="BH13" s="610">
        <v>318182</v>
      </c>
      <c r="BI13" s="610">
        <v>31818</v>
      </c>
      <c r="BJ13" s="613">
        <f t="shared" si="8"/>
        <v>350000</v>
      </c>
      <c r="BK13" s="362" t="s">
        <v>5348</v>
      </c>
      <c r="BL13" s="364">
        <v>44175</v>
      </c>
      <c r="BM13" s="362">
        <v>20.088101380000001</v>
      </c>
      <c r="BN13" s="612">
        <v>44044</v>
      </c>
      <c r="BO13" s="362" t="s">
        <v>81</v>
      </c>
      <c r="BP13" s="610">
        <v>334848</v>
      </c>
      <c r="BQ13" s="610">
        <v>33484</v>
      </c>
      <c r="BR13" s="610">
        <f t="shared" si="5"/>
        <v>368332</v>
      </c>
      <c r="BS13" s="362" t="s">
        <v>5931</v>
      </c>
      <c r="BT13" s="364">
        <v>44118</v>
      </c>
      <c r="BU13" s="362">
        <v>20.757154100000001</v>
      </c>
      <c r="BV13" s="612">
        <v>43952</v>
      </c>
      <c r="BW13" s="362" t="s">
        <v>78</v>
      </c>
      <c r="BX13" s="560">
        <v>334848</v>
      </c>
      <c r="BY13" s="560">
        <v>33484</v>
      </c>
      <c r="BZ13" s="560">
        <f t="shared" si="6"/>
        <v>368332</v>
      </c>
      <c r="CA13" s="362" t="s">
        <v>5348</v>
      </c>
      <c r="CB13" s="364">
        <v>44014</v>
      </c>
      <c r="CC13" s="362">
        <v>21.061824590000001</v>
      </c>
      <c r="CD13" s="612">
        <v>44501</v>
      </c>
      <c r="CE13" s="362" t="s">
        <v>86</v>
      </c>
      <c r="CF13" s="560">
        <v>318182</v>
      </c>
      <c r="CG13" s="560">
        <v>31818</v>
      </c>
      <c r="CH13" s="560">
        <f t="shared" si="9"/>
        <v>350000</v>
      </c>
      <c r="CI13" s="362" t="s">
        <v>5348</v>
      </c>
      <c r="CJ13" s="364">
        <v>44610</v>
      </c>
      <c r="CK13" s="362"/>
      <c r="CL13" s="362"/>
      <c r="CM13" s="362"/>
      <c r="CN13" s="362"/>
      <c r="CO13" s="362"/>
      <c r="CP13" s="362"/>
      <c r="CQ13" s="362"/>
    </row>
    <row r="14" spans="1:95" x14ac:dyDescent="0.25">
      <c r="A14" s="854" t="s">
        <v>5352</v>
      </c>
      <c r="B14" s="612">
        <v>43922</v>
      </c>
      <c r="C14" s="362" t="s">
        <v>80</v>
      </c>
      <c r="D14" s="610">
        <v>500000</v>
      </c>
      <c r="E14" s="610">
        <v>49999</v>
      </c>
      <c r="F14" s="610">
        <f t="shared" si="0"/>
        <v>549999</v>
      </c>
      <c r="G14" s="362" t="s">
        <v>5348</v>
      </c>
      <c r="H14" s="364">
        <v>43979</v>
      </c>
      <c r="I14" s="370">
        <v>20.757319760000001</v>
      </c>
      <c r="J14" s="848">
        <v>43983</v>
      </c>
      <c r="K14" s="370" t="s">
        <v>82</v>
      </c>
      <c r="L14" s="849">
        <v>318182</v>
      </c>
      <c r="M14" s="849">
        <v>31818</v>
      </c>
      <c r="N14" s="849">
        <f t="shared" si="1"/>
        <v>350000</v>
      </c>
      <c r="O14" s="370" t="s">
        <v>5348</v>
      </c>
      <c r="P14" s="566">
        <v>44062</v>
      </c>
      <c r="Q14" s="362">
        <v>20.088152969999999</v>
      </c>
      <c r="R14" s="612">
        <v>44044</v>
      </c>
      <c r="S14" s="370" t="s">
        <v>83</v>
      </c>
      <c r="T14" s="849">
        <v>350000</v>
      </c>
      <c r="U14" s="849">
        <v>35000</v>
      </c>
      <c r="V14" s="849">
        <f t="shared" si="2"/>
        <v>385000</v>
      </c>
      <c r="W14" s="370" t="s">
        <v>5348</v>
      </c>
      <c r="X14" s="566">
        <v>44118</v>
      </c>
      <c r="Y14" s="362">
        <v>20.69294949</v>
      </c>
      <c r="Z14" s="612">
        <v>44105</v>
      </c>
      <c r="AA14" s="362" t="s">
        <v>88</v>
      </c>
      <c r="AB14" s="610">
        <v>318182</v>
      </c>
      <c r="AC14" s="610">
        <v>31818</v>
      </c>
      <c r="AD14" s="610">
        <f t="shared" si="3"/>
        <v>350000</v>
      </c>
      <c r="AE14" s="362" t="s">
        <v>5348</v>
      </c>
      <c r="AF14" s="364">
        <v>44154</v>
      </c>
      <c r="AG14" s="967">
        <v>21.554848549999999</v>
      </c>
      <c r="AH14" s="848">
        <v>44440</v>
      </c>
      <c r="AI14" s="370" t="s">
        <v>87</v>
      </c>
      <c r="AJ14" s="563">
        <v>350000</v>
      </c>
      <c r="AK14" s="563">
        <v>35000</v>
      </c>
      <c r="AL14" s="560">
        <f>AJ14+AK14</f>
        <v>385000</v>
      </c>
      <c r="AM14" s="362" t="s">
        <v>5348</v>
      </c>
      <c r="AN14" s="364">
        <v>44565</v>
      </c>
      <c r="AO14" s="362"/>
      <c r="AP14" s="362"/>
      <c r="AQ14" s="362"/>
      <c r="AR14" s="610"/>
      <c r="AS14" s="610"/>
      <c r="AT14" s="610">
        <f t="shared" si="4"/>
        <v>0</v>
      </c>
      <c r="AU14" s="362"/>
      <c r="AV14" s="362"/>
      <c r="AW14" s="362">
        <v>21.554731189999998</v>
      </c>
      <c r="AX14" s="612">
        <v>44440</v>
      </c>
      <c r="AY14" s="362" t="s">
        <v>144</v>
      </c>
      <c r="AZ14" s="560">
        <v>327273</v>
      </c>
      <c r="BA14" s="560">
        <v>32727</v>
      </c>
      <c r="BB14" s="560">
        <f t="shared" si="10"/>
        <v>360000</v>
      </c>
      <c r="BC14" s="362" t="s">
        <v>5348</v>
      </c>
      <c r="BD14" s="364" t="s">
        <v>6154</v>
      </c>
      <c r="BE14" s="362">
        <v>20.693117529999999</v>
      </c>
      <c r="BF14" s="612">
        <v>44136</v>
      </c>
      <c r="BG14" s="362" t="s">
        <v>84</v>
      </c>
      <c r="BH14" s="610">
        <v>318182</v>
      </c>
      <c r="BI14" s="610">
        <v>31818</v>
      </c>
      <c r="BJ14" s="613">
        <f t="shared" si="8"/>
        <v>350000</v>
      </c>
      <c r="BK14" s="362" t="s">
        <v>5348</v>
      </c>
      <c r="BL14" s="364">
        <v>44204</v>
      </c>
      <c r="BM14" s="362">
        <v>20.08823546</v>
      </c>
      <c r="BN14" s="612">
        <v>44075</v>
      </c>
      <c r="BO14" s="362" t="s">
        <v>81</v>
      </c>
      <c r="BP14" s="610">
        <v>334848</v>
      </c>
      <c r="BQ14" s="610">
        <v>33484</v>
      </c>
      <c r="BR14" s="610">
        <f t="shared" si="5"/>
        <v>368332</v>
      </c>
      <c r="BS14" s="362" t="s">
        <v>5348</v>
      </c>
      <c r="BT14" s="364">
        <v>44146</v>
      </c>
      <c r="BU14" s="362">
        <v>20.757272709999999</v>
      </c>
      <c r="BV14" s="612">
        <v>43983</v>
      </c>
      <c r="BW14" s="362" t="s">
        <v>78</v>
      </c>
      <c r="BX14" s="610">
        <v>334848</v>
      </c>
      <c r="BY14" s="610">
        <v>33484</v>
      </c>
      <c r="BZ14" s="610">
        <f t="shared" si="6"/>
        <v>368332</v>
      </c>
      <c r="CA14" s="362" t="s">
        <v>5348</v>
      </c>
      <c r="CB14" s="364">
        <v>44036</v>
      </c>
      <c r="CC14" s="362">
        <v>21.518111050000002</v>
      </c>
      <c r="CD14" s="612">
        <v>44531</v>
      </c>
      <c r="CE14" s="362" t="s">
        <v>86</v>
      </c>
      <c r="CF14" s="560">
        <v>318182</v>
      </c>
      <c r="CG14" s="560">
        <v>31818</v>
      </c>
      <c r="CH14" s="560">
        <f t="shared" si="9"/>
        <v>350000</v>
      </c>
      <c r="CI14" s="362" t="s">
        <v>5348</v>
      </c>
      <c r="CJ14" s="364">
        <v>44651</v>
      </c>
      <c r="CK14" s="362"/>
      <c r="CL14" s="362"/>
      <c r="CM14" s="362"/>
      <c r="CN14" s="362"/>
      <c r="CO14" s="362"/>
      <c r="CP14" s="362"/>
      <c r="CQ14" s="362"/>
    </row>
    <row r="15" spans="1:95" s="565" customFormat="1" x14ac:dyDescent="0.25">
      <c r="A15" s="855">
        <v>20.757319750000001</v>
      </c>
      <c r="B15" s="848">
        <v>43983</v>
      </c>
      <c r="C15" s="370" t="s">
        <v>80</v>
      </c>
      <c r="D15" s="849">
        <v>500000</v>
      </c>
      <c r="E15" s="849">
        <v>49999</v>
      </c>
      <c r="F15" s="849">
        <f t="shared" si="0"/>
        <v>549999</v>
      </c>
      <c r="G15" s="370" t="s">
        <v>5348</v>
      </c>
      <c r="H15" s="566">
        <v>44062</v>
      </c>
      <c r="I15" s="370">
        <v>20.08803902</v>
      </c>
      <c r="J15" s="848">
        <v>44013</v>
      </c>
      <c r="K15" s="370" t="s">
        <v>82</v>
      </c>
      <c r="L15" s="849">
        <v>318182</v>
      </c>
      <c r="M15" s="849">
        <v>31818</v>
      </c>
      <c r="N15" s="849">
        <f t="shared" si="1"/>
        <v>350000</v>
      </c>
      <c r="O15" s="370" t="s">
        <v>5348</v>
      </c>
      <c r="P15" s="566">
        <v>44062</v>
      </c>
      <c r="Q15" s="370">
        <v>20.088382410000001</v>
      </c>
      <c r="R15" s="848">
        <v>44075</v>
      </c>
      <c r="S15" s="370" t="s">
        <v>83</v>
      </c>
      <c r="T15" s="849">
        <v>350000</v>
      </c>
      <c r="U15" s="849">
        <v>35000</v>
      </c>
      <c r="V15" s="849">
        <f t="shared" si="2"/>
        <v>385000</v>
      </c>
      <c r="W15" s="370" t="s">
        <v>5348</v>
      </c>
      <c r="X15" s="566">
        <v>44146</v>
      </c>
      <c r="Y15" s="370">
        <v>20.693164790000001</v>
      </c>
      <c r="Z15" s="848">
        <v>44136</v>
      </c>
      <c r="AA15" s="370" t="s">
        <v>88</v>
      </c>
      <c r="AB15" s="849">
        <v>318182</v>
      </c>
      <c r="AC15" s="849">
        <v>31818</v>
      </c>
      <c r="AD15" s="849">
        <f t="shared" si="3"/>
        <v>350000</v>
      </c>
      <c r="AE15" s="370" t="s">
        <v>5348</v>
      </c>
      <c r="AF15" s="566">
        <v>44204</v>
      </c>
      <c r="AG15" s="362">
        <v>21.55506463</v>
      </c>
      <c r="AH15" s="612">
        <v>44470</v>
      </c>
      <c r="AI15" s="362" t="s">
        <v>87</v>
      </c>
      <c r="AJ15" s="560">
        <v>350000</v>
      </c>
      <c r="AK15" s="560">
        <v>35000</v>
      </c>
      <c r="AL15" s="560">
        <f t="shared" si="7"/>
        <v>385000</v>
      </c>
      <c r="AM15" s="362" t="s">
        <v>5348</v>
      </c>
      <c r="AN15" s="364">
        <v>44610</v>
      </c>
      <c r="AO15" s="370"/>
      <c r="AP15" s="370"/>
      <c r="AQ15" s="370"/>
      <c r="AR15" s="849"/>
      <c r="AS15" s="849"/>
      <c r="AT15" s="849">
        <f t="shared" si="4"/>
        <v>0</v>
      </c>
      <c r="AU15" s="370"/>
      <c r="AV15" s="370"/>
      <c r="AW15" s="370">
        <v>21.554908640000001</v>
      </c>
      <c r="AX15" s="848">
        <v>44470</v>
      </c>
      <c r="AY15" s="370" t="s">
        <v>144</v>
      </c>
      <c r="AZ15" s="563">
        <v>327273</v>
      </c>
      <c r="BA15" s="563">
        <v>32727</v>
      </c>
      <c r="BB15" s="563">
        <f t="shared" si="10"/>
        <v>360000</v>
      </c>
      <c r="BC15" s="370" t="s">
        <v>5348</v>
      </c>
      <c r="BD15" s="566">
        <v>44610</v>
      </c>
      <c r="BE15" s="370">
        <v>20.29382798</v>
      </c>
      <c r="BF15" s="848">
        <v>44166</v>
      </c>
      <c r="BG15" s="370" t="s">
        <v>84</v>
      </c>
      <c r="BH15" s="849">
        <v>318182</v>
      </c>
      <c r="BI15" s="849">
        <v>31818</v>
      </c>
      <c r="BJ15" s="872">
        <f t="shared" si="8"/>
        <v>350000</v>
      </c>
      <c r="BK15" s="370" t="s">
        <v>5348</v>
      </c>
      <c r="BL15" s="566">
        <v>44221</v>
      </c>
      <c r="BM15" s="370">
        <v>20.0884745</v>
      </c>
      <c r="BN15" s="848">
        <v>44105</v>
      </c>
      <c r="BO15" s="370" t="s">
        <v>81</v>
      </c>
      <c r="BP15" s="849">
        <v>334848</v>
      </c>
      <c r="BQ15" s="849">
        <v>33484</v>
      </c>
      <c r="BR15" s="849">
        <f t="shared" si="5"/>
        <v>368332</v>
      </c>
      <c r="BS15" s="370" t="s">
        <v>5348</v>
      </c>
      <c r="BT15" s="566">
        <v>44162</v>
      </c>
      <c r="BU15" s="370">
        <v>20.087969350000002</v>
      </c>
      <c r="BV15" s="848">
        <v>44013</v>
      </c>
      <c r="BW15" s="370" t="s">
        <v>78</v>
      </c>
      <c r="BX15" s="849">
        <v>334848</v>
      </c>
      <c r="BY15" s="849">
        <v>33484</v>
      </c>
      <c r="BZ15" s="849">
        <f t="shared" si="6"/>
        <v>368332</v>
      </c>
      <c r="CA15" s="370" t="s">
        <v>5348</v>
      </c>
      <c r="CB15" s="566">
        <v>44071</v>
      </c>
      <c r="CC15" s="362">
        <v>22.243954460000001</v>
      </c>
      <c r="CD15" s="612">
        <v>44562</v>
      </c>
      <c r="CE15" s="362" t="s">
        <v>86</v>
      </c>
      <c r="CF15" s="560">
        <v>318182</v>
      </c>
      <c r="CG15" s="560">
        <v>31818</v>
      </c>
      <c r="CH15" s="560">
        <f t="shared" si="9"/>
        <v>350000</v>
      </c>
      <c r="CI15" s="362" t="s">
        <v>5348</v>
      </c>
      <c r="CJ15" s="364">
        <v>44651</v>
      </c>
      <c r="CK15" s="370"/>
      <c r="CL15" s="370"/>
      <c r="CM15" s="370"/>
      <c r="CN15" s="370"/>
      <c r="CO15" s="370"/>
      <c r="CP15" s="370"/>
      <c r="CQ15" s="370"/>
    </row>
    <row r="16" spans="1:95" s="565" customFormat="1" x14ac:dyDescent="0.25">
      <c r="A16" s="856">
        <v>20.088038999999998</v>
      </c>
      <c r="B16" s="848">
        <v>44013</v>
      </c>
      <c r="C16" s="370" t="s">
        <v>80</v>
      </c>
      <c r="D16" s="849">
        <v>500000</v>
      </c>
      <c r="E16" s="849">
        <v>49999</v>
      </c>
      <c r="F16" s="849">
        <f t="shared" si="0"/>
        <v>549999</v>
      </c>
      <c r="G16" s="370" t="s">
        <v>5348</v>
      </c>
      <c r="H16" s="566">
        <v>44062</v>
      </c>
      <c r="I16" s="370">
        <v>20.08815298</v>
      </c>
      <c r="J16" s="848">
        <v>44044</v>
      </c>
      <c r="K16" s="370" t="s">
        <v>82</v>
      </c>
      <c r="L16" s="849">
        <v>318182</v>
      </c>
      <c r="M16" s="849">
        <v>31818</v>
      </c>
      <c r="N16" s="849">
        <f t="shared" si="1"/>
        <v>350000</v>
      </c>
      <c r="O16" s="370" t="s">
        <v>5348</v>
      </c>
      <c r="P16" s="566">
        <v>44118</v>
      </c>
      <c r="Q16" s="370">
        <v>20.692949509999998</v>
      </c>
      <c r="R16" s="848">
        <v>44105</v>
      </c>
      <c r="S16" s="370" t="s">
        <v>83</v>
      </c>
      <c r="T16" s="849">
        <v>350000</v>
      </c>
      <c r="U16" s="849">
        <v>35000</v>
      </c>
      <c r="V16" s="849">
        <f t="shared" si="2"/>
        <v>385000</v>
      </c>
      <c r="W16" s="370" t="s">
        <v>5348</v>
      </c>
      <c r="X16" s="566">
        <v>44154</v>
      </c>
      <c r="Y16" s="370">
        <v>20.293883940000001</v>
      </c>
      <c r="Z16" s="848">
        <v>44166</v>
      </c>
      <c r="AA16" s="370" t="s">
        <v>88</v>
      </c>
      <c r="AB16" s="849">
        <v>318182</v>
      </c>
      <c r="AC16" s="849">
        <v>31818</v>
      </c>
      <c r="AD16" s="849">
        <f t="shared" si="3"/>
        <v>350000</v>
      </c>
      <c r="AE16" s="370" t="s">
        <v>5348</v>
      </c>
      <c r="AF16" s="566">
        <v>44221</v>
      </c>
      <c r="AG16" s="370">
        <v>21.06182463</v>
      </c>
      <c r="AH16" s="848">
        <v>44501</v>
      </c>
      <c r="AI16" s="370" t="s">
        <v>87</v>
      </c>
      <c r="AJ16" s="563">
        <v>350000</v>
      </c>
      <c r="AK16" s="563">
        <v>35000</v>
      </c>
      <c r="AL16" s="563">
        <f t="shared" si="7"/>
        <v>385000</v>
      </c>
      <c r="AM16" s="362" t="s">
        <v>5348</v>
      </c>
      <c r="AN16" s="364">
        <v>44610</v>
      </c>
      <c r="AO16" s="370"/>
      <c r="AP16" s="370"/>
      <c r="AQ16" s="370"/>
      <c r="AR16" s="849"/>
      <c r="AS16" s="849"/>
      <c r="AT16" s="849">
        <f t="shared" si="4"/>
        <v>0</v>
      </c>
      <c r="AU16" s="370"/>
      <c r="AV16" s="370"/>
      <c r="AW16" s="370">
        <v>21.061675210000001</v>
      </c>
      <c r="AX16" s="848">
        <v>44501</v>
      </c>
      <c r="AY16" s="370" t="s">
        <v>144</v>
      </c>
      <c r="AZ16" s="563">
        <v>327273</v>
      </c>
      <c r="BA16" s="563">
        <v>32727</v>
      </c>
      <c r="BB16" s="563">
        <f t="shared" si="10"/>
        <v>360000</v>
      </c>
      <c r="BC16" s="370" t="s">
        <v>5348</v>
      </c>
      <c r="BD16" s="566">
        <v>44610</v>
      </c>
      <c r="BE16" s="370">
        <v>21.207501839999999</v>
      </c>
      <c r="BF16" s="848">
        <v>44197</v>
      </c>
      <c r="BG16" s="370" t="s">
        <v>84</v>
      </c>
      <c r="BH16" s="849">
        <v>318182</v>
      </c>
      <c r="BI16" s="849">
        <v>31818</v>
      </c>
      <c r="BJ16" s="872">
        <f t="shared" si="8"/>
        <v>350000</v>
      </c>
      <c r="BK16" s="370" t="s">
        <v>5348</v>
      </c>
      <c r="BL16" s="566">
        <v>44286</v>
      </c>
      <c r="BM16" s="370">
        <v>20.693080779999999</v>
      </c>
      <c r="BN16" s="848">
        <v>44136</v>
      </c>
      <c r="BO16" s="370" t="s">
        <v>81</v>
      </c>
      <c r="BP16" s="849">
        <v>334848</v>
      </c>
      <c r="BQ16" s="849">
        <v>33484</v>
      </c>
      <c r="BR16" s="849">
        <f t="shared" si="5"/>
        <v>368332</v>
      </c>
      <c r="BS16" s="370" t="s">
        <v>5348</v>
      </c>
      <c r="BT16" s="566">
        <v>44204</v>
      </c>
      <c r="BU16" s="370">
        <v>20.088150590000001</v>
      </c>
      <c r="BV16" s="848">
        <v>44044</v>
      </c>
      <c r="BW16" s="370" t="s">
        <v>78</v>
      </c>
      <c r="BX16" s="849">
        <v>334848</v>
      </c>
      <c r="BY16" s="849">
        <v>33484</v>
      </c>
      <c r="BZ16" s="849">
        <f t="shared" si="6"/>
        <v>368332</v>
      </c>
      <c r="CA16" s="370" t="s">
        <v>5348</v>
      </c>
      <c r="CB16" s="566">
        <v>44118</v>
      </c>
      <c r="CC16" s="370">
        <v>22.244174619999999</v>
      </c>
      <c r="CD16" s="848">
        <v>44593</v>
      </c>
      <c r="CE16" s="370" t="s">
        <v>86</v>
      </c>
      <c r="CF16" s="563">
        <v>318182</v>
      </c>
      <c r="CG16" s="563">
        <v>31818</v>
      </c>
      <c r="CH16" s="563">
        <f t="shared" si="9"/>
        <v>350000</v>
      </c>
      <c r="CI16" s="370" t="s">
        <v>5348</v>
      </c>
      <c r="CJ16" s="364">
        <v>44651</v>
      </c>
      <c r="CK16" s="370"/>
      <c r="CL16" s="370"/>
      <c r="CM16" s="370"/>
      <c r="CN16" s="370"/>
      <c r="CO16" s="370"/>
      <c r="CP16" s="370"/>
      <c r="CQ16" s="370"/>
    </row>
    <row r="17" spans="1:95" x14ac:dyDescent="0.25">
      <c r="A17" s="853">
        <v>20.088152959999999</v>
      </c>
      <c r="B17" s="612">
        <v>44044</v>
      </c>
      <c r="C17" s="370" t="s">
        <v>80</v>
      </c>
      <c r="D17" s="610">
        <v>500000</v>
      </c>
      <c r="E17" s="610">
        <v>49000</v>
      </c>
      <c r="F17" s="610">
        <f t="shared" si="0"/>
        <v>549000</v>
      </c>
      <c r="G17" s="362" t="s">
        <v>5348</v>
      </c>
      <c r="H17" s="364">
        <v>44118</v>
      </c>
      <c r="I17" s="362">
        <v>20.088382419999999</v>
      </c>
      <c r="J17" s="612">
        <v>44075</v>
      </c>
      <c r="K17" s="362" t="s">
        <v>82</v>
      </c>
      <c r="L17" s="610">
        <v>318182</v>
      </c>
      <c r="M17" s="610">
        <v>31818</v>
      </c>
      <c r="N17" s="610">
        <f t="shared" si="1"/>
        <v>350000</v>
      </c>
      <c r="O17" s="370" t="s">
        <v>5348</v>
      </c>
      <c r="P17" s="364">
        <v>44146</v>
      </c>
      <c r="Q17" s="362">
        <v>20.693164809999999</v>
      </c>
      <c r="R17" s="612">
        <v>44136</v>
      </c>
      <c r="S17" s="362" t="s">
        <v>83</v>
      </c>
      <c r="T17" s="610">
        <v>350000</v>
      </c>
      <c r="U17" s="610">
        <v>35000</v>
      </c>
      <c r="V17" s="610">
        <f t="shared" si="2"/>
        <v>385000</v>
      </c>
      <c r="W17" s="362" t="s">
        <v>5348</v>
      </c>
      <c r="X17" s="364">
        <v>44204</v>
      </c>
      <c r="Y17" s="362">
        <v>21.20755093</v>
      </c>
      <c r="Z17" s="612">
        <v>44197</v>
      </c>
      <c r="AA17" s="362" t="s">
        <v>88</v>
      </c>
      <c r="AB17" s="610">
        <v>318182</v>
      </c>
      <c r="AC17" s="610">
        <v>31818</v>
      </c>
      <c r="AD17" s="610">
        <f t="shared" si="3"/>
        <v>350000</v>
      </c>
      <c r="AE17" s="362" t="s">
        <v>5348</v>
      </c>
      <c r="AF17" s="364">
        <v>44453</v>
      </c>
      <c r="AG17" s="362">
        <v>21.518111090000001</v>
      </c>
      <c r="AH17" s="612">
        <v>44531</v>
      </c>
      <c r="AI17" s="362" t="s">
        <v>87</v>
      </c>
      <c r="AJ17" s="560">
        <v>350000</v>
      </c>
      <c r="AK17" s="560">
        <v>35000</v>
      </c>
      <c r="AL17" s="560">
        <f t="shared" si="7"/>
        <v>385000</v>
      </c>
      <c r="AM17" s="362" t="s">
        <v>5348</v>
      </c>
      <c r="AN17" s="364">
        <v>44651</v>
      </c>
      <c r="AO17" s="362"/>
      <c r="AP17" s="362"/>
      <c r="AQ17" s="362"/>
      <c r="AR17" s="610"/>
      <c r="AS17" s="610"/>
      <c r="AT17" s="610">
        <f t="shared" si="4"/>
        <v>0</v>
      </c>
      <c r="AU17" s="362"/>
      <c r="AV17" s="362"/>
      <c r="AW17" s="362">
        <v>21.061901280000001</v>
      </c>
      <c r="AX17" s="612">
        <v>44531</v>
      </c>
      <c r="AY17" s="362" t="s">
        <v>144</v>
      </c>
      <c r="AZ17" s="560">
        <v>327273</v>
      </c>
      <c r="BA17" s="560">
        <v>32727</v>
      </c>
      <c r="BB17" s="560">
        <f t="shared" si="10"/>
        <v>360000</v>
      </c>
      <c r="BC17" s="362" t="s">
        <v>5348</v>
      </c>
      <c r="BD17" s="566">
        <v>44610</v>
      </c>
      <c r="BE17" s="614" t="s">
        <v>6082</v>
      </c>
      <c r="BF17" s="612">
        <v>44228</v>
      </c>
      <c r="BG17" s="362" t="s">
        <v>84</v>
      </c>
      <c r="BH17" s="610">
        <v>318182</v>
      </c>
      <c r="BI17" s="610">
        <v>31818</v>
      </c>
      <c r="BJ17" s="613">
        <f t="shared" si="8"/>
        <v>350000</v>
      </c>
      <c r="BK17" s="362" t="s">
        <v>5348</v>
      </c>
      <c r="BL17" s="364">
        <v>44286</v>
      </c>
      <c r="BM17" s="362">
        <v>20.693286619999999</v>
      </c>
      <c r="BN17" s="612">
        <v>44166</v>
      </c>
      <c r="BO17" s="362" t="s">
        <v>81</v>
      </c>
      <c r="BP17" s="610">
        <v>334848</v>
      </c>
      <c r="BQ17" s="610">
        <v>33484</v>
      </c>
      <c r="BR17" s="610">
        <f t="shared" si="5"/>
        <v>368332</v>
      </c>
      <c r="BS17" s="362" t="s">
        <v>5348</v>
      </c>
      <c r="BT17" s="364">
        <v>44225</v>
      </c>
      <c r="BU17" s="362">
        <v>20.08838064</v>
      </c>
      <c r="BV17" s="612">
        <v>44075</v>
      </c>
      <c r="BW17" s="362" t="s">
        <v>78</v>
      </c>
      <c r="BX17" s="610">
        <v>334848</v>
      </c>
      <c r="BY17" s="610">
        <v>33484</v>
      </c>
      <c r="BZ17" s="610">
        <f t="shared" si="6"/>
        <v>368332</v>
      </c>
      <c r="CA17" s="370" t="s">
        <v>5348</v>
      </c>
      <c r="CB17" s="364">
        <v>44146</v>
      </c>
      <c r="CC17" s="370">
        <v>22.24440826</v>
      </c>
      <c r="CD17" s="848">
        <v>44621</v>
      </c>
      <c r="CE17" s="370" t="s">
        <v>86</v>
      </c>
      <c r="CF17" s="563">
        <v>318182</v>
      </c>
      <c r="CG17" s="563">
        <v>34999</v>
      </c>
      <c r="CH17" s="563">
        <f t="shared" si="9"/>
        <v>353181</v>
      </c>
      <c r="CI17" s="370" t="s">
        <v>5348</v>
      </c>
      <c r="CJ17" s="566">
        <v>44747</v>
      </c>
      <c r="CK17" s="362"/>
      <c r="CL17" s="362"/>
      <c r="CM17" s="362"/>
      <c r="CN17" s="362"/>
      <c r="CO17" s="362"/>
      <c r="CP17" s="362"/>
      <c r="CQ17" s="362"/>
    </row>
    <row r="18" spans="1:95" x14ac:dyDescent="0.25">
      <c r="A18" s="362">
        <v>20.0883824</v>
      </c>
      <c r="B18" s="612">
        <v>44075</v>
      </c>
      <c r="C18" s="362" t="s">
        <v>80</v>
      </c>
      <c r="D18" s="610">
        <v>500000</v>
      </c>
      <c r="E18" s="610">
        <v>49999</v>
      </c>
      <c r="F18" s="610">
        <f t="shared" si="0"/>
        <v>549999</v>
      </c>
      <c r="G18" s="362" t="s">
        <v>5348</v>
      </c>
      <c r="H18" s="364">
        <v>44146</v>
      </c>
      <c r="I18" s="362">
        <v>20.692949519999999</v>
      </c>
      <c r="J18" s="612">
        <v>44105</v>
      </c>
      <c r="K18" s="362" t="s">
        <v>82</v>
      </c>
      <c r="L18" s="610">
        <v>318182</v>
      </c>
      <c r="M18" s="610">
        <v>31818</v>
      </c>
      <c r="N18" s="610">
        <f t="shared" si="1"/>
        <v>350000</v>
      </c>
      <c r="O18" s="362" t="s">
        <v>5348</v>
      </c>
      <c r="P18" s="364">
        <v>44169</v>
      </c>
      <c r="Q18" s="362">
        <v>20.293883959999999</v>
      </c>
      <c r="R18" s="612">
        <v>44166</v>
      </c>
      <c r="S18" s="362" t="s">
        <v>83</v>
      </c>
      <c r="T18" s="610">
        <v>350000</v>
      </c>
      <c r="U18" s="610">
        <v>35000</v>
      </c>
      <c r="V18" s="610">
        <f t="shared" si="2"/>
        <v>385000</v>
      </c>
      <c r="W18" s="362" t="s">
        <v>5348</v>
      </c>
      <c r="X18" s="364">
        <v>44221</v>
      </c>
      <c r="Y18" s="362">
        <v>21.207768789999999</v>
      </c>
      <c r="Z18" s="612">
        <v>44228</v>
      </c>
      <c r="AA18" s="362" t="s">
        <v>88</v>
      </c>
      <c r="AB18" s="610">
        <v>318182</v>
      </c>
      <c r="AC18" s="610">
        <v>31818</v>
      </c>
      <c r="AD18" s="610">
        <f t="shared" si="3"/>
        <v>350000</v>
      </c>
      <c r="AE18" s="362" t="s">
        <v>5348</v>
      </c>
      <c r="AF18" s="364">
        <v>44453</v>
      </c>
      <c r="AG18" s="614" t="s">
        <v>6260</v>
      </c>
      <c r="AH18" s="612">
        <v>44562</v>
      </c>
      <c r="AI18" s="362" t="s">
        <v>87</v>
      </c>
      <c r="AJ18" s="560">
        <v>350000</v>
      </c>
      <c r="AK18" s="560">
        <v>35000</v>
      </c>
      <c r="AL18" s="560">
        <f t="shared" si="7"/>
        <v>385000</v>
      </c>
      <c r="AM18" s="362" t="s">
        <v>5348</v>
      </c>
      <c r="AN18" s="364">
        <v>44651</v>
      </c>
      <c r="AO18" s="362"/>
      <c r="AP18" s="362"/>
      <c r="AQ18" s="362"/>
      <c r="AR18" s="610"/>
      <c r="AS18" s="610"/>
      <c r="AT18" s="610">
        <f t="shared" si="4"/>
        <v>0</v>
      </c>
      <c r="AU18" s="362"/>
      <c r="AV18" s="362"/>
      <c r="AW18" s="362">
        <v>22.243781559999999</v>
      </c>
      <c r="AX18" s="612">
        <v>44562</v>
      </c>
      <c r="AY18" s="362" t="s">
        <v>144</v>
      </c>
      <c r="AZ18" s="560">
        <v>327273</v>
      </c>
      <c r="BA18" s="560">
        <v>32727</v>
      </c>
      <c r="BB18" s="560">
        <f t="shared" si="10"/>
        <v>360000</v>
      </c>
      <c r="BC18" s="362" t="s">
        <v>5348</v>
      </c>
      <c r="BD18" s="364">
        <v>44651</v>
      </c>
      <c r="BE18" s="362">
        <v>21.207941430000002</v>
      </c>
      <c r="BF18" s="612">
        <v>44256</v>
      </c>
      <c r="BG18" s="362" t="s">
        <v>84</v>
      </c>
      <c r="BH18" s="610">
        <v>318182</v>
      </c>
      <c r="BI18" s="610">
        <v>31818</v>
      </c>
      <c r="BJ18" s="613">
        <f t="shared" si="8"/>
        <v>350000</v>
      </c>
      <c r="BK18" s="362" t="s">
        <v>5348</v>
      </c>
      <c r="BL18" s="364">
        <v>44307</v>
      </c>
      <c r="BM18" s="370">
        <v>21.207548460000002</v>
      </c>
      <c r="BN18" s="848">
        <v>44197</v>
      </c>
      <c r="BO18" s="370" t="s">
        <v>81</v>
      </c>
      <c r="BP18" s="849">
        <v>334848</v>
      </c>
      <c r="BQ18" s="849">
        <v>33484</v>
      </c>
      <c r="BR18" s="849">
        <f t="shared" si="5"/>
        <v>368332</v>
      </c>
      <c r="BS18" s="370" t="s">
        <v>5931</v>
      </c>
      <c r="BT18" s="566">
        <v>44453</v>
      </c>
      <c r="BU18" s="362">
        <v>20.692947279999998</v>
      </c>
      <c r="BV18" s="612">
        <v>44105</v>
      </c>
      <c r="BW18" s="362" t="s">
        <v>78</v>
      </c>
      <c r="BX18" s="610">
        <v>334848</v>
      </c>
      <c r="BY18" s="610">
        <v>33484</v>
      </c>
      <c r="BZ18" s="610">
        <f t="shared" si="6"/>
        <v>368332</v>
      </c>
      <c r="CA18" s="362" t="s">
        <v>5348</v>
      </c>
      <c r="CB18" s="364">
        <v>44169</v>
      </c>
      <c r="CC18" s="362">
        <v>22.373176950000001</v>
      </c>
      <c r="CD18" s="612">
        <v>44652</v>
      </c>
      <c r="CE18" s="362" t="s">
        <v>86</v>
      </c>
      <c r="CF18" s="560">
        <v>318182</v>
      </c>
      <c r="CG18" s="560">
        <v>34999</v>
      </c>
      <c r="CH18" s="560">
        <f t="shared" si="9"/>
        <v>353181</v>
      </c>
      <c r="CI18" s="362" t="s">
        <v>5348</v>
      </c>
      <c r="CJ18" s="566">
        <v>44747</v>
      </c>
      <c r="CK18" s="362"/>
      <c r="CL18" s="362"/>
      <c r="CM18" s="362"/>
      <c r="CN18" s="362"/>
      <c r="CO18" s="362"/>
      <c r="CP18" s="362"/>
      <c r="CQ18" s="362"/>
    </row>
    <row r="19" spans="1:95" x14ac:dyDescent="0.25">
      <c r="A19" s="362">
        <v>20.692949500000001</v>
      </c>
      <c r="B19" s="612">
        <v>44105</v>
      </c>
      <c r="C19" s="362" t="s">
        <v>80</v>
      </c>
      <c r="D19" s="610">
        <v>500000</v>
      </c>
      <c r="E19" s="610">
        <v>49999</v>
      </c>
      <c r="F19" s="610">
        <f t="shared" si="0"/>
        <v>549999</v>
      </c>
      <c r="G19" s="362" t="s">
        <v>5931</v>
      </c>
      <c r="H19" s="364">
        <v>44154</v>
      </c>
      <c r="I19" s="362">
        <v>20.69316482</v>
      </c>
      <c r="J19" s="612">
        <v>44136</v>
      </c>
      <c r="K19" s="362" t="s">
        <v>82</v>
      </c>
      <c r="L19" s="610">
        <v>159091</v>
      </c>
      <c r="M19" s="610">
        <v>15909</v>
      </c>
      <c r="N19" s="610">
        <f t="shared" si="1"/>
        <v>175000</v>
      </c>
      <c r="O19" s="362" t="s">
        <v>5348</v>
      </c>
      <c r="P19" s="364">
        <v>44204</v>
      </c>
      <c r="Q19" s="362">
        <v>21.20755097</v>
      </c>
      <c r="R19" s="612">
        <v>44197</v>
      </c>
      <c r="S19" s="362" t="s">
        <v>83</v>
      </c>
      <c r="T19" s="610">
        <v>350000</v>
      </c>
      <c r="U19" s="610">
        <v>35000</v>
      </c>
      <c r="V19" s="610">
        <f t="shared" si="2"/>
        <v>385000</v>
      </c>
      <c r="W19" s="362" t="s">
        <v>5348</v>
      </c>
      <c r="X19" s="364">
        <v>44456</v>
      </c>
      <c r="Y19" s="362">
        <v>21.207980289999998</v>
      </c>
      <c r="Z19" s="612">
        <v>44256</v>
      </c>
      <c r="AA19" s="362" t="s">
        <v>88</v>
      </c>
      <c r="AB19" s="610">
        <v>318182</v>
      </c>
      <c r="AC19" s="610">
        <v>31818</v>
      </c>
      <c r="AD19" s="610">
        <f t="shared" si="3"/>
        <v>350000</v>
      </c>
      <c r="AE19" s="362" t="s">
        <v>5348</v>
      </c>
      <c r="AF19" s="364">
        <v>44453</v>
      </c>
      <c r="AG19" s="362">
        <v>22.244174659999999</v>
      </c>
      <c r="AH19" s="612">
        <v>44593</v>
      </c>
      <c r="AI19" s="362" t="s">
        <v>87</v>
      </c>
      <c r="AJ19" s="560">
        <v>350000</v>
      </c>
      <c r="AK19" s="560">
        <v>35000</v>
      </c>
      <c r="AL19" s="560">
        <f t="shared" si="7"/>
        <v>385000</v>
      </c>
      <c r="AM19" s="362" t="s">
        <v>5348</v>
      </c>
      <c r="AN19" s="364">
        <v>44651</v>
      </c>
      <c r="AO19" s="362"/>
      <c r="AP19" s="362"/>
      <c r="AQ19" s="362"/>
      <c r="AR19" s="610"/>
      <c r="AS19" s="610"/>
      <c r="AT19" s="610">
        <f t="shared" si="4"/>
        <v>0</v>
      </c>
      <c r="AU19" s="362"/>
      <c r="AV19" s="362"/>
      <c r="AW19" s="362">
        <v>22.244014759999999</v>
      </c>
      <c r="AX19" s="612">
        <v>44593</v>
      </c>
      <c r="AY19" s="362" t="s">
        <v>144</v>
      </c>
      <c r="AZ19" s="560">
        <v>337091</v>
      </c>
      <c r="BA19" s="560">
        <v>33709</v>
      </c>
      <c r="BB19" s="560">
        <f t="shared" si="10"/>
        <v>370800</v>
      </c>
      <c r="BC19" s="362" t="s">
        <v>5348</v>
      </c>
      <c r="BD19" s="364">
        <v>44651</v>
      </c>
      <c r="BE19" s="362">
        <v>21.121023390000001</v>
      </c>
      <c r="BF19" s="612">
        <v>44287</v>
      </c>
      <c r="BG19" s="362" t="s">
        <v>84</v>
      </c>
      <c r="BH19" s="610">
        <v>318182</v>
      </c>
      <c r="BI19" s="610">
        <v>31818</v>
      </c>
      <c r="BJ19" s="613">
        <f t="shared" si="8"/>
        <v>350000</v>
      </c>
      <c r="BK19" s="362" t="s">
        <v>5348</v>
      </c>
      <c r="BL19" s="364">
        <v>44351</v>
      </c>
      <c r="BM19" s="370">
        <v>21.207677090000001</v>
      </c>
      <c r="BN19" s="848">
        <v>44228</v>
      </c>
      <c r="BO19" s="370" t="s">
        <v>81</v>
      </c>
      <c r="BP19" s="849">
        <v>334848</v>
      </c>
      <c r="BQ19" s="849">
        <v>33484</v>
      </c>
      <c r="BR19" s="849">
        <f t="shared" si="5"/>
        <v>368332</v>
      </c>
      <c r="BS19" s="370" t="s">
        <v>5931</v>
      </c>
      <c r="BT19" s="566">
        <v>44453</v>
      </c>
      <c r="BU19" s="370">
        <v>20.693162319999999</v>
      </c>
      <c r="BV19" s="848">
        <v>44136</v>
      </c>
      <c r="BW19" s="370" t="s">
        <v>78</v>
      </c>
      <c r="BX19" s="849">
        <v>334848</v>
      </c>
      <c r="BY19" s="849">
        <v>33484</v>
      </c>
      <c r="BZ19" s="849">
        <f t="shared" si="6"/>
        <v>368332</v>
      </c>
      <c r="CA19" s="370" t="s">
        <v>5348</v>
      </c>
      <c r="CB19" s="364">
        <v>44204</v>
      </c>
      <c r="CC19" s="614" t="s">
        <v>6281</v>
      </c>
      <c r="CD19" s="612">
        <v>44682</v>
      </c>
      <c r="CE19" s="362" t="s">
        <v>86</v>
      </c>
      <c r="CF19" s="560">
        <v>334091</v>
      </c>
      <c r="CG19" s="560">
        <v>36749</v>
      </c>
      <c r="CH19" s="560">
        <f t="shared" si="9"/>
        <v>370840</v>
      </c>
      <c r="CI19" s="362" t="s">
        <v>5348</v>
      </c>
      <c r="CJ19" s="566">
        <v>44747</v>
      </c>
      <c r="CK19" s="362"/>
      <c r="CL19" s="362"/>
      <c r="CM19" s="362"/>
      <c r="CN19" s="362"/>
      <c r="CO19" s="362"/>
      <c r="CP19" s="362"/>
      <c r="CQ19" s="362"/>
    </row>
    <row r="20" spans="1:95" x14ac:dyDescent="0.25">
      <c r="A20" s="362">
        <v>20.693164800000002</v>
      </c>
      <c r="B20" s="612">
        <v>44136</v>
      </c>
      <c r="C20" s="362" t="s">
        <v>80</v>
      </c>
      <c r="D20" s="610">
        <v>500000</v>
      </c>
      <c r="E20" s="610">
        <v>49000</v>
      </c>
      <c r="F20" s="610">
        <f t="shared" si="0"/>
        <v>549000</v>
      </c>
      <c r="G20" s="362" t="s">
        <v>5348</v>
      </c>
      <c r="H20" s="364">
        <v>44204</v>
      </c>
      <c r="I20" s="362">
        <v>20.29388397</v>
      </c>
      <c r="J20" s="612">
        <v>44166</v>
      </c>
      <c r="K20" s="362" t="s">
        <v>82</v>
      </c>
      <c r="L20" s="610">
        <v>318182</v>
      </c>
      <c r="M20" s="610">
        <v>31818</v>
      </c>
      <c r="N20" s="610">
        <f t="shared" si="1"/>
        <v>350000</v>
      </c>
      <c r="O20" s="362" t="s">
        <v>5931</v>
      </c>
      <c r="P20" s="364">
        <v>44225</v>
      </c>
      <c r="Q20" s="362">
        <v>21.207768810000001</v>
      </c>
      <c r="R20" s="612">
        <v>44228</v>
      </c>
      <c r="S20" s="362" t="s">
        <v>83</v>
      </c>
      <c r="T20" s="610">
        <v>350000</v>
      </c>
      <c r="U20" s="610">
        <v>35000</v>
      </c>
      <c r="V20" s="610">
        <f t="shared" si="2"/>
        <v>385000</v>
      </c>
      <c r="W20" s="362" t="s">
        <v>5348</v>
      </c>
      <c r="X20" s="364">
        <v>44456</v>
      </c>
      <c r="Y20" s="362">
        <v>21.12105978</v>
      </c>
      <c r="Z20" s="612">
        <v>44287</v>
      </c>
      <c r="AA20" s="362" t="s">
        <v>88</v>
      </c>
      <c r="AB20" s="610">
        <v>318182</v>
      </c>
      <c r="AC20" s="610">
        <v>31818</v>
      </c>
      <c r="AD20" s="610">
        <f t="shared" si="3"/>
        <v>350000</v>
      </c>
      <c r="AE20" s="362" t="s">
        <v>5348</v>
      </c>
      <c r="AF20" s="364">
        <v>44453</v>
      </c>
      <c r="AG20" s="362">
        <v>22.244366039999999</v>
      </c>
      <c r="AH20" s="612">
        <v>44621</v>
      </c>
      <c r="AI20" s="362" t="s">
        <v>87</v>
      </c>
      <c r="AJ20" s="560">
        <v>367500</v>
      </c>
      <c r="AK20" s="560">
        <v>40425</v>
      </c>
      <c r="AL20" s="560">
        <f t="shared" si="7"/>
        <v>407925</v>
      </c>
      <c r="AM20" s="362" t="s">
        <v>5348</v>
      </c>
      <c r="AN20" s="364">
        <v>44747</v>
      </c>
      <c r="AO20" s="362"/>
      <c r="AP20" s="362"/>
      <c r="AQ20" s="362"/>
      <c r="AR20" s="610"/>
      <c r="AS20" s="610"/>
      <c r="AT20" s="610">
        <f t="shared" si="4"/>
        <v>0</v>
      </c>
      <c r="AU20" s="362"/>
      <c r="AV20" s="362"/>
      <c r="AW20" s="362">
        <v>22.373099580000002</v>
      </c>
      <c r="AX20" s="612">
        <v>44621</v>
      </c>
      <c r="AY20" s="362" t="s">
        <v>144</v>
      </c>
      <c r="AZ20" s="560">
        <v>337091</v>
      </c>
      <c r="BA20" s="560">
        <v>33709</v>
      </c>
      <c r="BB20" s="560">
        <f t="shared" si="10"/>
        <v>370800</v>
      </c>
      <c r="BC20" s="362" t="s">
        <v>5348</v>
      </c>
      <c r="BD20" s="364">
        <v>44747</v>
      </c>
      <c r="BE20" s="362">
        <v>21.121228640000002</v>
      </c>
      <c r="BF20" s="612">
        <v>44317</v>
      </c>
      <c r="BG20" s="362" t="s">
        <v>84</v>
      </c>
      <c r="BH20" s="610">
        <v>318182</v>
      </c>
      <c r="BI20" s="610">
        <v>31818</v>
      </c>
      <c r="BJ20" s="613">
        <f t="shared" si="8"/>
        <v>350000</v>
      </c>
      <c r="BK20" s="362" t="s">
        <v>5348</v>
      </c>
      <c r="BL20" s="364">
        <v>44453</v>
      </c>
      <c r="BM20" s="370">
        <v>21.555085680000001</v>
      </c>
      <c r="BN20" s="612">
        <v>44256</v>
      </c>
      <c r="BO20" s="370" t="s">
        <v>81</v>
      </c>
      <c r="BP20" s="849">
        <v>334848</v>
      </c>
      <c r="BQ20" s="849">
        <v>33484</v>
      </c>
      <c r="BR20" s="610">
        <f>BP20+BQ20</f>
        <v>368332</v>
      </c>
      <c r="BS20" s="370" t="s">
        <v>5348</v>
      </c>
      <c r="BT20" s="364" t="s">
        <v>6154</v>
      </c>
      <c r="BU20" s="370">
        <v>20.693286610000001</v>
      </c>
      <c r="BV20" s="848">
        <v>44166</v>
      </c>
      <c r="BW20" s="370" t="s">
        <v>78</v>
      </c>
      <c r="BX20" s="849">
        <v>334848</v>
      </c>
      <c r="BY20" s="849">
        <v>33484</v>
      </c>
      <c r="BZ20" s="849">
        <f t="shared" si="6"/>
        <v>368332</v>
      </c>
      <c r="CA20" s="370" t="s">
        <v>5348</v>
      </c>
      <c r="CB20" s="364">
        <v>44225</v>
      </c>
      <c r="CC20" s="614" t="s">
        <v>6282</v>
      </c>
      <c r="CD20" s="612">
        <v>44713</v>
      </c>
      <c r="CE20" s="362" t="s">
        <v>86</v>
      </c>
      <c r="CF20" s="560">
        <v>334091</v>
      </c>
      <c r="CG20" s="560">
        <v>36749</v>
      </c>
      <c r="CH20" s="560">
        <f t="shared" si="9"/>
        <v>370840</v>
      </c>
      <c r="CI20" s="362" t="s">
        <v>5348</v>
      </c>
      <c r="CJ20" s="364" t="s">
        <v>6154</v>
      </c>
      <c r="CK20" s="362"/>
      <c r="CL20" s="362"/>
      <c r="CM20" s="362"/>
      <c r="CN20" s="362"/>
      <c r="CO20" s="362"/>
      <c r="CP20" s="362"/>
      <c r="CQ20" s="362"/>
    </row>
    <row r="21" spans="1:95" x14ac:dyDescent="0.25">
      <c r="A21" s="362">
        <v>20.293883950000001</v>
      </c>
      <c r="B21" s="612">
        <v>44166</v>
      </c>
      <c r="C21" s="362" t="s">
        <v>80</v>
      </c>
      <c r="D21" s="610">
        <v>500000</v>
      </c>
      <c r="E21" s="610">
        <v>49999</v>
      </c>
      <c r="F21" s="610">
        <f t="shared" si="0"/>
        <v>549999</v>
      </c>
      <c r="G21" s="362" t="s">
        <v>5348</v>
      </c>
      <c r="H21" s="364">
        <v>44221</v>
      </c>
      <c r="I21" s="362">
        <v>21.207550990000001</v>
      </c>
      <c r="J21" s="612">
        <v>44197</v>
      </c>
      <c r="K21" s="362" t="s">
        <v>82</v>
      </c>
      <c r="L21" s="610">
        <v>318182</v>
      </c>
      <c r="M21" s="610">
        <v>31818</v>
      </c>
      <c r="N21" s="610">
        <f t="shared" si="1"/>
        <v>350000</v>
      </c>
      <c r="O21" s="362" t="s">
        <v>5931</v>
      </c>
      <c r="P21" s="364">
        <v>44453</v>
      </c>
      <c r="Q21" s="362">
        <v>21.20798031</v>
      </c>
      <c r="R21" s="612">
        <v>44256</v>
      </c>
      <c r="S21" s="362" t="s">
        <v>83</v>
      </c>
      <c r="T21" s="610">
        <v>350000</v>
      </c>
      <c r="U21" s="610">
        <v>35000</v>
      </c>
      <c r="V21" s="610">
        <f t="shared" si="2"/>
        <v>385000</v>
      </c>
      <c r="W21" s="362" t="s">
        <v>5348</v>
      </c>
      <c r="X21" s="364">
        <v>44456</v>
      </c>
      <c r="Y21" s="967">
        <v>21.121278650000001</v>
      </c>
      <c r="Z21" s="612">
        <v>44317</v>
      </c>
      <c r="AA21" s="362" t="s">
        <v>88</v>
      </c>
      <c r="AB21" s="610">
        <v>318182</v>
      </c>
      <c r="AC21" s="610">
        <v>31818</v>
      </c>
      <c r="AD21" s="610">
        <f t="shared" si="3"/>
        <v>350000</v>
      </c>
      <c r="AE21" s="362" t="s">
        <v>5348</v>
      </c>
      <c r="AF21" s="364">
        <v>44456</v>
      </c>
      <c r="AG21" s="362">
        <v>22.37317694</v>
      </c>
      <c r="AH21" s="612">
        <v>44652</v>
      </c>
      <c r="AI21" s="362" t="s">
        <v>87</v>
      </c>
      <c r="AJ21" s="560">
        <v>385000</v>
      </c>
      <c r="AK21" s="560">
        <v>42350</v>
      </c>
      <c r="AL21" s="560">
        <f t="shared" si="7"/>
        <v>427350</v>
      </c>
      <c r="AM21" s="362" t="s">
        <v>5348</v>
      </c>
      <c r="AN21" s="364">
        <v>44747</v>
      </c>
      <c r="AO21" s="362"/>
      <c r="AP21" s="362"/>
      <c r="AQ21" s="362"/>
      <c r="AR21" s="610"/>
      <c r="AS21" s="610"/>
      <c r="AT21" s="610">
        <f t="shared" si="4"/>
        <v>0</v>
      </c>
      <c r="AU21" s="362"/>
      <c r="AV21" s="362"/>
      <c r="AW21" s="362">
        <v>22.373099580000002</v>
      </c>
      <c r="AX21" s="612">
        <v>44652</v>
      </c>
      <c r="AY21" s="362" t="s">
        <v>144</v>
      </c>
      <c r="AZ21" s="560">
        <v>337091</v>
      </c>
      <c r="BA21" s="560">
        <v>33080</v>
      </c>
      <c r="BB21" s="560">
        <f t="shared" si="10"/>
        <v>370171</v>
      </c>
      <c r="BC21" s="362" t="s">
        <v>5348</v>
      </c>
      <c r="BD21" s="364">
        <v>44747</v>
      </c>
      <c r="BE21" s="614" t="s">
        <v>6152</v>
      </c>
      <c r="BF21" s="612">
        <v>44348</v>
      </c>
      <c r="BG21" s="362" t="s">
        <v>84</v>
      </c>
      <c r="BH21" s="610">
        <v>318182</v>
      </c>
      <c r="BI21" s="610">
        <v>31818</v>
      </c>
      <c r="BJ21" s="613">
        <f t="shared" si="8"/>
        <v>350000</v>
      </c>
      <c r="BK21" s="362" t="s">
        <v>5348</v>
      </c>
      <c r="BL21" s="364">
        <v>44453</v>
      </c>
      <c r="BM21" s="370">
        <v>21.555085689999999</v>
      </c>
      <c r="BN21" s="612">
        <v>44287</v>
      </c>
      <c r="BO21" s="370" t="s">
        <v>81</v>
      </c>
      <c r="BP21" s="849">
        <v>334848</v>
      </c>
      <c r="BQ21" s="849">
        <v>33484</v>
      </c>
      <c r="BR21" s="849">
        <f>BP21+BQ21</f>
        <v>368332</v>
      </c>
      <c r="BS21" s="370" t="s">
        <v>5931</v>
      </c>
      <c r="BT21" s="364" t="s">
        <v>6154</v>
      </c>
      <c r="BU21" s="370">
        <v>21.2074681</v>
      </c>
      <c r="BV21" s="848">
        <v>44197</v>
      </c>
      <c r="BW21" s="370" t="s">
        <v>78</v>
      </c>
      <c r="BX21" s="849">
        <v>334848</v>
      </c>
      <c r="BY21" s="849">
        <v>33484</v>
      </c>
      <c r="BZ21" s="849">
        <f t="shared" si="6"/>
        <v>368332</v>
      </c>
      <c r="CA21" s="370" t="s">
        <v>5348</v>
      </c>
      <c r="CB21" s="364">
        <v>44452</v>
      </c>
      <c r="CC21" s="362"/>
      <c r="CD21" s="362"/>
      <c r="CE21" s="362"/>
      <c r="CF21" s="362"/>
      <c r="CG21" s="362"/>
      <c r="CH21" s="362"/>
      <c r="CI21" s="362"/>
      <c r="CJ21" s="364"/>
      <c r="CK21" s="362"/>
      <c r="CL21" s="362"/>
      <c r="CM21" s="362"/>
      <c r="CN21" s="362"/>
      <c r="CO21" s="362"/>
      <c r="CP21" s="362"/>
      <c r="CQ21" s="362"/>
    </row>
    <row r="22" spans="1:95" x14ac:dyDescent="0.25">
      <c r="A22" s="362">
        <v>21.207550950000002</v>
      </c>
      <c r="B22" s="612">
        <v>44197</v>
      </c>
      <c r="C22" s="362" t="s">
        <v>80</v>
      </c>
      <c r="D22" s="610">
        <v>499999</v>
      </c>
      <c r="E22" s="560">
        <v>49999</v>
      </c>
      <c r="F22" s="560">
        <f t="shared" si="0"/>
        <v>549998</v>
      </c>
      <c r="G22" s="362" t="s">
        <v>5348</v>
      </c>
      <c r="H22" s="364">
        <v>44453</v>
      </c>
      <c r="I22" s="362">
        <v>21.207768829999999</v>
      </c>
      <c r="J22" s="612">
        <v>44228</v>
      </c>
      <c r="K22" s="362" t="s">
        <v>82</v>
      </c>
      <c r="L22" s="610">
        <v>318182</v>
      </c>
      <c r="M22" s="610">
        <v>31818</v>
      </c>
      <c r="N22" s="610">
        <f t="shared" si="1"/>
        <v>350000</v>
      </c>
      <c r="O22" s="622" t="s">
        <v>5931</v>
      </c>
      <c r="P22" s="364">
        <v>44453</v>
      </c>
      <c r="Q22" s="362">
        <v>21.121059800000001</v>
      </c>
      <c r="R22" s="612">
        <v>44287</v>
      </c>
      <c r="S22" s="362" t="s">
        <v>83</v>
      </c>
      <c r="T22" s="610">
        <v>350000</v>
      </c>
      <c r="U22" s="610">
        <v>35000</v>
      </c>
      <c r="V22" s="610">
        <f t="shared" si="2"/>
        <v>385000</v>
      </c>
      <c r="W22" s="362" t="s">
        <v>5348</v>
      </c>
      <c r="X22" s="364">
        <v>44456</v>
      </c>
      <c r="Y22" s="967">
        <v>21.121500619999999</v>
      </c>
      <c r="Z22" s="612">
        <v>44348</v>
      </c>
      <c r="AA22" s="362" t="s">
        <v>88</v>
      </c>
      <c r="AB22" s="610">
        <v>318182</v>
      </c>
      <c r="AC22" s="610">
        <v>31818</v>
      </c>
      <c r="AD22" s="610">
        <f t="shared" si="3"/>
        <v>350000</v>
      </c>
      <c r="AE22" s="362" t="s">
        <v>5348</v>
      </c>
      <c r="AF22" s="364">
        <v>44456</v>
      </c>
      <c r="AG22" s="966">
        <v>22.373395290000001</v>
      </c>
      <c r="AH22" s="612">
        <v>44682</v>
      </c>
      <c r="AI22" s="362" t="s">
        <v>87</v>
      </c>
      <c r="AJ22" s="560">
        <v>385000</v>
      </c>
      <c r="AK22" s="560">
        <v>42350</v>
      </c>
      <c r="AL22" s="560">
        <f t="shared" si="7"/>
        <v>427350</v>
      </c>
      <c r="AM22" s="362" t="s">
        <v>5348</v>
      </c>
      <c r="AN22" s="364" t="s">
        <v>6154</v>
      </c>
      <c r="AO22" s="362"/>
      <c r="AP22" s="362"/>
      <c r="AQ22" s="362"/>
      <c r="AR22" s="610"/>
      <c r="AS22" s="610"/>
      <c r="AT22" s="610"/>
      <c r="AU22" s="362"/>
      <c r="AV22" s="362"/>
      <c r="AW22" s="362">
        <v>22.373393310000001</v>
      </c>
      <c r="AX22" s="612">
        <v>44682</v>
      </c>
      <c r="AY22" s="362" t="s">
        <v>144</v>
      </c>
      <c r="AZ22" s="560">
        <v>337091</v>
      </c>
      <c r="BA22" s="560">
        <v>37080</v>
      </c>
      <c r="BB22" s="560">
        <f t="shared" si="10"/>
        <v>374171</v>
      </c>
      <c r="BC22" s="362" t="s">
        <v>5348</v>
      </c>
      <c r="BD22" s="364">
        <v>44747</v>
      </c>
      <c r="BE22" s="362">
        <v>21.55437414</v>
      </c>
      <c r="BF22" s="612">
        <v>44378</v>
      </c>
      <c r="BG22" s="362" t="s">
        <v>84</v>
      </c>
      <c r="BH22" s="610">
        <v>318182</v>
      </c>
      <c r="BI22" s="610">
        <v>31818</v>
      </c>
      <c r="BJ22" s="613">
        <f t="shared" si="8"/>
        <v>350000</v>
      </c>
      <c r="BK22" s="362" t="s">
        <v>5348</v>
      </c>
      <c r="BL22" s="364">
        <v>44453</v>
      </c>
      <c r="BM22" s="370">
        <v>21.12113678</v>
      </c>
      <c r="BN22" s="848">
        <v>44317</v>
      </c>
      <c r="BO22" s="370" t="s">
        <v>81</v>
      </c>
      <c r="BP22" s="849">
        <v>334848</v>
      </c>
      <c r="BQ22" s="849">
        <v>33484</v>
      </c>
      <c r="BR22" s="849">
        <f t="shared" si="5"/>
        <v>368332</v>
      </c>
      <c r="BS22" s="370" t="s">
        <v>5931</v>
      </c>
      <c r="BT22" s="566">
        <v>44453</v>
      </c>
      <c r="BU22" s="370">
        <v>21.207766679999999</v>
      </c>
      <c r="BV22" s="848">
        <v>44228</v>
      </c>
      <c r="BW22" s="370" t="s">
        <v>78</v>
      </c>
      <c r="BX22" s="849">
        <v>334848</v>
      </c>
      <c r="BY22" s="849">
        <v>33484</v>
      </c>
      <c r="BZ22" s="849">
        <f t="shared" si="6"/>
        <v>368332</v>
      </c>
      <c r="CA22" s="370" t="s">
        <v>5348</v>
      </c>
      <c r="CB22" s="364">
        <v>44452</v>
      </c>
      <c r="CC22" s="362"/>
      <c r="CD22" s="362"/>
      <c r="CE22" s="362"/>
      <c r="CF22" s="362"/>
      <c r="CG22" s="362"/>
      <c r="CH22" s="362"/>
      <c r="CI22" s="362"/>
      <c r="CJ22" s="362"/>
      <c r="CK22" s="362"/>
      <c r="CL22" s="362"/>
      <c r="CM22" s="362"/>
      <c r="CN22" s="362"/>
      <c r="CO22" s="362"/>
      <c r="CP22" s="362"/>
      <c r="CQ22" s="362"/>
    </row>
    <row r="23" spans="1:95" x14ac:dyDescent="0.25">
      <c r="A23" s="614" t="s">
        <v>6150</v>
      </c>
      <c r="B23" s="612">
        <v>44228</v>
      </c>
      <c r="C23" s="362" t="s">
        <v>80</v>
      </c>
      <c r="D23" s="560">
        <v>499999</v>
      </c>
      <c r="E23" s="560">
        <v>49999</v>
      </c>
      <c r="F23" s="560">
        <f t="shared" si="0"/>
        <v>549998</v>
      </c>
      <c r="G23" s="362" t="s">
        <v>5348</v>
      </c>
      <c r="H23" s="364">
        <v>44453</v>
      </c>
      <c r="I23" s="362">
        <v>21.207980330000002</v>
      </c>
      <c r="J23" s="612">
        <v>44256</v>
      </c>
      <c r="K23" s="362" t="s">
        <v>82</v>
      </c>
      <c r="L23" s="610">
        <v>318182</v>
      </c>
      <c r="M23" s="610">
        <v>31818</v>
      </c>
      <c r="N23" s="610">
        <f t="shared" si="1"/>
        <v>350000</v>
      </c>
      <c r="O23" s="622" t="s">
        <v>5931</v>
      </c>
      <c r="P23" s="364">
        <v>44453</v>
      </c>
      <c r="Q23" s="362">
        <v>21.121278669999999</v>
      </c>
      <c r="R23" s="612">
        <v>44317</v>
      </c>
      <c r="S23" s="362" t="s">
        <v>83</v>
      </c>
      <c r="T23" s="610">
        <v>350000</v>
      </c>
      <c r="U23" s="610">
        <v>35000</v>
      </c>
      <c r="V23" s="610">
        <f t="shared" si="2"/>
        <v>385000</v>
      </c>
      <c r="W23" s="362" t="s">
        <v>5348</v>
      </c>
      <c r="X23" s="364">
        <v>44456</v>
      </c>
      <c r="Y23" s="967">
        <v>21.554416660000001</v>
      </c>
      <c r="Z23" s="612">
        <v>44378</v>
      </c>
      <c r="AA23" s="362" t="s">
        <v>88</v>
      </c>
      <c r="AB23" s="610">
        <v>318182</v>
      </c>
      <c r="AC23" s="610">
        <v>31818</v>
      </c>
      <c r="AD23" s="610">
        <f t="shared" si="3"/>
        <v>350000</v>
      </c>
      <c r="AE23" s="362" t="s">
        <v>5348</v>
      </c>
      <c r="AF23" s="364">
        <v>44456</v>
      </c>
      <c r="AG23" s="966">
        <v>22.37359579</v>
      </c>
      <c r="AH23" s="612">
        <v>44713</v>
      </c>
      <c r="AI23" s="362" t="s">
        <v>87</v>
      </c>
      <c r="AJ23" s="560">
        <v>385000</v>
      </c>
      <c r="AK23" s="560">
        <v>42350</v>
      </c>
      <c r="AL23" s="560">
        <f t="shared" si="7"/>
        <v>427350</v>
      </c>
      <c r="AM23" s="362" t="s">
        <v>5348</v>
      </c>
      <c r="AN23" s="364" t="s">
        <v>6154</v>
      </c>
      <c r="AO23" s="362"/>
      <c r="AP23" s="362"/>
      <c r="AQ23" s="362"/>
      <c r="AR23" s="610"/>
      <c r="AS23" s="610"/>
      <c r="AT23" s="610"/>
      <c r="AU23" s="362"/>
      <c r="AV23" s="362"/>
      <c r="AW23" s="362">
        <v>22.37353753</v>
      </c>
      <c r="AX23" s="612">
        <v>44713</v>
      </c>
      <c r="AY23" s="362" t="s">
        <v>144</v>
      </c>
      <c r="AZ23" s="560">
        <v>337091</v>
      </c>
      <c r="BA23" s="560">
        <v>37080</v>
      </c>
      <c r="BB23" s="560">
        <f t="shared" si="10"/>
        <v>374171</v>
      </c>
      <c r="BC23" s="362" t="s">
        <v>5348</v>
      </c>
      <c r="BD23" s="622" t="s">
        <v>6154</v>
      </c>
      <c r="BE23" s="362">
        <v>21.554590600000001</v>
      </c>
      <c r="BF23" s="612">
        <v>44409</v>
      </c>
      <c r="BG23" s="362" t="s">
        <v>84</v>
      </c>
      <c r="BH23" s="610">
        <v>318182</v>
      </c>
      <c r="BI23" s="610">
        <v>31818</v>
      </c>
      <c r="BJ23" s="613">
        <f t="shared" si="8"/>
        <v>350000</v>
      </c>
      <c r="BK23" s="362" t="s">
        <v>5348</v>
      </c>
      <c r="BL23" s="364">
        <v>44565</v>
      </c>
      <c r="BM23" s="362">
        <v>21.12135988</v>
      </c>
      <c r="BN23" s="612">
        <v>44348</v>
      </c>
      <c r="BO23" s="370" t="s">
        <v>81</v>
      </c>
      <c r="BP23" s="610">
        <v>334848</v>
      </c>
      <c r="BQ23" s="610">
        <v>33484</v>
      </c>
      <c r="BR23" s="610">
        <f t="shared" si="5"/>
        <v>368332</v>
      </c>
      <c r="BS23" s="370" t="s">
        <v>5931</v>
      </c>
      <c r="BT23" s="566">
        <v>44453</v>
      </c>
      <c r="BU23" s="370">
        <v>21.55508566</v>
      </c>
      <c r="BV23" s="848">
        <v>44256</v>
      </c>
      <c r="BW23" s="370" t="s">
        <v>78</v>
      </c>
      <c r="BX23" s="563">
        <v>334848</v>
      </c>
      <c r="BY23" s="563">
        <v>33484</v>
      </c>
      <c r="BZ23" s="563">
        <f>BY23+BX23</f>
        <v>368332</v>
      </c>
      <c r="CA23" s="370" t="s">
        <v>5348</v>
      </c>
      <c r="CB23" s="362" t="s">
        <v>6154</v>
      </c>
      <c r="CC23" s="362"/>
      <c r="CD23" s="362"/>
      <c r="CE23" s="362"/>
      <c r="CF23" s="362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</row>
    <row r="24" spans="1:95" x14ac:dyDescent="0.25">
      <c r="A24" s="614" t="s">
        <v>6151</v>
      </c>
      <c r="B24" s="612">
        <v>44256</v>
      </c>
      <c r="C24" s="362" t="s">
        <v>80</v>
      </c>
      <c r="D24" s="560">
        <v>499999</v>
      </c>
      <c r="E24" s="560">
        <v>49999</v>
      </c>
      <c r="F24" s="560">
        <f t="shared" si="0"/>
        <v>549998</v>
      </c>
      <c r="G24" s="362" t="s">
        <v>5348</v>
      </c>
      <c r="H24" s="364">
        <v>44453</v>
      </c>
      <c r="I24" s="362">
        <v>21.121059819999999</v>
      </c>
      <c r="J24" s="612">
        <v>44287</v>
      </c>
      <c r="K24" s="362" t="s">
        <v>82</v>
      </c>
      <c r="L24" s="610">
        <v>318182</v>
      </c>
      <c r="M24" s="610">
        <v>31818</v>
      </c>
      <c r="N24" s="610">
        <f t="shared" si="1"/>
        <v>350000</v>
      </c>
      <c r="O24" s="622" t="s">
        <v>5931</v>
      </c>
      <c r="P24" s="364">
        <v>44453</v>
      </c>
      <c r="Q24" s="362">
        <v>21.121500640000001</v>
      </c>
      <c r="R24" s="612">
        <v>44348</v>
      </c>
      <c r="S24" s="362" t="s">
        <v>83</v>
      </c>
      <c r="T24" s="610">
        <v>350000</v>
      </c>
      <c r="U24" s="610">
        <v>35000</v>
      </c>
      <c r="V24" s="610">
        <f t="shared" si="2"/>
        <v>385000</v>
      </c>
      <c r="W24" s="362" t="s">
        <v>5348</v>
      </c>
      <c r="X24" s="364">
        <v>44456</v>
      </c>
      <c r="Y24" s="967">
        <v>21.554628829999999</v>
      </c>
      <c r="Z24" s="612">
        <v>44409</v>
      </c>
      <c r="AA24" s="362" t="s">
        <v>88</v>
      </c>
      <c r="AB24" s="610">
        <v>318182</v>
      </c>
      <c r="AC24" s="610">
        <v>31818</v>
      </c>
      <c r="AD24" s="610">
        <f t="shared" si="3"/>
        <v>350000</v>
      </c>
      <c r="AE24" s="362" t="s">
        <v>5348</v>
      </c>
      <c r="AF24" s="364">
        <v>44484</v>
      </c>
      <c r="AG24" s="966"/>
      <c r="AH24" s="362"/>
      <c r="AI24" s="362"/>
      <c r="AJ24" s="362"/>
      <c r="AK24" s="362"/>
      <c r="AL24" s="362"/>
      <c r="AM24" s="362"/>
      <c r="AN24" s="364"/>
      <c r="AO24" s="362"/>
      <c r="AP24" s="362"/>
      <c r="AQ24" s="362"/>
      <c r="AR24" s="362"/>
      <c r="AS24" s="362"/>
      <c r="AT24" s="362"/>
      <c r="AU24" s="362"/>
      <c r="AV24" s="362"/>
      <c r="AW24" s="362"/>
      <c r="AX24" s="362"/>
      <c r="AY24" s="362"/>
      <c r="AZ24" s="560"/>
      <c r="BA24" s="560"/>
      <c r="BB24" s="560"/>
      <c r="BC24" s="362"/>
      <c r="BD24" s="622"/>
      <c r="BE24" s="362">
        <v>21.554808470000001</v>
      </c>
      <c r="BF24" s="612">
        <v>44440</v>
      </c>
      <c r="BG24" s="362" t="s">
        <v>84</v>
      </c>
      <c r="BH24" s="610">
        <v>318182</v>
      </c>
      <c r="BI24" s="610">
        <v>31818</v>
      </c>
      <c r="BJ24" s="613">
        <f t="shared" si="8"/>
        <v>350000</v>
      </c>
      <c r="BK24" s="362" t="s">
        <v>5348</v>
      </c>
      <c r="BL24" s="364">
        <v>44565</v>
      </c>
      <c r="BM24" s="362">
        <v>21.121584259999999</v>
      </c>
      <c r="BN24" s="612">
        <v>44378</v>
      </c>
      <c r="BO24" s="370" t="s">
        <v>81</v>
      </c>
      <c r="BP24" s="610">
        <v>334848</v>
      </c>
      <c r="BQ24" s="610">
        <v>33484</v>
      </c>
      <c r="BR24" s="610">
        <f t="shared" si="5"/>
        <v>368332</v>
      </c>
      <c r="BS24" s="370" t="s">
        <v>5931</v>
      </c>
      <c r="BT24" s="566">
        <v>44453</v>
      </c>
      <c r="BU24" s="370">
        <v>21.55508567</v>
      </c>
      <c r="BV24" s="848">
        <v>44287</v>
      </c>
      <c r="BW24" s="370" t="s">
        <v>78</v>
      </c>
      <c r="BX24" s="563">
        <v>334848</v>
      </c>
      <c r="BY24" s="563">
        <v>33484</v>
      </c>
      <c r="BZ24" s="563">
        <f>BY24+BX24</f>
        <v>368332</v>
      </c>
      <c r="CA24" s="370" t="s">
        <v>5348</v>
      </c>
      <c r="CB24" s="362" t="s">
        <v>6154</v>
      </c>
      <c r="CC24" s="966"/>
      <c r="CD24" s="362"/>
      <c r="CE24" s="362"/>
      <c r="CF24" s="362"/>
      <c r="CG24" s="362"/>
      <c r="CH24" s="362"/>
      <c r="CI24" s="362"/>
      <c r="CJ24" s="362"/>
      <c r="CK24" s="362"/>
      <c r="CL24" s="362"/>
      <c r="CM24" s="362"/>
      <c r="CN24" s="362"/>
      <c r="CO24" s="362"/>
      <c r="CP24" s="362"/>
      <c r="CQ24" s="362"/>
    </row>
    <row r="25" spans="1:95" x14ac:dyDescent="0.25">
      <c r="A25" s="362">
        <v>21.12105979</v>
      </c>
      <c r="B25" s="612">
        <v>44287</v>
      </c>
      <c r="C25" s="362" t="s">
        <v>80</v>
      </c>
      <c r="D25" s="560">
        <v>499999</v>
      </c>
      <c r="E25" s="560">
        <v>49999</v>
      </c>
      <c r="F25" s="560">
        <f t="shared" si="0"/>
        <v>549998</v>
      </c>
      <c r="G25" s="362" t="s">
        <v>5348</v>
      </c>
      <c r="H25" s="364">
        <v>44453</v>
      </c>
      <c r="I25" s="362">
        <v>21.12127869</v>
      </c>
      <c r="J25" s="612">
        <v>44317</v>
      </c>
      <c r="K25" s="362" t="s">
        <v>82</v>
      </c>
      <c r="L25" s="610">
        <v>318182</v>
      </c>
      <c r="M25" s="610">
        <v>31818</v>
      </c>
      <c r="N25" s="560">
        <f t="shared" si="1"/>
        <v>350000</v>
      </c>
      <c r="O25" s="622" t="s">
        <v>5931</v>
      </c>
      <c r="P25" s="364">
        <v>44453</v>
      </c>
      <c r="Q25" s="362">
        <v>21.554416679999999</v>
      </c>
      <c r="R25" s="612">
        <v>44378</v>
      </c>
      <c r="S25" s="362" t="s">
        <v>83</v>
      </c>
      <c r="T25" s="610">
        <v>350000</v>
      </c>
      <c r="U25" s="610">
        <v>35000</v>
      </c>
      <c r="V25" s="610">
        <f t="shared" si="2"/>
        <v>385000</v>
      </c>
      <c r="W25" s="362" t="s">
        <v>5348</v>
      </c>
      <c r="X25" s="364">
        <v>44456</v>
      </c>
      <c r="Y25" s="967">
        <v>21.554848549999999</v>
      </c>
      <c r="Z25" s="612">
        <v>44440</v>
      </c>
      <c r="AA25" s="362" t="s">
        <v>88</v>
      </c>
      <c r="AB25" s="560">
        <v>318182</v>
      </c>
      <c r="AC25" s="560">
        <v>31818</v>
      </c>
      <c r="AD25" s="560">
        <f>AB25+AC25</f>
        <v>350000</v>
      </c>
      <c r="AE25" s="362" t="s">
        <v>5348</v>
      </c>
      <c r="AF25" s="364">
        <v>44565</v>
      </c>
      <c r="AG25" s="966"/>
      <c r="AH25" s="362"/>
      <c r="AI25" s="362"/>
      <c r="AJ25" s="362"/>
      <c r="AK25" s="362"/>
      <c r="AL25" s="362"/>
      <c r="AM25" s="362"/>
      <c r="AN25" s="364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560"/>
      <c r="BA25" s="560"/>
      <c r="BB25" s="560"/>
      <c r="BC25" s="362"/>
      <c r="BD25" s="622"/>
      <c r="BE25" s="362">
        <v>21.555021350000001</v>
      </c>
      <c r="BF25" s="612">
        <v>44470</v>
      </c>
      <c r="BG25" s="362" t="s">
        <v>84</v>
      </c>
      <c r="BH25" s="610">
        <v>318182</v>
      </c>
      <c r="BI25" s="610">
        <v>31818</v>
      </c>
      <c r="BJ25" s="613">
        <f t="shared" si="8"/>
        <v>350000</v>
      </c>
      <c r="BK25" s="362" t="s">
        <v>5348</v>
      </c>
      <c r="BL25" s="364">
        <v>44610</v>
      </c>
      <c r="BM25" s="362">
        <v>21.554503189999998</v>
      </c>
      <c r="BN25" s="612">
        <v>44409</v>
      </c>
      <c r="BO25" s="362" t="s">
        <v>81</v>
      </c>
      <c r="BP25" s="610">
        <v>334848</v>
      </c>
      <c r="BQ25" s="610">
        <v>33484</v>
      </c>
      <c r="BR25" s="610">
        <f t="shared" si="5"/>
        <v>368332</v>
      </c>
      <c r="BS25" s="362" t="s">
        <v>5348</v>
      </c>
      <c r="BT25" s="978">
        <v>44484</v>
      </c>
      <c r="BU25" s="370">
        <v>21.121277240000001</v>
      </c>
      <c r="BV25" s="848">
        <v>44317</v>
      </c>
      <c r="BW25" s="370" t="s">
        <v>78</v>
      </c>
      <c r="BX25" s="849">
        <v>334848</v>
      </c>
      <c r="BY25" s="849">
        <v>33484</v>
      </c>
      <c r="BZ25" s="849">
        <f t="shared" si="6"/>
        <v>368332</v>
      </c>
      <c r="CA25" s="370" t="s">
        <v>5348</v>
      </c>
      <c r="CB25" s="364">
        <v>44452</v>
      </c>
      <c r="CC25" s="966"/>
      <c r="CD25" s="362"/>
      <c r="CE25" s="362"/>
      <c r="CF25" s="362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  <c r="CQ25" s="362"/>
    </row>
    <row r="26" spans="1:95" x14ac:dyDescent="0.25">
      <c r="A26" s="362">
        <v>21.121278660000002</v>
      </c>
      <c r="B26" s="612">
        <v>44317</v>
      </c>
      <c r="C26" s="362" t="s">
        <v>80</v>
      </c>
      <c r="D26" s="560">
        <v>499999</v>
      </c>
      <c r="E26" s="560">
        <v>49999</v>
      </c>
      <c r="F26" s="560">
        <f t="shared" si="0"/>
        <v>549998</v>
      </c>
      <c r="G26" s="362" t="s">
        <v>5348</v>
      </c>
      <c r="H26" s="364">
        <v>44453</v>
      </c>
      <c r="I26" s="362">
        <v>21.121500659999999</v>
      </c>
      <c r="J26" s="612">
        <v>44348</v>
      </c>
      <c r="K26" s="362" t="s">
        <v>82</v>
      </c>
      <c r="L26" s="560">
        <v>318182</v>
      </c>
      <c r="M26" s="560">
        <v>31818</v>
      </c>
      <c r="N26" s="560">
        <f t="shared" si="1"/>
        <v>350000</v>
      </c>
      <c r="O26" s="622" t="s">
        <v>5931</v>
      </c>
      <c r="P26" s="364">
        <v>44453</v>
      </c>
      <c r="Q26" s="370">
        <v>21.55462885</v>
      </c>
      <c r="R26" s="612">
        <v>44409</v>
      </c>
      <c r="S26" s="370" t="s">
        <v>83</v>
      </c>
      <c r="T26" s="849">
        <v>350000</v>
      </c>
      <c r="U26" s="849">
        <v>35000</v>
      </c>
      <c r="V26" s="849">
        <f t="shared" si="2"/>
        <v>385000</v>
      </c>
      <c r="W26" s="370" t="s">
        <v>5348</v>
      </c>
      <c r="X26" s="364">
        <v>44565</v>
      </c>
      <c r="Y26" s="362">
        <v>21.55506462</v>
      </c>
      <c r="Z26" s="612">
        <v>44470</v>
      </c>
      <c r="AA26" s="362" t="s">
        <v>88</v>
      </c>
      <c r="AB26" s="610">
        <v>318182</v>
      </c>
      <c r="AC26" s="610">
        <v>31818</v>
      </c>
      <c r="AD26" s="610">
        <f t="shared" si="3"/>
        <v>350000</v>
      </c>
      <c r="AE26" s="362" t="s">
        <v>5348</v>
      </c>
      <c r="AF26" s="364">
        <v>44610</v>
      </c>
      <c r="AZ26" s="463"/>
      <c r="BA26" s="463"/>
      <c r="BB26" s="463"/>
      <c r="BE26" s="370">
        <v>21.061783349999999</v>
      </c>
      <c r="BF26" s="612">
        <v>44501</v>
      </c>
      <c r="BG26" s="370" t="s">
        <v>84</v>
      </c>
      <c r="BH26" s="849">
        <v>318182</v>
      </c>
      <c r="BI26" s="849">
        <v>31818</v>
      </c>
      <c r="BJ26" s="872">
        <f t="shared" si="8"/>
        <v>350000</v>
      </c>
      <c r="BK26" s="370" t="s">
        <v>5348</v>
      </c>
      <c r="BL26" s="364">
        <v>44610</v>
      </c>
      <c r="BM26" s="362">
        <v>21.554723460000002</v>
      </c>
      <c r="BN26" s="612">
        <v>44440</v>
      </c>
      <c r="BO26" s="362" t="s">
        <v>81</v>
      </c>
      <c r="BP26" s="610">
        <v>334848</v>
      </c>
      <c r="BQ26" s="610">
        <v>33484</v>
      </c>
      <c r="BR26" s="610">
        <f t="shared" si="5"/>
        <v>368332</v>
      </c>
      <c r="BS26" s="362" t="s">
        <v>5348</v>
      </c>
      <c r="BT26" s="364" t="s">
        <v>6154</v>
      </c>
      <c r="BU26" s="370">
        <v>21.121499140000001</v>
      </c>
      <c r="BV26" s="848">
        <v>44348</v>
      </c>
      <c r="BW26" s="370" t="s">
        <v>78</v>
      </c>
      <c r="BX26" s="849">
        <v>334848</v>
      </c>
      <c r="BY26" s="849">
        <v>33484</v>
      </c>
      <c r="BZ26" s="849">
        <f t="shared" si="6"/>
        <v>368332</v>
      </c>
      <c r="CA26" s="370" t="s">
        <v>5348</v>
      </c>
      <c r="CB26" s="364">
        <v>44452</v>
      </c>
      <c r="CC26" s="966"/>
      <c r="CD26" s="362"/>
      <c r="CE26" s="362"/>
      <c r="CF26" s="362"/>
      <c r="CG26" s="362"/>
      <c r="CH26" s="362"/>
      <c r="CI26" s="362"/>
      <c r="CJ26" s="362"/>
    </row>
    <row r="27" spans="1:95" x14ac:dyDescent="0.25">
      <c r="A27" s="362">
        <v>21.12150063</v>
      </c>
      <c r="B27" s="612">
        <v>44348</v>
      </c>
      <c r="C27" s="362" t="s">
        <v>80</v>
      </c>
      <c r="D27" s="560">
        <v>500000</v>
      </c>
      <c r="E27" s="560">
        <v>50000</v>
      </c>
      <c r="F27" s="560">
        <f t="shared" si="0"/>
        <v>550000</v>
      </c>
      <c r="G27" s="362" t="s">
        <v>5348</v>
      </c>
      <c r="H27" s="364">
        <v>44453</v>
      </c>
      <c r="I27" s="966">
        <v>21.554416700000001</v>
      </c>
      <c r="J27" s="612">
        <v>44378</v>
      </c>
      <c r="K27" s="362" t="s">
        <v>82</v>
      </c>
      <c r="L27" s="560">
        <v>318182</v>
      </c>
      <c r="M27" s="560">
        <v>31818</v>
      </c>
      <c r="N27" s="560">
        <f t="shared" si="1"/>
        <v>350000</v>
      </c>
      <c r="O27" s="622" t="s">
        <v>5931</v>
      </c>
      <c r="P27" s="364">
        <v>44453</v>
      </c>
      <c r="Q27" s="362">
        <v>21.554848539999998</v>
      </c>
      <c r="R27" s="612">
        <v>44440</v>
      </c>
      <c r="S27" s="362" t="s">
        <v>83</v>
      </c>
      <c r="T27" s="560">
        <v>350000</v>
      </c>
      <c r="U27" s="560">
        <v>35000</v>
      </c>
      <c r="V27" s="560">
        <f t="shared" si="2"/>
        <v>385000</v>
      </c>
      <c r="W27" s="362" t="s">
        <v>5348</v>
      </c>
      <c r="X27" s="364">
        <v>44565</v>
      </c>
      <c r="Y27" s="362">
        <v>21.061824619999999</v>
      </c>
      <c r="Z27" s="612">
        <v>44501</v>
      </c>
      <c r="AA27" s="362" t="s">
        <v>88</v>
      </c>
      <c r="AB27" s="560">
        <v>318182</v>
      </c>
      <c r="AC27" s="560">
        <v>31818</v>
      </c>
      <c r="AD27" s="560">
        <f t="shared" si="3"/>
        <v>350000</v>
      </c>
      <c r="AE27" s="362" t="s">
        <v>5348</v>
      </c>
      <c r="AF27" s="364">
        <v>44610</v>
      </c>
      <c r="AZ27" s="463"/>
      <c r="BA27" s="463"/>
      <c r="BB27" s="463"/>
      <c r="BE27" s="965" t="s">
        <v>6233</v>
      </c>
      <c r="BF27" s="612">
        <v>44531</v>
      </c>
      <c r="BG27" s="370" t="s">
        <v>84</v>
      </c>
      <c r="BH27" s="849">
        <v>318182</v>
      </c>
      <c r="BI27" s="849">
        <v>31818</v>
      </c>
      <c r="BJ27" s="872">
        <f t="shared" si="8"/>
        <v>350000</v>
      </c>
      <c r="BK27" s="370" t="s">
        <v>5348</v>
      </c>
      <c r="BL27" s="364">
        <v>44610</v>
      </c>
      <c r="BM27" s="362">
        <v>21.554984690000001</v>
      </c>
      <c r="BN27" s="612">
        <v>44470</v>
      </c>
      <c r="BO27" s="362" t="s">
        <v>81</v>
      </c>
      <c r="BP27" s="610">
        <v>334848</v>
      </c>
      <c r="BQ27" s="610">
        <v>33484</v>
      </c>
      <c r="BR27" s="610">
        <f t="shared" si="5"/>
        <v>368332</v>
      </c>
      <c r="BS27" s="362" t="s">
        <v>6184</v>
      </c>
      <c r="BT27" s="364">
        <v>44610</v>
      </c>
      <c r="BU27" s="965" t="s">
        <v>6149</v>
      </c>
      <c r="BV27" s="848">
        <v>44378</v>
      </c>
      <c r="BW27" s="370" t="s">
        <v>78</v>
      </c>
      <c r="BX27" s="849">
        <v>334848</v>
      </c>
      <c r="BY27" s="849">
        <v>33484</v>
      </c>
      <c r="BZ27" s="563">
        <f t="shared" si="6"/>
        <v>368332</v>
      </c>
      <c r="CA27" s="370" t="s">
        <v>5348</v>
      </c>
      <c r="CB27" s="364">
        <v>44452</v>
      </c>
    </row>
    <row r="28" spans="1:95" x14ac:dyDescent="0.25">
      <c r="A28" s="362">
        <v>21.554416669999998</v>
      </c>
      <c r="B28" s="612">
        <v>44378</v>
      </c>
      <c r="C28" s="362" t="s">
        <v>80</v>
      </c>
      <c r="D28" s="560">
        <v>500000</v>
      </c>
      <c r="E28" s="560">
        <v>50000</v>
      </c>
      <c r="F28" s="560">
        <f t="shared" si="0"/>
        <v>550000</v>
      </c>
      <c r="G28" s="362" t="s">
        <v>5348</v>
      </c>
      <c r="H28" s="364">
        <v>44453</v>
      </c>
      <c r="I28" s="966">
        <v>21.554628869999998</v>
      </c>
      <c r="J28" s="612">
        <v>44409</v>
      </c>
      <c r="K28" s="362" t="s">
        <v>82</v>
      </c>
      <c r="L28" s="560">
        <v>318182</v>
      </c>
      <c r="M28" s="560">
        <v>31818</v>
      </c>
      <c r="N28" s="560">
        <f t="shared" si="1"/>
        <v>350000</v>
      </c>
      <c r="O28" s="622" t="s">
        <v>5348</v>
      </c>
      <c r="P28" s="364">
        <v>44565</v>
      </c>
      <c r="Q28" s="362">
        <v>21.555064609999999</v>
      </c>
      <c r="R28" s="612">
        <v>44470</v>
      </c>
      <c r="S28" s="362" t="s">
        <v>83</v>
      </c>
      <c r="T28" s="560">
        <v>350000</v>
      </c>
      <c r="U28" s="560">
        <v>35000</v>
      </c>
      <c r="V28" s="560">
        <f t="shared" si="2"/>
        <v>385000</v>
      </c>
      <c r="W28" s="362" t="s">
        <v>5348</v>
      </c>
      <c r="X28" s="364">
        <v>44610</v>
      </c>
      <c r="Y28" s="362">
        <v>21.518111080000001</v>
      </c>
      <c r="Z28" s="612">
        <v>44531</v>
      </c>
      <c r="AA28" s="362" t="s">
        <v>88</v>
      </c>
      <c r="AB28" s="560">
        <v>318182</v>
      </c>
      <c r="AC28" s="560">
        <v>31818</v>
      </c>
      <c r="AD28" s="560">
        <f t="shared" si="3"/>
        <v>350000</v>
      </c>
      <c r="AE28" s="362" t="s">
        <v>5348</v>
      </c>
      <c r="AF28" s="364">
        <v>44656</v>
      </c>
      <c r="AZ28" s="463"/>
      <c r="BA28" s="463"/>
      <c r="BB28" s="463"/>
      <c r="BE28" s="362">
        <v>22.243906679999998</v>
      </c>
      <c r="BF28" s="612">
        <v>44562</v>
      </c>
      <c r="BG28" s="362" t="s">
        <v>84</v>
      </c>
      <c r="BH28" s="560">
        <v>318182</v>
      </c>
      <c r="BI28" s="560">
        <v>31818</v>
      </c>
      <c r="BJ28" s="560">
        <f t="shared" si="8"/>
        <v>350000</v>
      </c>
      <c r="BK28" s="370" t="s">
        <v>5348</v>
      </c>
      <c r="BL28" s="364">
        <v>44656</v>
      </c>
      <c r="BM28" s="966">
        <v>21.061742670000001</v>
      </c>
      <c r="BN28" s="612">
        <v>44501</v>
      </c>
      <c r="BO28" s="362" t="s">
        <v>81</v>
      </c>
      <c r="BP28" s="560">
        <v>334848</v>
      </c>
      <c r="BQ28" s="560">
        <v>33484</v>
      </c>
      <c r="BR28" s="560">
        <f t="shared" si="5"/>
        <v>368332</v>
      </c>
      <c r="BS28" s="362" t="s">
        <v>5348</v>
      </c>
      <c r="BT28" s="364">
        <v>44610</v>
      </c>
      <c r="BU28" s="370">
        <v>21.554503180000001</v>
      </c>
      <c r="BV28" s="848">
        <v>44409</v>
      </c>
      <c r="BW28" s="370" t="s">
        <v>78</v>
      </c>
      <c r="BX28" s="563">
        <v>334848</v>
      </c>
      <c r="BY28" s="563">
        <v>33484</v>
      </c>
      <c r="BZ28" s="563">
        <f t="shared" si="6"/>
        <v>368332</v>
      </c>
      <c r="CA28" s="370" t="s">
        <v>5348</v>
      </c>
      <c r="CB28" s="364">
        <v>44484</v>
      </c>
    </row>
    <row r="29" spans="1:95" x14ac:dyDescent="0.25">
      <c r="A29" s="362">
        <v>21.554628839999999</v>
      </c>
      <c r="B29" s="612">
        <v>44409</v>
      </c>
      <c r="C29" s="362" t="s">
        <v>80</v>
      </c>
      <c r="D29" s="560">
        <v>500000</v>
      </c>
      <c r="E29" s="560">
        <v>50000</v>
      </c>
      <c r="F29" s="560">
        <f t="shared" si="0"/>
        <v>550000</v>
      </c>
      <c r="G29" s="362" t="s">
        <v>5348</v>
      </c>
      <c r="H29" s="978">
        <v>44565</v>
      </c>
      <c r="I29" s="362">
        <v>21.55484856</v>
      </c>
      <c r="J29" s="612">
        <v>44440</v>
      </c>
      <c r="K29" s="362" t="s">
        <v>82</v>
      </c>
      <c r="L29" s="560">
        <v>318182</v>
      </c>
      <c r="M29" s="560">
        <v>31818</v>
      </c>
      <c r="N29" s="560">
        <f t="shared" si="1"/>
        <v>350000</v>
      </c>
      <c r="O29" s="362" t="s">
        <v>5348</v>
      </c>
      <c r="P29" s="364">
        <v>44565</v>
      </c>
      <c r="Q29" s="966">
        <v>21.061824609999999</v>
      </c>
      <c r="R29" s="612">
        <v>44501</v>
      </c>
      <c r="S29" s="362" t="s">
        <v>83</v>
      </c>
      <c r="T29" s="560">
        <v>350000</v>
      </c>
      <c r="U29" s="560">
        <v>35000</v>
      </c>
      <c r="V29" s="560">
        <f t="shared" si="2"/>
        <v>385000</v>
      </c>
      <c r="W29" s="362" t="s">
        <v>5348</v>
      </c>
      <c r="X29" s="364">
        <v>44610</v>
      </c>
      <c r="Y29" s="362">
        <v>22.24395449</v>
      </c>
      <c r="Z29" s="612">
        <v>44562</v>
      </c>
      <c r="AA29" s="362" t="s">
        <v>88</v>
      </c>
      <c r="AB29" s="560">
        <v>318182</v>
      </c>
      <c r="AC29" s="560">
        <v>31818</v>
      </c>
      <c r="AD29" s="560">
        <f t="shared" si="3"/>
        <v>350000</v>
      </c>
      <c r="AE29" s="362" t="s">
        <v>5348</v>
      </c>
      <c r="AF29" s="364">
        <v>44747</v>
      </c>
      <c r="BE29" s="362">
        <v>22.24412572</v>
      </c>
      <c r="BF29" s="612">
        <v>44593</v>
      </c>
      <c r="BG29" s="362" t="s">
        <v>84</v>
      </c>
      <c r="BH29" s="560">
        <v>318182</v>
      </c>
      <c r="BI29" s="560">
        <v>31818</v>
      </c>
      <c r="BJ29" s="560">
        <f t="shared" si="8"/>
        <v>350000</v>
      </c>
      <c r="BK29" s="362" t="s">
        <v>5348</v>
      </c>
      <c r="BL29" s="364">
        <v>44656</v>
      </c>
      <c r="BM29" s="966">
        <v>21.06194812</v>
      </c>
      <c r="BN29" s="612">
        <v>44531</v>
      </c>
      <c r="BO29" s="362" t="s">
        <v>81</v>
      </c>
      <c r="BP29" s="560">
        <v>334848</v>
      </c>
      <c r="BQ29" s="560">
        <v>33484</v>
      </c>
      <c r="BR29" s="560">
        <f t="shared" si="5"/>
        <v>368332</v>
      </c>
      <c r="BS29" s="362" t="s">
        <v>5348</v>
      </c>
      <c r="BT29" s="364">
        <v>44610</v>
      </c>
      <c r="BU29" s="370">
        <v>21.5547738</v>
      </c>
      <c r="BV29" s="848">
        <v>44440</v>
      </c>
      <c r="BW29" s="370" t="s">
        <v>78</v>
      </c>
      <c r="BX29" s="563">
        <v>334848</v>
      </c>
      <c r="BY29" s="563">
        <v>33484</v>
      </c>
      <c r="BZ29" s="563">
        <f t="shared" si="6"/>
        <v>368332</v>
      </c>
      <c r="CA29" s="370" t="s">
        <v>5348</v>
      </c>
      <c r="CB29" s="364" t="s">
        <v>6154</v>
      </c>
    </row>
    <row r="30" spans="1:95" x14ac:dyDescent="0.25">
      <c r="A30" s="362">
        <v>21.554848530000001</v>
      </c>
      <c r="B30" s="612">
        <v>44440</v>
      </c>
      <c r="C30" s="362" t="s">
        <v>80</v>
      </c>
      <c r="D30" s="560">
        <v>500000</v>
      </c>
      <c r="E30" s="560">
        <v>50000</v>
      </c>
      <c r="F30" s="560">
        <f t="shared" si="0"/>
        <v>550000</v>
      </c>
      <c r="G30" s="362" t="s">
        <v>5348</v>
      </c>
      <c r="H30" s="978">
        <v>44565</v>
      </c>
      <c r="I30" s="362">
        <v>21.555064640000001</v>
      </c>
      <c r="J30" s="612">
        <v>44470</v>
      </c>
      <c r="K30" s="362" t="s">
        <v>82</v>
      </c>
      <c r="L30" s="560">
        <v>318182</v>
      </c>
      <c r="M30" s="560">
        <v>31818</v>
      </c>
      <c r="N30" s="560">
        <f t="shared" si="1"/>
        <v>350000</v>
      </c>
      <c r="O30" s="362" t="s">
        <v>5348</v>
      </c>
      <c r="P30" s="364">
        <v>44610</v>
      </c>
      <c r="Q30" s="966">
        <v>21.51811107</v>
      </c>
      <c r="R30" s="612">
        <v>44531</v>
      </c>
      <c r="S30" s="362" t="s">
        <v>83</v>
      </c>
      <c r="T30" s="560">
        <v>350000</v>
      </c>
      <c r="U30" s="560">
        <v>35000</v>
      </c>
      <c r="V30" s="560">
        <f t="shared" si="2"/>
        <v>385000</v>
      </c>
      <c r="W30" s="362" t="s">
        <v>5348</v>
      </c>
      <c r="X30" s="364">
        <v>44656</v>
      </c>
      <c r="Y30" s="362">
        <v>22.244174650000001</v>
      </c>
      <c r="Z30" s="612">
        <v>44593</v>
      </c>
      <c r="AA30" s="362" t="s">
        <v>88</v>
      </c>
      <c r="AB30" s="560">
        <v>318182</v>
      </c>
      <c r="AC30" s="560">
        <v>31818</v>
      </c>
      <c r="AD30" s="560">
        <f t="shared" si="3"/>
        <v>350000</v>
      </c>
      <c r="AE30" s="362" t="s">
        <v>5348</v>
      </c>
      <c r="AF30" s="364">
        <v>44656</v>
      </c>
      <c r="BE30" s="614" t="s">
        <v>6272</v>
      </c>
      <c r="BF30" s="612">
        <v>44621</v>
      </c>
      <c r="BG30" s="362" t="s">
        <v>84</v>
      </c>
      <c r="BH30" s="560">
        <v>318182</v>
      </c>
      <c r="BI30" s="560">
        <v>34999</v>
      </c>
      <c r="BJ30" s="560">
        <f t="shared" si="8"/>
        <v>353181</v>
      </c>
      <c r="BK30" s="362" t="s">
        <v>5348</v>
      </c>
      <c r="BL30" s="609">
        <v>44747</v>
      </c>
      <c r="BM30" s="1406" t="s">
        <v>6255</v>
      </c>
      <c r="BN30" s="612">
        <v>44562</v>
      </c>
      <c r="BO30" s="362" t="s">
        <v>81</v>
      </c>
      <c r="BP30" s="560">
        <v>334848</v>
      </c>
      <c r="BQ30" s="560">
        <v>33484</v>
      </c>
      <c r="BR30" s="560">
        <f t="shared" si="5"/>
        <v>368332</v>
      </c>
      <c r="BS30" s="362" t="s">
        <v>5931</v>
      </c>
      <c r="BT30" s="364">
        <v>44651</v>
      </c>
      <c r="BU30" s="370">
        <v>21.55498468</v>
      </c>
      <c r="BV30" s="848">
        <v>44470</v>
      </c>
      <c r="BW30" s="370" t="s">
        <v>78</v>
      </c>
      <c r="BX30" s="563">
        <v>334848</v>
      </c>
      <c r="BY30" s="563">
        <v>33484</v>
      </c>
      <c r="BZ30" s="563">
        <f t="shared" si="6"/>
        <v>368332</v>
      </c>
      <c r="CA30" s="370" t="s">
        <v>5348</v>
      </c>
      <c r="CB30" s="364">
        <v>44610</v>
      </c>
    </row>
    <row r="31" spans="1:95" x14ac:dyDescent="0.25">
      <c r="A31" s="614" t="s">
        <v>6213</v>
      </c>
      <c r="B31" s="612">
        <v>44470</v>
      </c>
      <c r="C31" s="362" t="s">
        <v>80</v>
      </c>
      <c r="D31" s="560">
        <v>500000</v>
      </c>
      <c r="E31" s="560">
        <v>50000</v>
      </c>
      <c r="F31" s="560">
        <f t="shared" si="0"/>
        <v>550000</v>
      </c>
      <c r="G31" s="362" t="s">
        <v>5348</v>
      </c>
      <c r="H31" s="978">
        <v>44610</v>
      </c>
      <c r="I31" s="370">
        <v>21.05182464</v>
      </c>
      <c r="J31" s="612">
        <v>44501</v>
      </c>
      <c r="K31" s="370" t="s">
        <v>82</v>
      </c>
      <c r="L31" s="560">
        <v>334091</v>
      </c>
      <c r="M31" s="560">
        <v>33409</v>
      </c>
      <c r="N31" s="560">
        <f t="shared" si="1"/>
        <v>367500</v>
      </c>
      <c r="O31" s="370" t="s">
        <v>5348</v>
      </c>
      <c r="P31" s="364">
        <v>44610</v>
      </c>
      <c r="Q31" s="966">
        <v>22.243954479999999</v>
      </c>
      <c r="R31" s="612">
        <v>44562</v>
      </c>
      <c r="S31" s="362" t="s">
        <v>83</v>
      </c>
      <c r="T31" s="560">
        <v>350000</v>
      </c>
      <c r="U31" s="560">
        <v>35000</v>
      </c>
      <c r="V31" s="560">
        <f t="shared" si="2"/>
        <v>385000</v>
      </c>
      <c r="W31" s="362" t="s">
        <v>5348</v>
      </c>
      <c r="X31" s="364">
        <v>44656</v>
      </c>
      <c r="Y31" s="362">
        <v>22.244408289999999</v>
      </c>
      <c r="Z31" s="612">
        <v>44621</v>
      </c>
      <c r="AA31" s="362" t="s">
        <v>88</v>
      </c>
      <c r="AB31" s="560">
        <v>334091</v>
      </c>
      <c r="AC31" s="560">
        <v>36749</v>
      </c>
      <c r="AD31" s="560">
        <f t="shared" si="3"/>
        <v>370840</v>
      </c>
      <c r="AE31" s="362" t="s">
        <v>5348</v>
      </c>
      <c r="AF31" s="364">
        <v>44747</v>
      </c>
      <c r="BE31" s="965" t="s">
        <v>6283</v>
      </c>
      <c r="BF31" s="612">
        <v>44652</v>
      </c>
      <c r="BG31" s="370" t="s">
        <v>84</v>
      </c>
      <c r="BH31" s="560">
        <v>318182</v>
      </c>
      <c r="BI31" s="560">
        <v>34999</v>
      </c>
      <c r="BJ31" s="560">
        <f t="shared" si="8"/>
        <v>353181</v>
      </c>
      <c r="BK31" s="370" t="s">
        <v>5348</v>
      </c>
      <c r="BL31" s="609">
        <v>44747</v>
      </c>
      <c r="BM31" s="966">
        <v>22.244026430000002</v>
      </c>
      <c r="BN31" s="612">
        <v>44593</v>
      </c>
      <c r="BO31" s="362" t="s">
        <v>81</v>
      </c>
      <c r="BP31" s="560">
        <v>334848</v>
      </c>
      <c r="BQ31" s="560">
        <v>33484</v>
      </c>
      <c r="BR31" s="560">
        <f t="shared" si="5"/>
        <v>368332</v>
      </c>
      <c r="BS31" s="362" t="s">
        <v>5348</v>
      </c>
      <c r="BT31" s="364">
        <v>44651</v>
      </c>
      <c r="BU31" s="362">
        <v>21.06174266</v>
      </c>
      <c r="BV31" s="612">
        <v>44501</v>
      </c>
      <c r="BW31" s="362" t="s">
        <v>78</v>
      </c>
      <c r="BX31" s="560">
        <v>334848</v>
      </c>
      <c r="BY31" s="560">
        <v>33484</v>
      </c>
      <c r="BZ31" s="560">
        <f t="shared" si="6"/>
        <v>368332</v>
      </c>
      <c r="CA31" s="362" t="s">
        <v>5348</v>
      </c>
      <c r="CB31" s="364">
        <v>44610</v>
      </c>
    </row>
    <row r="32" spans="1:95" x14ac:dyDescent="0.25">
      <c r="A32" s="614" t="s">
        <v>6214</v>
      </c>
      <c r="B32" s="612">
        <v>44501</v>
      </c>
      <c r="C32" s="362" t="s">
        <v>80</v>
      </c>
      <c r="D32" s="560">
        <v>500000</v>
      </c>
      <c r="E32" s="560">
        <v>50000</v>
      </c>
      <c r="F32" s="560">
        <f t="shared" si="0"/>
        <v>550000</v>
      </c>
      <c r="G32" s="362" t="s">
        <v>5348</v>
      </c>
      <c r="H32" s="978">
        <v>44610</v>
      </c>
      <c r="I32" s="965" t="s">
        <v>6251</v>
      </c>
      <c r="J32" s="612">
        <v>44531</v>
      </c>
      <c r="K32" s="370" t="s">
        <v>82</v>
      </c>
      <c r="L32" s="560">
        <v>350000</v>
      </c>
      <c r="M32" s="560">
        <v>34999</v>
      </c>
      <c r="N32" s="560">
        <f t="shared" si="1"/>
        <v>384999</v>
      </c>
      <c r="O32" s="370" t="s">
        <v>5348</v>
      </c>
      <c r="P32" s="364">
        <v>44656</v>
      </c>
      <c r="Q32" s="966">
        <v>22.244174640000001</v>
      </c>
      <c r="R32" s="612">
        <v>44593</v>
      </c>
      <c r="S32" s="362" t="s">
        <v>83</v>
      </c>
      <c r="T32" s="560">
        <v>350000</v>
      </c>
      <c r="U32" s="560">
        <v>35000</v>
      </c>
      <c r="V32" s="560">
        <f t="shared" si="2"/>
        <v>385000</v>
      </c>
      <c r="W32" s="362" t="s">
        <v>5348</v>
      </c>
      <c r="X32" s="364">
        <v>44656</v>
      </c>
      <c r="Y32" s="362">
        <v>22.37321184</v>
      </c>
      <c r="Z32" s="612">
        <v>44652</v>
      </c>
      <c r="AA32" s="362" t="s">
        <v>88</v>
      </c>
      <c r="AB32" s="560">
        <v>350000</v>
      </c>
      <c r="AC32" s="560">
        <v>38500</v>
      </c>
      <c r="AD32" s="560">
        <f t="shared" si="3"/>
        <v>388500</v>
      </c>
      <c r="AE32" s="362" t="s">
        <v>5348</v>
      </c>
      <c r="AF32" s="364">
        <v>44747</v>
      </c>
      <c r="BE32" s="362">
        <v>22.373398349999999</v>
      </c>
      <c r="BF32" s="612">
        <v>44682</v>
      </c>
      <c r="BG32" s="362" t="s">
        <v>84</v>
      </c>
      <c r="BH32" s="362">
        <v>318182</v>
      </c>
      <c r="BI32" s="362">
        <v>34999</v>
      </c>
      <c r="BJ32" s="560">
        <f t="shared" si="8"/>
        <v>353181</v>
      </c>
      <c r="BK32" s="362" t="s">
        <v>5348</v>
      </c>
      <c r="BL32" s="362" t="s">
        <v>6154</v>
      </c>
      <c r="BM32" s="966">
        <v>22.24425162</v>
      </c>
      <c r="BN32" s="612">
        <v>44621</v>
      </c>
      <c r="BO32" s="362" t="s">
        <v>81</v>
      </c>
      <c r="BP32" s="560">
        <v>334848</v>
      </c>
      <c r="BQ32" s="560">
        <v>33484</v>
      </c>
      <c r="BR32" s="560">
        <f t="shared" si="5"/>
        <v>368332</v>
      </c>
      <c r="BS32" s="362" t="s">
        <v>5931</v>
      </c>
      <c r="BT32" s="364">
        <v>44747</v>
      </c>
      <c r="BU32" s="362">
        <v>21.061948109999999</v>
      </c>
      <c r="BV32" s="612">
        <v>44531</v>
      </c>
      <c r="BW32" s="362" t="s">
        <v>78</v>
      </c>
      <c r="BX32" s="560">
        <v>334848</v>
      </c>
      <c r="BY32" s="560">
        <v>33484</v>
      </c>
      <c r="BZ32" s="560">
        <f t="shared" si="6"/>
        <v>368332</v>
      </c>
      <c r="CA32" s="362" t="s">
        <v>5348</v>
      </c>
      <c r="CB32" s="364">
        <v>44610</v>
      </c>
    </row>
    <row r="33" spans="1:80" x14ac:dyDescent="0.25">
      <c r="A33" s="362">
        <v>21.518111059999999</v>
      </c>
      <c r="B33" s="612">
        <v>44531</v>
      </c>
      <c r="C33" s="362" t="s">
        <v>80</v>
      </c>
      <c r="D33" s="560">
        <v>500000</v>
      </c>
      <c r="E33" s="560">
        <v>50000</v>
      </c>
      <c r="F33" s="560">
        <f t="shared" si="0"/>
        <v>550000</v>
      </c>
      <c r="G33" s="362" t="s">
        <v>5348</v>
      </c>
      <c r="H33" s="622" t="s">
        <v>6154</v>
      </c>
      <c r="I33" s="362">
        <v>22.243954509999998</v>
      </c>
      <c r="J33" s="612">
        <v>44562</v>
      </c>
      <c r="K33" s="362" t="s">
        <v>82</v>
      </c>
      <c r="L33" s="560">
        <v>350000</v>
      </c>
      <c r="M33" s="560">
        <v>34999</v>
      </c>
      <c r="N33" s="560">
        <f t="shared" si="1"/>
        <v>384999</v>
      </c>
      <c r="O33" s="362" t="s">
        <v>5348</v>
      </c>
      <c r="P33" s="364">
        <v>44656</v>
      </c>
      <c r="Q33" s="966">
        <v>22.244408279999998</v>
      </c>
      <c r="R33" s="612">
        <v>44621</v>
      </c>
      <c r="S33" s="362" t="s">
        <v>83</v>
      </c>
      <c r="T33" s="560">
        <v>350000</v>
      </c>
      <c r="U33" s="560">
        <v>38500</v>
      </c>
      <c r="V33" s="560">
        <f t="shared" si="2"/>
        <v>388500</v>
      </c>
      <c r="W33" s="362" t="s">
        <v>5348</v>
      </c>
      <c r="X33" s="609">
        <v>44747</v>
      </c>
      <c r="Y33" s="362">
        <v>22.37344414</v>
      </c>
      <c r="Z33" s="612">
        <v>44682</v>
      </c>
      <c r="AA33" s="362" t="s">
        <v>88</v>
      </c>
      <c r="AB33" s="362">
        <v>350000</v>
      </c>
      <c r="AC33" s="362">
        <v>38500</v>
      </c>
      <c r="AD33" s="560">
        <f t="shared" si="3"/>
        <v>388500</v>
      </c>
      <c r="AE33" s="362" t="s">
        <v>5348</v>
      </c>
      <c r="AF33" s="364" t="s">
        <v>6154</v>
      </c>
      <c r="BE33" s="362">
        <v>22.37359992</v>
      </c>
      <c r="BF33" s="612">
        <v>44713</v>
      </c>
      <c r="BG33" s="362" t="s">
        <v>84</v>
      </c>
      <c r="BH33" s="362">
        <v>318182</v>
      </c>
      <c r="BI33" s="362">
        <v>34999</v>
      </c>
      <c r="BJ33" s="560">
        <f t="shared" si="8"/>
        <v>353181</v>
      </c>
      <c r="BK33" s="362" t="s">
        <v>5348</v>
      </c>
      <c r="BL33" s="362" t="s">
        <v>6154</v>
      </c>
      <c r="BM33" s="966">
        <v>22.244491830000001</v>
      </c>
      <c r="BN33" s="612">
        <v>44652</v>
      </c>
      <c r="BO33" s="362" t="s">
        <v>81</v>
      </c>
      <c r="BP33" s="560">
        <v>334848</v>
      </c>
      <c r="BQ33" s="560">
        <v>36833</v>
      </c>
      <c r="BR33" s="560">
        <f t="shared" si="5"/>
        <v>371681</v>
      </c>
      <c r="BS33" s="362" t="s">
        <v>5931</v>
      </c>
      <c r="BT33" s="364">
        <v>44747</v>
      </c>
      <c r="BU33" s="362">
        <v>22.24380919</v>
      </c>
      <c r="BV33" s="612">
        <v>44562</v>
      </c>
      <c r="BW33" s="362" t="s">
        <v>78</v>
      </c>
      <c r="BX33" s="560">
        <v>334848</v>
      </c>
      <c r="BY33" s="560">
        <v>33484</v>
      </c>
      <c r="BZ33" s="560">
        <f t="shared" si="6"/>
        <v>368332</v>
      </c>
      <c r="CA33" s="362" t="s">
        <v>5348</v>
      </c>
      <c r="CB33" s="364">
        <v>44651</v>
      </c>
    </row>
    <row r="34" spans="1:80" x14ac:dyDescent="0.25">
      <c r="A34" s="362">
        <v>22.243954469999998</v>
      </c>
      <c r="B34" s="612">
        <v>44562</v>
      </c>
      <c r="C34" s="362" t="s">
        <v>80</v>
      </c>
      <c r="D34" s="560">
        <v>500000</v>
      </c>
      <c r="E34" s="560">
        <v>50000</v>
      </c>
      <c r="F34" s="560">
        <f t="shared" si="0"/>
        <v>550000</v>
      </c>
      <c r="G34" s="362" t="s">
        <v>5931</v>
      </c>
      <c r="H34" s="1407">
        <v>44747</v>
      </c>
      <c r="I34" s="362">
        <v>22.24417467</v>
      </c>
      <c r="J34" s="612">
        <v>44593</v>
      </c>
      <c r="K34" s="362" t="s">
        <v>82</v>
      </c>
      <c r="L34" s="560">
        <v>350000</v>
      </c>
      <c r="M34" s="560">
        <v>34999</v>
      </c>
      <c r="N34" s="560">
        <f t="shared" si="1"/>
        <v>384999</v>
      </c>
      <c r="O34" s="362" t="s">
        <v>5348</v>
      </c>
      <c r="P34" s="978">
        <v>44656</v>
      </c>
      <c r="Q34" s="362">
        <v>22.373211829999999</v>
      </c>
      <c r="R34" s="612">
        <v>44652</v>
      </c>
      <c r="S34" s="362" t="s">
        <v>83</v>
      </c>
      <c r="T34" s="560">
        <v>350000</v>
      </c>
      <c r="U34" s="560">
        <v>38500</v>
      </c>
      <c r="V34" s="560">
        <f t="shared" si="2"/>
        <v>388500</v>
      </c>
      <c r="W34" s="362" t="s">
        <v>5348</v>
      </c>
      <c r="X34" s="609">
        <v>44747</v>
      </c>
      <c r="Y34" s="614" t="s">
        <v>6284</v>
      </c>
      <c r="Z34" s="612">
        <v>44713</v>
      </c>
      <c r="AA34" s="370" t="s">
        <v>88</v>
      </c>
      <c r="AB34" s="563">
        <v>350000</v>
      </c>
      <c r="AC34" s="563">
        <v>38500</v>
      </c>
      <c r="AD34" s="563">
        <f t="shared" si="3"/>
        <v>388500</v>
      </c>
      <c r="AE34" s="370" t="s">
        <v>5348</v>
      </c>
      <c r="AF34" s="364" t="s">
        <v>6154</v>
      </c>
      <c r="BE34" s="362"/>
      <c r="BF34" s="362"/>
      <c r="BG34" s="362"/>
      <c r="BH34" s="362"/>
      <c r="BI34" s="362"/>
      <c r="BJ34" s="560"/>
      <c r="BK34" s="362"/>
      <c r="BL34" s="362"/>
      <c r="BM34" s="966">
        <v>22.373349149999999</v>
      </c>
      <c r="BN34" s="612">
        <v>44682</v>
      </c>
      <c r="BO34" s="362" t="s">
        <v>81</v>
      </c>
      <c r="BP34" s="560">
        <v>334848</v>
      </c>
      <c r="BQ34" s="560">
        <v>36833</v>
      </c>
      <c r="BR34" s="560">
        <f t="shared" si="5"/>
        <v>371681</v>
      </c>
      <c r="BS34" s="362" t="s">
        <v>5931</v>
      </c>
      <c r="BT34" s="364">
        <v>44747</v>
      </c>
      <c r="BU34" s="362">
        <v>22.244026420000001</v>
      </c>
      <c r="BV34" s="612">
        <v>44593</v>
      </c>
      <c r="BW34" s="362" t="s">
        <v>78</v>
      </c>
      <c r="BX34" s="560">
        <v>334848</v>
      </c>
      <c r="BY34" s="560">
        <v>33484</v>
      </c>
      <c r="BZ34" s="560">
        <f t="shared" si="6"/>
        <v>368332</v>
      </c>
      <c r="CA34" s="362" t="s">
        <v>5348</v>
      </c>
      <c r="CB34" s="364">
        <v>44651</v>
      </c>
    </row>
    <row r="35" spans="1:80" x14ac:dyDescent="0.25">
      <c r="A35" s="362">
        <v>22.24417463</v>
      </c>
      <c r="B35" s="612">
        <v>44593</v>
      </c>
      <c r="C35" s="362" t="s">
        <v>80</v>
      </c>
      <c r="D35" s="560">
        <v>500000</v>
      </c>
      <c r="E35" s="560">
        <v>50000</v>
      </c>
      <c r="F35" s="560">
        <f t="shared" si="0"/>
        <v>550000</v>
      </c>
      <c r="G35" s="362" t="s">
        <v>5348</v>
      </c>
      <c r="H35" s="1407">
        <v>44747</v>
      </c>
      <c r="I35" s="362">
        <v>22.2444083</v>
      </c>
      <c r="J35" s="612">
        <v>44621</v>
      </c>
      <c r="K35" s="362" t="s">
        <v>82</v>
      </c>
      <c r="L35" s="560">
        <v>350000</v>
      </c>
      <c r="M35" s="560">
        <v>38499</v>
      </c>
      <c r="N35" s="560">
        <f t="shared" si="1"/>
        <v>388499</v>
      </c>
      <c r="O35" s="362" t="s">
        <v>5348</v>
      </c>
      <c r="P35" s="1407">
        <v>44747</v>
      </c>
      <c r="Q35" s="362">
        <v>22.373444129999999</v>
      </c>
      <c r="R35" s="612">
        <v>44682</v>
      </c>
      <c r="S35" s="362" t="s">
        <v>83</v>
      </c>
      <c r="T35" s="560">
        <v>350000</v>
      </c>
      <c r="U35" s="560">
        <v>38500</v>
      </c>
      <c r="V35" s="560">
        <f t="shared" si="2"/>
        <v>388500</v>
      </c>
      <c r="W35" s="362" t="s">
        <v>5348</v>
      </c>
      <c r="X35" s="362" t="s">
        <v>6154</v>
      </c>
      <c r="Y35" s="362"/>
      <c r="Z35" s="362"/>
      <c r="AA35" s="362"/>
      <c r="AB35" s="362"/>
      <c r="AC35" s="362"/>
      <c r="AD35" s="362"/>
      <c r="AE35" s="362"/>
      <c r="AF35" s="364"/>
      <c r="BE35" s="362"/>
      <c r="BF35" s="362"/>
      <c r="BG35" s="362"/>
      <c r="BH35" s="362"/>
      <c r="BI35" s="362"/>
      <c r="BJ35" s="560"/>
      <c r="BK35" s="362"/>
      <c r="BL35" s="362"/>
      <c r="BM35" s="966">
        <v>22.373563959999998</v>
      </c>
      <c r="BN35" s="612">
        <v>44713</v>
      </c>
      <c r="BO35" s="362" t="s">
        <v>81</v>
      </c>
      <c r="BP35" s="362">
        <v>334848</v>
      </c>
      <c r="BQ35" s="362">
        <v>36833</v>
      </c>
      <c r="BR35" s="362">
        <f t="shared" si="5"/>
        <v>371681</v>
      </c>
      <c r="BS35" s="362" t="s">
        <v>5348</v>
      </c>
      <c r="BT35" s="978" t="s">
        <v>6154</v>
      </c>
      <c r="BU35" s="362">
        <v>22.244326220000001</v>
      </c>
      <c r="BV35" s="612">
        <v>44621</v>
      </c>
      <c r="BW35" s="362" t="s">
        <v>78</v>
      </c>
      <c r="BX35" s="560">
        <v>334848</v>
      </c>
      <c r="BY35" s="560">
        <v>33484</v>
      </c>
      <c r="BZ35" s="560">
        <f t="shared" si="6"/>
        <v>368332</v>
      </c>
      <c r="CA35" s="362" t="s">
        <v>5348</v>
      </c>
      <c r="CB35" s="364">
        <v>44749</v>
      </c>
    </row>
    <row r="36" spans="1:80" x14ac:dyDescent="0.25">
      <c r="A36" s="362">
        <v>22.244408270000001</v>
      </c>
      <c r="B36" s="612">
        <v>44621</v>
      </c>
      <c r="C36" s="362" t="s">
        <v>80</v>
      </c>
      <c r="D36" s="560">
        <v>500000</v>
      </c>
      <c r="E36" s="560">
        <v>50000</v>
      </c>
      <c r="F36" s="560">
        <f t="shared" si="0"/>
        <v>550000</v>
      </c>
      <c r="G36" s="362" t="s">
        <v>5931</v>
      </c>
      <c r="H36" s="609">
        <v>44747</v>
      </c>
      <c r="I36" s="966">
        <v>22.373211850000001</v>
      </c>
      <c r="J36" s="612">
        <v>44652</v>
      </c>
      <c r="K36" s="362" t="s">
        <v>82</v>
      </c>
      <c r="L36" s="560">
        <v>350000</v>
      </c>
      <c r="M36" s="560">
        <v>38499</v>
      </c>
      <c r="N36" s="560">
        <f t="shared" si="1"/>
        <v>388499</v>
      </c>
      <c r="O36" s="362" t="s">
        <v>5348</v>
      </c>
      <c r="P36" s="1407">
        <v>44747</v>
      </c>
      <c r="Q36" s="370">
        <v>22.373679790000001</v>
      </c>
      <c r="R36" s="612">
        <v>44713</v>
      </c>
      <c r="S36" s="370" t="s">
        <v>83</v>
      </c>
      <c r="T36" s="560">
        <v>350000</v>
      </c>
      <c r="U36" s="560">
        <v>38500</v>
      </c>
      <c r="V36" s="560">
        <f t="shared" si="2"/>
        <v>388500</v>
      </c>
      <c r="W36" s="370" t="s">
        <v>5348</v>
      </c>
      <c r="X36" s="370" t="s">
        <v>6154</v>
      </c>
      <c r="Y36" s="362"/>
      <c r="Z36" s="362"/>
      <c r="AA36" s="362"/>
      <c r="AB36" s="362"/>
      <c r="AC36" s="362"/>
      <c r="AD36" s="362"/>
      <c r="AE36" s="362"/>
      <c r="AF36" s="362"/>
      <c r="BE36" s="362"/>
      <c r="BF36" s="362"/>
      <c r="BG36" s="362"/>
      <c r="BH36" s="362"/>
      <c r="BI36" s="362"/>
      <c r="BJ36" s="560"/>
      <c r="BK36" s="362"/>
      <c r="BL36" s="362"/>
      <c r="BM36" s="966"/>
      <c r="BN36" s="362"/>
      <c r="BO36" s="362"/>
      <c r="BP36" s="362"/>
      <c r="BQ36" s="362"/>
      <c r="BR36" s="362"/>
      <c r="BS36" s="362"/>
      <c r="BT36" s="978"/>
      <c r="BU36" s="362">
        <v>22.24449182</v>
      </c>
      <c r="BV36" s="612">
        <v>44652</v>
      </c>
      <c r="BW36" s="362" t="s">
        <v>78</v>
      </c>
      <c r="BX36" s="560">
        <v>334848</v>
      </c>
      <c r="BY36" s="560">
        <v>36833</v>
      </c>
      <c r="BZ36" s="560">
        <f t="shared" si="6"/>
        <v>371681</v>
      </c>
      <c r="CA36" s="362" t="s">
        <v>5348</v>
      </c>
      <c r="CB36" s="364">
        <v>44749</v>
      </c>
    </row>
    <row r="37" spans="1:80" x14ac:dyDescent="0.25">
      <c r="A37" s="362">
        <v>22.373211820000002</v>
      </c>
      <c r="B37" s="612">
        <v>44652</v>
      </c>
      <c r="C37" s="362" t="s">
        <v>80</v>
      </c>
      <c r="D37" s="560">
        <v>500000</v>
      </c>
      <c r="E37" s="560">
        <v>55000</v>
      </c>
      <c r="F37" s="560">
        <f t="shared" si="0"/>
        <v>555000</v>
      </c>
      <c r="G37" s="362" t="s">
        <v>5348</v>
      </c>
      <c r="H37" s="609">
        <v>44747</v>
      </c>
      <c r="I37" s="966">
        <v>22.373444150000001</v>
      </c>
      <c r="J37" s="612">
        <v>44682</v>
      </c>
      <c r="K37" s="362" t="s">
        <v>82</v>
      </c>
      <c r="L37" s="560">
        <v>350000</v>
      </c>
      <c r="M37" s="560">
        <v>38499</v>
      </c>
      <c r="N37" s="560">
        <f t="shared" si="1"/>
        <v>388499</v>
      </c>
      <c r="O37" s="362" t="s">
        <v>5348</v>
      </c>
      <c r="P37" s="622" t="s">
        <v>6154</v>
      </c>
      <c r="Q37" s="362"/>
      <c r="R37" s="362"/>
      <c r="S37" s="362"/>
      <c r="T37" s="560"/>
      <c r="U37" s="560"/>
      <c r="V37" s="560"/>
      <c r="W37" s="362"/>
      <c r="X37" s="362"/>
      <c r="Y37" s="362"/>
      <c r="Z37" s="362"/>
      <c r="AA37" s="362"/>
      <c r="AB37" s="362"/>
      <c r="AC37" s="362"/>
      <c r="AD37" s="362"/>
      <c r="AE37" s="362"/>
      <c r="AF37" s="362"/>
      <c r="BE37" s="362"/>
      <c r="BF37" s="362"/>
      <c r="BG37" s="362"/>
      <c r="BH37" s="362"/>
      <c r="BI37" s="362"/>
      <c r="BJ37" s="560"/>
      <c r="BK37" s="362"/>
      <c r="BL37" s="362"/>
      <c r="BT37" s="978"/>
      <c r="BU37" s="362">
        <v>22.373349139999998</v>
      </c>
      <c r="BV37" s="612">
        <v>44682</v>
      </c>
      <c r="BW37" s="362" t="s">
        <v>78</v>
      </c>
      <c r="BX37" s="560">
        <v>334848</v>
      </c>
      <c r="BY37" s="560">
        <v>36833</v>
      </c>
      <c r="BZ37" s="560">
        <f t="shared" si="6"/>
        <v>371681</v>
      </c>
      <c r="CA37" s="362" t="s">
        <v>5348</v>
      </c>
      <c r="CB37" s="364">
        <v>44749</v>
      </c>
    </row>
    <row r="38" spans="1:80" x14ac:dyDescent="0.25">
      <c r="A38" s="362">
        <v>22.373444119999998</v>
      </c>
      <c r="B38" s="612">
        <v>44682</v>
      </c>
      <c r="C38" s="362" t="s">
        <v>80</v>
      </c>
      <c r="D38" s="560">
        <v>500000</v>
      </c>
      <c r="E38" s="560">
        <v>55000</v>
      </c>
      <c r="F38" s="560">
        <f t="shared" si="0"/>
        <v>555000</v>
      </c>
      <c r="G38" s="362" t="s">
        <v>5348</v>
      </c>
      <c r="H38" s="609">
        <v>44747</v>
      </c>
      <c r="I38" s="966">
        <v>22.373679809999999</v>
      </c>
      <c r="J38" s="612">
        <v>44713</v>
      </c>
      <c r="K38" s="362" t="s">
        <v>82</v>
      </c>
      <c r="L38" s="560">
        <v>350000</v>
      </c>
      <c r="M38" s="560">
        <v>38499</v>
      </c>
      <c r="N38" s="560">
        <f t="shared" si="1"/>
        <v>388499</v>
      </c>
      <c r="O38" s="362" t="s">
        <v>5931</v>
      </c>
      <c r="P38" s="622" t="s">
        <v>6154</v>
      </c>
      <c r="Q38" s="362"/>
      <c r="R38" s="362"/>
      <c r="S38" s="362"/>
      <c r="T38" s="362"/>
      <c r="U38" s="362"/>
      <c r="V38" s="362"/>
      <c r="W38" s="362"/>
      <c r="X38" s="362"/>
      <c r="Y38" s="362"/>
      <c r="Z38" s="362"/>
      <c r="AA38" s="362"/>
      <c r="AB38" s="362"/>
      <c r="AC38" s="362"/>
      <c r="AD38" s="362"/>
      <c r="AE38" s="362"/>
      <c r="AF38" s="362"/>
      <c r="BJ38" s="463"/>
      <c r="BT38" s="978"/>
      <c r="BU38" s="362">
        <v>22.373563950000001</v>
      </c>
      <c r="BV38" s="612">
        <v>44713</v>
      </c>
      <c r="BW38" s="362" t="s">
        <v>78</v>
      </c>
      <c r="BX38" s="560">
        <v>334848</v>
      </c>
      <c r="BY38" s="560">
        <v>36833</v>
      </c>
      <c r="BZ38" s="560">
        <f t="shared" si="6"/>
        <v>371681</v>
      </c>
      <c r="CA38" s="362" t="s">
        <v>5348</v>
      </c>
      <c r="CB38" s="364" t="s">
        <v>6154</v>
      </c>
    </row>
    <row r="39" spans="1:80" x14ac:dyDescent="0.25">
      <c r="A39" s="362">
        <v>22.37367978</v>
      </c>
      <c r="B39" s="612">
        <v>44713</v>
      </c>
      <c r="C39" s="362" t="s">
        <v>80</v>
      </c>
      <c r="D39" s="560">
        <v>500000</v>
      </c>
      <c r="E39" s="560">
        <v>55000</v>
      </c>
      <c r="F39" s="560">
        <f t="shared" si="0"/>
        <v>555000</v>
      </c>
      <c r="G39" s="362" t="s">
        <v>5931</v>
      </c>
      <c r="H39" s="362" t="s">
        <v>6154</v>
      </c>
      <c r="L39" s="463"/>
      <c r="M39" s="463"/>
      <c r="N39" s="463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62"/>
      <c r="AB39" s="362"/>
      <c r="AC39" s="362"/>
      <c r="AD39" s="362"/>
      <c r="AE39" s="362"/>
      <c r="AF39" s="362"/>
      <c r="BJ39" s="463"/>
      <c r="BT39" s="978"/>
      <c r="BU39" s="362"/>
      <c r="BV39" s="362"/>
      <c r="BW39" s="362"/>
      <c r="BX39" s="560"/>
      <c r="BY39" s="560"/>
      <c r="BZ39" s="560"/>
      <c r="CA39" s="362"/>
      <c r="CB39" s="364"/>
    </row>
    <row r="40" spans="1:80" x14ac:dyDescent="0.25">
      <c r="A40" s="362"/>
      <c r="B40" s="362"/>
      <c r="C40" s="362"/>
      <c r="D40" s="362"/>
      <c r="E40" s="362"/>
      <c r="F40" s="362"/>
      <c r="G40" s="362"/>
      <c r="H40" s="362"/>
      <c r="L40" s="463"/>
      <c r="M40" s="463"/>
      <c r="N40" s="463"/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362"/>
      <c r="AB40" s="362"/>
      <c r="AC40" s="362"/>
      <c r="AD40" s="362"/>
      <c r="AE40" s="362"/>
      <c r="AF40" s="362"/>
      <c r="BT40" s="978"/>
      <c r="BU40" s="362"/>
      <c r="BV40" s="362"/>
      <c r="BW40" s="362"/>
      <c r="BX40" s="560"/>
      <c r="BY40" s="560"/>
      <c r="BZ40" s="560"/>
      <c r="CA40" s="362"/>
      <c r="CB40" s="364"/>
    </row>
    <row r="41" spans="1:80" x14ac:dyDescent="0.25">
      <c r="L41" s="463"/>
      <c r="M41" s="463"/>
      <c r="N41" s="463"/>
      <c r="Q41" s="362"/>
      <c r="R41" s="362"/>
      <c r="S41" s="362"/>
      <c r="T41" s="362"/>
      <c r="U41" s="362"/>
      <c r="V41" s="362"/>
      <c r="W41" s="362"/>
      <c r="X41" s="362"/>
      <c r="Y41" s="362"/>
      <c r="Z41" s="362"/>
      <c r="AA41" s="362"/>
      <c r="AB41" s="362"/>
      <c r="AC41" s="362"/>
      <c r="AD41" s="362"/>
      <c r="AE41" s="362"/>
      <c r="AF41" s="362"/>
      <c r="BT41" s="978"/>
      <c r="BU41" s="362"/>
      <c r="BV41" s="362"/>
      <c r="BW41" s="362"/>
      <c r="BX41" s="560"/>
      <c r="BY41" s="560"/>
      <c r="BZ41" s="560"/>
      <c r="CA41" s="362"/>
      <c r="CB41" s="364"/>
    </row>
    <row r="42" spans="1:80" x14ac:dyDescent="0.25">
      <c r="L42" s="463"/>
      <c r="M42" s="463"/>
      <c r="N42" s="463"/>
      <c r="Q42" s="362"/>
      <c r="R42" s="362"/>
      <c r="S42" s="362"/>
      <c r="T42" s="362"/>
      <c r="U42" s="362"/>
      <c r="V42" s="362"/>
      <c r="W42" s="362"/>
      <c r="X42" s="362"/>
      <c r="BT42" s="978"/>
      <c r="BU42" s="362"/>
      <c r="BV42" s="362"/>
      <c r="BW42" s="362"/>
      <c r="BX42" s="560"/>
      <c r="BY42" s="560"/>
      <c r="BZ42" s="560"/>
      <c r="CA42" s="362"/>
      <c r="CB42" s="364"/>
    </row>
    <row r="43" spans="1:80" x14ac:dyDescent="0.25">
      <c r="L43" s="463"/>
      <c r="M43" s="463"/>
      <c r="N43" s="463"/>
      <c r="Q43" s="362"/>
      <c r="R43" s="362"/>
      <c r="S43" s="362"/>
      <c r="T43" s="362"/>
      <c r="U43" s="362"/>
      <c r="V43" s="362"/>
      <c r="W43" s="362"/>
      <c r="X43" s="362"/>
      <c r="BU43" s="362"/>
      <c r="BV43" s="362"/>
      <c r="BW43" s="362"/>
      <c r="BX43" s="560"/>
      <c r="BY43" s="560"/>
      <c r="BZ43" s="560"/>
      <c r="CA43" s="362"/>
      <c r="CB43" s="364"/>
    </row>
    <row r="44" spans="1:80" x14ac:dyDescent="0.25">
      <c r="Q44" s="362"/>
      <c r="R44" s="362"/>
      <c r="S44" s="362"/>
      <c r="T44" s="362"/>
      <c r="U44" s="362"/>
      <c r="V44" s="362"/>
      <c r="W44" s="362"/>
      <c r="X44" s="362"/>
      <c r="BU44" s="362"/>
      <c r="BV44" s="362"/>
      <c r="BW44" s="362"/>
      <c r="BX44" s="560"/>
      <c r="BY44" s="560"/>
      <c r="BZ44" s="560"/>
      <c r="CA44" s="362"/>
      <c r="CB44" s="362"/>
    </row>
    <row r="45" spans="1:80" x14ac:dyDescent="0.25">
      <c r="Q45" s="362"/>
      <c r="R45" s="362"/>
      <c r="S45" s="362"/>
      <c r="T45" s="362"/>
      <c r="U45" s="362"/>
      <c r="V45" s="362"/>
      <c r="W45" s="362"/>
      <c r="X45" s="362"/>
      <c r="BU45" s="362"/>
      <c r="BV45" s="362"/>
      <c r="BW45" s="362"/>
      <c r="BX45" s="560"/>
      <c r="BY45" s="560"/>
      <c r="BZ45" s="560"/>
      <c r="CA45" s="362"/>
      <c r="CB45" s="362"/>
    </row>
    <row r="46" spans="1:80" x14ac:dyDescent="0.25">
      <c r="BX46" s="463"/>
      <c r="BY46" s="463"/>
      <c r="BZ46" s="463"/>
    </row>
    <row r="47" spans="1:80" x14ac:dyDescent="0.25">
      <c r="BX47" s="463"/>
      <c r="BY47" s="463"/>
      <c r="BZ47" s="463"/>
    </row>
  </sheetData>
  <mergeCells count="83">
    <mergeCell ref="CK4:CQ4"/>
    <mergeCell ref="AY5:AY6"/>
    <mergeCell ref="AZ5:BB5"/>
    <mergeCell ref="BG5:BG6"/>
    <mergeCell ref="BH5:BJ5"/>
    <mergeCell ref="BO5:BO6"/>
    <mergeCell ref="BP5:BR5"/>
    <mergeCell ref="BW5:BW6"/>
    <mergeCell ref="BX5:BZ5"/>
    <mergeCell ref="CE5:CE6"/>
    <mergeCell ref="CF5:CH5"/>
    <mergeCell ref="CM5:CM6"/>
    <mergeCell ref="CN5:CP5"/>
    <mergeCell ref="CQ5:CQ6"/>
    <mergeCell ref="AW4:BC4"/>
    <mergeCell ref="BE4:BL4"/>
    <mergeCell ref="CL5:CL6"/>
    <mergeCell ref="CD5:CD6"/>
    <mergeCell ref="CJ5:CJ6"/>
    <mergeCell ref="CK5:CK6"/>
    <mergeCell ref="CI5:CI6"/>
    <mergeCell ref="AW5:AW6"/>
    <mergeCell ref="AX5:AX6"/>
    <mergeCell ref="BM4:BT4"/>
    <mergeCell ref="BU4:CB4"/>
    <mergeCell ref="CC4:CI4"/>
    <mergeCell ref="BS5:BS6"/>
    <mergeCell ref="BT5:BT6"/>
    <mergeCell ref="BU5:BU6"/>
    <mergeCell ref="BV5:BV6"/>
    <mergeCell ref="CA5:CA6"/>
    <mergeCell ref="CB5:CB6"/>
    <mergeCell ref="CC5:CC6"/>
    <mergeCell ref="BL5:BL6"/>
    <mergeCell ref="BM5:BM6"/>
    <mergeCell ref="BN5:BN6"/>
    <mergeCell ref="BD5:BD6"/>
    <mergeCell ref="AP5:AP6"/>
    <mergeCell ref="AQ5:AQ6"/>
    <mergeCell ref="AR5:AT5"/>
    <mergeCell ref="AU5:AU6"/>
    <mergeCell ref="AV5:AV6"/>
    <mergeCell ref="BE5:BE6"/>
    <mergeCell ref="BF5:BF6"/>
    <mergeCell ref="BK5:BK6"/>
    <mergeCell ref="A5:A6"/>
    <mergeCell ref="B5:B6"/>
    <mergeCell ref="C5:C6"/>
    <mergeCell ref="D5:F5"/>
    <mergeCell ref="G5:G6"/>
    <mergeCell ref="H5:H6"/>
    <mergeCell ref="I5:I6"/>
    <mergeCell ref="J5:J6"/>
    <mergeCell ref="R5:R6"/>
    <mergeCell ref="S5:S6"/>
    <mergeCell ref="T5:V5"/>
    <mergeCell ref="W5:W6"/>
    <mergeCell ref="X5:X6"/>
    <mergeCell ref="AM5:AM6"/>
    <mergeCell ref="AO5:AO6"/>
    <mergeCell ref="AB5:AD5"/>
    <mergeCell ref="AE5:AE6"/>
    <mergeCell ref="AF5:AF6"/>
    <mergeCell ref="AG5:AG6"/>
    <mergeCell ref="AH5:AH6"/>
    <mergeCell ref="AI5:AI6"/>
    <mergeCell ref="AJ5:AL5"/>
    <mergeCell ref="AG4:AM4"/>
    <mergeCell ref="AO4:AU4"/>
    <mergeCell ref="BC5:BC6"/>
    <mergeCell ref="AN5:AN6"/>
    <mergeCell ref="A4:G4"/>
    <mergeCell ref="I4:P4"/>
    <mergeCell ref="Q4:W4"/>
    <mergeCell ref="Y4:AE4"/>
    <mergeCell ref="K5:K6"/>
    <mergeCell ref="L5:N5"/>
    <mergeCell ref="O5:O6"/>
    <mergeCell ref="P5:P6"/>
    <mergeCell ref="Q5:Q6"/>
    <mergeCell ref="Y5:Y6"/>
    <mergeCell ref="Z5:Z6"/>
    <mergeCell ref="AA5:AA6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A56"/>
  <sheetViews>
    <sheetView topLeftCell="A13" zoomScale="80" zoomScaleNormal="80" workbookViewId="0">
      <pane xSplit="2" topLeftCell="AO1" activePane="topRight" state="frozen"/>
      <selection pane="topRight" activeCell="AY39" sqref="AY39"/>
    </sheetView>
  </sheetViews>
  <sheetFormatPr defaultColWidth="9.140625" defaultRowHeight="15.75" x14ac:dyDescent="0.25"/>
  <cols>
    <col min="1" max="1" width="9.140625" style="874"/>
    <col min="2" max="2" width="18" style="874" customWidth="1"/>
    <col min="3" max="3" width="3.42578125" style="885" customWidth="1"/>
    <col min="4" max="4" width="13" style="874" bestFit="1" customWidth="1"/>
    <col min="5" max="5" width="13.42578125" style="874" bestFit="1" customWidth="1"/>
    <col min="6" max="6" width="13" style="874" bestFit="1" customWidth="1"/>
    <col min="7" max="7" width="17.140625" style="874" customWidth="1"/>
    <col min="8" max="8" width="13" style="874" bestFit="1" customWidth="1"/>
    <col min="9" max="9" width="14.85546875" style="874" bestFit="1" customWidth="1"/>
    <col min="10" max="10" width="13" style="874" bestFit="1" customWidth="1"/>
    <col min="11" max="11" width="15.140625" style="874" bestFit="1" customWidth="1"/>
    <col min="12" max="12" width="13" style="874" bestFit="1" customWidth="1"/>
    <col min="13" max="13" width="13.42578125" style="874" bestFit="1" customWidth="1"/>
    <col min="14" max="14" width="16.5703125" style="874" bestFit="1" customWidth="1"/>
    <col min="15" max="15" width="15" style="874" customWidth="1"/>
    <col min="16" max="16" width="13" style="874" bestFit="1" customWidth="1"/>
    <col min="17" max="17" width="14.85546875" style="874" bestFit="1" customWidth="1"/>
    <col min="18" max="18" width="13" style="874" bestFit="1" customWidth="1"/>
    <col min="19" max="19" width="14.85546875" style="874" bestFit="1" customWidth="1"/>
    <col min="20" max="20" width="13" style="874" bestFit="1" customWidth="1"/>
    <col min="21" max="21" width="13.42578125" style="874" bestFit="1" customWidth="1"/>
    <col min="22" max="22" width="13" style="874" bestFit="1" customWidth="1"/>
    <col min="23" max="23" width="13.42578125" style="874" bestFit="1" customWidth="1"/>
    <col min="24" max="24" width="13" style="874" bestFit="1" customWidth="1"/>
    <col min="25" max="25" width="14.85546875" style="874" bestFit="1" customWidth="1"/>
    <col min="26" max="26" width="13" style="874" bestFit="1" customWidth="1"/>
    <col min="27" max="27" width="14.85546875" style="874" bestFit="1" customWidth="1"/>
    <col min="28" max="28" width="13" style="874" bestFit="1" customWidth="1"/>
    <col min="29" max="29" width="15.42578125" style="874" customWidth="1"/>
    <col min="30" max="30" width="13" style="874" bestFit="1" customWidth="1"/>
    <col min="31" max="31" width="13.42578125" style="874" bestFit="1" customWidth="1"/>
    <col min="32" max="32" width="13" style="874" bestFit="1" customWidth="1"/>
    <col min="33" max="33" width="14.85546875" style="874" bestFit="1" customWidth="1"/>
    <col min="34" max="34" width="13" style="874" bestFit="1" customWidth="1"/>
    <col min="35" max="35" width="14.85546875" style="874" bestFit="1" customWidth="1"/>
    <col min="36" max="36" width="13" style="874" customWidth="1"/>
    <col min="37" max="37" width="13.42578125" style="874" bestFit="1" customWidth="1"/>
    <col min="38" max="38" width="13" style="874" bestFit="1" customWidth="1"/>
    <col min="39" max="39" width="13.42578125" style="874" bestFit="1" customWidth="1"/>
    <col min="40" max="40" width="13" style="874" bestFit="1" customWidth="1"/>
    <col min="41" max="41" width="13.42578125" style="874" bestFit="1" customWidth="1"/>
    <col min="42" max="42" width="13" style="874" bestFit="1" customWidth="1"/>
    <col min="43" max="43" width="14.85546875" style="874" bestFit="1" customWidth="1"/>
    <col min="44" max="44" width="13" style="874" bestFit="1" customWidth="1"/>
    <col min="45" max="45" width="16.5703125" style="874" bestFit="1" customWidth="1"/>
    <col min="46" max="46" width="13" style="874" bestFit="1" customWidth="1"/>
    <col min="47" max="47" width="13.42578125" style="874" bestFit="1" customWidth="1"/>
    <col min="48" max="48" width="13" style="874" bestFit="1" customWidth="1"/>
    <col min="49" max="49" width="12.140625" style="874" bestFit="1" customWidth="1"/>
    <col min="50" max="50" width="13" style="874" bestFit="1" customWidth="1"/>
    <col min="51" max="51" width="14.85546875" style="874" bestFit="1" customWidth="1"/>
    <col min="52" max="52" width="13" style="874" bestFit="1" customWidth="1"/>
    <col min="53" max="53" width="14.85546875" style="874" bestFit="1" customWidth="1"/>
    <col min="54" max="55" width="14.85546875" style="874" customWidth="1"/>
    <col min="56" max="56" width="13" style="874" bestFit="1" customWidth="1"/>
    <col min="57" max="57" width="13.42578125" style="874" bestFit="1" customWidth="1"/>
    <col min="58" max="58" width="13" style="874" bestFit="1" customWidth="1"/>
    <col min="59" max="59" width="13.42578125" style="874" bestFit="1" customWidth="1"/>
    <col min="60" max="60" width="13" style="874" bestFit="1" customWidth="1"/>
    <col min="61" max="61" width="14.85546875" style="874" bestFit="1" customWidth="1"/>
    <col min="62" max="62" width="13" style="874" bestFit="1" customWidth="1"/>
    <col min="63" max="63" width="16.5703125" style="874" bestFit="1" customWidth="1"/>
    <col min="64" max="64" width="13" style="874" bestFit="1" customWidth="1"/>
    <col min="65" max="65" width="13.42578125" style="874" bestFit="1" customWidth="1"/>
    <col min="66" max="66" width="13" style="874" bestFit="1" customWidth="1"/>
    <col min="67" max="67" width="13.42578125" style="874" bestFit="1" customWidth="1"/>
    <col min="68" max="68" width="13" style="874" bestFit="1" customWidth="1"/>
    <col min="69" max="69" width="13.42578125" style="874" bestFit="1" customWidth="1"/>
    <col min="70" max="70" width="13" style="874" bestFit="1" customWidth="1"/>
    <col min="71" max="71" width="14.85546875" style="874" bestFit="1" customWidth="1"/>
    <col min="72" max="72" width="13" style="874" bestFit="1" customWidth="1"/>
    <col min="73" max="73" width="13.42578125" style="874" bestFit="1" customWidth="1"/>
    <col min="74" max="74" width="13" style="874" bestFit="1" customWidth="1"/>
    <col min="75" max="75" width="13.42578125" style="874" bestFit="1" customWidth="1"/>
    <col min="76" max="76" width="13" style="874" bestFit="1" customWidth="1"/>
    <col min="77" max="77" width="13.42578125" style="874" bestFit="1" customWidth="1"/>
    <col min="78" max="78" width="13" style="874" bestFit="1" customWidth="1"/>
    <col min="79" max="79" width="14.85546875" style="874" bestFit="1" customWidth="1"/>
    <col min="80" max="80" width="13" style="874" bestFit="1" customWidth="1"/>
    <col min="81" max="81" width="13.42578125" style="874" bestFit="1" customWidth="1"/>
    <col min="82" max="82" width="13" style="874" bestFit="1" customWidth="1"/>
    <col min="83" max="83" width="12.140625" style="874" bestFit="1" customWidth="1"/>
    <col min="84" max="84" width="13" style="874" bestFit="1" customWidth="1"/>
    <col min="85" max="85" width="14.85546875" style="874" bestFit="1" customWidth="1"/>
    <col min="86" max="86" width="13" style="874" bestFit="1" customWidth="1"/>
    <col min="87" max="87" width="14.85546875" style="874" bestFit="1" customWidth="1"/>
    <col min="88" max="88" width="13" style="874" bestFit="1" customWidth="1"/>
    <col min="89" max="89" width="13.42578125" style="874" bestFit="1" customWidth="1"/>
    <col min="90" max="90" width="13" style="874" bestFit="1" customWidth="1"/>
    <col min="91" max="91" width="13.42578125" style="874" bestFit="1" customWidth="1"/>
    <col min="92" max="92" width="13" style="874" bestFit="1" customWidth="1"/>
    <col min="93" max="93" width="14.85546875" style="874" bestFit="1" customWidth="1"/>
    <col min="94" max="94" width="13" style="874" bestFit="1" customWidth="1"/>
    <col min="95" max="95" width="14.85546875" style="874" bestFit="1" customWidth="1"/>
    <col min="96" max="96" width="13" style="874" bestFit="1" customWidth="1"/>
    <col min="97" max="97" width="13.42578125" style="874" bestFit="1" customWidth="1"/>
    <col min="98" max="98" width="13" style="874" bestFit="1" customWidth="1"/>
    <col min="99" max="99" width="13.42578125" style="874" bestFit="1" customWidth="1"/>
    <col min="100" max="100" width="13" style="874" bestFit="1" customWidth="1"/>
    <col min="101" max="101" width="14.85546875" style="874" bestFit="1" customWidth="1"/>
    <col min="102" max="102" width="13" style="874" bestFit="1" customWidth="1"/>
    <col min="103" max="103" width="16.5703125" style="874" bestFit="1" customWidth="1"/>
    <col min="104" max="104" width="13" style="874" bestFit="1" customWidth="1"/>
    <col min="105" max="105" width="13.42578125" style="874" bestFit="1" customWidth="1"/>
    <col min="106" max="16384" width="9.140625" style="874"/>
  </cols>
  <sheetData>
    <row r="1" spans="2:105" x14ac:dyDescent="0.25">
      <c r="B1" s="1653" t="s">
        <v>5972</v>
      </c>
      <c r="C1" s="1653"/>
      <c r="D1" s="1653"/>
      <c r="E1" s="1653"/>
      <c r="F1" s="1653"/>
      <c r="G1" s="1653"/>
      <c r="H1" s="1653"/>
      <c r="I1" s="1653"/>
      <c r="J1" s="1653"/>
      <c r="K1" s="1653"/>
      <c r="L1" s="1653"/>
      <c r="M1" s="1653"/>
      <c r="N1" s="1653"/>
      <c r="O1" s="1653"/>
      <c r="P1" s="1653"/>
      <c r="Q1" s="1653"/>
      <c r="R1" s="1653"/>
      <c r="S1" s="1653"/>
      <c r="T1" s="1653"/>
      <c r="U1" s="1653"/>
      <c r="V1" s="1653"/>
      <c r="W1" s="1653"/>
      <c r="X1" s="1653"/>
      <c r="Y1" s="1653"/>
      <c r="Z1" s="1653"/>
      <c r="AA1" s="1653"/>
      <c r="AB1" s="1653"/>
      <c r="AC1" s="1653"/>
      <c r="AD1" s="1653"/>
      <c r="AE1" s="1653"/>
      <c r="AF1" s="1653"/>
      <c r="AG1" s="1653"/>
      <c r="AH1" s="1653"/>
      <c r="AI1" s="1653"/>
      <c r="AJ1" s="1653"/>
      <c r="AK1" s="1653"/>
      <c r="AL1" s="1653"/>
      <c r="AM1" s="1653"/>
      <c r="AN1" s="1653"/>
      <c r="AO1" s="1653"/>
      <c r="AP1" s="1653"/>
      <c r="AQ1" s="1653"/>
      <c r="AR1" s="1653"/>
      <c r="AS1" s="1653"/>
      <c r="AT1" s="1653"/>
      <c r="AU1" s="1653"/>
      <c r="AV1" s="1653"/>
      <c r="AW1" s="1653"/>
      <c r="AX1" s="1653"/>
      <c r="AY1" s="1653"/>
      <c r="AZ1" s="1653"/>
      <c r="BA1" s="1653"/>
      <c r="BB1" s="1653"/>
      <c r="BC1" s="1653"/>
      <c r="BD1" s="1653"/>
      <c r="BE1" s="1653"/>
      <c r="BF1" s="1653"/>
      <c r="BG1" s="1653"/>
      <c r="BH1" s="1653"/>
      <c r="BI1" s="1653"/>
      <c r="BJ1" s="1653"/>
      <c r="BK1" s="1653"/>
      <c r="BL1" s="1653"/>
      <c r="BM1" s="1653"/>
      <c r="BN1" s="1653"/>
      <c r="BO1" s="1653"/>
      <c r="BP1" s="1653"/>
      <c r="BQ1" s="1653"/>
      <c r="BR1" s="1653"/>
      <c r="BS1" s="1653"/>
      <c r="BT1" s="1653"/>
      <c r="BU1" s="1653"/>
      <c r="BV1" s="1653"/>
      <c r="BW1" s="1653"/>
      <c r="BX1" s="1653"/>
      <c r="BY1" s="1653"/>
      <c r="BZ1" s="1653"/>
      <c r="CA1" s="1653"/>
      <c r="CB1" s="1653"/>
      <c r="CC1" s="1653"/>
      <c r="CD1" s="1653"/>
      <c r="CE1" s="1653"/>
      <c r="CF1" s="1653"/>
      <c r="CG1" s="1653"/>
      <c r="CH1" s="1653"/>
      <c r="CI1" s="1653"/>
      <c r="CJ1" s="1653"/>
      <c r="CK1" s="1653"/>
      <c r="CL1" s="1653"/>
      <c r="CM1" s="1653"/>
      <c r="CN1" s="1653"/>
      <c r="CO1" s="1653"/>
      <c r="CP1" s="1653"/>
      <c r="CQ1" s="1653"/>
      <c r="CR1" s="1653"/>
      <c r="CS1" s="1653"/>
      <c r="CT1" s="1653"/>
      <c r="CU1" s="1653"/>
      <c r="CV1" s="1653"/>
      <c r="CW1" s="1653"/>
      <c r="CX1" s="1653"/>
      <c r="CY1" s="1653"/>
    </row>
    <row r="2" spans="2:105" x14ac:dyDescent="0.25">
      <c r="B2" s="1653" t="s">
        <v>5973</v>
      </c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1653"/>
      <c r="Q2" s="1653"/>
      <c r="R2" s="1653"/>
      <c r="S2" s="1653"/>
      <c r="T2" s="1653"/>
      <c r="U2" s="1653"/>
      <c r="V2" s="1653"/>
      <c r="W2" s="1653"/>
      <c r="X2" s="1653"/>
      <c r="Y2" s="1653"/>
      <c r="Z2" s="1653"/>
      <c r="AA2" s="1653"/>
      <c r="AB2" s="1653"/>
      <c r="AC2" s="1653"/>
      <c r="AD2" s="1653"/>
      <c r="AE2" s="1653"/>
      <c r="AF2" s="1653"/>
      <c r="AG2" s="1653"/>
      <c r="AH2" s="1653"/>
      <c r="AI2" s="1653"/>
      <c r="AJ2" s="1653"/>
      <c r="AK2" s="1653"/>
      <c r="AL2" s="1653"/>
      <c r="AM2" s="1653"/>
      <c r="AN2" s="1653"/>
      <c r="AO2" s="1653"/>
      <c r="AP2" s="1653"/>
      <c r="AQ2" s="1653"/>
      <c r="AR2" s="1653"/>
      <c r="AS2" s="1653"/>
      <c r="AT2" s="1653"/>
      <c r="AU2" s="1653"/>
      <c r="AV2" s="1653"/>
      <c r="AW2" s="1653"/>
      <c r="AX2" s="1653"/>
      <c r="AY2" s="1653"/>
      <c r="AZ2" s="1653"/>
      <c r="BA2" s="1653"/>
      <c r="BB2" s="1653"/>
      <c r="BC2" s="1653"/>
      <c r="BD2" s="1653"/>
      <c r="BE2" s="1653"/>
      <c r="BF2" s="1653"/>
      <c r="BG2" s="1653"/>
      <c r="BH2" s="1653"/>
      <c r="BI2" s="1653"/>
      <c r="BJ2" s="1653"/>
      <c r="BK2" s="1653"/>
      <c r="BL2" s="1653"/>
      <c r="BM2" s="1653"/>
      <c r="BN2" s="1653"/>
      <c r="BO2" s="1653"/>
      <c r="BP2" s="1653"/>
      <c r="BQ2" s="1653"/>
      <c r="BR2" s="1653"/>
      <c r="BS2" s="1653"/>
      <c r="BT2" s="1653"/>
      <c r="BU2" s="1653"/>
      <c r="BV2" s="1653"/>
      <c r="BW2" s="1653"/>
      <c r="BX2" s="1653"/>
      <c r="BY2" s="1653"/>
      <c r="BZ2" s="1653"/>
      <c r="CA2" s="1653"/>
      <c r="CB2" s="1653"/>
      <c r="CC2" s="1653"/>
      <c r="CD2" s="1653"/>
      <c r="CE2" s="1653"/>
      <c r="CF2" s="1653"/>
      <c r="CG2" s="1653"/>
      <c r="CH2" s="1653"/>
      <c r="CI2" s="1653"/>
      <c r="CJ2" s="1653"/>
      <c r="CK2" s="1653"/>
      <c r="CL2" s="1653"/>
      <c r="CM2" s="1653"/>
      <c r="CN2" s="1653"/>
      <c r="CO2" s="1653"/>
      <c r="CP2" s="1653"/>
      <c r="CQ2" s="1653"/>
      <c r="CR2" s="1653"/>
      <c r="CS2" s="1653"/>
      <c r="CT2" s="1653"/>
      <c r="CU2" s="1653"/>
      <c r="CV2" s="1653"/>
      <c r="CW2" s="1653"/>
      <c r="CX2" s="1653"/>
      <c r="CY2" s="1653"/>
    </row>
    <row r="4" spans="2:105" x14ac:dyDescent="0.25">
      <c r="B4" s="1654" t="s">
        <v>5961</v>
      </c>
      <c r="C4" s="883"/>
      <c r="D4" s="1655">
        <v>43831</v>
      </c>
      <c r="E4" s="1656"/>
      <c r="F4" s="1656"/>
      <c r="G4" s="1656"/>
      <c r="H4" s="1656"/>
      <c r="I4" s="1656"/>
      <c r="J4" s="1656"/>
      <c r="K4" s="1652"/>
      <c r="L4" s="1657">
        <v>43862</v>
      </c>
      <c r="M4" s="1658"/>
      <c r="N4" s="1658"/>
      <c r="O4" s="1658"/>
      <c r="P4" s="1658"/>
      <c r="Q4" s="1658"/>
      <c r="R4" s="1658"/>
      <c r="S4" s="1650"/>
      <c r="T4" s="1655">
        <v>43891</v>
      </c>
      <c r="U4" s="1656"/>
      <c r="V4" s="1656"/>
      <c r="W4" s="1656"/>
      <c r="X4" s="1656"/>
      <c r="Y4" s="1656"/>
      <c r="Z4" s="1656"/>
      <c r="AA4" s="1652"/>
      <c r="AB4" s="1657">
        <v>43922</v>
      </c>
      <c r="AC4" s="1658"/>
      <c r="AD4" s="1658"/>
      <c r="AE4" s="1658"/>
      <c r="AF4" s="1658"/>
      <c r="AG4" s="1658"/>
      <c r="AH4" s="1658"/>
      <c r="AI4" s="1650"/>
      <c r="AJ4" s="1399"/>
      <c r="AK4" s="1399"/>
      <c r="AL4" s="1655">
        <v>43952</v>
      </c>
      <c r="AM4" s="1656"/>
      <c r="AN4" s="1656"/>
      <c r="AO4" s="1656"/>
      <c r="AP4" s="1656"/>
      <c r="AQ4" s="1656"/>
      <c r="AR4" s="1656"/>
      <c r="AS4" s="1652"/>
      <c r="AT4" s="1657">
        <v>43983</v>
      </c>
      <c r="AU4" s="1658"/>
      <c r="AV4" s="1658"/>
      <c r="AW4" s="1658"/>
      <c r="AX4" s="1658"/>
      <c r="AY4" s="1658"/>
      <c r="AZ4" s="1658"/>
      <c r="BA4" s="1650"/>
      <c r="BB4" s="1400"/>
      <c r="BC4" s="1400"/>
      <c r="BD4" s="1655">
        <v>44013</v>
      </c>
      <c r="BE4" s="1656"/>
      <c r="BF4" s="1656"/>
      <c r="BG4" s="1656"/>
      <c r="BH4" s="1656"/>
      <c r="BI4" s="1656"/>
      <c r="BJ4" s="1656"/>
      <c r="BK4" s="1652"/>
      <c r="BL4" s="1657">
        <v>44044</v>
      </c>
      <c r="BM4" s="1658"/>
      <c r="BN4" s="1658"/>
      <c r="BO4" s="1658"/>
      <c r="BP4" s="1658"/>
      <c r="BQ4" s="1658"/>
      <c r="BR4" s="1658"/>
      <c r="BS4" s="1650"/>
      <c r="BT4" s="1655">
        <v>44075</v>
      </c>
      <c r="BU4" s="1656"/>
      <c r="BV4" s="1656"/>
      <c r="BW4" s="1656"/>
      <c r="BX4" s="1656"/>
      <c r="BY4" s="1656"/>
      <c r="BZ4" s="1656"/>
      <c r="CA4" s="1652"/>
      <c r="CB4" s="1657">
        <v>44105</v>
      </c>
      <c r="CC4" s="1658"/>
      <c r="CD4" s="1658"/>
      <c r="CE4" s="1658"/>
      <c r="CF4" s="1658"/>
      <c r="CG4" s="1658"/>
      <c r="CH4" s="1658"/>
      <c r="CI4" s="1650"/>
      <c r="CJ4" s="1655">
        <v>44136</v>
      </c>
      <c r="CK4" s="1656"/>
      <c r="CL4" s="1656"/>
      <c r="CM4" s="1656"/>
      <c r="CN4" s="1656"/>
      <c r="CO4" s="1656"/>
      <c r="CP4" s="1656"/>
      <c r="CQ4" s="1652"/>
      <c r="CR4" s="1657">
        <v>44166</v>
      </c>
      <c r="CS4" s="1658"/>
      <c r="CT4" s="1658"/>
      <c r="CU4" s="1658"/>
      <c r="CV4" s="1658"/>
      <c r="CW4" s="1658"/>
      <c r="CX4" s="1658"/>
      <c r="CY4" s="1650"/>
      <c r="CZ4" s="880"/>
      <c r="DA4" s="880"/>
    </row>
    <row r="5" spans="2:105" x14ac:dyDescent="0.25">
      <c r="B5" s="1654"/>
      <c r="C5" s="883"/>
      <c r="D5" s="1651" t="s">
        <v>3441</v>
      </c>
      <c r="E5" s="1652"/>
      <c r="F5" s="1651" t="s">
        <v>5964</v>
      </c>
      <c r="G5" s="1652"/>
      <c r="H5" s="1651" t="s">
        <v>5965</v>
      </c>
      <c r="I5" s="1652"/>
      <c r="J5" s="1651" t="s">
        <v>5966</v>
      </c>
      <c r="K5" s="1652"/>
      <c r="L5" s="1649" t="s">
        <v>3441</v>
      </c>
      <c r="M5" s="1650"/>
      <c r="N5" s="1649" t="s">
        <v>5964</v>
      </c>
      <c r="O5" s="1650"/>
      <c r="P5" s="1649" t="s">
        <v>5965</v>
      </c>
      <c r="Q5" s="1650"/>
      <c r="R5" s="1649" t="s">
        <v>5966</v>
      </c>
      <c r="S5" s="1650"/>
      <c r="T5" s="1651" t="s">
        <v>3441</v>
      </c>
      <c r="U5" s="1652"/>
      <c r="V5" s="1651" t="s">
        <v>5964</v>
      </c>
      <c r="W5" s="1652"/>
      <c r="X5" s="1651" t="s">
        <v>5965</v>
      </c>
      <c r="Y5" s="1652"/>
      <c r="Z5" s="1651" t="s">
        <v>5966</v>
      </c>
      <c r="AA5" s="1652"/>
      <c r="AB5" s="1649" t="s">
        <v>3441</v>
      </c>
      <c r="AC5" s="1650"/>
      <c r="AD5" s="1649" t="s">
        <v>5964</v>
      </c>
      <c r="AE5" s="1650"/>
      <c r="AF5" s="1649" t="s">
        <v>5965</v>
      </c>
      <c r="AG5" s="1650"/>
      <c r="AH5" s="1649" t="s">
        <v>5966</v>
      </c>
      <c r="AI5" s="1650"/>
      <c r="AJ5" s="1651" t="s">
        <v>5971</v>
      </c>
      <c r="AK5" s="1652"/>
      <c r="AL5" s="1651" t="s">
        <v>3441</v>
      </c>
      <c r="AM5" s="1652"/>
      <c r="AN5" s="1651" t="s">
        <v>5964</v>
      </c>
      <c r="AO5" s="1652"/>
      <c r="AP5" s="1651" t="s">
        <v>5965</v>
      </c>
      <c r="AQ5" s="1652"/>
      <c r="AR5" s="1651" t="s">
        <v>5966</v>
      </c>
      <c r="AS5" s="1652"/>
      <c r="AT5" s="1649" t="s">
        <v>3441</v>
      </c>
      <c r="AU5" s="1650"/>
      <c r="AV5" s="1649" t="s">
        <v>5964</v>
      </c>
      <c r="AW5" s="1650"/>
      <c r="AX5" s="1649" t="s">
        <v>5965</v>
      </c>
      <c r="AY5" s="1650"/>
      <c r="AZ5" s="1649" t="s">
        <v>5966</v>
      </c>
      <c r="BA5" s="1650"/>
      <c r="BB5" s="1400"/>
      <c r="BC5" s="1400"/>
      <c r="BD5" s="1651" t="s">
        <v>3441</v>
      </c>
      <c r="BE5" s="1652"/>
      <c r="BF5" s="1651" t="s">
        <v>5964</v>
      </c>
      <c r="BG5" s="1652"/>
      <c r="BH5" s="1651" t="s">
        <v>5965</v>
      </c>
      <c r="BI5" s="1652"/>
      <c r="BJ5" s="1651" t="s">
        <v>5966</v>
      </c>
      <c r="BK5" s="1652"/>
      <c r="BL5" s="1649" t="s">
        <v>3441</v>
      </c>
      <c r="BM5" s="1650"/>
      <c r="BN5" s="1649" t="s">
        <v>5964</v>
      </c>
      <c r="BO5" s="1650"/>
      <c r="BP5" s="1649" t="s">
        <v>5965</v>
      </c>
      <c r="BQ5" s="1650"/>
      <c r="BR5" s="1649" t="s">
        <v>5966</v>
      </c>
      <c r="BS5" s="1650"/>
      <c r="BT5" s="1651" t="s">
        <v>3441</v>
      </c>
      <c r="BU5" s="1652"/>
      <c r="BV5" s="1651" t="s">
        <v>5964</v>
      </c>
      <c r="BW5" s="1652"/>
      <c r="BX5" s="1651" t="s">
        <v>5965</v>
      </c>
      <c r="BY5" s="1652"/>
      <c r="BZ5" s="1651" t="s">
        <v>5966</v>
      </c>
      <c r="CA5" s="1652"/>
      <c r="CB5" s="1649" t="s">
        <v>3441</v>
      </c>
      <c r="CC5" s="1650"/>
      <c r="CD5" s="1649" t="s">
        <v>5964</v>
      </c>
      <c r="CE5" s="1650"/>
      <c r="CF5" s="1649" t="s">
        <v>5965</v>
      </c>
      <c r="CG5" s="1650"/>
      <c r="CH5" s="1649" t="s">
        <v>5966</v>
      </c>
      <c r="CI5" s="1650"/>
      <c r="CJ5" s="1651" t="s">
        <v>3441</v>
      </c>
      <c r="CK5" s="1652"/>
      <c r="CL5" s="1651" t="s">
        <v>5964</v>
      </c>
      <c r="CM5" s="1652"/>
      <c r="CN5" s="1651" t="s">
        <v>5965</v>
      </c>
      <c r="CO5" s="1652"/>
      <c r="CP5" s="1651" t="s">
        <v>5966</v>
      </c>
      <c r="CQ5" s="1652"/>
      <c r="CR5" s="1649" t="s">
        <v>3441</v>
      </c>
      <c r="CS5" s="1650"/>
      <c r="CT5" s="1649" t="s">
        <v>5964</v>
      </c>
      <c r="CU5" s="1650"/>
      <c r="CV5" s="1649" t="s">
        <v>5965</v>
      </c>
      <c r="CW5" s="1650"/>
      <c r="CX5" s="1649" t="s">
        <v>5966</v>
      </c>
      <c r="CY5" s="1650"/>
      <c r="CZ5" s="880" t="s">
        <v>6102</v>
      </c>
      <c r="DA5" s="880"/>
    </row>
    <row r="6" spans="2:105" x14ac:dyDescent="0.25">
      <c r="B6" s="1654"/>
      <c r="C6" s="883"/>
      <c r="D6" s="875" t="s">
        <v>5962</v>
      </c>
      <c r="E6" s="876" t="s">
        <v>5963</v>
      </c>
      <c r="F6" s="876" t="s">
        <v>5962</v>
      </c>
      <c r="G6" s="876" t="s">
        <v>5963</v>
      </c>
      <c r="H6" s="876" t="s">
        <v>5962</v>
      </c>
      <c r="I6" s="876" t="s">
        <v>5963</v>
      </c>
      <c r="J6" s="876" t="s">
        <v>5962</v>
      </c>
      <c r="K6" s="876" t="s">
        <v>5963</v>
      </c>
      <c r="L6" s="876" t="s">
        <v>5962</v>
      </c>
      <c r="M6" s="876" t="s">
        <v>5963</v>
      </c>
      <c r="N6" s="876" t="s">
        <v>5962</v>
      </c>
      <c r="O6" s="876" t="s">
        <v>5963</v>
      </c>
      <c r="P6" s="876" t="s">
        <v>5962</v>
      </c>
      <c r="Q6" s="876" t="s">
        <v>5963</v>
      </c>
      <c r="R6" s="876" t="s">
        <v>5962</v>
      </c>
      <c r="S6" s="876" t="s">
        <v>5963</v>
      </c>
      <c r="T6" s="876" t="s">
        <v>5962</v>
      </c>
      <c r="U6" s="876" t="s">
        <v>5963</v>
      </c>
      <c r="V6" s="876" t="s">
        <v>5962</v>
      </c>
      <c r="W6" s="876" t="s">
        <v>5963</v>
      </c>
      <c r="X6" s="876" t="s">
        <v>5962</v>
      </c>
      <c r="Y6" s="876" t="s">
        <v>5963</v>
      </c>
      <c r="Z6" s="876" t="s">
        <v>5962</v>
      </c>
      <c r="AA6" s="876" t="s">
        <v>5963</v>
      </c>
      <c r="AB6" s="876" t="s">
        <v>5962</v>
      </c>
      <c r="AC6" s="876" t="s">
        <v>5963</v>
      </c>
      <c r="AD6" s="876" t="s">
        <v>5962</v>
      </c>
      <c r="AE6" s="876" t="s">
        <v>5963</v>
      </c>
      <c r="AF6" s="876" t="s">
        <v>5962</v>
      </c>
      <c r="AG6" s="876" t="s">
        <v>5963</v>
      </c>
      <c r="AH6" s="876" t="s">
        <v>5962</v>
      </c>
      <c r="AI6" s="876" t="s">
        <v>5963</v>
      </c>
      <c r="AJ6" s="876" t="s">
        <v>5962</v>
      </c>
      <c r="AK6" s="876" t="s">
        <v>5963</v>
      </c>
      <c r="AL6" s="876" t="s">
        <v>5962</v>
      </c>
      <c r="AM6" s="876" t="s">
        <v>5963</v>
      </c>
      <c r="AN6" s="876" t="s">
        <v>5962</v>
      </c>
      <c r="AO6" s="876" t="s">
        <v>5963</v>
      </c>
      <c r="AP6" s="876" t="s">
        <v>5962</v>
      </c>
      <c r="AQ6" s="876" t="s">
        <v>5963</v>
      </c>
      <c r="AR6" s="876" t="s">
        <v>5962</v>
      </c>
      <c r="AS6" s="876" t="s">
        <v>5963</v>
      </c>
      <c r="AT6" s="876" t="s">
        <v>5962</v>
      </c>
      <c r="AU6" s="876" t="s">
        <v>5963</v>
      </c>
      <c r="AV6" s="876" t="s">
        <v>5962</v>
      </c>
      <c r="AW6" s="876" t="s">
        <v>5963</v>
      </c>
      <c r="AX6" s="876" t="s">
        <v>5962</v>
      </c>
      <c r="AY6" s="876" t="s">
        <v>5963</v>
      </c>
      <c r="AZ6" s="876" t="s">
        <v>5962</v>
      </c>
      <c r="BA6" s="876" t="s">
        <v>5963</v>
      </c>
      <c r="BB6" s="876"/>
      <c r="BC6" s="876"/>
      <c r="BD6" s="876" t="s">
        <v>5962</v>
      </c>
      <c r="BE6" s="876" t="s">
        <v>5963</v>
      </c>
      <c r="BF6" s="876" t="s">
        <v>5962</v>
      </c>
      <c r="BG6" s="876" t="s">
        <v>5963</v>
      </c>
      <c r="BH6" s="876" t="s">
        <v>5962</v>
      </c>
      <c r="BI6" s="876" t="s">
        <v>5963</v>
      </c>
      <c r="BJ6" s="876" t="s">
        <v>5962</v>
      </c>
      <c r="BK6" s="876" t="s">
        <v>5963</v>
      </c>
      <c r="BL6" s="876" t="s">
        <v>5962</v>
      </c>
      <c r="BM6" s="876" t="s">
        <v>5963</v>
      </c>
      <c r="BN6" s="876" t="s">
        <v>5962</v>
      </c>
      <c r="BO6" s="876" t="s">
        <v>5963</v>
      </c>
      <c r="BP6" s="876" t="s">
        <v>5962</v>
      </c>
      <c r="BQ6" s="876" t="s">
        <v>5963</v>
      </c>
      <c r="BR6" s="876" t="s">
        <v>5962</v>
      </c>
      <c r="BS6" s="876" t="s">
        <v>5963</v>
      </c>
      <c r="BT6" s="876" t="s">
        <v>5962</v>
      </c>
      <c r="BU6" s="876" t="s">
        <v>5963</v>
      </c>
      <c r="BV6" s="876" t="s">
        <v>5962</v>
      </c>
      <c r="BW6" s="876" t="s">
        <v>5963</v>
      </c>
      <c r="BX6" s="876" t="s">
        <v>5962</v>
      </c>
      <c r="BY6" s="876" t="s">
        <v>5963</v>
      </c>
      <c r="BZ6" s="876" t="s">
        <v>5962</v>
      </c>
      <c r="CA6" s="876" t="s">
        <v>5963</v>
      </c>
      <c r="CB6" s="876" t="s">
        <v>5962</v>
      </c>
      <c r="CC6" s="876" t="s">
        <v>5963</v>
      </c>
      <c r="CD6" s="876" t="s">
        <v>5962</v>
      </c>
      <c r="CE6" s="876" t="s">
        <v>5963</v>
      </c>
      <c r="CF6" s="876" t="s">
        <v>5962</v>
      </c>
      <c r="CG6" s="876" t="s">
        <v>5963</v>
      </c>
      <c r="CH6" s="876" t="s">
        <v>5962</v>
      </c>
      <c r="CI6" s="876" t="s">
        <v>5963</v>
      </c>
      <c r="CJ6" s="876" t="s">
        <v>5962</v>
      </c>
      <c r="CK6" s="876" t="s">
        <v>5963</v>
      </c>
      <c r="CL6" s="876" t="s">
        <v>5962</v>
      </c>
      <c r="CM6" s="876" t="s">
        <v>5963</v>
      </c>
      <c r="CN6" s="876" t="s">
        <v>5962</v>
      </c>
      <c r="CO6" s="876" t="s">
        <v>5963</v>
      </c>
      <c r="CP6" s="876" t="s">
        <v>5962</v>
      </c>
      <c r="CQ6" s="876" t="s">
        <v>5963</v>
      </c>
      <c r="CR6" s="876" t="s">
        <v>5962</v>
      </c>
      <c r="CS6" s="876" t="s">
        <v>5963</v>
      </c>
      <c r="CT6" s="876" t="s">
        <v>5962</v>
      </c>
      <c r="CU6" s="876" t="s">
        <v>5963</v>
      </c>
      <c r="CV6" s="876" t="s">
        <v>5962</v>
      </c>
      <c r="CW6" s="876" t="s">
        <v>5963</v>
      </c>
      <c r="CX6" s="876" t="s">
        <v>5962</v>
      </c>
      <c r="CY6" s="876" t="s">
        <v>5963</v>
      </c>
      <c r="CZ6" s="880" t="s">
        <v>5962</v>
      </c>
      <c r="DA6" s="880" t="s">
        <v>5963</v>
      </c>
    </row>
    <row r="7" spans="2:105" x14ac:dyDescent="0.25">
      <c r="B7" s="876" t="s">
        <v>5967</v>
      </c>
      <c r="C7" s="884"/>
      <c r="D7" s="877">
        <v>43871</v>
      </c>
      <c r="E7" s="878">
        <v>10344827</v>
      </c>
      <c r="F7" s="877">
        <v>43871</v>
      </c>
      <c r="G7" s="878">
        <f>3493105+38156</f>
        <v>3531261</v>
      </c>
      <c r="H7" s="877">
        <v>43871</v>
      </c>
      <c r="I7" s="879">
        <v>144653043</v>
      </c>
      <c r="J7" s="877">
        <v>43889</v>
      </c>
      <c r="K7" s="886">
        <v>167534117</v>
      </c>
      <c r="L7" s="877">
        <v>43900</v>
      </c>
      <c r="M7" s="878">
        <v>10344827</v>
      </c>
      <c r="N7" s="877">
        <v>43900</v>
      </c>
      <c r="O7" s="878">
        <f>32997+179110</f>
        <v>212107</v>
      </c>
      <c r="P7" s="877">
        <v>43900</v>
      </c>
      <c r="Q7" s="878">
        <v>144653043</v>
      </c>
      <c r="R7" s="877">
        <v>43900</v>
      </c>
      <c r="S7" s="878">
        <v>637441110</v>
      </c>
      <c r="T7" s="877">
        <v>43930</v>
      </c>
      <c r="U7" s="887">
        <v>10420914</v>
      </c>
      <c r="V7" s="877">
        <v>43930</v>
      </c>
      <c r="W7" s="887">
        <f>13665004+329835</f>
        <v>13994839</v>
      </c>
      <c r="X7" s="877">
        <v>43930</v>
      </c>
      <c r="Y7" s="887">
        <v>144653043</v>
      </c>
      <c r="Z7" s="877">
        <v>43951</v>
      </c>
      <c r="AA7" s="887">
        <v>710738159</v>
      </c>
      <c r="AB7" s="877">
        <v>43962</v>
      </c>
      <c r="AC7" s="887">
        <v>7743503</v>
      </c>
      <c r="AD7" s="877">
        <v>43959</v>
      </c>
      <c r="AE7" s="887">
        <v>136363</v>
      </c>
      <c r="AF7" s="877">
        <v>43959</v>
      </c>
      <c r="AG7" s="887">
        <v>109654465</v>
      </c>
      <c r="AH7" s="877">
        <v>43980</v>
      </c>
      <c r="AI7" s="887">
        <v>757752124</v>
      </c>
      <c r="AJ7" s="877">
        <v>43992</v>
      </c>
      <c r="AK7" s="887">
        <f>15525456</f>
        <v>15525456</v>
      </c>
      <c r="AL7" s="877">
        <v>43992</v>
      </c>
      <c r="AM7" s="887">
        <v>7743503</v>
      </c>
      <c r="AN7" s="877">
        <v>43992</v>
      </c>
      <c r="AO7" s="887">
        <f>1392501+811692</f>
        <v>2204193</v>
      </c>
      <c r="AP7" s="877">
        <v>43992</v>
      </c>
      <c r="AQ7" s="887">
        <v>109654465</v>
      </c>
      <c r="AR7" s="877">
        <v>44012</v>
      </c>
      <c r="AS7" s="887">
        <v>1131860548</v>
      </c>
      <c r="AT7" s="877">
        <v>44022</v>
      </c>
      <c r="AU7" s="887">
        <v>9679379</v>
      </c>
      <c r="AV7" s="877">
        <v>44022</v>
      </c>
      <c r="AW7" s="887">
        <v>129009</v>
      </c>
      <c r="AX7" s="877">
        <v>44022</v>
      </c>
      <c r="AY7" s="887">
        <v>109654465</v>
      </c>
      <c r="AZ7" s="877">
        <v>44042</v>
      </c>
      <c r="BA7" s="887">
        <v>594010877</v>
      </c>
      <c r="BB7" s="887"/>
      <c r="BC7" s="887"/>
      <c r="BD7" s="877">
        <v>44053</v>
      </c>
      <c r="BE7" s="887">
        <v>10005727</v>
      </c>
      <c r="BF7" s="877">
        <v>44053</v>
      </c>
      <c r="BG7" s="887">
        <v>27794</v>
      </c>
      <c r="BH7" s="877">
        <v>44053</v>
      </c>
      <c r="BI7" s="887">
        <v>109654465</v>
      </c>
      <c r="BJ7" s="880" t="s">
        <v>125</v>
      </c>
      <c r="BK7" s="880" t="s">
        <v>125</v>
      </c>
      <c r="BL7" s="877">
        <v>44084</v>
      </c>
      <c r="BM7" s="887">
        <f>9729074</f>
        <v>9729074</v>
      </c>
      <c r="BN7" s="877">
        <v>44084</v>
      </c>
      <c r="BO7" s="887">
        <f>202332+15780000</f>
        <v>15982332</v>
      </c>
      <c r="BP7" s="877">
        <v>44084</v>
      </c>
      <c r="BQ7" s="887">
        <v>78324618</v>
      </c>
      <c r="BR7" s="877">
        <v>44102</v>
      </c>
      <c r="BS7" s="887">
        <v>325042760</v>
      </c>
      <c r="BT7" s="877">
        <v>44113</v>
      </c>
      <c r="BU7" s="887">
        <v>8387132</v>
      </c>
      <c r="BV7" s="880" t="s">
        <v>125</v>
      </c>
      <c r="BW7" s="880" t="s">
        <v>125</v>
      </c>
      <c r="BX7" s="877">
        <v>44113</v>
      </c>
      <c r="BY7" s="887">
        <v>78324618</v>
      </c>
      <c r="BZ7" s="877">
        <v>44131</v>
      </c>
      <c r="CA7" s="887">
        <v>897813692</v>
      </c>
      <c r="CB7" s="877">
        <v>44145</v>
      </c>
      <c r="CC7" s="887">
        <v>10466983</v>
      </c>
      <c r="CD7" s="880">
        <v>0</v>
      </c>
      <c r="CE7" s="880">
        <v>0</v>
      </c>
      <c r="CF7" s="877">
        <v>44145</v>
      </c>
      <c r="CG7" s="887">
        <v>46994770</v>
      </c>
      <c r="CH7" s="877">
        <v>44165</v>
      </c>
      <c r="CI7" s="887">
        <v>104342364</v>
      </c>
      <c r="CJ7" s="877">
        <v>44175</v>
      </c>
      <c r="CK7" s="887">
        <f>10446984</f>
        <v>10446984</v>
      </c>
      <c r="CL7" s="877">
        <v>44175</v>
      </c>
      <c r="CM7" s="887">
        <f>32963820</f>
        <v>32963820</v>
      </c>
      <c r="CN7" s="877">
        <v>44175</v>
      </c>
      <c r="CO7" s="887">
        <f>78324618</f>
        <v>78324618</v>
      </c>
      <c r="CP7" s="877">
        <v>44194</v>
      </c>
      <c r="CQ7" s="879">
        <v>338205858</v>
      </c>
      <c r="CR7" s="877">
        <v>44204</v>
      </c>
      <c r="CS7" s="879">
        <v>11282742</v>
      </c>
      <c r="CT7" s="877">
        <v>44204</v>
      </c>
      <c r="CU7" s="879">
        <v>384315</v>
      </c>
      <c r="CV7" s="877">
        <v>44204</v>
      </c>
      <c r="CW7" s="879">
        <v>78324618</v>
      </c>
      <c r="CX7" s="877">
        <v>44225</v>
      </c>
      <c r="CY7" s="879">
        <v>1079967997</v>
      </c>
      <c r="CZ7" s="880"/>
      <c r="DA7" s="880"/>
    </row>
    <row r="8" spans="2:105" x14ac:dyDescent="0.25">
      <c r="B8" s="876"/>
      <c r="C8" s="884"/>
      <c r="D8" s="877"/>
      <c r="E8" s="878"/>
      <c r="F8" s="877"/>
      <c r="G8" s="878"/>
      <c r="H8" s="877"/>
      <c r="I8" s="879"/>
      <c r="J8" s="877"/>
      <c r="K8" s="886"/>
      <c r="L8" s="877"/>
      <c r="M8" s="878"/>
      <c r="N8" s="877"/>
      <c r="O8" s="878"/>
      <c r="P8" s="877"/>
      <c r="Q8" s="878"/>
      <c r="R8" s="877"/>
      <c r="S8" s="878"/>
      <c r="T8" s="877"/>
      <c r="U8" s="887"/>
      <c r="V8" s="877"/>
      <c r="W8" s="887"/>
      <c r="X8" s="877"/>
      <c r="Y8" s="887"/>
      <c r="Z8" s="877"/>
      <c r="AA8" s="887"/>
      <c r="AB8" s="877"/>
      <c r="AC8" s="887"/>
      <c r="AD8" s="877"/>
      <c r="AE8" s="887"/>
      <c r="AF8" s="877"/>
      <c r="AG8" s="887"/>
      <c r="AH8" s="877"/>
      <c r="AI8" s="887"/>
      <c r="AJ8" s="877"/>
      <c r="AK8" s="887"/>
      <c r="AL8" s="877"/>
      <c r="AM8" s="887"/>
      <c r="AN8" s="877"/>
      <c r="AO8" s="887"/>
      <c r="AP8" s="877"/>
      <c r="AQ8" s="887"/>
      <c r="AR8" s="877"/>
      <c r="AS8" s="887"/>
      <c r="AT8" s="877"/>
      <c r="AU8" s="887"/>
      <c r="AV8" s="877"/>
      <c r="AW8" s="887"/>
      <c r="AX8" s="877"/>
      <c r="AY8" s="887"/>
      <c r="AZ8" s="877"/>
      <c r="BA8" s="887"/>
      <c r="BB8" s="887"/>
      <c r="BC8" s="887"/>
      <c r="BD8" s="877"/>
      <c r="BE8" s="887"/>
      <c r="BF8" s="877"/>
      <c r="BG8" s="887"/>
      <c r="BH8" s="877"/>
      <c r="BI8" s="887"/>
      <c r="BJ8" s="880"/>
      <c r="BK8" s="880"/>
      <c r="BL8" s="877"/>
      <c r="BM8" s="887"/>
      <c r="BN8" s="877"/>
      <c r="BO8" s="887"/>
      <c r="BP8" s="877"/>
      <c r="BQ8" s="887"/>
      <c r="BR8" s="877"/>
      <c r="BS8" s="887"/>
      <c r="BT8" s="877"/>
      <c r="BU8" s="887"/>
      <c r="BV8" s="880"/>
      <c r="BW8" s="880"/>
      <c r="BX8" s="877"/>
      <c r="BY8" s="887"/>
      <c r="BZ8" s="877"/>
      <c r="CA8" s="887"/>
      <c r="CB8" s="877"/>
      <c r="CC8" s="887"/>
      <c r="CD8" s="880"/>
      <c r="CE8" s="880"/>
      <c r="CF8" s="877"/>
      <c r="CG8" s="887"/>
      <c r="CH8" s="877"/>
      <c r="CI8" s="887"/>
      <c r="CJ8" s="877"/>
      <c r="CK8" s="887"/>
      <c r="CL8" s="877"/>
      <c r="CM8" s="887"/>
      <c r="CN8" s="877"/>
      <c r="CO8" s="887"/>
      <c r="CP8" s="877"/>
      <c r="CQ8" s="879"/>
      <c r="CR8" s="877"/>
      <c r="CS8" s="879"/>
      <c r="CT8" s="877">
        <v>44295</v>
      </c>
      <c r="CU8" s="879">
        <f>286875+7759679</f>
        <v>8046554</v>
      </c>
      <c r="CV8" s="877"/>
      <c r="CW8" s="879"/>
      <c r="CX8" s="877"/>
      <c r="CY8" s="879"/>
      <c r="CZ8" s="880"/>
      <c r="DA8" s="880"/>
    </row>
    <row r="9" spans="2:105" x14ac:dyDescent="0.25">
      <c r="B9" s="876" t="s">
        <v>5968</v>
      </c>
      <c r="C9" s="884"/>
      <c r="D9" s="877">
        <v>44270</v>
      </c>
      <c r="E9" s="879">
        <v>1575000</v>
      </c>
      <c r="F9" s="880"/>
      <c r="G9" s="879"/>
      <c r="H9" s="880"/>
      <c r="I9" s="880"/>
      <c r="J9" s="880"/>
      <c r="K9" s="880"/>
      <c r="L9" s="880"/>
      <c r="M9" s="880"/>
      <c r="N9" s="880"/>
      <c r="O9" s="880"/>
      <c r="P9" s="880"/>
      <c r="Q9" s="880"/>
      <c r="R9" s="880"/>
      <c r="S9" s="880"/>
      <c r="T9" s="880"/>
      <c r="U9" s="880"/>
      <c r="V9" s="880"/>
      <c r="W9" s="880"/>
      <c r="X9" s="880"/>
      <c r="Y9" s="880"/>
      <c r="Z9" s="880"/>
      <c r="AA9" s="880"/>
      <c r="AB9" s="880"/>
      <c r="AC9" s="880"/>
      <c r="AD9" s="880"/>
      <c r="AE9" s="880"/>
      <c r="AF9" s="880"/>
      <c r="AG9" s="880"/>
      <c r="AH9" s="880"/>
      <c r="AI9" s="880"/>
      <c r="AJ9" s="877">
        <v>44133</v>
      </c>
      <c r="AK9" s="879">
        <f>12119614</f>
        <v>12119614</v>
      </c>
      <c r="AL9" s="877">
        <v>44133</v>
      </c>
      <c r="AM9" s="879">
        <f>5741072</f>
        <v>5741072</v>
      </c>
      <c r="AN9" s="880"/>
      <c r="AO9" s="880"/>
      <c r="AP9" s="880"/>
      <c r="AQ9" s="880"/>
      <c r="AR9" s="880"/>
      <c r="AS9" s="880"/>
      <c r="AT9" s="877">
        <v>44130</v>
      </c>
      <c r="AU9" s="879">
        <f>4799586</f>
        <v>4799586</v>
      </c>
      <c r="AV9" s="880"/>
      <c r="AW9" s="880"/>
      <c r="AX9" s="880"/>
      <c r="AY9" s="880"/>
      <c r="AZ9" s="880"/>
      <c r="BA9" s="880"/>
      <c r="BB9" s="880"/>
      <c r="BC9" s="880"/>
      <c r="BD9" s="877">
        <v>44130</v>
      </c>
      <c r="BE9" s="887">
        <v>6636842</v>
      </c>
      <c r="BF9" s="880"/>
      <c r="BG9" s="880"/>
      <c r="BH9" s="880"/>
      <c r="BI9" s="880"/>
      <c r="BJ9" s="880"/>
      <c r="BK9" s="880"/>
      <c r="BL9" s="877">
        <v>44172</v>
      </c>
      <c r="BM9" s="887">
        <f>4239534</f>
        <v>4239534</v>
      </c>
      <c r="BN9" s="880"/>
      <c r="BO9" s="880"/>
      <c r="BP9" s="880"/>
      <c r="BQ9" s="880"/>
      <c r="BR9" s="880"/>
      <c r="BS9" s="880"/>
      <c r="BT9" s="877">
        <v>44172</v>
      </c>
      <c r="BU9" s="887">
        <v>5512536</v>
      </c>
      <c r="BV9" s="880"/>
      <c r="BW9" s="880"/>
      <c r="BX9" s="880"/>
      <c r="BY9" s="880"/>
      <c r="BZ9" s="880"/>
      <c r="CA9" s="880"/>
      <c r="CB9" s="880"/>
      <c r="CC9" s="880"/>
      <c r="CD9" s="880"/>
      <c r="CE9" s="880"/>
      <c r="CF9" s="880"/>
      <c r="CG9" s="880"/>
      <c r="CH9" s="880"/>
      <c r="CI9" s="880"/>
      <c r="CJ9" s="880"/>
      <c r="CK9" s="880"/>
      <c r="CL9" s="880"/>
      <c r="CM9" s="880"/>
      <c r="CN9" s="880"/>
      <c r="CO9" s="880"/>
      <c r="CP9" s="880"/>
      <c r="CQ9" s="880"/>
      <c r="CR9" s="880"/>
      <c r="CS9" s="880"/>
      <c r="CT9" s="877">
        <v>44237</v>
      </c>
      <c r="CU9" s="879">
        <v>128000</v>
      </c>
      <c r="CV9" s="880"/>
      <c r="CW9" s="880"/>
      <c r="CX9" s="880"/>
      <c r="CY9" s="880"/>
      <c r="CZ9" s="877">
        <v>44312</v>
      </c>
      <c r="DA9" s="879">
        <v>59503601</v>
      </c>
    </row>
    <row r="10" spans="2:105" x14ac:dyDescent="0.25">
      <c r="B10" s="876"/>
      <c r="C10" s="884"/>
      <c r="D10" s="877"/>
      <c r="E10" s="880"/>
      <c r="F10" s="880"/>
      <c r="G10" s="879"/>
      <c r="H10" s="880"/>
      <c r="I10" s="880"/>
      <c r="J10" s="880"/>
      <c r="K10" s="880"/>
      <c r="L10" s="880"/>
      <c r="M10" s="880"/>
      <c r="N10" s="880"/>
      <c r="O10" s="880"/>
      <c r="P10" s="880"/>
      <c r="Q10" s="880"/>
      <c r="R10" s="880"/>
      <c r="S10" s="880"/>
      <c r="T10" s="880"/>
      <c r="U10" s="880"/>
      <c r="V10" s="880"/>
      <c r="W10" s="880"/>
      <c r="X10" s="880"/>
      <c r="Y10" s="880"/>
      <c r="Z10" s="880"/>
      <c r="AA10" s="880"/>
      <c r="AB10" s="880"/>
      <c r="AC10" s="880"/>
      <c r="AD10" s="880"/>
      <c r="AE10" s="880"/>
      <c r="AF10" s="880"/>
      <c r="AG10" s="880"/>
      <c r="AH10" s="880"/>
      <c r="AI10" s="880"/>
      <c r="AJ10" s="877"/>
      <c r="AK10" s="879"/>
      <c r="AL10" s="877">
        <v>44237</v>
      </c>
      <c r="AM10" s="879">
        <v>675000</v>
      </c>
      <c r="AN10" s="880"/>
      <c r="AO10" s="880"/>
      <c r="AP10" s="880"/>
      <c r="AQ10" s="880"/>
      <c r="AR10" s="880"/>
      <c r="AS10" s="880"/>
      <c r="AT10" s="877"/>
      <c r="AU10" s="879"/>
      <c r="AV10" s="880"/>
      <c r="AW10" s="880"/>
      <c r="AX10" s="880"/>
      <c r="AY10" s="880"/>
      <c r="AZ10" s="880"/>
      <c r="BA10" s="880"/>
      <c r="BB10" s="880"/>
      <c r="BC10" s="880"/>
      <c r="BD10" s="877"/>
      <c r="BE10" s="887"/>
      <c r="BF10" s="880"/>
      <c r="BG10" s="880"/>
      <c r="BH10" s="880"/>
      <c r="BI10" s="880"/>
      <c r="BJ10" s="880"/>
      <c r="BK10" s="880"/>
      <c r="BL10" s="877"/>
      <c r="BM10" s="887"/>
      <c r="BN10" s="880"/>
      <c r="BO10" s="880"/>
      <c r="BP10" s="880"/>
      <c r="BQ10" s="880"/>
      <c r="BR10" s="880"/>
      <c r="BS10" s="880"/>
      <c r="BT10" s="877"/>
      <c r="BU10" s="887"/>
      <c r="BV10" s="880"/>
      <c r="BW10" s="880"/>
      <c r="BX10" s="880"/>
      <c r="BY10" s="880"/>
      <c r="BZ10" s="880"/>
      <c r="CA10" s="880"/>
      <c r="CB10" s="880"/>
      <c r="CC10" s="880"/>
      <c r="CD10" s="880"/>
      <c r="CE10" s="880"/>
      <c r="CF10" s="880"/>
      <c r="CG10" s="880"/>
      <c r="CH10" s="880"/>
      <c r="CI10" s="880"/>
      <c r="CJ10" s="880"/>
      <c r="CK10" s="880"/>
      <c r="CL10" s="880"/>
      <c r="CM10" s="880"/>
      <c r="CN10" s="880"/>
      <c r="CO10" s="880"/>
      <c r="CP10" s="880"/>
      <c r="CQ10" s="880"/>
      <c r="CR10" s="880"/>
      <c r="CS10" s="880"/>
      <c r="CT10" s="877">
        <v>44237</v>
      </c>
      <c r="CU10" s="879">
        <v>1742625</v>
      </c>
      <c r="CV10" s="880"/>
      <c r="CW10" s="880"/>
      <c r="CX10" s="880"/>
      <c r="CY10" s="880"/>
      <c r="CZ10" s="880"/>
      <c r="DA10" s="880"/>
    </row>
    <row r="11" spans="2:105" x14ac:dyDescent="0.25">
      <c r="B11" s="876" t="s">
        <v>5968</v>
      </c>
      <c r="C11" s="884"/>
      <c r="D11" s="877"/>
      <c r="E11" s="880"/>
      <c r="F11" s="880"/>
      <c r="G11" s="879"/>
      <c r="H11" s="880"/>
      <c r="I11" s="880"/>
      <c r="J11" s="880"/>
      <c r="K11" s="880"/>
      <c r="L11" s="880"/>
      <c r="M11" s="880"/>
      <c r="N11" s="880"/>
      <c r="O11" s="880"/>
      <c r="P11" s="880"/>
      <c r="Q11" s="880"/>
      <c r="R11" s="880"/>
      <c r="S11" s="880"/>
      <c r="T11" s="880"/>
      <c r="U11" s="880"/>
      <c r="V11" s="880"/>
      <c r="W11" s="880"/>
      <c r="X11" s="880"/>
      <c r="Y11" s="880"/>
      <c r="Z11" s="880"/>
      <c r="AA11" s="880"/>
      <c r="AB11" s="877">
        <v>44278</v>
      </c>
      <c r="AC11" s="879">
        <v>746500</v>
      </c>
      <c r="AD11" s="880"/>
      <c r="AE11" s="880"/>
      <c r="AF11" s="880"/>
      <c r="AG11" s="880"/>
      <c r="AH11" s="880"/>
      <c r="AI11" s="880"/>
      <c r="AJ11" s="880"/>
      <c r="AK11" s="880"/>
      <c r="AL11" s="877"/>
      <c r="AM11" s="880"/>
      <c r="AN11" s="880"/>
      <c r="AO11" s="880"/>
      <c r="AP11" s="880"/>
      <c r="AQ11" s="880"/>
      <c r="AR11" s="880"/>
      <c r="AS11" s="880"/>
      <c r="AT11" s="880"/>
      <c r="AU11" s="880"/>
      <c r="AV11" s="880"/>
      <c r="AW11" s="880"/>
      <c r="AX11" s="880"/>
      <c r="AY11" s="880"/>
      <c r="AZ11" s="880"/>
      <c r="BA11" s="880"/>
      <c r="BB11" s="880"/>
      <c r="BC11" s="880"/>
      <c r="BD11" s="877">
        <v>44173</v>
      </c>
      <c r="BE11" s="887">
        <f>2096066</f>
        <v>2096066</v>
      </c>
      <c r="BF11" s="880"/>
      <c r="BG11" s="880"/>
      <c r="BH11" s="880"/>
      <c r="BI11" s="880"/>
      <c r="BJ11" s="880"/>
      <c r="BK11" s="880"/>
      <c r="BL11" s="877">
        <v>44278</v>
      </c>
      <c r="BM11" s="879">
        <v>1404658</v>
      </c>
      <c r="BN11" s="880"/>
      <c r="BO11" s="880"/>
      <c r="BP11" s="880"/>
      <c r="BQ11" s="880"/>
      <c r="BR11" s="880"/>
      <c r="BS11" s="880"/>
      <c r="BT11" s="880"/>
      <c r="BU11" s="880"/>
      <c r="BV11" s="880"/>
      <c r="BW11" s="880"/>
      <c r="BX11" s="880"/>
      <c r="BY11" s="880"/>
      <c r="BZ11" s="880"/>
      <c r="CA11" s="880"/>
      <c r="CB11" s="877">
        <v>44278</v>
      </c>
      <c r="CC11" s="879">
        <v>14700894</v>
      </c>
      <c r="CD11" s="880"/>
      <c r="CE11" s="880"/>
      <c r="CF11" s="880"/>
      <c r="CG11" s="880"/>
      <c r="CH11" s="880"/>
      <c r="CI11" s="880"/>
      <c r="CJ11" s="877">
        <v>44278</v>
      </c>
      <c r="CK11" s="879">
        <v>15105572</v>
      </c>
      <c r="CL11" s="880"/>
      <c r="CM11" s="880"/>
      <c r="CN11" s="880"/>
      <c r="CO11" s="880"/>
      <c r="CP11" s="880"/>
      <c r="CQ11" s="880"/>
      <c r="CR11" s="877">
        <v>44278</v>
      </c>
      <c r="CS11" s="879">
        <v>23912582</v>
      </c>
      <c r="CT11" s="880"/>
      <c r="CU11" s="879"/>
      <c r="CV11" s="880"/>
      <c r="CW11" s="880"/>
      <c r="CX11" s="880"/>
      <c r="CY11" s="880"/>
      <c r="CZ11" s="880"/>
      <c r="DA11" s="880"/>
    </row>
    <row r="12" spans="2:105" x14ac:dyDescent="0.25">
      <c r="B12" s="876" t="s">
        <v>5969</v>
      </c>
      <c r="C12" s="884"/>
      <c r="D12" s="877"/>
      <c r="E12" s="880"/>
      <c r="F12" s="877"/>
      <c r="G12" s="879"/>
      <c r="H12" s="877"/>
      <c r="I12" s="879"/>
      <c r="J12" s="880"/>
      <c r="K12" s="880"/>
      <c r="L12" s="880"/>
      <c r="M12" s="880"/>
      <c r="N12" s="880"/>
      <c r="O12" s="880"/>
      <c r="P12" s="880"/>
      <c r="Q12" s="880"/>
      <c r="R12" s="880"/>
      <c r="S12" s="880"/>
      <c r="T12" s="880"/>
      <c r="U12" s="880"/>
      <c r="V12" s="880"/>
      <c r="W12" s="880"/>
      <c r="X12" s="880"/>
      <c r="Y12" s="880"/>
      <c r="Z12" s="880"/>
      <c r="AA12" s="880"/>
      <c r="AB12" s="880"/>
      <c r="AC12" s="880"/>
      <c r="AD12" s="880"/>
      <c r="AE12" s="880"/>
      <c r="AF12" s="880"/>
      <c r="AG12" s="880"/>
      <c r="AH12" s="880"/>
      <c r="AI12" s="880"/>
      <c r="AJ12" s="880"/>
      <c r="AK12" s="880"/>
      <c r="AL12" s="880"/>
      <c r="AM12" s="880"/>
      <c r="AN12" s="880"/>
      <c r="AO12" s="880"/>
      <c r="AP12" s="880"/>
      <c r="AQ12" s="880"/>
      <c r="AR12" s="880"/>
      <c r="AS12" s="880"/>
      <c r="AT12" s="877"/>
      <c r="AU12" s="879"/>
      <c r="AV12" s="880"/>
      <c r="AW12" s="880"/>
      <c r="AX12" s="880"/>
      <c r="AY12" s="880"/>
      <c r="AZ12" s="880"/>
      <c r="BA12" s="880"/>
      <c r="BB12" s="880"/>
      <c r="BC12" s="880"/>
      <c r="BD12" s="877"/>
      <c r="BE12" s="879"/>
      <c r="BF12" s="880"/>
      <c r="BG12" s="880"/>
      <c r="BH12" s="880"/>
      <c r="BI12" s="880"/>
      <c r="BJ12" s="880"/>
      <c r="BK12" s="880"/>
      <c r="BL12" s="877"/>
      <c r="BM12" s="887"/>
      <c r="BN12" s="880"/>
      <c r="BO12" s="880"/>
      <c r="BP12" s="880"/>
      <c r="BQ12" s="880"/>
      <c r="BR12" s="880"/>
      <c r="BS12" s="880"/>
      <c r="BT12" s="880"/>
      <c r="BU12" s="880"/>
      <c r="BV12" s="880"/>
      <c r="BW12" s="880"/>
      <c r="BX12" s="880"/>
      <c r="BY12" s="880"/>
      <c r="BZ12" s="880"/>
      <c r="CA12" s="880"/>
      <c r="CB12" s="880"/>
      <c r="CC12" s="880"/>
      <c r="CD12" s="880"/>
      <c r="CE12" s="880"/>
      <c r="CF12" s="880"/>
      <c r="CG12" s="880"/>
      <c r="CH12" s="880"/>
      <c r="CI12" s="880"/>
      <c r="CJ12" s="880"/>
      <c r="CK12" s="880"/>
      <c r="CL12" s="880"/>
      <c r="CM12" s="880"/>
      <c r="CN12" s="880"/>
      <c r="CO12" s="880"/>
      <c r="CP12" s="880"/>
      <c r="CQ12" s="880"/>
      <c r="CR12" s="880"/>
      <c r="CS12" s="880"/>
      <c r="CT12" s="880"/>
      <c r="CU12" s="880"/>
      <c r="CV12" s="880"/>
      <c r="CW12" s="880"/>
      <c r="CX12" s="880"/>
      <c r="CY12" s="880"/>
      <c r="CZ12" s="880"/>
      <c r="DA12" s="880"/>
    </row>
    <row r="13" spans="2:105" x14ac:dyDescent="0.25">
      <c r="B13" s="876" t="s">
        <v>5970</v>
      </c>
      <c r="C13" s="884"/>
      <c r="D13" s="877"/>
      <c r="E13" s="880"/>
      <c r="F13" s="880"/>
      <c r="G13" s="879"/>
      <c r="H13" s="880"/>
      <c r="I13" s="880"/>
      <c r="J13" s="880"/>
      <c r="K13" s="880"/>
      <c r="L13" s="880"/>
      <c r="M13" s="880"/>
      <c r="N13" s="880"/>
      <c r="O13" s="880"/>
      <c r="P13" s="880"/>
      <c r="Q13" s="880"/>
      <c r="R13" s="880"/>
      <c r="S13" s="880"/>
      <c r="T13" s="880"/>
      <c r="U13" s="880"/>
      <c r="V13" s="880"/>
      <c r="W13" s="880"/>
      <c r="X13" s="880"/>
      <c r="Y13" s="880"/>
      <c r="Z13" s="880"/>
      <c r="AA13" s="880"/>
      <c r="AB13" s="880"/>
      <c r="AC13" s="880"/>
      <c r="AD13" s="880"/>
      <c r="AE13" s="880"/>
      <c r="AF13" s="880"/>
      <c r="AG13" s="880"/>
      <c r="AH13" s="880"/>
      <c r="AI13" s="880"/>
      <c r="AJ13" s="880"/>
      <c r="AK13" s="880"/>
      <c r="AL13" s="880"/>
      <c r="AM13" s="880"/>
      <c r="AN13" s="880"/>
      <c r="AO13" s="880"/>
      <c r="AP13" s="880"/>
      <c r="AQ13" s="880"/>
      <c r="AR13" s="880"/>
      <c r="AS13" s="880"/>
      <c r="AT13" s="880"/>
      <c r="AU13" s="880"/>
      <c r="AV13" s="880"/>
      <c r="AW13" s="880"/>
      <c r="AX13" s="880"/>
      <c r="AY13" s="880"/>
      <c r="AZ13" s="880"/>
      <c r="BA13" s="880"/>
      <c r="BB13" s="880"/>
      <c r="BC13" s="880"/>
      <c r="BD13" s="880"/>
      <c r="BE13" s="880"/>
      <c r="BF13" s="880"/>
      <c r="BG13" s="880"/>
      <c r="BH13" s="880"/>
      <c r="BI13" s="880"/>
      <c r="BJ13" s="880"/>
      <c r="BK13" s="880"/>
      <c r="BL13" s="880"/>
      <c r="BM13" s="880"/>
      <c r="BN13" s="880"/>
      <c r="BO13" s="880"/>
      <c r="BP13" s="880"/>
      <c r="BQ13" s="880"/>
      <c r="BR13" s="880"/>
      <c r="BS13" s="880"/>
      <c r="BT13" s="880"/>
      <c r="BU13" s="880"/>
      <c r="BV13" s="880"/>
      <c r="BW13" s="880"/>
      <c r="BX13" s="880"/>
      <c r="BY13" s="880"/>
      <c r="BZ13" s="880"/>
      <c r="CA13" s="880"/>
      <c r="CB13" s="880"/>
      <c r="CC13" s="880"/>
      <c r="CD13" s="880"/>
      <c r="CE13" s="880"/>
      <c r="CF13" s="880"/>
      <c r="CG13" s="880"/>
      <c r="CH13" s="880"/>
      <c r="CI13" s="880"/>
      <c r="CJ13" s="877">
        <v>44298</v>
      </c>
      <c r="CK13" s="879">
        <v>667969</v>
      </c>
      <c r="CL13" s="880"/>
      <c r="CM13" s="880"/>
      <c r="CN13" s="880"/>
      <c r="CO13" s="880"/>
      <c r="CP13" s="880"/>
      <c r="CQ13" s="880"/>
      <c r="CR13" s="877">
        <v>44298</v>
      </c>
      <c r="CS13" s="879">
        <v>767161</v>
      </c>
      <c r="CT13" s="877">
        <v>44298</v>
      </c>
      <c r="CU13" s="879">
        <v>17396</v>
      </c>
      <c r="CV13" s="880"/>
      <c r="CW13" s="880"/>
      <c r="CX13" s="880"/>
      <c r="CY13" s="880"/>
      <c r="CZ13" s="880"/>
      <c r="DA13" s="880"/>
    </row>
    <row r="14" spans="2:105" s="535" customFormat="1" x14ac:dyDescent="0.25">
      <c r="B14" s="876" t="s">
        <v>5963</v>
      </c>
      <c r="C14" s="884"/>
      <c r="D14" s="888"/>
      <c r="E14" s="889">
        <f>SUM(E7:E13)</f>
        <v>11919827</v>
      </c>
      <c r="F14" s="876"/>
      <c r="G14" s="890">
        <f>SUM(G7:G13)</f>
        <v>3531261</v>
      </c>
      <c r="H14" s="876"/>
      <c r="I14" s="891">
        <f>SUM(I7:I13)</f>
        <v>144653043</v>
      </c>
      <c r="J14" s="876"/>
      <c r="K14" s="892">
        <f>SUM(K7:K13)</f>
        <v>167534117</v>
      </c>
      <c r="L14" s="876"/>
      <c r="M14" s="889">
        <f>SUM(M7:M13)</f>
        <v>10344827</v>
      </c>
      <c r="N14" s="876"/>
      <c r="O14" s="889">
        <f>SUM(O7:O13)</f>
        <v>212107</v>
      </c>
      <c r="P14" s="876"/>
      <c r="Q14" s="889">
        <f>SUM(Q7:Q13)</f>
        <v>144653043</v>
      </c>
      <c r="R14" s="876"/>
      <c r="S14" s="889">
        <f>SUM(S7:S13)</f>
        <v>637441110</v>
      </c>
      <c r="T14" s="876"/>
      <c r="U14" s="889">
        <f>SUM(U7:U13)</f>
        <v>10420914</v>
      </c>
      <c r="V14" s="876"/>
      <c r="W14" s="889">
        <f>SUM(W7:W13)</f>
        <v>13994839</v>
      </c>
      <c r="X14" s="876"/>
      <c r="Y14" s="889">
        <f>SUM(Y7:Y13)</f>
        <v>144653043</v>
      </c>
      <c r="Z14" s="876"/>
      <c r="AA14" s="889">
        <f>SUM(AA7:AA13)</f>
        <v>710738159</v>
      </c>
      <c r="AB14" s="876"/>
      <c r="AC14" s="889">
        <f>SUM(AC7:AC13)</f>
        <v>8490003</v>
      </c>
      <c r="AD14" s="876"/>
      <c r="AE14" s="889">
        <f>SUM(AE7:AE13)</f>
        <v>136363</v>
      </c>
      <c r="AF14" s="876"/>
      <c r="AG14" s="889">
        <f>SUM(AG7:AG13)</f>
        <v>109654465</v>
      </c>
      <c r="AH14" s="876"/>
      <c r="AI14" s="889">
        <f>SUM(AI7:AI13)</f>
        <v>757752124</v>
      </c>
      <c r="AJ14" s="876"/>
      <c r="AK14" s="889">
        <f>SUM(AK7:AK13)</f>
        <v>27645070</v>
      </c>
      <c r="AL14" s="876"/>
      <c r="AM14" s="889">
        <f>SUM(AM7:AM13)</f>
        <v>14159575</v>
      </c>
      <c r="AN14" s="876"/>
      <c r="AO14" s="889">
        <f>SUM(AO7:AO13)</f>
        <v>2204193</v>
      </c>
      <c r="AP14" s="876"/>
      <c r="AQ14" s="889">
        <f>SUM(AQ7:AQ13)</f>
        <v>109654465</v>
      </c>
      <c r="AR14" s="876"/>
      <c r="AS14" s="889">
        <f>SUM(AS7:AS13)</f>
        <v>1131860548</v>
      </c>
      <c r="AT14" s="876"/>
      <c r="AU14" s="889">
        <f>SUM(AU7:AU13)</f>
        <v>14478965</v>
      </c>
      <c r="AV14" s="876"/>
      <c r="AW14" s="889">
        <f>SUM(AW7:AW13)</f>
        <v>129009</v>
      </c>
      <c r="AX14" s="876"/>
      <c r="AY14" s="889">
        <f>SUM(AY7:AY13)</f>
        <v>109654465</v>
      </c>
      <c r="AZ14" s="876"/>
      <c r="BA14" s="889">
        <f>SUM(BA7:BA13)</f>
        <v>594010877</v>
      </c>
      <c r="BB14" s="889"/>
      <c r="BC14" s="889"/>
      <c r="BD14" s="876"/>
      <c r="BE14" s="889">
        <f>SUM(BE7:BE13)</f>
        <v>18738635</v>
      </c>
      <c r="BF14" s="876"/>
      <c r="BG14" s="889">
        <f>SUM(BG7:BG13)</f>
        <v>27794</v>
      </c>
      <c r="BH14" s="876"/>
      <c r="BI14" s="889">
        <f>SUM(BI7:BI13)</f>
        <v>109654465</v>
      </c>
      <c r="BJ14" s="876"/>
      <c r="BK14" s="876"/>
      <c r="BL14" s="876"/>
      <c r="BM14" s="889">
        <f>SUM(BM7:BM13)</f>
        <v>15373266</v>
      </c>
      <c r="BN14" s="876"/>
      <c r="BO14" s="889">
        <f>SUM(BO7:BO13)</f>
        <v>15982332</v>
      </c>
      <c r="BP14" s="876"/>
      <c r="BQ14" s="889">
        <f>SUM(BQ7:BQ13)</f>
        <v>78324618</v>
      </c>
      <c r="BR14" s="876"/>
      <c r="BS14" s="889">
        <f>SUM(BS7:BS13)</f>
        <v>325042760</v>
      </c>
      <c r="BT14" s="876"/>
      <c r="BU14" s="889">
        <f>SUM(BU7:BU13)</f>
        <v>13899668</v>
      </c>
      <c r="BV14" s="876"/>
      <c r="BW14" s="876"/>
      <c r="BX14" s="876"/>
      <c r="BY14" s="889">
        <f>SUM(BY7:BY13)</f>
        <v>78324618</v>
      </c>
      <c r="BZ14" s="876"/>
      <c r="CA14" s="889">
        <f>SUM(CA7:CA13)</f>
        <v>897813692</v>
      </c>
      <c r="CB14" s="876"/>
      <c r="CC14" s="889">
        <f>SUM(CC7:CC13)</f>
        <v>25167877</v>
      </c>
      <c r="CD14" s="876"/>
      <c r="CE14" s="876"/>
      <c r="CF14" s="876"/>
      <c r="CG14" s="889">
        <f>SUM(CG7:CG13)</f>
        <v>46994770</v>
      </c>
      <c r="CH14" s="876"/>
      <c r="CI14" s="889">
        <f>SUM(CI7:CI13)</f>
        <v>104342364</v>
      </c>
      <c r="CJ14" s="876"/>
      <c r="CK14" s="889">
        <f>SUM(CK7:CK13)</f>
        <v>26220525</v>
      </c>
      <c r="CL14" s="876"/>
      <c r="CM14" s="889">
        <f>SUM(CM7:CM13)</f>
        <v>32963820</v>
      </c>
      <c r="CN14" s="876"/>
      <c r="CO14" s="889">
        <f>SUM(CO7:CO13)</f>
        <v>78324618</v>
      </c>
      <c r="CP14" s="876"/>
      <c r="CQ14" s="876"/>
      <c r="CR14" s="876"/>
      <c r="CS14" s="876"/>
      <c r="CT14" s="876"/>
      <c r="CU14" s="876"/>
      <c r="CV14" s="876"/>
      <c r="CW14" s="876"/>
      <c r="CX14" s="876"/>
      <c r="CY14" s="876"/>
      <c r="CZ14" s="876"/>
      <c r="DA14" s="876"/>
    </row>
    <row r="15" spans="2:105" x14ac:dyDescent="0.25">
      <c r="D15" s="881"/>
      <c r="G15" s="882"/>
    </row>
    <row r="16" spans="2:105" x14ac:dyDescent="0.25">
      <c r="D16" s="881"/>
      <c r="G16" s="882"/>
    </row>
    <row r="17" spans="2:103" x14ac:dyDescent="0.25">
      <c r="B17" s="1653" t="s">
        <v>5972</v>
      </c>
      <c r="C17" s="1653"/>
      <c r="D17" s="1653"/>
      <c r="E17" s="1653"/>
      <c r="F17" s="1653"/>
      <c r="G17" s="1653"/>
      <c r="H17" s="1653"/>
      <c r="I17" s="1653"/>
      <c r="J17" s="1653"/>
      <c r="K17" s="1653"/>
      <c r="L17" s="1653"/>
      <c r="M17" s="1653"/>
      <c r="N17" s="1653"/>
      <c r="O17" s="1653"/>
      <c r="P17" s="1653"/>
      <c r="Q17" s="1653"/>
      <c r="R17" s="1653"/>
      <c r="S17" s="1653"/>
      <c r="T17" s="1653"/>
      <c r="U17" s="1653"/>
      <c r="V17" s="1653"/>
      <c r="W17" s="1653"/>
      <c r="X17" s="1653"/>
      <c r="Y17" s="1653"/>
      <c r="Z17" s="1653"/>
      <c r="AA17" s="1653"/>
      <c r="AB17" s="1653"/>
      <c r="AC17" s="1653"/>
      <c r="AD17" s="1653"/>
      <c r="AE17" s="1653"/>
      <c r="AF17" s="1653"/>
      <c r="AG17" s="1653"/>
      <c r="AH17" s="1653"/>
      <c r="AI17" s="1653"/>
      <c r="AJ17" s="1653"/>
      <c r="AK17" s="1653"/>
      <c r="AL17" s="1653"/>
      <c r="AM17" s="1653"/>
      <c r="AN17" s="1653"/>
      <c r="AO17" s="1653"/>
      <c r="AP17" s="1653"/>
      <c r="AQ17" s="1653"/>
      <c r="AR17" s="1653"/>
      <c r="AS17" s="1653"/>
      <c r="AT17" s="1653"/>
      <c r="AU17" s="1653"/>
      <c r="AV17" s="1653"/>
      <c r="AW17" s="1653"/>
      <c r="AX17" s="1653"/>
      <c r="AY17" s="1653"/>
      <c r="AZ17" s="1653"/>
      <c r="BA17" s="1653"/>
      <c r="BB17" s="1653"/>
      <c r="BC17" s="1653"/>
      <c r="BD17" s="1653"/>
      <c r="BE17" s="1653"/>
      <c r="BF17" s="1653"/>
      <c r="BG17" s="1653"/>
      <c r="BH17" s="1653"/>
      <c r="BI17" s="1653"/>
      <c r="BJ17" s="1653"/>
      <c r="BK17" s="1653"/>
      <c r="BL17" s="1653"/>
      <c r="BM17" s="1653"/>
      <c r="BN17" s="1653"/>
      <c r="BO17" s="1653"/>
      <c r="BP17" s="1653"/>
      <c r="BQ17" s="1653"/>
      <c r="BR17" s="1653"/>
      <c r="BS17" s="1653"/>
      <c r="BT17" s="1653"/>
      <c r="BU17" s="1653"/>
      <c r="BV17" s="1653"/>
      <c r="BW17" s="1653"/>
      <c r="BX17" s="1653"/>
      <c r="BY17" s="1653"/>
      <c r="BZ17" s="1653"/>
      <c r="CA17" s="1653"/>
      <c r="CB17" s="1653"/>
      <c r="CC17" s="1653"/>
      <c r="CD17" s="1653"/>
      <c r="CE17" s="1653"/>
      <c r="CF17" s="1653"/>
      <c r="CG17" s="1653"/>
      <c r="CH17" s="1653"/>
      <c r="CI17" s="1653"/>
      <c r="CJ17" s="1653"/>
      <c r="CK17" s="1653"/>
      <c r="CL17" s="1653"/>
      <c r="CM17" s="1653"/>
      <c r="CN17" s="1653"/>
      <c r="CO17" s="1653"/>
      <c r="CP17" s="1653"/>
      <c r="CQ17" s="1653"/>
      <c r="CR17" s="1653"/>
      <c r="CS17" s="1653"/>
      <c r="CT17" s="1653"/>
      <c r="CU17" s="1653"/>
      <c r="CV17" s="1653"/>
      <c r="CW17" s="1653"/>
      <c r="CX17" s="1653"/>
      <c r="CY17" s="1653"/>
    </row>
    <row r="18" spans="2:103" x14ac:dyDescent="0.25">
      <c r="B18" s="1653" t="s">
        <v>6042</v>
      </c>
      <c r="C18" s="1653"/>
      <c r="D18" s="1653"/>
      <c r="E18" s="1653"/>
      <c r="F18" s="1653"/>
      <c r="G18" s="1653"/>
      <c r="H18" s="1653"/>
      <c r="I18" s="1653"/>
      <c r="J18" s="1653"/>
      <c r="K18" s="1653"/>
      <c r="L18" s="1653"/>
      <c r="M18" s="1653"/>
      <c r="N18" s="1653"/>
      <c r="O18" s="1653"/>
      <c r="P18" s="1653"/>
      <c r="Q18" s="1653"/>
      <c r="R18" s="1653"/>
      <c r="S18" s="1653"/>
      <c r="T18" s="1653"/>
      <c r="U18" s="1653"/>
      <c r="V18" s="1653"/>
      <c r="W18" s="1653"/>
      <c r="X18" s="1653"/>
      <c r="Y18" s="1653"/>
      <c r="Z18" s="1653"/>
      <c r="AA18" s="1653"/>
      <c r="AB18" s="1653"/>
      <c r="AC18" s="1653"/>
      <c r="AD18" s="1653"/>
      <c r="AE18" s="1653"/>
      <c r="AF18" s="1653"/>
      <c r="AG18" s="1653"/>
      <c r="AH18" s="1653"/>
      <c r="AI18" s="1653"/>
      <c r="AJ18" s="1653"/>
      <c r="AK18" s="1653"/>
      <c r="AL18" s="1653"/>
      <c r="AM18" s="1653"/>
      <c r="AN18" s="1653"/>
      <c r="AO18" s="1653"/>
      <c r="AP18" s="1653"/>
      <c r="AQ18" s="1653"/>
      <c r="AR18" s="1653"/>
      <c r="AS18" s="1653"/>
      <c r="AT18" s="1653"/>
      <c r="AU18" s="1653"/>
      <c r="AV18" s="1653"/>
      <c r="AW18" s="1653"/>
      <c r="AX18" s="1653"/>
      <c r="AY18" s="1653"/>
      <c r="AZ18" s="1653"/>
      <c r="BA18" s="1653"/>
      <c r="BB18" s="1653"/>
      <c r="BC18" s="1653"/>
      <c r="BD18" s="1653"/>
      <c r="BE18" s="1653"/>
      <c r="BF18" s="1653"/>
      <c r="BG18" s="1653"/>
      <c r="BH18" s="1653"/>
      <c r="BI18" s="1653"/>
      <c r="BJ18" s="1653"/>
      <c r="BK18" s="1653"/>
      <c r="BL18" s="1653"/>
      <c r="BM18" s="1653"/>
      <c r="BN18" s="1653"/>
      <c r="BO18" s="1653"/>
      <c r="BP18" s="1653"/>
      <c r="BQ18" s="1653"/>
      <c r="BR18" s="1653"/>
      <c r="BS18" s="1653"/>
      <c r="BT18" s="1653"/>
      <c r="BU18" s="1653"/>
      <c r="BV18" s="1653"/>
      <c r="BW18" s="1653"/>
      <c r="BX18" s="1653"/>
      <c r="BY18" s="1653"/>
      <c r="BZ18" s="1653"/>
      <c r="CA18" s="1653"/>
      <c r="CB18" s="1653"/>
      <c r="CC18" s="1653"/>
      <c r="CD18" s="1653"/>
      <c r="CE18" s="1653"/>
      <c r="CF18" s="1653"/>
      <c r="CG18" s="1653"/>
      <c r="CH18" s="1653"/>
      <c r="CI18" s="1653"/>
      <c r="CJ18" s="1653"/>
      <c r="CK18" s="1653"/>
      <c r="CL18" s="1653"/>
      <c r="CM18" s="1653"/>
      <c r="CN18" s="1653"/>
      <c r="CO18" s="1653"/>
      <c r="CP18" s="1653"/>
      <c r="CQ18" s="1653"/>
      <c r="CR18" s="1653"/>
      <c r="CS18" s="1653"/>
      <c r="CT18" s="1653"/>
      <c r="CU18" s="1653"/>
      <c r="CV18" s="1653"/>
      <c r="CW18" s="1653"/>
      <c r="CX18" s="1653"/>
      <c r="CY18" s="1653"/>
    </row>
    <row r="20" spans="2:103" x14ac:dyDescent="0.25">
      <c r="B20" s="1654" t="s">
        <v>5961</v>
      </c>
      <c r="C20" s="883"/>
      <c r="D20" s="1655">
        <v>44197</v>
      </c>
      <c r="E20" s="1656"/>
      <c r="F20" s="1656"/>
      <c r="G20" s="1656"/>
      <c r="H20" s="1656"/>
      <c r="I20" s="1656"/>
      <c r="J20" s="1656"/>
      <c r="K20" s="1652"/>
      <c r="L20" s="1655">
        <v>44228</v>
      </c>
      <c r="M20" s="1656"/>
      <c r="N20" s="1656"/>
      <c r="O20" s="1656"/>
      <c r="P20" s="1656"/>
      <c r="Q20" s="1656"/>
      <c r="R20" s="1656"/>
      <c r="S20" s="1652"/>
      <c r="T20" s="1655">
        <v>44256</v>
      </c>
      <c r="U20" s="1656"/>
      <c r="V20" s="1656"/>
      <c r="W20" s="1656"/>
      <c r="X20" s="1656"/>
      <c r="Y20" s="1656"/>
      <c r="Z20" s="1656"/>
      <c r="AA20" s="1652"/>
      <c r="AB20" s="1655">
        <v>44287</v>
      </c>
      <c r="AC20" s="1656"/>
      <c r="AD20" s="1656"/>
      <c r="AE20" s="1656"/>
      <c r="AF20" s="1656"/>
      <c r="AG20" s="1656"/>
      <c r="AH20" s="1656"/>
      <c r="AI20" s="1652"/>
      <c r="AJ20" s="1399"/>
      <c r="AK20" s="1399"/>
      <c r="AL20" s="1655">
        <v>44317</v>
      </c>
      <c r="AM20" s="1656"/>
      <c r="AN20" s="1656"/>
      <c r="AO20" s="1656"/>
      <c r="AP20" s="1656"/>
      <c r="AQ20" s="1656"/>
      <c r="AR20" s="1656"/>
      <c r="AS20" s="1652"/>
      <c r="AT20" s="1657">
        <v>44348</v>
      </c>
      <c r="AU20" s="1659"/>
      <c r="AV20" s="1659"/>
      <c r="AW20" s="1659"/>
      <c r="AX20" s="1659"/>
      <c r="AY20" s="1659"/>
      <c r="AZ20" s="1659"/>
      <c r="BA20" s="1659"/>
      <c r="BB20" s="1659"/>
      <c r="BC20" s="1660"/>
      <c r="BD20" s="1655">
        <v>44378</v>
      </c>
      <c r="BE20" s="1656"/>
      <c r="BF20" s="1656"/>
      <c r="BG20" s="1656"/>
      <c r="BH20" s="1656"/>
      <c r="BI20" s="1656"/>
      <c r="BJ20" s="1656"/>
      <c r="BK20" s="1652"/>
      <c r="BL20" s="1657">
        <v>44409</v>
      </c>
      <c r="BM20" s="1658"/>
      <c r="BN20" s="1658"/>
      <c r="BO20" s="1658"/>
      <c r="BP20" s="1658"/>
      <c r="BQ20" s="1658"/>
      <c r="BR20" s="1658"/>
      <c r="BS20" s="1650"/>
      <c r="BT20" s="1655">
        <v>44440</v>
      </c>
      <c r="BU20" s="1656"/>
      <c r="BV20" s="1656"/>
      <c r="BW20" s="1656"/>
      <c r="BX20" s="1656"/>
      <c r="BY20" s="1656"/>
      <c r="BZ20" s="1656"/>
      <c r="CA20" s="1652"/>
      <c r="CB20" s="1657">
        <v>44470</v>
      </c>
      <c r="CC20" s="1658"/>
      <c r="CD20" s="1658"/>
      <c r="CE20" s="1658"/>
      <c r="CF20" s="1658"/>
      <c r="CG20" s="1658"/>
      <c r="CH20" s="1658"/>
      <c r="CI20" s="1650"/>
      <c r="CJ20" s="1655">
        <v>44501</v>
      </c>
      <c r="CK20" s="1656"/>
      <c r="CL20" s="1656"/>
      <c r="CM20" s="1656"/>
      <c r="CN20" s="1656"/>
      <c r="CO20" s="1656"/>
      <c r="CP20" s="1656"/>
      <c r="CQ20" s="1652"/>
      <c r="CR20" s="1657">
        <v>44531</v>
      </c>
      <c r="CS20" s="1658"/>
      <c r="CT20" s="1658"/>
      <c r="CU20" s="1658"/>
      <c r="CV20" s="1658"/>
      <c r="CW20" s="1658"/>
      <c r="CX20" s="1658"/>
      <c r="CY20" s="1650"/>
    </row>
    <row r="21" spans="2:103" x14ac:dyDescent="0.25">
      <c r="B21" s="1654"/>
      <c r="C21" s="883"/>
      <c r="D21" s="1651" t="s">
        <v>3441</v>
      </c>
      <c r="E21" s="1652"/>
      <c r="F21" s="1651" t="s">
        <v>5964</v>
      </c>
      <c r="G21" s="1652"/>
      <c r="H21" s="1651" t="s">
        <v>5965</v>
      </c>
      <c r="I21" s="1652"/>
      <c r="J21" s="1651" t="s">
        <v>5966</v>
      </c>
      <c r="K21" s="1652"/>
      <c r="L21" s="1649" t="s">
        <v>3441</v>
      </c>
      <c r="M21" s="1650"/>
      <c r="N21" s="1649" t="s">
        <v>5964</v>
      </c>
      <c r="O21" s="1650"/>
      <c r="P21" s="1649" t="s">
        <v>5965</v>
      </c>
      <c r="Q21" s="1650"/>
      <c r="R21" s="1649" t="s">
        <v>5966</v>
      </c>
      <c r="S21" s="1650"/>
      <c r="T21" s="1651" t="s">
        <v>3441</v>
      </c>
      <c r="U21" s="1652"/>
      <c r="V21" s="1651" t="s">
        <v>5964</v>
      </c>
      <c r="W21" s="1652"/>
      <c r="X21" s="1651" t="s">
        <v>5965</v>
      </c>
      <c r="Y21" s="1652"/>
      <c r="Z21" s="1651" t="s">
        <v>5966</v>
      </c>
      <c r="AA21" s="1652"/>
      <c r="AB21" s="1649" t="s">
        <v>3441</v>
      </c>
      <c r="AC21" s="1650"/>
      <c r="AD21" s="1649" t="s">
        <v>5964</v>
      </c>
      <c r="AE21" s="1650"/>
      <c r="AF21" s="1649" t="s">
        <v>5965</v>
      </c>
      <c r="AG21" s="1650"/>
      <c r="AH21" s="1649" t="s">
        <v>5966</v>
      </c>
      <c r="AI21" s="1650"/>
      <c r="AJ21" s="1651" t="s">
        <v>5971</v>
      </c>
      <c r="AK21" s="1652"/>
      <c r="AL21" s="1651" t="s">
        <v>3441</v>
      </c>
      <c r="AM21" s="1652"/>
      <c r="AN21" s="1651" t="s">
        <v>5964</v>
      </c>
      <c r="AO21" s="1652"/>
      <c r="AP21" s="1651" t="s">
        <v>5965</v>
      </c>
      <c r="AQ21" s="1652"/>
      <c r="AR21" s="1651" t="s">
        <v>5966</v>
      </c>
      <c r="AS21" s="1652"/>
      <c r="AT21" s="1649" t="s">
        <v>3441</v>
      </c>
      <c r="AU21" s="1650"/>
      <c r="AV21" s="1649" t="s">
        <v>5964</v>
      </c>
      <c r="AW21" s="1650"/>
      <c r="AX21" s="1649" t="s">
        <v>5965</v>
      </c>
      <c r="AY21" s="1650"/>
      <c r="AZ21" s="1649" t="s">
        <v>5966</v>
      </c>
      <c r="BA21" s="1650"/>
      <c r="BB21" s="1649" t="s">
        <v>6123</v>
      </c>
      <c r="BC21" s="1650"/>
      <c r="BD21" s="1651" t="s">
        <v>3441</v>
      </c>
      <c r="BE21" s="1652"/>
      <c r="BF21" s="1651" t="s">
        <v>5964</v>
      </c>
      <c r="BG21" s="1652"/>
      <c r="BH21" s="1651" t="s">
        <v>5965</v>
      </c>
      <c r="BI21" s="1652"/>
      <c r="BJ21" s="1651" t="s">
        <v>5966</v>
      </c>
      <c r="BK21" s="1652"/>
      <c r="BL21" s="1649" t="s">
        <v>3441</v>
      </c>
      <c r="BM21" s="1650"/>
      <c r="BN21" s="1649" t="s">
        <v>5964</v>
      </c>
      <c r="BO21" s="1650"/>
      <c r="BP21" s="1649" t="s">
        <v>5965</v>
      </c>
      <c r="BQ21" s="1650"/>
      <c r="BR21" s="1649" t="s">
        <v>5966</v>
      </c>
      <c r="BS21" s="1650"/>
      <c r="BT21" s="1651" t="s">
        <v>3441</v>
      </c>
      <c r="BU21" s="1652"/>
      <c r="BV21" s="1651" t="s">
        <v>5964</v>
      </c>
      <c r="BW21" s="1652"/>
      <c r="BX21" s="1651" t="s">
        <v>5965</v>
      </c>
      <c r="BY21" s="1652"/>
      <c r="BZ21" s="1651" t="s">
        <v>5966</v>
      </c>
      <c r="CA21" s="1652"/>
      <c r="CB21" s="1649" t="s">
        <v>3441</v>
      </c>
      <c r="CC21" s="1650"/>
      <c r="CD21" s="1649" t="s">
        <v>5964</v>
      </c>
      <c r="CE21" s="1650"/>
      <c r="CF21" s="1649" t="s">
        <v>5965</v>
      </c>
      <c r="CG21" s="1650"/>
      <c r="CH21" s="1649" t="s">
        <v>5966</v>
      </c>
      <c r="CI21" s="1650"/>
      <c r="CJ21" s="1651" t="s">
        <v>3441</v>
      </c>
      <c r="CK21" s="1652"/>
      <c r="CL21" s="1651" t="s">
        <v>5964</v>
      </c>
      <c r="CM21" s="1652"/>
      <c r="CN21" s="1651" t="s">
        <v>5965</v>
      </c>
      <c r="CO21" s="1652"/>
      <c r="CP21" s="1651" t="s">
        <v>5966</v>
      </c>
      <c r="CQ21" s="1652"/>
      <c r="CR21" s="1649" t="s">
        <v>3441</v>
      </c>
      <c r="CS21" s="1650"/>
      <c r="CT21" s="1649" t="s">
        <v>5964</v>
      </c>
      <c r="CU21" s="1650"/>
      <c r="CV21" s="1649" t="s">
        <v>5965</v>
      </c>
      <c r="CW21" s="1650"/>
      <c r="CX21" s="1649" t="s">
        <v>5966</v>
      </c>
      <c r="CY21" s="1650"/>
    </row>
    <row r="22" spans="2:103" x14ac:dyDescent="0.25">
      <c r="B22" s="1654"/>
      <c r="C22" s="883"/>
      <c r="D22" s="875" t="s">
        <v>5962</v>
      </c>
      <c r="E22" s="876" t="s">
        <v>5963</v>
      </c>
      <c r="F22" s="876" t="s">
        <v>5962</v>
      </c>
      <c r="G22" s="876" t="s">
        <v>5963</v>
      </c>
      <c r="H22" s="876" t="s">
        <v>5962</v>
      </c>
      <c r="I22" s="876" t="s">
        <v>5963</v>
      </c>
      <c r="J22" s="876" t="s">
        <v>5962</v>
      </c>
      <c r="K22" s="876" t="s">
        <v>5963</v>
      </c>
      <c r="L22" s="876" t="s">
        <v>5962</v>
      </c>
      <c r="M22" s="876" t="s">
        <v>5963</v>
      </c>
      <c r="N22" s="876" t="s">
        <v>5962</v>
      </c>
      <c r="O22" s="876" t="s">
        <v>5963</v>
      </c>
      <c r="P22" s="876" t="s">
        <v>5962</v>
      </c>
      <c r="Q22" s="876" t="s">
        <v>5963</v>
      </c>
      <c r="R22" s="876" t="s">
        <v>5962</v>
      </c>
      <c r="S22" s="876" t="s">
        <v>5963</v>
      </c>
      <c r="T22" s="876" t="s">
        <v>5962</v>
      </c>
      <c r="U22" s="876" t="s">
        <v>5963</v>
      </c>
      <c r="V22" s="876" t="s">
        <v>5962</v>
      </c>
      <c r="W22" s="876" t="s">
        <v>5963</v>
      </c>
      <c r="X22" s="876" t="s">
        <v>5962</v>
      </c>
      <c r="Y22" s="876" t="s">
        <v>5963</v>
      </c>
      <c r="Z22" s="876" t="s">
        <v>5962</v>
      </c>
      <c r="AA22" s="876" t="s">
        <v>5963</v>
      </c>
      <c r="AB22" s="876" t="s">
        <v>5962</v>
      </c>
      <c r="AC22" s="876" t="s">
        <v>5963</v>
      </c>
      <c r="AD22" s="876" t="s">
        <v>5962</v>
      </c>
      <c r="AE22" s="876" t="s">
        <v>5963</v>
      </c>
      <c r="AF22" s="876" t="s">
        <v>5962</v>
      </c>
      <c r="AG22" s="876" t="s">
        <v>5963</v>
      </c>
      <c r="AH22" s="876" t="s">
        <v>5962</v>
      </c>
      <c r="AI22" s="876" t="s">
        <v>5963</v>
      </c>
      <c r="AJ22" s="876" t="s">
        <v>5962</v>
      </c>
      <c r="AK22" s="876" t="s">
        <v>5963</v>
      </c>
      <c r="AL22" s="876" t="s">
        <v>5962</v>
      </c>
      <c r="AM22" s="876" t="s">
        <v>5963</v>
      </c>
      <c r="AN22" s="876" t="s">
        <v>5962</v>
      </c>
      <c r="AO22" s="876" t="s">
        <v>5963</v>
      </c>
      <c r="AP22" s="876" t="s">
        <v>5962</v>
      </c>
      <c r="AQ22" s="876" t="s">
        <v>5963</v>
      </c>
      <c r="AR22" s="876" t="s">
        <v>5962</v>
      </c>
      <c r="AS22" s="876" t="s">
        <v>5963</v>
      </c>
      <c r="AT22" s="876" t="s">
        <v>5962</v>
      </c>
      <c r="AU22" s="876" t="s">
        <v>5963</v>
      </c>
      <c r="AV22" s="876" t="s">
        <v>5962</v>
      </c>
      <c r="AW22" s="876" t="s">
        <v>5963</v>
      </c>
      <c r="AX22" s="876" t="s">
        <v>5962</v>
      </c>
      <c r="AY22" s="876" t="s">
        <v>5963</v>
      </c>
      <c r="AZ22" s="876" t="s">
        <v>5962</v>
      </c>
      <c r="BA22" s="876" t="s">
        <v>5963</v>
      </c>
      <c r="BB22" s="876" t="s">
        <v>5962</v>
      </c>
      <c r="BC22" s="876" t="s">
        <v>5963</v>
      </c>
      <c r="BD22" s="876" t="s">
        <v>5962</v>
      </c>
      <c r="BE22" s="876" t="s">
        <v>5963</v>
      </c>
      <c r="BF22" s="876" t="s">
        <v>5962</v>
      </c>
      <c r="BG22" s="876" t="s">
        <v>5963</v>
      </c>
      <c r="BH22" s="876" t="s">
        <v>5962</v>
      </c>
      <c r="BI22" s="876" t="s">
        <v>5963</v>
      </c>
      <c r="BJ22" s="876" t="s">
        <v>5962</v>
      </c>
      <c r="BK22" s="876" t="s">
        <v>5963</v>
      </c>
      <c r="BL22" s="876" t="s">
        <v>5962</v>
      </c>
      <c r="BM22" s="876" t="s">
        <v>5963</v>
      </c>
      <c r="BN22" s="876" t="s">
        <v>5962</v>
      </c>
      <c r="BO22" s="876" t="s">
        <v>5963</v>
      </c>
      <c r="BP22" s="876" t="s">
        <v>5962</v>
      </c>
      <c r="BQ22" s="876" t="s">
        <v>5963</v>
      </c>
      <c r="BR22" s="876" t="s">
        <v>5962</v>
      </c>
      <c r="BS22" s="876" t="s">
        <v>5963</v>
      </c>
      <c r="BT22" s="876" t="s">
        <v>5962</v>
      </c>
      <c r="BU22" s="876" t="s">
        <v>5963</v>
      </c>
      <c r="BV22" s="876" t="s">
        <v>5962</v>
      </c>
      <c r="BW22" s="876" t="s">
        <v>5963</v>
      </c>
      <c r="BX22" s="876" t="s">
        <v>5962</v>
      </c>
      <c r="BY22" s="876" t="s">
        <v>5963</v>
      </c>
      <c r="BZ22" s="876" t="s">
        <v>5962</v>
      </c>
      <c r="CA22" s="876" t="s">
        <v>5963</v>
      </c>
      <c r="CB22" s="876" t="s">
        <v>5962</v>
      </c>
      <c r="CC22" s="876" t="s">
        <v>5963</v>
      </c>
      <c r="CD22" s="876" t="s">
        <v>5962</v>
      </c>
      <c r="CE22" s="876" t="s">
        <v>5963</v>
      </c>
      <c r="CF22" s="876" t="s">
        <v>5962</v>
      </c>
      <c r="CG22" s="876" t="s">
        <v>5963</v>
      </c>
      <c r="CH22" s="876" t="s">
        <v>5962</v>
      </c>
      <c r="CI22" s="876" t="s">
        <v>5963</v>
      </c>
      <c r="CJ22" s="876" t="s">
        <v>5962</v>
      </c>
      <c r="CK22" s="876" t="s">
        <v>5963</v>
      </c>
      <c r="CL22" s="876" t="s">
        <v>5962</v>
      </c>
      <c r="CM22" s="876" t="s">
        <v>5963</v>
      </c>
      <c r="CN22" s="876" t="s">
        <v>5962</v>
      </c>
      <c r="CO22" s="876" t="s">
        <v>5963</v>
      </c>
      <c r="CP22" s="876" t="s">
        <v>5962</v>
      </c>
      <c r="CQ22" s="876" t="s">
        <v>5963</v>
      </c>
      <c r="CR22" s="876" t="s">
        <v>5962</v>
      </c>
      <c r="CS22" s="876" t="s">
        <v>5963</v>
      </c>
      <c r="CT22" s="876" t="s">
        <v>5962</v>
      </c>
      <c r="CU22" s="876" t="s">
        <v>5963</v>
      </c>
      <c r="CV22" s="876" t="s">
        <v>5962</v>
      </c>
      <c r="CW22" s="876" t="s">
        <v>5963</v>
      </c>
      <c r="CX22" s="876" t="s">
        <v>5962</v>
      </c>
      <c r="CY22" s="876" t="s">
        <v>5963</v>
      </c>
    </row>
    <row r="23" spans="2:103" x14ac:dyDescent="0.25">
      <c r="B23" s="876" t="s">
        <v>5967</v>
      </c>
      <c r="C23" s="884"/>
      <c r="D23" s="877">
        <v>44237</v>
      </c>
      <c r="E23" s="878">
        <v>8357587</v>
      </c>
      <c r="F23" s="877" t="s">
        <v>125</v>
      </c>
      <c r="G23" s="878" t="s">
        <v>125</v>
      </c>
      <c r="H23" s="877">
        <v>44235</v>
      </c>
      <c r="I23" s="879">
        <v>78324618</v>
      </c>
      <c r="J23" s="877" t="s">
        <v>125</v>
      </c>
      <c r="K23" s="886" t="s">
        <v>125</v>
      </c>
      <c r="L23" s="877">
        <v>44265</v>
      </c>
      <c r="M23" s="878">
        <v>8357587</v>
      </c>
      <c r="N23" s="877">
        <v>44265</v>
      </c>
      <c r="O23" s="878">
        <f>1211401+199429</f>
        <v>1410830</v>
      </c>
      <c r="P23" s="877">
        <v>44265</v>
      </c>
      <c r="Q23" s="878">
        <v>78324618</v>
      </c>
      <c r="R23" s="877"/>
      <c r="S23" s="878"/>
      <c r="T23" s="877">
        <v>44295</v>
      </c>
      <c r="U23" s="887">
        <v>8357587</v>
      </c>
      <c r="V23" s="877">
        <v>44295</v>
      </c>
      <c r="W23" s="887">
        <f>147531+65147</f>
        <v>212678</v>
      </c>
      <c r="X23" s="877">
        <v>44295</v>
      </c>
      <c r="Y23" s="887">
        <v>78324618</v>
      </c>
      <c r="Z23" s="877"/>
      <c r="AA23" s="887"/>
      <c r="AB23" s="877">
        <v>44327</v>
      </c>
      <c r="AC23" s="887">
        <v>1575000</v>
      </c>
      <c r="AD23" s="877">
        <v>44327</v>
      </c>
      <c r="AE23" s="887">
        <v>31332913</v>
      </c>
      <c r="AF23" s="877">
        <v>44327</v>
      </c>
      <c r="AG23" s="887">
        <v>47322000</v>
      </c>
      <c r="AH23" s="877">
        <v>44344</v>
      </c>
      <c r="AI23" s="887">
        <v>847905861</v>
      </c>
      <c r="AJ23" s="877"/>
      <c r="AK23" s="887"/>
      <c r="AL23" s="877">
        <v>44357</v>
      </c>
      <c r="AM23" s="887">
        <v>9481128</v>
      </c>
      <c r="AN23" s="877">
        <v>44357</v>
      </c>
      <c r="AO23" s="887">
        <f>1206276+116237</f>
        <v>1322513</v>
      </c>
      <c r="AP23" s="877">
        <v>44357</v>
      </c>
      <c r="AQ23" s="887">
        <v>47322000</v>
      </c>
      <c r="AR23" s="877">
        <v>44376</v>
      </c>
      <c r="AS23" s="887">
        <v>517943949</v>
      </c>
      <c r="AT23" s="877">
        <v>44386</v>
      </c>
      <c r="AU23" s="887">
        <v>675000</v>
      </c>
      <c r="AV23" s="877">
        <v>44386</v>
      </c>
      <c r="AW23" s="887">
        <f>3348572+92908</f>
        <v>3441480</v>
      </c>
      <c r="AX23" s="877">
        <v>44386</v>
      </c>
      <c r="AY23" s="887">
        <v>47322000</v>
      </c>
      <c r="AZ23" s="877" t="s">
        <v>125</v>
      </c>
      <c r="BA23" s="887" t="s">
        <v>125</v>
      </c>
      <c r="BB23" s="877">
        <v>44386</v>
      </c>
      <c r="BC23" s="887">
        <v>29000000</v>
      </c>
      <c r="BD23" s="877">
        <v>44418</v>
      </c>
      <c r="BE23" s="887">
        <v>9536328</v>
      </c>
      <c r="BF23" s="877">
        <v>44418</v>
      </c>
      <c r="BG23" s="887">
        <v>23172156</v>
      </c>
      <c r="BH23" s="877">
        <v>44418</v>
      </c>
      <c r="BI23" s="887">
        <v>94644000</v>
      </c>
      <c r="BJ23" s="877">
        <v>44435</v>
      </c>
      <c r="BK23" s="879">
        <v>1205800018</v>
      </c>
      <c r="BL23" s="877">
        <v>44449</v>
      </c>
      <c r="BM23" s="887">
        <v>9536328</v>
      </c>
      <c r="BN23" s="877">
        <v>44449</v>
      </c>
      <c r="BO23" s="887">
        <v>90000</v>
      </c>
      <c r="BP23" s="877">
        <v>44449</v>
      </c>
      <c r="BQ23" s="887">
        <v>94644000</v>
      </c>
      <c r="BR23" s="877"/>
      <c r="BS23" s="887"/>
      <c r="BT23" s="877">
        <v>44477</v>
      </c>
      <c r="BU23" s="887">
        <v>9536328</v>
      </c>
      <c r="BV23" s="877">
        <v>44477</v>
      </c>
      <c r="BW23" s="879">
        <f>28507982+8950998</f>
        <v>37458980</v>
      </c>
      <c r="BX23" s="877">
        <v>44480</v>
      </c>
      <c r="BY23" s="887">
        <v>94644000</v>
      </c>
      <c r="BZ23" s="877" t="s">
        <v>125</v>
      </c>
      <c r="CA23" s="887">
        <v>0</v>
      </c>
      <c r="CB23" s="877">
        <v>44510</v>
      </c>
      <c r="CC23" s="887">
        <v>9536328</v>
      </c>
      <c r="CD23" s="877">
        <v>44510</v>
      </c>
      <c r="CE23" s="879">
        <f>7661723+741207</f>
        <v>8402930</v>
      </c>
      <c r="CF23" s="877">
        <v>44510</v>
      </c>
      <c r="CG23" s="887">
        <v>102022038</v>
      </c>
      <c r="CH23" s="877"/>
      <c r="CI23" s="887"/>
      <c r="CJ23" s="877">
        <v>44540</v>
      </c>
      <c r="CK23" s="887">
        <v>9536328</v>
      </c>
      <c r="CL23" s="877">
        <v>44540</v>
      </c>
      <c r="CM23" s="864">
        <f>690460+4408979</f>
        <v>5099439</v>
      </c>
      <c r="CN23" s="877">
        <v>44540</v>
      </c>
      <c r="CO23" s="887">
        <v>102022038</v>
      </c>
      <c r="CP23" s="877" t="s">
        <v>125</v>
      </c>
      <c r="CQ23" s="879" t="s">
        <v>125</v>
      </c>
      <c r="CR23" s="877">
        <v>44571</v>
      </c>
      <c r="CS23" s="879">
        <v>9656953</v>
      </c>
      <c r="CT23" s="877">
        <v>44571</v>
      </c>
      <c r="CU23" s="879">
        <f>10031342+432707</f>
        <v>10464049</v>
      </c>
      <c r="CV23" s="877">
        <v>44571</v>
      </c>
      <c r="CW23" s="879">
        <v>102022038</v>
      </c>
      <c r="CX23" s="877">
        <v>44589</v>
      </c>
      <c r="CY23" s="879">
        <v>208465078</v>
      </c>
    </row>
    <row r="24" spans="2:103" x14ac:dyDescent="0.25">
      <c r="B24" s="876" t="s">
        <v>5967</v>
      </c>
      <c r="C24" s="884"/>
      <c r="D24" s="877"/>
      <c r="E24" s="878"/>
      <c r="F24" s="877"/>
      <c r="G24" s="878"/>
      <c r="H24" s="877"/>
      <c r="I24" s="879"/>
      <c r="J24" s="877"/>
      <c r="K24" s="886"/>
      <c r="L24" s="877"/>
      <c r="M24" s="878"/>
      <c r="N24" s="877"/>
      <c r="O24" s="878"/>
      <c r="P24" s="877"/>
      <c r="Q24" s="878"/>
      <c r="R24" s="877"/>
      <c r="S24" s="878"/>
      <c r="T24" s="877"/>
      <c r="U24" s="887"/>
      <c r="V24" s="877">
        <v>44357</v>
      </c>
      <c r="W24" s="887">
        <v>6285</v>
      </c>
      <c r="X24" s="877"/>
      <c r="Y24" s="887"/>
      <c r="Z24" s="877"/>
      <c r="AA24" s="887"/>
      <c r="AB24" s="877">
        <v>44327</v>
      </c>
      <c r="AC24" s="887">
        <v>8976317</v>
      </c>
      <c r="AD24" s="877"/>
      <c r="AE24" s="887"/>
      <c r="AF24" s="877"/>
      <c r="AG24" s="887"/>
      <c r="AH24" s="877"/>
      <c r="AI24" s="887"/>
      <c r="AJ24" s="877"/>
      <c r="AK24" s="887"/>
      <c r="AL24" s="877"/>
      <c r="AM24" s="887"/>
      <c r="AN24" s="877"/>
      <c r="AO24" s="887"/>
      <c r="AP24" s="877"/>
      <c r="AQ24" s="887"/>
      <c r="AR24" s="877"/>
      <c r="AS24" s="887"/>
      <c r="AT24" s="877">
        <v>44386</v>
      </c>
      <c r="AU24" s="887">
        <v>9488328</v>
      </c>
      <c r="AV24" s="877"/>
      <c r="AW24" s="887"/>
      <c r="AX24" s="877"/>
      <c r="AY24" s="887"/>
      <c r="AZ24" s="877"/>
      <c r="BA24" s="887"/>
      <c r="BB24" s="887"/>
      <c r="BC24" s="887"/>
      <c r="BD24" s="877">
        <v>44418</v>
      </c>
      <c r="BE24" s="887">
        <v>125000</v>
      </c>
      <c r="BF24" s="877"/>
      <c r="BG24" s="887"/>
      <c r="BH24" s="877"/>
      <c r="BI24" s="887"/>
      <c r="BJ24" s="880"/>
      <c r="BK24" s="880"/>
      <c r="BL24" s="877"/>
      <c r="BM24" s="887"/>
      <c r="BN24" s="877">
        <v>44449</v>
      </c>
      <c r="BO24" s="887">
        <v>35239927</v>
      </c>
      <c r="BP24" s="877"/>
      <c r="BQ24" s="887"/>
      <c r="BR24" s="877"/>
      <c r="BS24" s="887"/>
      <c r="BT24" s="877"/>
      <c r="BU24" s="887"/>
      <c r="BV24" s="880"/>
      <c r="BW24" s="880"/>
      <c r="BX24" s="877"/>
      <c r="BY24" s="887"/>
      <c r="BZ24" s="877"/>
      <c r="CA24" s="887"/>
      <c r="CB24" s="877"/>
      <c r="CC24" s="887"/>
      <c r="CD24" s="880"/>
      <c r="CE24" s="880"/>
      <c r="CF24" s="877"/>
      <c r="CG24" s="887"/>
      <c r="CH24" s="877"/>
      <c r="CI24" s="887"/>
      <c r="CJ24" s="877"/>
      <c r="CK24" s="887"/>
      <c r="CL24" s="877"/>
      <c r="CM24" s="887"/>
      <c r="CN24" s="877"/>
      <c r="CO24" s="887"/>
      <c r="CP24" s="877"/>
      <c r="CQ24" s="879"/>
      <c r="CR24" s="877"/>
      <c r="CS24" s="879"/>
      <c r="CT24" s="877"/>
      <c r="CU24" s="879"/>
      <c r="CV24" s="877"/>
      <c r="CW24" s="879"/>
      <c r="CX24" s="877"/>
      <c r="CY24" s="879"/>
    </row>
    <row r="25" spans="2:103" x14ac:dyDescent="0.25">
      <c r="B25" s="876" t="s">
        <v>5967</v>
      </c>
      <c r="C25" s="884"/>
      <c r="D25" s="877"/>
      <c r="E25" s="1337"/>
      <c r="F25" s="877"/>
      <c r="G25" s="878"/>
      <c r="H25" s="877"/>
      <c r="I25" s="879"/>
      <c r="J25" s="877"/>
      <c r="K25" s="886"/>
      <c r="L25" s="877"/>
      <c r="M25" s="878"/>
      <c r="N25" s="877"/>
      <c r="O25" s="878"/>
      <c r="P25" s="877"/>
      <c r="Q25" s="878"/>
      <c r="R25" s="877"/>
      <c r="S25" s="878"/>
      <c r="T25" s="877"/>
      <c r="U25" s="887"/>
      <c r="V25" s="877"/>
      <c r="W25" s="887"/>
      <c r="X25" s="877"/>
      <c r="Y25" s="887"/>
      <c r="Z25" s="877"/>
      <c r="AA25" s="887"/>
      <c r="AB25" s="877">
        <v>44327</v>
      </c>
      <c r="AC25" s="887">
        <v>10061970</v>
      </c>
      <c r="AD25" s="877"/>
      <c r="AE25" s="887"/>
      <c r="AF25" s="877"/>
      <c r="AG25" s="887"/>
      <c r="AH25" s="877"/>
      <c r="AI25" s="887"/>
      <c r="AJ25" s="877"/>
      <c r="AK25" s="887"/>
      <c r="AL25" s="877"/>
      <c r="AM25" s="887"/>
      <c r="AN25" s="877"/>
      <c r="AO25" s="887"/>
      <c r="AP25" s="877"/>
      <c r="AQ25" s="887"/>
      <c r="AR25" s="877"/>
      <c r="AS25" s="887"/>
      <c r="AT25" s="877"/>
      <c r="AU25" s="887"/>
      <c r="AV25" s="877"/>
      <c r="AW25" s="887"/>
      <c r="AX25" s="877"/>
      <c r="AY25" s="887"/>
      <c r="AZ25" s="877"/>
      <c r="BA25" s="887"/>
      <c r="BB25" s="887"/>
      <c r="BC25" s="887"/>
      <c r="BD25" s="877"/>
      <c r="BE25" s="887"/>
      <c r="BF25" s="877"/>
      <c r="BG25" s="887"/>
      <c r="BH25" s="877"/>
      <c r="BI25" s="887"/>
      <c r="BJ25" s="880"/>
      <c r="BK25" s="880"/>
      <c r="BL25" s="877"/>
      <c r="BM25" s="887"/>
      <c r="BN25" s="877"/>
      <c r="BO25" s="887"/>
      <c r="BP25" s="877"/>
      <c r="BQ25" s="887"/>
      <c r="BR25" s="877"/>
      <c r="BS25" s="887"/>
      <c r="BT25" s="877"/>
      <c r="BU25" s="887"/>
      <c r="BV25" s="880"/>
      <c r="BW25" s="880"/>
      <c r="BX25" s="877"/>
      <c r="BY25" s="887"/>
      <c r="BZ25" s="877"/>
      <c r="CA25" s="887"/>
      <c r="CB25" s="877"/>
      <c r="CC25" s="887"/>
      <c r="CD25" s="880"/>
      <c r="CE25" s="880"/>
      <c r="CF25" s="877"/>
      <c r="CG25" s="887"/>
      <c r="CH25" s="877"/>
      <c r="CI25" s="887"/>
      <c r="CJ25" s="877"/>
      <c r="CK25" s="887"/>
      <c r="CL25" s="877"/>
      <c r="CM25" s="887"/>
      <c r="CN25" s="877"/>
      <c r="CO25" s="887"/>
      <c r="CP25" s="877"/>
      <c r="CQ25" s="879"/>
      <c r="CR25" s="877"/>
      <c r="CS25" s="879"/>
      <c r="CT25" s="877"/>
      <c r="CU25" s="879"/>
      <c r="CV25" s="877"/>
      <c r="CW25" s="879"/>
      <c r="CX25" s="877"/>
      <c r="CY25" s="879"/>
    </row>
    <row r="26" spans="2:103" x14ac:dyDescent="0.25">
      <c r="B26" s="876" t="s">
        <v>5968</v>
      </c>
      <c r="C26" s="884"/>
      <c r="D26" s="877">
        <v>44649</v>
      </c>
      <c r="E26" s="879">
        <v>5913897</v>
      </c>
      <c r="F26" s="880"/>
      <c r="G26" s="879"/>
      <c r="H26" s="877">
        <v>44477</v>
      </c>
      <c r="I26" s="879">
        <v>12371382</v>
      </c>
      <c r="J26" s="880"/>
      <c r="K26" s="880"/>
      <c r="L26" s="877">
        <v>44649</v>
      </c>
      <c r="M26" s="879">
        <v>12559557</v>
      </c>
      <c r="P26" s="877">
        <v>44477</v>
      </c>
      <c r="Q26" s="879">
        <v>12371382</v>
      </c>
      <c r="R26" s="880"/>
      <c r="S26" s="880"/>
      <c r="T26" s="877">
        <v>44649</v>
      </c>
      <c r="U26" s="879">
        <v>6398897</v>
      </c>
      <c r="V26" s="880"/>
      <c r="W26" s="880"/>
      <c r="X26" s="877">
        <v>44477</v>
      </c>
      <c r="Y26" s="879">
        <v>12371382</v>
      </c>
      <c r="Z26" s="880"/>
      <c r="AA26" s="880"/>
      <c r="AB26" s="877">
        <v>44649</v>
      </c>
      <c r="AC26" s="879">
        <v>27828147</v>
      </c>
      <c r="AD26" s="880"/>
      <c r="AE26" s="880"/>
      <c r="AF26" s="880"/>
      <c r="AG26" s="880"/>
      <c r="AH26" s="880"/>
      <c r="AI26" s="880"/>
      <c r="AJ26" s="877"/>
      <c r="AK26" s="879"/>
      <c r="AL26" s="877">
        <v>44649</v>
      </c>
      <c r="AM26" s="879">
        <v>5982600</v>
      </c>
      <c r="AN26" s="880"/>
      <c r="AO26" s="880"/>
      <c r="AP26" s="880"/>
      <c r="AQ26" s="880"/>
      <c r="AR26" s="880"/>
      <c r="AS26" s="880"/>
      <c r="AT26" s="877">
        <v>44649</v>
      </c>
      <c r="AU26" s="879">
        <v>8372205</v>
      </c>
      <c r="AV26" s="880"/>
      <c r="AW26" s="880"/>
      <c r="AX26" s="880"/>
      <c r="AY26" s="880"/>
      <c r="AZ26" s="880"/>
      <c r="BA26" s="880"/>
      <c r="BB26" s="880"/>
      <c r="BC26" s="880"/>
      <c r="BD26" s="877">
        <v>44649</v>
      </c>
      <c r="BE26" s="887">
        <v>7759605</v>
      </c>
      <c r="BF26" s="880"/>
      <c r="BG26" s="880"/>
      <c r="BH26" s="880"/>
      <c r="BI26" s="880"/>
      <c r="BJ26" s="880"/>
      <c r="BK26" s="880"/>
      <c r="BL26" s="877">
        <v>44649</v>
      </c>
      <c r="BM26" s="887">
        <v>8765495</v>
      </c>
      <c r="BN26" s="880"/>
      <c r="BO26" s="880"/>
      <c r="BP26" s="880"/>
      <c r="BQ26" s="880"/>
      <c r="BR26" s="880"/>
      <c r="BS26" s="880"/>
      <c r="BT26" s="877">
        <v>44649</v>
      </c>
      <c r="BU26" s="887">
        <v>9163965</v>
      </c>
      <c r="BV26" s="880"/>
      <c r="BW26" s="880"/>
      <c r="BX26" s="877">
        <v>44540</v>
      </c>
      <c r="BY26" s="887">
        <v>7378038</v>
      </c>
      <c r="BZ26" s="880"/>
      <c r="CA26" s="880"/>
      <c r="CB26" s="877">
        <v>44649</v>
      </c>
      <c r="CC26" s="879">
        <v>17225075</v>
      </c>
      <c r="CD26" s="877">
        <v>44630</v>
      </c>
      <c r="CE26" s="879">
        <v>9248</v>
      </c>
      <c r="CF26" s="880"/>
      <c r="CG26" s="880"/>
      <c r="CH26" s="880"/>
      <c r="CI26" s="880"/>
      <c r="CJ26" s="877">
        <v>44649</v>
      </c>
      <c r="CK26" s="879">
        <v>10101565</v>
      </c>
      <c r="CL26" s="880"/>
      <c r="CM26" s="880"/>
      <c r="CN26" s="880"/>
      <c r="CO26" s="880"/>
      <c r="CP26" s="880"/>
      <c r="CQ26" s="880"/>
      <c r="CR26" s="877">
        <v>44649</v>
      </c>
      <c r="CS26" s="879">
        <v>8818665</v>
      </c>
      <c r="CT26" s="877">
        <v>44630</v>
      </c>
      <c r="CU26" s="879">
        <f>267851+131395</f>
        <v>399246</v>
      </c>
      <c r="CV26" s="880"/>
      <c r="CW26" s="880"/>
      <c r="CX26" s="880"/>
      <c r="CY26" s="880"/>
    </row>
    <row r="27" spans="2:103" x14ac:dyDescent="0.25">
      <c r="B27" s="876" t="s">
        <v>5968</v>
      </c>
      <c r="C27" s="884"/>
      <c r="D27" s="877"/>
      <c r="E27" s="880"/>
      <c r="F27" s="880"/>
      <c r="G27" s="879"/>
      <c r="H27" s="880"/>
      <c r="I27" s="880"/>
      <c r="J27" s="880"/>
      <c r="K27" s="880"/>
      <c r="L27" s="880"/>
      <c r="M27" s="880"/>
      <c r="N27" s="880"/>
      <c r="O27" s="880"/>
      <c r="P27" s="880"/>
      <c r="Q27" s="880"/>
      <c r="R27" s="880"/>
      <c r="S27" s="880"/>
      <c r="T27" s="880"/>
      <c r="U27" s="880"/>
      <c r="V27" s="880"/>
      <c r="W27" s="880"/>
      <c r="X27" s="880"/>
      <c r="Y27" s="880"/>
      <c r="Z27" s="880"/>
      <c r="AA27" s="880"/>
      <c r="AB27" s="880"/>
      <c r="AC27" s="880"/>
      <c r="AD27" s="880"/>
      <c r="AE27" s="880"/>
      <c r="AF27" s="880"/>
      <c r="AG27" s="880"/>
      <c r="AH27" s="880"/>
      <c r="AI27" s="880"/>
      <c r="AJ27" s="880"/>
      <c r="AK27" s="880"/>
      <c r="AL27" s="880"/>
      <c r="AM27" s="880"/>
      <c r="AN27" s="880"/>
      <c r="AO27" s="880"/>
      <c r="AP27" s="880"/>
      <c r="AQ27" s="880"/>
      <c r="AR27" s="880"/>
      <c r="AS27" s="880"/>
      <c r="AT27" s="880"/>
      <c r="AV27" s="880"/>
      <c r="AW27" s="880"/>
      <c r="AX27" s="880"/>
      <c r="AY27" s="880"/>
      <c r="AZ27" s="880"/>
      <c r="BA27" s="880"/>
      <c r="BB27" s="880"/>
      <c r="BC27" s="880"/>
      <c r="BD27" s="877"/>
      <c r="BE27" s="887"/>
      <c r="BF27" s="880"/>
      <c r="BG27" s="880"/>
      <c r="BH27" s="880"/>
      <c r="BI27" s="880"/>
      <c r="BJ27" s="880"/>
      <c r="BK27" s="880"/>
      <c r="BL27" s="880"/>
      <c r="BM27" s="880"/>
      <c r="BN27" s="880"/>
      <c r="BO27" s="880"/>
      <c r="BP27" s="880"/>
      <c r="BQ27" s="880"/>
      <c r="BR27" s="880"/>
      <c r="BS27" s="880"/>
      <c r="BT27" s="880"/>
      <c r="BU27" s="880"/>
      <c r="BV27" s="880"/>
      <c r="BW27" s="880"/>
      <c r="BX27" s="880"/>
      <c r="BY27" s="880"/>
      <c r="BZ27" s="880"/>
      <c r="CA27" s="880"/>
      <c r="CB27" s="880"/>
      <c r="CC27" s="880"/>
      <c r="CD27" s="880"/>
      <c r="CE27" s="880"/>
      <c r="CF27" s="880"/>
      <c r="CG27" s="880"/>
      <c r="CH27" s="880"/>
      <c r="CI27" s="880"/>
      <c r="CJ27" s="880"/>
      <c r="CK27" s="880"/>
      <c r="CL27" s="880"/>
      <c r="CM27" s="880"/>
      <c r="CN27" s="880"/>
      <c r="CO27" s="880"/>
      <c r="CP27" s="880"/>
      <c r="CQ27" s="880"/>
      <c r="CR27" s="880"/>
      <c r="CS27" s="880"/>
      <c r="CT27" s="877">
        <v>44671</v>
      </c>
      <c r="CU27" s="879">
        <v>4013162</v>
      </c>
      <c r="CV27" s="880"/>
      <c r="CW27" s="880"/>
      <c r="CX27" s="880"/>
      <c r="CY27" s="880"/>
    </row>
    <row r="28" spans="2:103" x14ac:dyDescent="0.25">
      <c r="B28" s="876" t="s">
        <v>5969</v>
      </c>
      <c r="C28" s="884"/>
      <c r="D28" s="877"/>
      <c r="E28" s="880"/>
      <c r="F28" s="877"/>
      <c r="G28" s="879"/>
      <c r="H28" s="877"/>
      <c r="I28" s="879"/>
      <c r="J28" s="880"/>
      <c r="K28" s="880"/>
      <c r="L28" s="880"/>
      <c r="M28" s="880"/>
      <c r="N28" s="880"/>
      <c r="O28" s="880"/>
      <c r="P28" s="880"/>
      <c r="Q28" s="880"/>
      <c r="R28" s="880"/>
      <c r="S28" s="880"/>
      <c r="T28" s="880"/>
      <c r="U28" s="880"/>
      <c r="V28" s="880"/>
      <c r="W28" s="880"/>
      <c r="X28" s="880"/>
      <c r="Y28" s="880"/>
      <c r="Z28" s="880"/>
      <c r="AA28" s="880"/>
      <c r="AB28" s="880"/>
      <c r="AC28" s="880"/>
      <c r="AD28" s="880"/>
      <c r="AE28" s="880"/>
      <c r="AF28" s="880"/>
      <c r="AG28" s="880"/>
      <c r="AH28" s="880"/>
      <c r="AI28" s="880"/>
      <c r="AJ28" s="880"/>
      <c r="AK28" s="880"/>
      <c r="AL28" s="880"/>
      <c r="AM28" s="880"/>
      <c r="AN28" s="880"/>
      <c r="AO28" s="880"/>
      <c r="AP28" s="880"/>
      <c r="AQ28" s="880"/>
      <c r="AR28" s="880"/>
      <c r="AS28" s="880"/>
      <c r="AT28" s="877"/>
      <c r="AU28" s="879"/>
      <c r="AV28" s="880"/>
      <c r="AW28" s="880"/>
      <c r="AX28" s="880"/>
      <c r="AY28" s="880"/>
      <c r="AZ28" s="880"/>
      <c r="BA28" s="880"/>
      <c r="BB28" s="880"/>
      <c r="BC28" s="880"/>
      <c r="BD28" s="877"/>
      <c r="BE28" s="879"/>
      <c r="BF28" s="880"/>
      <c r="BG28" s="880"/>
      <c r="BH28" s="880"/>
      <c r="BI28" s="880"/>
      <c r="BJ28" s="880"/>
      <c r="BK28" s="880"/>
      <c r="BL28" s="877"/>
      <c r="BM28" s="887"/>
      <c r="BN28" s="880"/>
      <c r="BO28" s="880"/>
      <c r="BP28" s="880"/>
      <c r="BQ28" s="880"/>
      <c r="BR28" s="880"/>
      <c r="BS28" s="880"/>
      <c r="BT28" s="880"/>
      <c r="BU28" s="880"/>
      <c r="BV28" s="880"/>
      <c r="BW28" s="880"/>
      <c r="BX28" s="880"/>
      <c r="BY28" s="880"/>
      <c r="BZ28" s="880"/>
      <c r="CA28" s="880"/>
      <c r="CB28" s="880"/>
      <c r="CC28" s="880"/>
      <c r="CD28" s="880"/>
      <c r="CE28" s="880"/>
      <c r="CF28" s="880"/>
      <c r="CG28" s="880"/>
      <c r="CH28" s="880"/>
      <c r="CI28" s="880"/>
      <c r="CJ28" s="880"/>
      <c r="CK28" s="880"/>
      <c r="CL28" s="880"/>
      <c r="CM28" s="880"/>
      <c r="CN28" s="880"/>
      <c r="CO28" s="880"/>
      <c r="CP28" s="880"/>
      <c r="CQ28" s="880"/>
      <c r="CR28" s="880"/>
      <c r="CS28" s="880"/>
      <c r="CT28" s="880"/>
      <c r="CU28" s="880"/>
      <c r="CV28" s="880"/>
      <c r="CW28" s="880"/>
      <c r="CX28" s="880"/>
      <c r="CY28" s="880"/>
    </row>
    <row r="29" spans="2:103" x14ac:dyDescent="0.25">
      <c r="B29" s="876" t="s">
        <v>5970</v>
      </c>
      <c r="C29" s="884"/>
      <c r="D29" s="877"/>
      <c r="E29" s="880"/>
      <c r="F29" s="880"/>
      <c r="G29" s="879"/>
      <c r="H29" s="877">
        <v>44650</v>
      </c>
      <c r="I29" s="879">
        <v>910533</v>
      </c>
      <c r="J29" s="880"/>
      <c r="K29" s="880"/>
      <c r="L29" s="877">
        <v>44265</v>
      </c>
      <c r="M29" s="879">
        <v>129707</v>
      </c>
      <c r="N29" s="880"/>
      <c r="O29" s="880"/>
      <c r="P29" s="877">
        <v>44650</v>
      </c>
      <c r="Q29" s="879">
        <v>814036</v>
      </c>
      <c r="R29" s="880"/>
      <c r="S29" s="880"/>
      <c r="T29" s="880"/>
      <c r="U29" s="880"/>
      <c r="V29" s="880"/>
      <c r="W29" s="880"/>
      <c r="X29" s="877">
        <v>44650</v>
      </c>
      <c r="Y29" s="879">
        <v>720014</v>
      </c>
      <c r="Z29" s="880"/>
      <c r="AA29" s="880"/>
      <c r="AB29" s="880"/>
      <c r="AC29" s="880"/>
      <c r="AD29" s="880"/>
      <c r="AE29" s="880"/>
      <c r="AF29" s="880"/>
      <c r="AG29" s="880"/>
      <c r="AH29" s="880"/>
      <c r="AI29" s="880"/>
      <c r="AJ29" s="880"/>
      <c r="AK29" s="880"/>
      <c r="AL29" s="880"/>
      <c r="AM29" s="880"/>
      <c r="AN29" s="880"/>
      <c r="AO29" s="880"/>
      <c r="AP29" s="880"/>
      <c r="AQ29" s="880"/>
      <c r="AR29" s="880"/>
      <c r="AS29" s="880"/>
      <c r="AT29" s="880"/>
      <c r="AU29" s="880"/>
      <c r="AV29" s="880"/>
      <c r="AW29" s="880"/>
      <c r="AX29" s="880"/>
      <c r="AY29" s="880"/>
      <c r="AZ29" s="880"/>
      <c r="BA29" s="880"/>
      <c r="BB29" s="880"/>
      <c r="BC29" s="880"/>
      <c r="BD29" s="880"/>
      <c r="BE29" s="880"/>
      <c r="BF29" s="880"/>
      <c r="BG29" s="880"/>
      <c r="BH29" s="880"/>
      <c r="BI29" s="880"/>
      <c r="BJ29" s="880"/>
      <c r="BK29" s="880"/>
      <c r="BL29" s="880"/>
      <c r="BM29" s="880"/>
      <c r="BN29" s="880"/>
      <c r="BO29" s="880"/>
      <c r="BP29" s="880"/>
      <c r="BQ29" s="880"/>
      <c r="BR29" s="880"/>
      <c r="BS29" s="880"/>
      <c r="BT29" s="880"/>
      <c r="BU29" s="880"/>
      <c r="BV29" s="880"/>
      <c r="BW29" s="880"/>
      <c r="BX29" s="877">
        <v>44650</v>
      </c>
      <c r="BY29" s="879">
        <v>137231</v>
      </c>
      <c r="BZ29" s="880"/>
      <c r="CA29" s="880"/>
      <c r="CB29" s="880"/>
      <c r="CC29" s="880"/>
      <c r="CD29" s="880"/>
      <c r="CE29" s="880"/>
      <c r="CF29" s="880"/>
      <c r="CG29" s="880"/>
      <c r="CH29" s="880"/>
      <c r="CI29" s="880"/>
      <c r="CJ29" s="877">
        <v>44714</v>
      </c>
      <c r="CK29" s="879">
        <v>471737</v>
      </c>
      <c r="CL29" s="880"/>
      <c r="CM29" s="880"/>
      <c r="CN29" s="880"/>
      <c r="CO29" s="880"/>
      <c r="CP29" s="880"/>
      <c r="CQ29" s="880"/>
      <c r="CR29" s="877">
        <v>44714</v>
      </c>
      <c r="CS29" s="879">
        <v>348686</v>
      </c>
      <c r="CT29" s="877">
        <v>44714</v>
      </c>
      <c r="CU29" s="879">
        <v>158399</v>
      </c>
      <c r="CV29" s="880"/>
      <c r="CW29" s="880"/>
      <c r="CX29" s="880"/>
      <c r="CY29" s="880"/>
    </row>
    <row r="30" spans="2:103" x14ac:dyDescent="0.25">
      <c r="B30" s="876" t="s">
        <v>5963</v>
      </c>
      <c r="C30" s="884"/>
      <c r="D30" s="888"/>
      <c r="E30" s="889">
        <f>SUM(E23:E29)</f>
        <v>14271484</v>
      </c>
      <c r="F30" s="876"/>
      <c r="G30" s="890">
        <f>SUM(G23:G29)</f>
        <v>0</v>
      </c>
      <c r="H30" s="876"/>
      <c r="I30" s="891">
        <f>SUM(I23:I29)</f>
        <v>91606533</v>
      </c>
      <c r="J30" s="876"/>
      <c r="K30" s="892">
        <f>SUM(K23:K29)</f>
        <v>0</v>
      </c>
      <c r="L30" s="876"/>
      <c r="M30" s="889">
        <f>SUM(M23:M29)</f>
        <v>21046851</v>
      </c>
      <c r="N30" s="876"/>
      <c r="O30" s="889">
        <f>SUM(O23:O29)</f>
        <v>1410830</v>
      </c>
      <c r="P30" s="876"/>
      <c r="Q30" s="889">
        <f>SUM(Q23:Q29)</f>
        <v>91510036</v>
      </c>
      <c r="R30" s="876"/>
      <c r="S30" s="889">
        <f>SUM(S23:S29)</f>
        <v>0</v>
      </c>
      <c r="T30" s="876"/>
      <c r="U30" s="889">
        <f>SUM(U23:U29)</f>
        <v>14756484</v>
      </c>
      <c r="V30" s="876"/>
      <c r="W30" s="889">
        <f>SUM(W23:W29)</f>
        <v>218963</v>
      </c>
      <c r="X30" s="876"/>
      <c r="Y30" s="889">
        <f>SUM(Y23:Y29)</f>
        <v>91416014</v>
      </c>
      <c r="Z30" s="876"/>
      <c r="AA30" s="889">
        <f>SUM(AA23:AA29)</f>
        <v>0</v>
      </c>
      <c r="AB30" s="876"/>
      <c r="AC30" s="889">
        <f>SUM(AC23:AC29)</f>
        <v>48441434</v>
      </c>
      <c r="AD30" s="876"/>
      <c r="AE30" s="889">
        <f>SUM(AE23:AE29)</f>
        <v>31332913</v>
      </c>
      <c r="AF30" s="876"/>
      <c r="AG30" s="889">
        <f>SUM(AG23:AG29)</f>
        <v>47322000</v>
      </c>
      <c r="AH30" s="876"/>
      <c r="AI30" s="889">
        <f>SUM(AI23:AI29)</f>
        <v>847905861</v>
      </c>
      <c r="AJ30" s="876"/>
      <c r="AK30" s="889">
        <f>SUM(AK23:AK29)</f>
        <v>0</v>
      </c>
      <c r="AL30" s="876"/>
      <c r="AM30" s="889">
        <f>SUM(AM23:AM29)</f>
        <v>15463728</v>
      </c>
      <c r="AN30" s="876"/>
      <c r="AO30" s="889">
        <f>SUM(AO23:AO29)</f>
        <v>1322513</v>
      </c>
      <c r="AP30" s="876"/>
      <c r="AQ30" s="889">
        <f>SUM(AQ23:AQ29)</f>
        <v>47322000</v>
      </c>
      <c r="AR30" s="876"/>
      <c r="AS30" s="889">
        <f>SUM(AS23:AS29)</f>
        <v>517943949</v>
      </c>
      <c r="AT30" s="876"/>
      <c r="AU30" s="889">
        <f>SUM(AU23:AU29)</f>
        <v>18535533</v>
      </c>
      <c r="AV30" s="876"/>
      <c r="AW30" s="889">
        <f>SUM(AW23:AW29)</f>
        <v>3441480</v>
      </c>
      <c r="AX30" s="876"/>
      <c r="AY30" s="889">
        <f>SUM(AY23:AY29)</f>
        <v>47322000</v>
      </c>
      <c r="AZ30" s="876"/>
      <c r="BA30" s="889">
        <f>SUM(BA23:BA29)</f>
        <v>0</v>
      </c>
      <c r="BB30" s="889"/>
      <c r="BC30" s="889"/>
      <c r="BD30" s="876"/>
      <c r="BE30" s="889">
        <f>SUM(BE23:BE29)</f>
        <v>17420933</v>
      </c>
      <c r="BF30" s="876"/>
      <c r="BG30" s="889">
        <f>SUM(BG23:BG29)</f>
        <v>23172156</v>
      </c>
      <c r="BH30" s="876"/>
      <c r="BI30" s="889">
        <f>SUM(BI23:BI29)</f>
        <v>94644000</v>
      </c>
      <c r="BJ30" s="876"/>
      <c r="BK30" s="876"/>
      <c r="BL30" s="876"/>
      <c r="BM30" s="889">
        <f>SUM(BM23:BM29)</f>
        <v>18301823</v>
      </c>
      <c r="BN30" s="876"/>
      <c r="BO30" s="889">
        <f>SUM(BO23:BO29)</f>
        <v>35329927</v>
      </c>
      <c r="BP30" s="876"/>
      <c r="BQ30" s="889">
        <f>SUM(BQ23:BQ29)</f>
        <v>94644000</v>
      </c>
      <c r="BR30" s="876"/>
      <c r="BS30" s="889">
        <f>SUM(BS23:BS29)</f>
        <v>0</v>
      </c>
      <c r="BT30" s="876"/>
      <c r="BU30" s="889">
        <f>SUM(BU23:BU29)</f>
        <v>18700293</v>
      </c>
      <c r="BV30" s="876"/>
      <c r="BW30" s="876"/>
      <c r="BX30" s="876"/>
      <c r="BY30" s="889">
        <f>SUM(BY23:BY29)</f>
        <v>102159269</v>
      </c>
      <c r="BZ30" s="876"/>
      <c r="CA30" s="889">
        <f>SUM(CA23:CA29)</f>
        <v>0</v>
      </c>
      <c r="CB30" s="876"/>
      <c r="CC30" s="889">
        <f>SUM(CC23:CC29)</f>
        <v>26761403</v>
      </c>
      <c r="CD30" s="876"/>
      <c r="CE30" s="876"/>
      <c r="CF30" s="876"/>
      <c r="CG30" s="889">
        <f>SUM(CG23:CG29)</f>
        <v>102022038</v>
      </c>
      <c r="CH30" s="876"/>
      <c r="CI30" s="889">
        <f>SUM(CI23:CI29)</f>
        <v>0</v>
      </c>
      <c r="CJ30" s="876"/>
      <c r="CK30" s="889">
        <f>SUM(CK23:CK29)</f>
        <v>20109630</v>
      </c>
      <c r="CL30" s="876"/>
      <c r="CM30" s="889">
        <f>SUM(CM23:CM29)</f>
        <v>5099439</v>
      </c>
      <c r="CN30" s="876"/>
      <c r="CO30" s="889">
        <f>SUM(CO23:CO29)</f>
        <v>102022038</v>
      </c>
      <c r="CP30" s="876"/>
      <c r="CQ30" s="876"/>
      <c r="CR30" s="876"/>
      <c r="CS30" s="876"/>
      <c r="CT30" s="876"/>
      <c r="CU30" s="876"/>
      <c r="CV30" s="876"/>
      <c r="CW30" s="876"/>
      <c r="CX30" s="876"/>
      <c r="CY30" s="876"/>
    </row>
    <row r="32" spans="2:103" x14ac:dyDescent="0.25">
      <c r="B32" s="1653" t="s">
        <v>5972</v>
      </c>
      <c r="C32" s="1653"/>
      <c r="D32" s="1653"/>
      <c r="E32" s="1653"/>
      <c r="F32" s="1653"/>
      <c r="G32" s="1653"/>
      <c r="H32" s="1653"/>
      <c r="I32" s="1653"/>
      <c r="J32" s="1653"/>
      <c r="K32" s="1653"/>
      <c r="L32" s="1653"/>
      <c r="M32" s="1653"/>
      <c r="N32" s="1653"/>
      <c r="O32" s="1653"/>
      <c r="P32" s="1653"/>
      <c r="Q32" s="1653"/>
      <c r="R32" s="1653"/>
      <c r="S32" s="1653"/>
      <c r="T32" s="1653"/>
      <c r="U32" s="1653"/>
      <c r="V32" s="1653"/>
      <c r="W32" s="1653"/>
      <c r="X32" s="1653"/>
      <c r="Y32" s="1653"/>
      <c r="Z32" s="1653"/>
      <c r="AA32" s="1653"/>
      <c r="AB32" s="1653"/>
      <c r="AC32" s="1653"/>
      <c r="AD32" s="1653"/>
      <c r="AE32" s="1653"/>
      <c r="AF32" s="1653"/>
      <c r="AG32" s="1653"/>
      <c r="AH32" s="1653"/>
      <c r="AI32" s="1653"/>
      <c r="AJ32" s="1653"/>
      <c r="AK32" s="1653"/>
      <c r="AL32" s="1653"/>
      <c r="AM32" s="1653"/>
      <c r="AN32" s="1653"/>
      <c r="AO32" s="1653"/>
      <c r="AP32" s="1653"/>
      <c r="AQ32" s="1653"/>
      <c r="AR32" s="1653"/>
      <c r="AS32" s="1653"/>
      <c r="AT32" s="1653"/>
      <c r="AU32" s="1653"/>
      <c r="AV32" s="1653"/>
      <c r="AW32" s="1653"/>
      <c r="AX32" s="1653"/>
      <c r="AY32" s="1653"/>
      <c r="AZ32" s="1653"/>
      <c r="BA32" s="1653"/>
      <c r="BB32" s="1653"/>
      <c r="BC32" s="1653"/>
      <c r="BD32" s="1653"/>
      <c r="BE32" s="1653"/>
      <c r="BF32" s="1653"/>
      <c r="BG32" s="1653"/>
      <c r="BH32" s="1653"/>
      <c r="BI32" s="1653"/>
      <c r="BJ32" s="1653"/>
      <c r="BK32" s="1653"/>
      <c r="BL32" s="1653"/>
      <c r="BM32" s="1653"/>
      <c r="BN32" s="1653"/>
      <c r="BO32" s="1653"/>
      <c r="BP32" s="1653"/>
      <c r="BQ32" s="1653"/>
      <c r="BR32" s="1653"/>
      <c r="BS32" s="1653"/>
      <c r="BT32" s="1653"/>
      <c r="BU32" s="1653"/>
      <c r="BV32" s="1653"/>
      <c r="BW32" s="1653"/>
      <c r="BX32" s="1653"/>
      <c r="BY32" s="1653"/>
      <c r="BZ32" s="1653"/>
      <c r="CA32" s="1653"/>
      <c r="CB32" s="1653"/>
      <c r="CC32" s="1653"/>
      <c r="CD32" s="1653"/>
      <c r="CE32" s="1653"/>
      <c r="CF32" s="1653"/>
      <c r="CG32" s="1653"/>
      <c r="CH32" s="1653"/>
      <c r="CI32" s="1653"/>
      <c r="CJ32" s="1653"/>
      <c r="CK32" s="1653"/>
      <c r="CL32" s="1653"/>
      <c r="CM32" s="1653"/>
      <c r="CN32" s="1653"/>
      <c r="CO32" s="1653"/>
      <c r="CP32" s="1653"/>
      <c r="CQ32" s="1653"/>
      <c r="CR32" s="1653"/>
      <c r="CS32" s="1653"/>
      <c r="CT32" s="1653"/>
      <c r="CU32" s="1653"/>
      <c r="CV32" s="1653"/>
      <c r="CW32" s="1653"/>
      <c r="CX32" s="1653"/>
      <c r="CY32" s="1653"/>
    </row>
    <row r="33" spans="2:103" x14ac:dyDescent="0.25">
      <c r="B33" s="1653" t="s">
        <v>6254</v>
      </c>
      <c r="C33" s="1653"/>
      <c r="D33" s="1653"/>
      <c r="E33" s="1653"/>
      <c r="F33" s="1653"/>
      <c r="G33" s="1653"/>
      <c r="H33" s="1653"/>
      <c r="I33" s="1653"/>
      <c r="J33" s="1653"/>
      <c r="K33" s="1653"/>
      <c r="L33" s="1653"/>
      <c r="M33" s="1653"/>
      <c r="N33" s="1653"/>
      <c r="O33" s="1653"/>
      <c r="P33" s="1653"/>
      <c r="Q33" s="1653"/>
      <c r="R33" s="1653"/>
      <c r="S33" s="1653"/>
      <c r="T33" s="1653"/>
      <c r="U33" s="1653"/>
      <c r="V33" s="1653"/>
      <c r="W33" s="1653"/>
      <c r="X33" s="1653"/>
      <c r="Y33" s="1653"/>
      <c r="Z33" s="1653"/>
      <c r="AA33" s="1653"/>
      <c r="AB33" s="1653"/>
      <c r="AC33" s="1653"/>
      <c r="AD33" s="1653"/>
      <c r="AE33" s="1653"/>
      <c r="AF33" s="1653"/>
      <c r="AG33" s="1653"/>
      <c r="AH33" s="1653"/>
      <c r="AI33" s="1653"/>
      <c r="AJ33" s="1653"/>
      <c r="AK33" s="1653"/>
      <c r="AL33" s="1653"/>
      <c r="AM33" s="1653"/>
      <c r="AN33" s="1653"/>
      <c r="AO33" s="1653"/>
      <c r="AP33" s="1653"/>
      <c r="AQ33" s="1653"/>
      <c r="AR33" s="1653"/>
      <c r="AS33" s="1653"/>
      <c r="AT33" s="1653"/>
      <c r="AU33" s="1653"/>
      <c r="AV33" s="1653"/>
      <c r="AW33" s="1653"/>
      <c r="AX33" s="1653"/>
      <c r="AY33" s="1653"/>
      <c r="AZ33" s="1653"/>
      <c r="BA33" s="1653"/>
      <c r="BB33" s="1653"/>
      <c r="BC33" s="1653"/>
      <c r="BD33" s="1653"/>
      <c r="BE33" s="1653"/>
      <c r="BF33" s="1653"/>
      <c r="BG33" s="1653"/>
      <c r="BH33" s="1653"/>
      <c r="BI33" s="1653"/>
      <c r="BJ33" s="1653"/>
      <c r="BK33" s="1653"/>
      <c r="BL33" s="1653"/>
      <c r="BM33" s="1653"/>
      <c r="BN33" s="1653"/>
      <c r="BO33" s="1653"/>
      <c r="BP33" s="1653"/>
      <c r="BQ33" s="1653"/>
      <c r="BR33" s="1653"/>
      <c r="BS33" s="1653"/>
      <c r="BT33" s="1653"/>
      <c r="BU33" s="1653"/>
      <c r="BV33" s="1653"/>
      <c r="BW33" s="1653"/>
      <c r="BX33" s="1653"/>
      <c r="BY33" s="1653"/>
      <c r="BZ33" s="1653"/>
      <c r="CA33" s="1653"/>
      <c r="CB33" s="1653"/>
      <c r="CC33" s="1653"/>
      <c r="CD33" s="1653"/>
      <c r="CE33" s="1653"/>
      <c r="CF33" s="1653"/>
      <c r="CG33" s="1653"/>
      <c r="CH33" s="1653"/>
      <c r="CI33" s="1653"/>
      <c r="CJ33" s="1653"/>
      <c r="CK33" s="1653"/>
      <c r="CL33" s="1653"/>
      <c r="CM33" s="1653"/>
      <c r="CN33" s="1653"/>
      <c r="CO33" s="1653"/>
      <c r="CP33" s="1653"/>
      <c r="CQ33" s="1653"/>
      <c r="CR33" s="1653"/>
      <c r="CS33" s="1653"/>
      <c r="CT33" s="1653"/>
      <c r="CU33" s="1653"/>
      <c r="CV33" s="1653"/>
      <c r="CW33" s="1653"/>
      <c r="CX33" s="1653"/>
      <c r="CY33" s="1653"/>
    </row>
    <row r="35" spans="2:103" x14ac:dyDescent="0.25">
      <c r="B35" s="1654" t="s">
        <v>5961</v>
      </c>
      <c r="C35" s="883"/>
      <c r="D35" s="1655">
        <v>44562</v>
      </c>
      <c r="E35" s="1656"/>
      <c r="F35" s="1656"/>
      <c r="G35" s="1656"/>
      <c r="H35" s="1656"/>
      <c r="I35" s="1656"/>
      <c r="J35" s="1656"/>
      <c r="K35" s="1652"/>
      <c r="L35" s="1655">
        <v>44593</v>
      </c>
      <c r="M35" s="1656"/>
      <c r="N35" s="1656"/>
      <c r="O35" s="1656"/>
      <c r="P35" s="1656"/>
      <c r="Q35" s="1656"/>
      <c r="R35" s="1656"/>
      <c r="S35" s="1652"/>
      <c r="T35" s="1655">
        <v>44621</v>
      </c>
      <c r="U35" s="1656"/>
      <c r="V35" s="1656"/>
      <c r="W35" s="1656"/>
      <c r="X35" s="1656"/>
      <c r="Y35" s="1656"/>
      <c r="Z35" s="1656"/>
      <c r="AA35" s="1652"/>
      <c r="AB35" s="1655">
        <v>44652</v>
      </c>
      <c r="AC35" s="1656"/>
      <c r="AD35" s="1656"/>
      <c r="AE35" s="1656"/>
      <c r="AF35" s="1656"/>
      <c r="AG35" s="1656"/>
      <c r="AH35" s="1656"/>
      <c r="AI35" s="1652"/>
      <c r="AJ35" s="1399"/>
      <c r="AK35" s="1399"/>
      <c r="AL35" s="1655">
        <v>44682</v>
      </c>
      <c r="AM35" s="1656"/>
      <c r="AN35" s="1656"/>
      <c r="AO35" s="1656"/>
      <c r="AP35" s="1656"/>
      <c r="AQ35" s="1656"/>
      <c r="AR35" s="1656"/>
      <c r="AS35" s="1652"/>
      <c r="AT35" s="1657">
        <v>44713</v>
      </c>
      <c r="AU35" s="1659"/>
      <c r="AV35" s="1659"/>
      <c r="AW35" s="1659"/>
      <c r="AX35" s="1659"/>
      <c r="AY35" s="1659"/>
      <c r="AZ35" s="1659"/>
      <c r="BA35" s="1659"/>
      <c r="BB35" s="1659"/>
      <c r="BC35" s="1660"/>
      <c r="BD35" s="1655">
        <v>44743</v>
      </c>
      <c r="BE35" s="1656"/>
      <c r="BF35" s="1656"/>
      <c r="BG35" s="1656"/>
      <c r="BH35" s="1656"/>
      <c r="BI35" s="1656"/>
      <c r="BJ35" s="1656"/>
      <c r="BK35" s="1652"/>
      <c r="BL35" s="1657">
        <v>44774</v>
      </c>
      <c r="BM35" s="1658"/>
      <c r="BN35" s="1658"/>
      <c r="BO35" s="1658"/>
      <c r="BP35" s="1658"/>
      <c r="BQ35" s="1658"/>
      <c r="BR35" s="1658"/>
      <c r="BS35" s="1650"/>
      <c r="BT35" s="1655">
        <v>44805</v>
      </c>
      <c r="BU35" s="1656"/>
      <c r="BV35" s="1656"/>
      <c r="BW35" s="1656"/>
      <c r="BX35" s="1656"/>
      <c r="BY35" s="1656"/>
      <c r="BZ35" s="1656"/>
      <c r="CA35" s="1652"/>
      <c r="CB35" s="1657">
        <v>44835</v>
      </c>
      <c r="CC35" s="1658"/>
      <c r="CD35" s="1658"/>
      <c r="CE35" s="1658"/>
      <c r="CF35" s="1658"/>
      <c r="CG35" s="1658"/>
      <c r="CH35" s="1658"/>
      <c r="CI35" s="1650"/>
      <c r="CJ35" s="1655">
        <v>44866</v>
      </c>
      <c r="CK35" s="1656"/>
      <c r="CL35" s="1656"/>
      <c r="CM35" s="1656"/>
      <c r="CN35" s="1656"/>
      <c r="CO35" s="1656"/>
      <c r="CP35" s="1656"/>
      <c r="CQ35" s="1652"/>
      <c r="CR35" s="1657">
        <v>44896</v>
      </c>
      <c r="CS35" s="1658"/>
      <c r="CT35" s="1658"/>
      <c r="CU35" s="1658"/>
      <c r="CV35" s="1658"/>
      <c r="CW35" s="1658"/>
      <c r="CX35" s="1658"/>
      <c r="CY35" s="1650"/>
    </row>
    <row r="36" spans="2:103" x14ac:dyDescent="0.25">
      <c r="B36" s="1654"/>
      <c r="C36" s="883"/>
      <c r="D36" s="1651" t="s">
        <v>3441</v>
      </c>
      <c r="E36" s="1652"/>
      <c r="F36" s="1651" t="s">
        <v>5964</v>
      </c>
      <c r="G36" s="1652"/>
      <c r="H36" s="1651" t="s">
        <v>5965</v>
      </c>
      <c r="I36" s="1652"/>
      <c r="J36" s="1651" t="s">
        <v>5966</v>
      </c>
      <c r="K36" s="1652"/>
      <c r="L36" s="1649" t="s">
        <v>3441</v>
      </c>
      <c r="M36" s="1650"/>
      <c r="N36" s="1649" t="s">
        <v>5964</v>
      </c>
      <c r="O36" s="1650"/>
      <c r="P36" s="1649" t="s">
        <v>5965</v>
      </c>
      <c r="Q36" s="1650"/>
      <c r="R36" s="1649" t="s">
        <v>5966</v>
      </c>
      <c r="S36" s="1650"/>
      <c r="T36" s="1651" t="s">
        <v>3441</v>
      </c>
      <c r="U36" s="1652"/>
      <c r="V36" s="1651" t="s">
        <v>5964</v>
      </c>
      <c r="W36" s="1652"/>
      <c r="X36" s="1651" t="s">
        <v>5965</v>
      </c>
      <c r="Y36" s="1652"/>
      <c r="Z36" s="1651" t="s">
        <v>5966</v>
      </c>
      <c r="AA36" s="1652"/>
      <c r="AB36" s="1649" t="s">
        <v>3441</v>
      </c>
      <c r="AC36" s="1650"/>
      <c r="AD36" s="1649" t="s">
        <v>5964</v>
      </c>
      <c r="AE36" s="1650"/>
      <c r="AF36" s="1649" t="s">
        <v>5965</v>
      </c>
      <c r="AG36" s="1650"/>
      <c r="AH36" s="1649" t="s">
        <v>5966</v>
      </c>
      <c r="AI36" s="1650"/>
      <c r="AJ36" s="1651" t="s">
        <v>5971</v>
      </c>
      <c r="AK36" s="1652"/>
      <c r="AL36" s="1651" t="s">
        <v>3441</v>
      </c>
      <c r="AM36" s="1652"/>
      <c r="AN36" s="1651" t="s">
        <v>5964</v>
      </c>
      <c r="AO36" s="1652"/>
      <c r="AP36" s="1651" t="s">
        <v>5965</v>
      </c>
      <c r="AQ36" s="1652"/>
      <c r="AR36" s="1651" t="s">
        <v>5966</v>
      </c>
      <c r="AS36" s="1652"/>
      <c r="AT36" s="1649" t="s">
        <v>3441</v>
      </c>
      <c r="AU36" s="1650"/>
      <c r="AV36" s="1649" t="s">
        <v>5964</v>
      </c>
      <c r="AW36" s="1650"/>
      <c r="AX36" s="1649" t="s">
        <v>5965</v>
      </c>
      <c r="AY36" s="1650"/>
      <c r="AZ36" s="1649" t="s">
        <v>5966</v>
      </c>
      <c r="BA36" s="1650"/>
      <c r="BB36" s="1649" t="s">
        <v>6123</v>
      </c>
      <c r="BC36" s="1650"/>
      <c r="BD36" s="1651" t="s">
        <v>3441</v>
      </c>
      <c r="BE36" s="1652"/>
      <c r="BF36" s="1651" t="s">
        <v>5964</v>
      </c>
      <c r="BG36" s="1652"/>
      <c r="BH36" s="1651" t="s">
        <v>5965</v>
      </c>
      <c r="BI36" s="1652"/>
      <c r="BJ36" s="1651" t="s">
        <v>5966</v>
      </c>
      <c r="BK36" s="1652"/>
      <c r="BL36" s="1649" t="s">
        <v>3441</v>
      </c>
      <c r="BM36" s="1650"/>
      <c r="BN36" s="1649" t="s">
        <v>5964</v>
      </c>
      <c r="BO36" s="1650"/>
      <c r="BP36" s="1649" t="s">
        <v>5965</v>
      </c>
      <c r="BQ36" s="1650"/>
      <c r="BR36" s="1649" t="s">
        <v>5966</v>
      </c>
      <c r="BS36" s="1650"/>
      <c r="BT36" s="1651" t="s">
        <v>3441</v>
      </c>
      <c r="BU36" s="1652"/>
      <c r="BV36" s="1651" t="s">
        <v>5964</v>
      </c>
      <c r="BW36" s="1652"/>
      <c r="BX36" s="1651" t="s">
        <v>5965</v>
      </c>
      <c r="BY36" s="1652"/>
      <c r="BZ36" s="1651" t="s">
        <v>5966</v>
      </c>
      <c r="CA36" s="1652"/>
      <c r="CB36" s="1649" t="s">
        <v>3441</v>
      </c>
      <c r="CC36" s="1650"/>
      <c r="CD36" s="1649" t="s">
        <v>5964</v>
      </c>
      <c r="CE36" s="1650"/>
      <c r="CF36" s="1649" t="s">
        <v>5965</v>
      </c>
      <c r="CG36" s="1650"/>
      <c r="CH36" s="1649" t="s">
        <v>5966</v>
      </c>
      <c r="CI36" s="1650"/>
      <c r="CJ36" s="1651" t="s">
        <v>3441</v>
      </c>
      <c r="CK36" s="1652"/>
      <c r="CL36" s="1651" t="s">
        <v>5964</v>
      </c>
      <c r="CM36" s="1652"/>
      <c r="CN36" s="1651" t="s">
        <v>5965</v>
      </c>
      <c r="CO36" s="1652"/>
      <c r="CP36" s="1651" t="s">
        <v>5966</v>
      </c>
      <c r="CQ36" s="1652"/>
      <c r="CR36" s="1649" t="s">
        <v>3441</v>
      </c>
      <c r="CS36" s="1650"/>
      <c r="CT36" s="1649" t="s">
        <v>5964</v>
      </c>
      <c r="CU36" s="1650"/>
      <c r="CV36" s="1649" t="s">
        <v>5965</v>
      </c>
      <c r="CW36" s="1650"/>
      <c r="CX36" s="1649" t="s">
        <v>5966</v>
      </c>
      <c r="CY36" s="1650"/>
    </row>
    <row r="37" spans="2:103" x14ac:dyDescent="0.25">
      <c r="B37" s="1654"/>
      <c r="C37" s="883"/>
      <c r="D37" s="875" t="s">
        <v>5962</v>
      </c>
      <c r="E37" s="876" t="s">
        <v>5963</v>
      </c>
      <c r="F37" s="876" t="s">
        <v>5962</v>
      </c>
      <c r="G37" s="876" t="s">
        <v>5963</v>
      </c>
      <c r="H37" s="876" t="s">
        <v>5962</v>
      </c>
      <c r="I37" s="876" t="s">
        <v>5963</v>
      </c>
      <c r="J37" s="876" t="s">
        <v>5962</v>
      </c>
      <c r="K37" s="876" t="s">
        <v>5963</v>
      </c>
      <c r="L37" s="876" t="s">
        <v>5962</v>
      </c>
      <c r="M37" s="876" t="s">
        <v>5963</v>
      </c>
      <c r="N37" s="876" t="s">
        <v>5962</v>
      </c>
      <c r="O37" s="876" t="s">
        <v>5963</v>
      </c>
      <c r="P37" s="876" t="s">
        <v>5962</v>
      </c>
      <c r="Q37" s="876" t="s">
        <v>5963</v>
      </c>
      <c r="R37" s="876" t="s">
        <v>5962</v>
      </c>
      <c r="S37" s="876" t="s">
        <v>5963</v>
      </c>
      <c r="T37" s="876" t="s">
        <v>5962</v>
      </c>
      <c r="U37" s="876" t="s">
        <v>5963</v>
      </c>
      <c r="V37" s="876" t="s">
        <v>5962</v>
      </c>
      <c r="W37" s="876" t="s">
        <v>5963</v>
      </c>
      <c r="X37" s="876" t="s">
        <v>5962</v>
      </c>
      <c r="Y37" s="876" t="s">
        <v>5963</v>
      </c>
      <c r="Z37" s="876" t="s">
        <v>5962</v>
      </c>
      <c r="AA37" s="876" t="s">
        <v>5963</v>
      </c>
      <c r="AB37" s="876" t="s">
        <v>5962</v>
      </c>
      <c r="AC37" s="876" t="s">
        <v>5963</v>
      </c>
      <c r="AD37" s="876" t="s">
        <v>5962</v>
      </c>
      <c r="AE37" s="876" t="s">
        <v>5963</v>
      </c>
      <c r="AF37" s="876" t="s">
        <v>5962</v>
      </c>
      <c r="AG37" s="876" t="s">
        <v>5963</v>
      </c>
      <c r="AH37" s="876" t="s">
        <v>5962</v>
      </c>
      <c r="AI37" s="876" t="s">
        <v>5963</v>
      </c>
      <c r="AJ37" s="876" t="s">
        <v>5962</v>
      </c>
      <c r="AK37" s="876" t="s">
        <v>5963</v>
      </c>
      <c r="AL37" s="876" t="s">
        <v>5962</v>
      </c>
      <c r="AM37" s="876" t="s">
        <v>5963</v>
      </c>
      <c r="AN37" s="876" t="s">
        <v>5962</v>
      </c>
      <c r="AO37" s="876" t="s">
        <v>5963</v>
      </c>
      <c r="AP37" s="876" t="s">
        <v>5962</v>
      </c>
      <c r="AQ37" s="876" t="s">
        <v>5963</v>
      </c>
      <c r="AR37" s="876" t="s">
        <v>5962</v>
      </c>
      <c r="AS37" s="876" t="s">
        <v>5963</v>
      </c>
      <c r="AT37" s="876" t="s">
        <v>5962</v>
      </c>
      <c r="AU37" s="876" t="s">
        <v>5963</v>
      </c>
      <c r="AV37" s="876" t="s">
        <v>5962</v>
      </c>
      <c r="AW37" s="876" t="s">
        <v>5963</v>
      </c>
      <c r="AX37" s="876" t="s">
        <v>5962</v>
      </c>
      <c r="AY37" s="876" t="s">
        <v>5963</v>
      </c>
      <c r="AZ37" s="876" t="s">
        <v>5962</v>
      </c>
      <c r="BA37" s="876" t="s">
        <v>5963</v>
      </c>
      <c r="BB37" s="876" t="s">
        <v>5962</v>
      </c>
      <c r="BC37" s="876" t="s">
        <v>5963</v>
      </c>
      <c r="BD37" s="876" t="s">
        <v>5962</v>
      </c>
      <c r="BE37" s="876" t="s">
        <v>5963</v>
      </c>
      <c r="BF37" s="876" t="s">
        <v>5962</v>
      </c>
      <c r="BG37" s="876" t="s">
        <v>5963</v>
      </c>
      <c r="BH37" s="876" t="s">
        <v>5962</v>
      </c>
      <c r="BI37" s="876" t="s">
        <v>5963</v>
      </c>
      <c r="BJ37" s="876" t="s">
        <v>5962</v>
      </c>
      <c r="BK37" s="876" t="s">
        <v>5963</v>
      </c>
      <c r="BL37" s="876" t="s">
        <v>5962</v>
      </c>
      <c r="BM37" s="876" t="s">
        <v>5963</v>
      </c>
      <c r="BN37" s="876" t="s">
        <v>5962</v>
      </c>
      <c r="BO37" s="876" t="s">
        <v>5963</v>
      </c>
      <c r="BP37" s="876" t="s">
        <v>5962</v>
      </c>
      <c r="BQ37" s="876" t="s">
        <v>5963</v>
      </c>
      <c r="BR37" s="876" t="s">
        <v>5962</v>
      </c>
      <c r="BS37" s="876" t="s">
        <v>5963</v>
      </c>
      <c r="BT37" s="876" t="s">
        <v>5962</v>
      </c>
      <c r="BU37" s="876" t="s">
        <v>5963</v>
      </c>
      <c r="BV37" s="876" t="s">
        <v>5962</v>
      </c>
      <c r="BW37" s="876" t="s">
        <v>5963</v>
      </c>
      <c r="BX37" s="876" t="s">
        <v>5962</v>
      </c>
      <c r="BY37" s="876" t="s">
        <v>5963</v>
      </c>
      <c r="BZ37" s="876" t="s">
        <v>5962</v>
      </c>
      <c r="CA37" s="876" t="s">
        <v>5963</v>
      </c>
      <c r="CB37" s="876" t="s">
        <v>5962</v>
      </c>
      <c r="CC37" s="876" t="s">
        <v>5963</v>
      </c>
      <c r="CD37" s="876" t="s">
        <v>5962</v>
      </c>
      <c r="CE37" s="876" t="s">
        <v>5963</v>
      </c>
      <c r="CF37" s="876" t="s">
        <v>5962</v>
      </c>
      <c r="CG37" s="876" t="s">
        <v>5963</v>
      </c>
      <c r="CH37" s="876" t="s">
        <v>5962</v>
      </c>
      <c r="CI37" s="876" t="s">
        <v>5963</v>
      </c>
      <c r="CJ37" s="876" t="s">
        <v>5962</v>
      </c>
      <c r="CK37" s="876" t="s">
        <v>5963</v>
      </c>
      <c r="CL37" s="876" t="s">
        <v>5962</v>
      </c>
      <c r="CM37" s="876" t="s">
        <v>5963</v>
      </c>
      <c r="CN37" s="876" t="s">
        <v>5962</v>
      </c>
      <c r="CO37" s="876" t="s">
        <v>5963</v>
      </c>
      <c r="CP37" s="876" t="s">
        <v>5962</v>
      </c>
      <c r="CQ37" s="876" t="s">
        <v>5963</v>
      </c>
      <c r="CR37" s="876" t="s">
        <v>5962</v>
      </c>
      <c r="CS37" s="876" t="s">
        <v>5963</v>
      </c>
      <c r="CT37" s="876" t="s">
        <v>5962</v>
      </c>
      <c r="CU37" s="876" t="s">
        <v>5963</v>
      </c>
      <c r="CV37" s="876" t="s">
        <v>5962</v>
      </c>
      <c r="CW37" s="876" t="s">
        <v>5963</v>
      </c>
      <c r="CX37" s="876" t="s">
        <v>5962</v>
      </c>
      <c r="CY37" s="876" t="s">
        <v>5963</v>
      </c>
    </row>
    <row r="38" spans="2:103" x14ac:dyDescent="0.25">
      <c r="B38" s="876" t="s">
        <v>5967</v>
      </c>
      <c r="C38" s="884"/>
      <c r="D38" s="877">
        <v>44602</v>
      </c>
      <c r="E38" s="878">
        <v>9685742</v>
      </c>
      <c r="F38" s="877"/>
      <c r="G38" s="878"/>
      <c r="H38" s="877">
        <v>44602</v>
      </c>
      <c r="I38" s="879">
        <v>102022038</v>
      </c>
      <c r="J38" s="877">
        <v>44621</v>
      </c>
      <c r="K38" s="886">
        <v>977145094</v>
      </c>
      <c r="L38" s="877">
        <v>44630</v>
      </c>
      <c r="M38" s="878">
        <v>9735803</v>
      </c>
      <c r="N38" s="877">
        <v>44630</v>
      </c>
      <c r="O38" s="878">
        <f>43458433+342711</f>
        <v>43801144</v>
      </c>
      <c r="P38" s="877"/>
      <c r="Q38" s="878"/>
      <c r="R38" s="877">
        <v>44650</v>
      </c>
      <c r="S38" s="878">
        <v>187574977</v>
      </c>
      <c r="T38" s="877">
        <v>44659</v>
      </c>
      <c r="U38" s="887">
        <v>9755516</v>
      </c>
      <c r="V38" s="877">
        <v>44662</v>
      </c>
      <c r="W38" s="864">
        <f>1746786+1453984</f>
        <v>3200770</v>
      </c>
      <c r="X38" s="877">
        <v>44659</v>
      </c>
      <c r="Y38" s="887">
        <v>102022038</v>
      </c>
      <c r="Z38" s="877">
        <v>44677</v>
      </c>
      <c r="AA38" s="887">
        <v>859748511</v>
      </c>
      <c r="AB38" s="877">
        <v>44690</v>
      </c>
      <c r="AC38" s="887">
        <f>9786724+11175014</f>
        <v>20961738</v>
      </c>
      <c r="AD38" s="877">
        <v>44691</v>
      </c>
      <c r="AE38" s="887">
        <v>4919319</v>
      </c>
      <c r="AF38" s="877">
        <v>44690</v>
      </c>
      <c r="AG38" s="887">
        <v>196049318</v>
      </c>
      <c r="AH38" s="877">
        <v>44705</v>
      </c>
      <c r="AI38" s="887">
        <v>877014107</v>
      </c>
      <c r="AJ38" s="877">
        <v>44722</v>
      </c>
      <c r="AK38" s="887">
        <v>9786724</v>
      </c>
      <c r="AL38" s="877"/>
      <c r="AM38" s="887"/>
      <c r="AN38" s="877">
        <v>44722</v>
      </c>
      <c r="AO38" s="887">
        <f>64124322+6003763</f>
        <v>70128085</v>
      </c>
      <c r="AP38" s="877">
        <v>44722</v>
      </c>
      <c r="AQ38" s="887">
        <v>196049318</v>
      </c>
      <c r="AR38" s="877">
        <v>44739</v>
      </c>
      <c r="AS38" s="887">
        <v>268490195</v>
      </c>
      <c r="AT38" s="877">
        <v>44750</v>
      </c>
      <c r="AU38" s="887">
        <v>9786724</v>
      </c>
      <c r="AV38" s="877">
        <v>44750</v>
      </c>
      <c r="AW38" s="887">
        <f>686074+286710</f>
        <v>972784</v>
      </c>
      <c r="AX38" s="877">
        <v>44750</v>
      </c>
      <c r="AY38" s="887">
        <v>196049318</v>
      </c>
      <c r="AZ38" s="877"/>
      <c r="BA38" s="887"/>
      <c r="BB38" s="877"/>
      <c r="BC38" s="887"/>
      <c r="BD38" s="877"/>
      <c r="BE38" s="887"/>
      <c r="BF38" s="877"/>
      <c r="BG38" s="887"/>
      <c r="BH38" s="877"/>
      <c r="BI38" s="887"/>
      <c r="BJ38" s="877"/>
      <c r="BK38" s="879"/>
      <c r="BL38" s="877"/>
      <c r="BM38" s="887"/>
      <c r="BN38" s="877"/>
      <c r="BO38" s="887"/>
      <c r="BP38" s="877"/>
      <c r="BQ38" s="887"/>
      <c r="BR38" s="877"/>
      <c r="BS38" s="887"/>
      <c r="BT38" s="877"/>
      <c r="BU38" s="887"/>
      <c r="BV38" s="877"/>
      <c r="BW38" s="879"/>
      <c r="BX38" s="877"/>
      <c r="BY38" s="887"/>
      <c r="BZ38" s="877"/>
      <c r="CA38" s="887"/>
      <c r="CB38" s="877"/>
      <c r="CC38" s="887"/>
      <c r="CD38" s="877"/>
      <c r="CE38" s="879"/>
      <c r="CF38" s="877"/>
      <c r="CG38" s="887"/>
      <c r="CH38" s="877"/>
      <c r="CI38" s="887"/>
      <c r="CJ38" s="877"/>
      <c r="CK38" s="887"/>
      <c r="CL38" s="877"/>
      <c r="CM38" s="864"/>
      <c r="CN38" s="877"/>
      <c r="CO38" s="887"/>
      <c r="CP38" s="877"/>
      <c r="CQ38" s="879"/>
      <c r="CR38" s="877"/>
      <c r="CS38" s="879"/>
      <c r="CT38" s="877"/>
      <c r="CU38" s="879"/>
      <c r="CV38" s="877"/>
      <c r="CW38" s="879"/>
      <c r="CX38" s="877"/>
      <c r="CY38" s="879"/>
    </row>
    <row r="39" spans="2:103" x14ac:dyDescent="0.25">
      <c r="B39" s="876" t="s">
        <v>5968</v>
      </c>
      <c r="C39" s="884"/>
      <c r="D39" s="877"/>
      <c r="E39" s="880"/>
      <c r="F39" s="880"/>
      <c r="G39" s="879"/>
      <c r="H39" s="877"/>
      <c r="I39" s="879"/>
      <c r="J39" s="880"/>
      <c r="K39" s="880"/>
      <c r="L39" s="880"/>
      <c r="M39" s="880"/>
      <c r="N39" s="880"/>
      <c r="P39" s="877"/>
      <c r="Q39" s="879"/>
      <c r="R39" s="880"/>
      <c r="S39" s="880"/>
      <c r="T39" s="880"/>
      <c r="U39" s="880"/>
      <c r="V39" s="880"/>
      <c r="W39" s="880"/>
      <c r="X39" s="877"/>
      <c r="Y39" s="879"/>
      <c r="Z39" s="880"/>
      <c r="AA39" s="880"/>
      <c r="AB39" s="880"/>
      <c r="AC39" s="880"/>
      <c r="AD39" s="880"/>
      <c r="AE39" s="880"/>
      <c r="AF39" s="880"/>
      <c r="AG39" s="880"/>
      <c r="AH39" s="880"/>
      <c r="AI39" s="880"/>
      <c r="AJ39" s="877"/>
      <c r="AK39" s="879"/>
      <c r="AL39" s="877"/>
      <c r="AM39" s="879"/>
      <c r="AN39" s="880"/>
      <c r="AO39" s="880"/>
      <c r="AP39" s="880"/>
      <c r="AQ39" s="880"/>
      <c r="AR39" s="880"/>
      <c r="AS39" s="880"/>
      <c r="AT39" s="877"/>
      <c r="AU39" s="879"/>
      <c r="AV39" s="880"/>
      <c r="AW39" s="880"/>
      <c r="AX39" s="880"/>
      <c r="AY39" s="880"/>
      <c r="AZ39" s="880"/>
      <c r="BA39" s="880"/>
      <c r="BB39" s="880"/>
      <c r="BC39" s="880"/>
      <c r="BD39" s="877"/>
      <c r="BE39" s="887"/>
      <c r="BF39" s="880"/>
      <c r="BG39" s="880"/>
      <c r="BH39" s="880"/>
      <c r="BI39" s="880"/>
      <c r="BJ39" s="880"/>
      <c r="BK39" s="880"/>
      <c r="BL39" s="877"/>
      <c r="BM39" s="887"/>
      <c r="BN39" s="880"/>
      <c r="BO39" s="880"/>
      <c r="BP39" s="880"/>
      <c r="BQ39" s="880"/>
      <c r="BR39" s="880"/>
      <c r="BS39" s="880"/>
      <c r="BT39" s="877"/>
      <c r="BU39" s="887"/>
      <c r="BV39" s="880"/>
      <c r="BW39" s="880"/>
      <c r="BX39" s="877"/>
      <c r="BY39" s="887"/>
      <c r="BZ39" s="880"/>
      <c r="CA39" s="880"/>
      <c r="CB39" s="880"/>
      <c r="CC39" s="880"/>
      <c r="CD39" s="880"/>
      <c r="CE39" s="880"/>
      <c r="CF39" s="880"/>
      <c r="CG39" s="880"/>
      <c r="CH39" s="880"/>
      <c r="CI39" s="880"/>
      <c r="CJ39" s="880"/>
      <c r="CK39" s="880"/>
      <c r="CL39" s="880"/>
      <c r="CM39" s="880"/>
      <c r="CN39" s="880"/>
      <c r="CO39" s="880"/>
      <c r="CP39" s="880"/>
      <c r="CQ39" s="880"/>
      <c r="CR39" s="880"/>
      <c r="CS39" s="880"/>
      <c r="CT39" s="880"/>
      <c r="CU39" s="880"/>
      <c r="CV39" s="880"/>
      <c r="CW39" s="880"/>
      <c r="CX39" s="880"/>
      <c r="CY39" s="880"/>
    </row>
    <row r="40" spans="2:103" x14ac:dyDescent="0.25">
      <c r="B40" s="876" t="s">
        <v>5969</v>
      </c>
      <c r="C40" s="884"/>
      <c r="D40" s="877"/>
      <c r="E40" s="880"/>
      <c r="F40" s="877"/>
      <c r="G40" s="879"/>
      <c r="H40" s="877"/>
      <c r="I40" s="879"/>
      <c r="J40" s="880"/>
      <c r="K40" s="880"/>
      <c r="L40" s="880"/>
      <c r="M40" s="880"/>
      <c r="N40" s="880"/>
      <c r="O40" s="880"/>
      <c r="P40" s="880"/>
      <c r="Q40" s="880"/>
      <c r="R40" s="880"/>
      <c r="S40" s="880"/>
      <c r="T40" s="880"/>
      <c r="U40" s="880"/>
      <c r="V40" s="880"/>
      <c r="W40" s="880"/>
      <c r="X40" s="880"/>
      <c r="Y40" s="880"/>
      <c r="Z40" s="880"/>
      <c r="AA40" s="880"/>
      <c r="AB40" s="880"/>
      <c r="AC40" s="880"/>
      <c r="AD40" s="880"/>
      <c r="AE40" s="880"/>
      <c r="AF40" s="880"/>
      <c r="AG40" s="880"/>
      <c r="AH40" s="880"/>
      <c r="AI40" s="880"/>
      <c r="AJ40" s="880"/>
      <c r="AK40" s="880"/>
      <c r="AL40" s="880"/>
      <c r="AM40" s="880"/>
      <c r="AN40" s="880"/>
      <c r="AO40" s="880"/>
      <c r="AP40" s="880"/>
      <c r="AQ40" s="880"/>
      <c r="AR40" s="880"/>
      <c r="AS40" s="880"/>
      <c r="AT40" s="877"/>
      <c r="AU40" s="879"/>
      <c r="AV40" s="880"/>
      <c r="AW40" s="880"/>
      <c r="AX40" s="880"/>
      <c r="AY40" s="880"/>
      <c r="AZ40" s="880"/>
      <c r="BA40" s="880"/>
      <c r="BB40" s="880"/>
      <c r="BC40" s="880"/>
      <c r="BD40" s="877"/>
      <c r="BE40" s="879"/>
      <c r="BF40" s="880"/>
      <c r="BG40" s="880"/>
      <c r="BH40" s="880"/>
      <c r="BI40" s="880"/>
      <c r="BJ40" s="880"/>
      <c r="BK40" s="880"/>
      <c r="BL40" s="877"/>
      <c r="BM40" s="887"/>
      <c r="BN40" s="880"/>
      <c r="BO40" s="880"/>
      <c r="BP40" s="880"/>
      <c r="BQ40" s="880"/>
      <c r="BR40" s="880"/>
      <c r="BS40" s="880"/>
      <c r="BT40" s="880"/>
      <c r="BU40" s="880"/>
      <c r="BV40" s="880"/>
      <c r="BW40" s="880"/>
      <c r="BX40" s="880"/>
      <c r="BY40" s="880"/>
      <c r="BZ40" s="880"/>
      <c r="CA40" s="880"/>
      <c r="CB40" s="880"/>
      <c r="CC40" s="880"/>
      <c r="CD40" s="880"/>
      <c r="CE40" s="880"/>
      <c r="CF40" s="880"/>
      <c r="CG40" s="880"/>
      <c r="CH40" s="880"/>
      <c r="CI40" s="880"/>
      <c r="CJ40" s="880"/>
      <c r="CK40" s="880"/>
      <c r="CL40" s="880"/>
      <c r="CM40" s="880"/>
      <c r="CN40" s="880"/>
      <c r="CO40" s="880"/>
      <c r="CP40" s="880"/>
      <c r="CQ40" s="880"/>
      <c r="CR40" s="880"/>
      <c r="CS40" s="880"/>
      <c r="CT40" s="880"/>
      <c r="CU40" s="880"/>
      <c r="CV40" s="880"/>
      <c r="CW40" s="880"/>
      <c r="CX40" s="880"/>
      <c r="CY40" s="880"/>
    </row>
    <row r="41" spans="2:103" x14ac:dyDescent="0.25">
      <c r="B41" s="876" t="s">
        <v>5970</v>
      </c>
      <c r="C41" s="884"/>
      <c r="D41" s="877"/>
      <c r="E41" s="880"/>
      <c r="F41" s="880"/>
      <c r="G41" s="879"/>
      <c r="H41" s="880"/>
      <c r="I41" s="880"/>
      <c r="J41" s="880"/>
      <c r="K41" s="880"/>
      <c r="L41" s="877"/>
      <c r="M41" s="879"/>
      <c r="N41" s="880"/>
      <c r="O41" s="880"/>
      <c r="P41" s="880"/>
      <c r="Q41" s="880"/>
      <c r="R41" s="880"/>
      <c r="S41" s="880"/>
      <c r="T41" s="880"/>
      <c r="U41" s="880"/>
      <c r="V41" s="880"/>
      <c r="W41" s="880"/>
      <c r="X41" s="880"/>
      <c r="Y41" s="880"/>
      <c r="Z41" s="880"/>
      <c r="AA41" s="880"/>
      <c r="AB41" s="880"/>
      <c r="AC41" s="880"/>
      <c r="AD41" s="880"/>
      <c r="AE41" s="880"/>
      <c r="AF41" s="880"/>
      <c r="AG41" s="880"/>
      <c r="AH41" s="880"/>
      <c r="AI41" s="880"/>
      <c r="AJ41" s="880"/>
      <c r="AK41" s="880"/>
      <c r="AL41" s="880"/>
      <c r="AM41" s="880"/>
      <c r="AN41" s="880"/>
      <c r="AO41" s="880"/>
      <c r="AP41" s="880"/>
      <c r="AQ41" s="880"/>
      <c r="AR41" s="880"/>
      <c r="AS41" s="880"/>
      <c r="AT41" s="880"/>
      <c r="AU41" s="880"/>
      <c r="AV41" s="880"/>
      <c r="AW41" s="880"/>
      <c r="AX41" s="880"/>
      <c r="AY41" s="880"/>
      <c r="AZ41" s="880"/>
      <c r="BA41" s="880"/>
      <c r="BB41" s="880"/>
      <c r="BC41" s="880"/>
      <c r="BD41" s="880"/>
      <c r="BE41" s="880"/>
      <c r="BF41" s="880"/>
      <c r="BG41" s="880"/>
      <c r="BH41" s="880"/>
      <c r="BI41" s="880"/>
      <c r="BJ41" s="880"/>
      <c r="BK41" s="880"/>
      <c r="BL41" s="880"/>
      <c r="BM41" s="880"/>
      <c r="BN41" s="880"/>
      <c r="BO41" s="880"/>
      <c r="BP41" s="880"/>
      <c r="BQ41" s="880"/>
      <c r="BR41" s="880"/>
      <c r="BS41" s="880"/>
      <c r="BT41" s="880"/>
      <c r="BU41" s="880"/>
      <c r="BV41" s="880"/>
      <c r="BW41" s="880"/>
      <c r="BX41" s="880"/>
      <c r="BY41" s="880"/>
      <c r="BZ41" s="880"/>
      <c r="CA41" s="880"/>
      <c r="CB41" s="880"/>
      <c r="CC41" s="880"/>
      <c r="CD41" s="880"/>
      <c r="CE41" s="880"/>
      <c r="CF41" s="880"/>
      <c r="CG41" s="880"/>
      <c r="CH41" s="880"/>
      <c r="CI41" s="880"/>
      <c r="CJ41" s="880"/>
      <c r="CK41" s="880"/>
      <c r="CL41" s="880"/>
      <c r="CM41" s="880"/>
      <c r="CN41" s="880"/>
      <c r="CO41" s="880"/>
      <c r="CP41" s="880"/>
      <c r="CQ41" s="880"/>
      <c r="CR41" s="880"/>
      <c r="CS41" s="880"/>
      <c r="CT41" s="880"/>
      <c r="CU41" s="880"/>
      <c r="CV41" s="880"/>
      <c r="CW41" s="880"/>
      <c r="CX41" s="880"/>
      <c r="CY41" s="880"/>
    </row>
    <row r="42" spans="2:103" x14ac:dyDescent="0.25">
      <c r="B42" s="876" t="s">
        <v>5963</v>
      </c>
      <c r="C42" s="884"/>
      <c r="D42" s="888"/>
      <c r="E42" s="889">
        <f>SUM(E38:E41)</f>
        <v>9685742</v>
      </c>
      <c r="F42" s="876"/>
      <c r="G42" s="890">
        <f>SUM(G38:G41)</f>
        <v>0</v>
      </c>
      <c r="H42" s="876"/>
      <c r="I42" s="891">
        <f>SUM(I38:I41)</f>
        <v>102022038</v>
      </c>
      <c r="J42" s="876"/>
      <c r="K42" s="892">
        <f>SUM(K38:K41)</f>
        <v>977145094</v>
      </c>
      <c r="L42" s="876"/>
      <c r="M42" s="889">
        <f>SUM(M38:M41)</f>
        <v>9735803</v>
      </c>
      <c r="N42" s="876"/>
      <c r="O42" s="889">
        <f>SUM(O38:O41)</f>
        <v>43801144</v>
      </c>
      <c r="P42" s="876"/>
      <c r="Q42" s="889">
        <f>SUM(Q38:Q41)</f>
        <v>0</v>
      </c>
      <c r="R42" s="876"/>
      <c r="S42" s="889">
        <f>SUM(S38:S41)</f>
        <v>187574977</v>
      </c>
      <c r="T42" s="876"/>
      <c r="U42" s="889">
        <f>SUM(U38:U41)</f>
        <v>9755516</v>
      </c>
      <c r="V42" s="876"/>
      <c r="W42" s="889">
        <f>SUM(W38:W41)</f>
        <v>3200770</v>
      </c>
      <c r="X42" s="876"/>
      <c r="Y42" s="889">
        <f>SUM(Y38:Y41)</f>
        <v>102022038</v>
      </c>
      <c r="Z42" s="876"/>
      <c r="AA42" s="889">
        <f>SUM(AA38:AA41)</f>
        <v>859748511</v>
      </c>
      <c r="AB42" s="876"/>
      <c r="AC42" s="889">
        <f>SUM(AC38:AC41)</f>
        <v>20961738</v>
      </c>
      <c r="AD42" s="876"/>
      <c r="AE42" s="889">
        <f>SUM(AE38:AE41)</f>
        <v>4919319</v>
      </c>
      <c r="AF42" s="876"/>
      <c r="AG42" s="889">
        <f>SUM(AG38:AG41)</f>
        <v>196049318</v>
      </c>
      <c r="AH42" s="876"/>
      <c r="AI42" s="889">
        <f>SUM(AI38:AI41)</f>
        <v>877014107</v>
      </c>
      <c r="AJ42" s="876"/>
      <c r="AK42" s="889">
        <f>SUM(AK38:AK41)</f>
        <v>9786724</v>
      </c>
      <c r="AL42" s="876"/>
      <c r="AM42" s="889">
        <f>SUM(AM38:AM41)</f>
        <v>0</v>
      </c>
      <c r="AN42" s="876"/>
      <c r="AO42" s="889">
        <f>SUM(AO38:AO41)</f>
        <v>70128085</v>
      </c>
      <c r="AP42" s="876"/>
      <c r="AQ42" s="889">
        <f>SUM(AQ38:AQ41)</f>
        <v>196049318</v>
      </c>
      <c r="AR42" s="876"/>
      <c r="AS42" s="889">
        <f>SUM(AS38:AS41)</f>
        <v>268490195</v>
      </c>
      <c r="AT42" s="876"/>
      <c r="AU42" s="889">
        <f>SUM(AU38:AU41)</f>
        <v>9786724</v>
      </c>
      <c r="AV42" s="876"/>
      <c r="AW42" s="889">
        <f>SUM(AW38:AW41)</f>
        <v>972784</v>
      </c>
      <c r="AX42" s="876"/>
      <c r="AY42" s="889">
        <f>SUM(AY38:AY41)</f>
        <v>196049318</v>
      </c>
      <c r="AZ42" s="876"/>
      <c r="BA42" s="889">
        <f>SUM(BA38:BA41)</f>
        <v>0</v>
      </c>
      <c r="BB42" s="889"/>
      <c r="BC42" s="889"/>
      <c r="BD42" s="876"/>
      <c r="BE42" s="889">
        <f>SUM(BE38:BE41)</f>
        <v>0</v>
      </c>
      <c r="BF42" s="876"/>
      <c r="BG42" s="889">
        <f>SUM(BG38:BG41)</f>
        <v>0</v>
      </c>
      <c r="BH42" s="876"/>
      <c r="BI42" s="889">
        <f>SUM(BI38:BI41)</f>
        <v>0</v>
      </c>
      <c r="BJ42" s="876"/>
      <c r="BK42" s="876"/>
      <c r="BL42" s="876"/>
      <c r="BM42" s="889">
        <f>SUM(BM38:BM41)</f>
        <v>0</v>
      </c>
      <c r="BN42" s="876"/>
      <c r="BO42" s="889">
        <f>SUM(BO38:BO41)</f>
        <v>0</v>
      </c>
      <c r="BP42" s="876"/>
      <c r="BQ42" s="889">
        <f>SUM(BQ38:BQ41)</f>
        <v>0</v>
      </c>
      <c r="BR42" s="876"/>
      <c r="BS42" s="889">
        <f>SUM(BS38:BS41)</f>
        <v>0</v>
      </c>
      <c r="BT42" s="876"/>
      <c r="BU42" s="889">
        <f>SUM(BU38:BU41)</f>
        <v>0</v>
      </c>
      <c r="BV42" s="876"/>
      <c r="BW42" s="876"/>
      <c r="BX42" s="876"/>
      <c r="BY42" s="889">
        <f>SUM(BY38:BY41)</f>
        <v>0</v>
      </c>
      <c r="BZ42" s="876"/>
      <c r="CA42" s="889">
        <f>SUM(CA38:CA41)</f>
        <v>0</v>
      </c>
      <c r="CB42" s="876"/>
      <c r="CC42" s="889">
        <f>SUM(CC38:CC41)</f>
        <v>0</v>
      </c>
      <c r="CD42" s="876"/>
      <c r="CE42" s="876"/>
      <c r="CF42" s="876"/>
      <c r="CG42" s="889">
        <f>SUM(CG38:CG41)</f>
        <v>0</v>
      </c>
      <c r="CH42" s="876"/>
      <c r="CI42" s="889">
        <f>SUM(CI38:CI41)</f>
        <v>0</v>
      </c>
      <c r="CJ42" s="876"/>
      <c r="CK42" s="889">
        <f>SUM(CK38:CK41)</f>
        <v>0</v>
      </c>
      <c r="CL42" s="876"/>
      <c r="CM42" s="889">
        <f>SUM(CM38:CM41)</f>
        <v>0</v>
      </c>
      <c r="CN42" s="876"/>
      <c r="CO42" s="889">
        <f>SUM(CO38:CO41)</f>
        <v>0</v>
      </c>
      <c r="CP42" s="876"/>
      <c r="CQ42" s="876"/>
      <c r="CR42" s="876"/>
      <c r="CS42" s="876"/>
      <c r="CT42" s="876"/>
      <c r="CU42" s="876"/>
      <c r="CV42" s="876"/>
      <c r="CW42" s="876"/>
      <c r="CX42" s="876"/>
      <c r="CY42" s="876"/>
    </row>
    <row r="46" spans="2:103" x14ac:dyDescent="0.25">
      <c r="C46" s="874"/>
      <c r="E46" s="874" t="s">
        <v>6207</v>
      </c>
      <c r="I46" s="874" t="s">
        <v>6237</v>
      </c>
      <c r="M46" s="874" t="s">
        <v>6101</v>
      </c>
      <c r="AB46" s="874" t="s">
        <v>6207</v>
      </c>
    </row>
    <row r="47" spans="2:103" x14ac:dyDescent="0.25">
      <c r="C47" s="874"/>
      <c r="E47" s="881">
        <v>44510</v>
      </c>
      <c r="F47" s="874" t="s">
        <v>6208</v>
      </c>
      <c r="G47" s="882">
        <v>30000000</v>
      </c>
      <c r="I47" s="881">
        <v>44571</v>
      </c>
      <c r="J47" s="874" t="s">
        <v>6238</v>
      </c>
      <c r="K47" s="882">
        <v>31250</v>
      </c>
      <c r="M47" s="874">
        <v>2021</v>
      </c>
      <c r="N47" s="882">
        <v>1341161662</v>
      </c>
      <c r="AB47" s="881">
        <v>44510</v>
      </c>
      <c r="AC47" s="874" t="s">
        <v>6208</v>
      </c>
      <c r="AD47" s="882">
        <v>30000000</v>
      </c>
    </row>
    <row r="48" spans="2:103" x14ac:dyDescent="0.25">
      <c r="C48" s="874"/>
      <c r="E48" s="881">
        <v>44510</v>
      </c>
      <c r="F48" s="874" t="s">
        <v>6209</v>
      </c>
      <c r="G48" s="882">
        <v>57000000</v>
      </c>
      <c r="I48" s="881">
        <v>44571</v>
      </c>
      <c r="J48" s="874" t="s">
        <v>6239</v>
      </c>
      <c r="K48" s="882">
        <v>31250</v>
      </c>
      <c r="AB48" s="881">
        <v>44510</v>
      </c>
      <c r="AC48" s="874" t="s">
        <v>6209</v>
      </c>
      <c r="AD48" s="882">
        <v>57000000</v>
      </c>
    </row>
    <row r="49" spans="3:30" x14ac:dyDescent="0.25">
      <c r="C49" s="874"/>
      <c r="E49" s="881">
        <v>44510</v>
      </c>
      <c r="F49" s="874" t="s">
        <v>6210</v>
      </c>
      <c r="G49" s="882">
        <v>25000000</v>
      </c>
      <c r="I49" s="881">
        <v>44571</v>
      </c>
      <c r="J49" s="874" t="s">
        <v>6240</v>
      </c>
      <c r="K49" s="882">
        <v>75000</v>
      </c>
      <c r="AB49" s="881">
        <v>44510</v>
      </c>
      <c r="AC49" s="874" t="s">
        <v>6210</v>
      </c>
      <c r="AD49" s="882">
        <v>25000000</v>
      </c>
    </row>
    <row r="50" spans="3:30" x14ac:dyDescent="0.25">
      <c r="C50" s="874"/>
      <c r="E50" s="881">
        <v>44540</v>
      </c>
      <c r="F50" s="874" t="s">
        <v>6227</v>
      </c>
      <c r="G50" s="882">
        <v>25000000</v>
      </c>
      <c r="K50" s="882"/>
      <c r="AD50" s="882"/>
    </row>
    <row r="51" spans="3:30" x14ac:dyDescent="0.25">
      <c r="C51" s="874"/>
      <c r="E51" s="881">
        <v>44571</v>
      </c>
      <c r="F51" s="874" t="s">
        <v>6241</v>
      </c>
      <c r="G51" s="882">
        <v>80000000</v>
      </c>
      <c r="AD51" s="882"/>
    </row>
    <row r="52" spans="3:30" x14ac:dyDescent="0.25">
      <c r="C52" s="874"/>
      <c r="E52" s="881">
        <v>44571</v>
      </c>
      <c r="F52" s="874" t="s">
        <v>6242</v>
      </c>
      <c r="G52" s="882">
        <v>23000000</v>
      </c>
      <c r="AD52" s="882"/>
    </row>
    <row r="53" spans="3:30" x14ac:dyDescent="0.25">
      <c r="C53" s="874"/>
      <c r="E53" s="881">
        <v>44571</v>
      </c>
      <c r="F53" s="874" t="s">
        <v>6243</v>
      </c>
      <c r="G53" s="882">
        <v>53333333</v>
      </c>
      <c r="AD53" s="882"/>
    </row>
    <row r="54" spans="3:30" x14ac:dyDescent="0.25">
      <c r="C54" s="874"/>
      <c r="E54" s="881">
        <v>44571</v>
      </c>
      <c r="F54" s="874" t="s">
        <v>6244</v>
      </c>
      <c r="G54" s="882">
        <v>3333333</v>
      </c>
      <c r="AD54" s="882"/>
    </row>
    <row r="55" spans="3:30" x14ac:dyDescent="0.25">
      <c r="C55" s="874"/>
      <c r="E55" s="881">
        <v>44571</v>
      </c>
      <c r="F55" s="874" t="s">
        <v>6245</v>
      </c>
      <c r="G55" s="882">
        <v>2777778</v>
      </c>
      <c r="AD55" s="882"/>
    </row>
    <row r="56" spans="3:30" x14ac:dyDescent="0.25">
      <c r="E56" s="881">
        <v>44571</v>
      </c>
      <c r="F56" s="874" t="s">
        <v>6246</v>
      </c>
      <c r="G56" s="882">
        <v>2777778</v>
      </c>
    </row>
  </sheetData>
  <mergeCells count="194">
    <mergeCell ref="CP36:CQ36"/>
    <mergeCell ref="CR36:CS36"/>
    <mergeCell ref="CT36:CU36"/>
    <mergeCell ref="CV36:CW36"/>
    <mergeCell ref="CX36:CY36"/>
    <mergeCell ref="BX36:BY36"/>
    <mergeCell ref="BZ36:CA36"/>
    <mergeCell ref="CB36:CC36"/>
    <mergeCell ref="CD36:CE36"/>
    <mergeCell ref="CF36:CG36"/>
    <mergeCell ref="CH36:CI36"/>
    <mergeCell ref="CJ36:CK36"/>
    <mergeCell ref="CL36:CM36"/>
    <mergeCell ref="CN36:CO36"/>
    <mergeCell ref="BF36:BG36"/>
    <mergeCell ref="BH36:BI36"/>
    <mergeCell ref="BJ36:BK36"/>
    <mergeCell ref="BL36:BM36"/>
    <mergeCell ref="BN36:BO36"/>
    <mergeCell ref="BP36:BQ36"/>
    <mergeCell ref="BR36:BS36"/>
    <mergeCell ref="BT36:BU36"/>
    <mergeCell ref="BV36:BW36"/>
    <mergeCell ref="AN36:AO36"/>
    <mergeCell ref="AP36:AQ36"/>
    <mergeCell ref="AR36:AS36"/>
    <mergeCell ref="AT36:AU36"/>
    <mergeCell ref="AV36:AW36"/>
    <mergeCell ref="AX36:AY36"/>
    <mergeCell ref="AZ36:BA36"/>
    <mergeCell ref="BB36:BC36"/>
    <mergeCell ref="BD36:BE36"/>
    <mergeCell ref="V36:W36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B32:CY32"/>
    <mergeCell ref="B33:CY33"/>
    <mergeCell ref="B35:B37"/>
    <mergeCell ref="D35:K35"/>
    <mergeCell ref="L35:S35"/>
    <mergeCell ref="T35:AA35"/>
    <mergeCell ref="AB35:AI35"/>
    <mergeCell ref="AL35:AS35"/>
    <mergeCell ref="AT35:BC35"/>
    <mergeCell ref="BD35:BK35"/>
    <mergeCell ref="BL35:BS35"/>
    <mergeCell ref="BT35:CA35"/>
    <mergeCell ref="CB35:CI35"/>
    <mergeCell ref="CJ35:CQ35"/>
    <mergeCell ref="CR35:CY35"/>
    <mergeCell ref="D36:E36"/>
    <mergeCell ref="F36:G36"/>
    <mergeCell ref="H36:I36"/>
    <mergeCell ref="J36:K36"/>
    <mergeCell ref="L36:M36"/>
    <mergeCell ref="N36:O36"/>
    <mergeCell ref="P36:Q36"/>
    <mergeCell ref="R36:S36"/>
    <mergeCell ref="T36:U36"/>
    <mergeCell ref="AT20:BC20"/>
    <mergeCell ref="CR4:CY4"/>
    <mergeCell ref="CR5:CS5"/>
    <mergeCell ref="CT5:CU5"/>
    <mergeCell ref="CV5:CW5"/>
    <mergeCell ref="CX5:CY5"/>
    <mergeCell ref="BL4:BS4"/>
    <mergeCell ref="BL5:BM5"/>
    <mergeCell ref="BN5:BO5"/>
    <mergeCell ref="BP5:BQ5"/>
    <mergeCell ref="BR5:BS5"/>
    <mergeCell ref="BT4:CA4"/>
    <mergeCell ref="BT5:BU5"/>
    <mergeCell ref="BV5:BW5"/>
    <mergeCell ref="BX5:BY5"/>
    <mergeCell ref="BZ5:CA5"/>
    <mergeCell ref="CJ4:CQ4"/>
    <mergeCell ref="CJ5:CK5"/>
    <mergeCell ref="CL5:CM5"/>
    <mergeCell ref="CN5:CO5"/>
    <mergeCell ref="CP5:CQ5"/>
    <mergeCell ref="CB4:CI4"/>
    <mergeCell ref="CB5:CC5"/>
    <mergeCell ref="CD5:CE5"/>
    <mergeCell ref="CF5:CG5"/>
    <mergeCell ref="CH5:CI5"/>
    <mergeCell ref="AB5:AC5"/>
    <mergeCell ref="AD5:AE5"/>
    <mergeCell ref="AF5:AG5"/>
    <mergeCell ref="AH5:AI5"/>
    <mergeCell ref="AJ5:AK5"/>
    <mergeCell ref="BD4:BK4"/>
    <mergeCell ref="BD5:BE5"/>
    <mergeCell ref="BF5:BG5"/>
    <mergeCell ref="BH5:BI5"/>
    <mergeCell ref="BJ5:BK5"/>
    <mergeCell ref="AT4:BA4"/>
    <mergeCell ref="AT5:AU5"/>
    <mergeCell ref="AV5:AW5"/>
    <mergeCell ref="AX5:AY5"/>
    <mergeCell ref="AZ5:BA5"/>
    <mergeCell ref="B1:CY1"/>
    <mergeCell ref="B2:CY2"/>
    <mergeCell ref="B4:B6"/>
    <mergeCell ref="D5:E5"/>
    <mergeCell ref="F5:G5"/>
    <mergeCell ref="H5:I5"/>
    <mergeCell ref="J5:K5"/>
    <mergeCell ref="D4:K4"/>
    <mergeCell ref="T4:AA4"/>
    <mergeCell ref="T5:U5"/>
    <mergeCell ref="V5:W5"/>
    <mergeCell ref="X5:Y5"/>
    <mergeCell ref="Z5:AA5"/>
    <mergeCell ref="L4:S4"/>
    <mergeCell ref="L5:M5"/>
    <mergeCell ref="N5:O5"/>
    <mergeCell ref="P5:Q5"/>
    <mergeCell ref="R5:S5"/>
    <mergeCell ref="AL4:AS4"/>
    <mergeCell ref="AL5:AM5"/>
    <mergeCell ref="AN5:AO5"/>
    <mergeCell ref="AP5:AQ5"/>
    <mergeCell ref="AR5:AS5"/>
    <mergeCell ref="AB4:AI4"/>
    <mergeCell ref="F21:G21"/>
    <mergeCell ref="H21:I21"/>
    <mergeCell ref="J21:K21"/>
    <mergeCell ref="L21:M21"/>
    <mergeCell ref="N21:O21"/>
    <mergeCell ref="B17:CY17"/>
    <mergeCell ref="B18:CY18"/>
    <mergeCell ref="B20:B22"/>
    <mergeCell ref="D20:K20"/>
    <mergeCell ref="L20:S20"/>
    <mergeCell ref="T20:AA20"/>
    <mergeCell ref="AB20:AI20"/>
    <mergeCell ref="AL20:AS20"/>
    <mergeCell ref="BD20:BK20"/>
    <mergeCell ref="BL20:BS20"/>
    <mergeCell ref="BT20:CA20"/>
    <mergeCell ref="CB20:CI20"/>
    <mergeCell ref="CJ20:CQ20"/>
    <mergeCell ref="CR20:CY20"/>
    <mergeCell ref="D21:E21"/>
    <mergeCell ref="Z21:AA21"/>
    <mergeCell ref="AB21:AC21"/>
    <mergeCell ref="AD21:AE21"/>
    <mergeCell ref="AF21:AG21"/>
    <mergeCell ref="AH21:AI21"/>
    <mergeCell ref="P21:Q21"/>
    <mergeCell ref="R21:S21"/>
    <mergeCell ref="T21:U21"/>
    <mergeCell ref="V21:W21"/>
    <mergeCell ref="X21:Y21"/>
    <mergeCell ref="AT21:AU21"/>
    <mergeCell ref="AV21:AW21"/>
    <mergeCell ref="AX21:AY21"/>
    <mergeCell ref="AZ21:BA21"/>
    <mergeCell ref="BD21:BE21"/>
    <mergeCell ref="AJ21:AK21"/>
    <mergeCell ref="AL21:AM21"/>
    <mergeCell ref="AN21:AO21"/>
    <mergeCell ref="AP21:AQ21"/>
    <mergeCell ref="AR21:AS21"/>
    <mergeCell ref="BP21:BQ21"/>
    <mergeCell ref="BB21:BC21"/>
    <mergeCell ref="BR21:BS21"/>
    <mergeCell ref="BT21:BU21"/>
    <mergeCell ref="BV21:BW21"/>
    <mergeCell ref="BX21:BY21"/>
    <mergeCell ref="BF21:BG21"/>
    <mergeCell ref="BH21:BI21"/>
    <mergeCell ref="BJ21:BK21"/>
    <mergeCell ref="BL21:BM21"/>
    <mergeCell ref="BN21:BO21"/>
    <mergeCell ref="CT21:CU21"/>
    <mergeCell ref="CV21:CW21"/>
    <mergeCell ref="CX21:CY21"/>
    <mergeCell ref="CJ21:CK21"/>
    <mergeCell ref="CL21:CM21"/>
    <mergeCell ref="CN21:CO21"/>
    <mergeCell ref="CP21:CQ21"/>
    <mergeCell ref="CR21:CS21"/>
    <mergeCell ref="BZ21:CA21"/>
    <mergeCell ref="CB21:CC21"/>
    <mergeCell ref="CD21:CE21"/>
    <mergeCell ref="CF21:CG21"/>
    <mergeCell ref="CH21:CI21"/>
  </mergeCells>
  <pageMargins left="0.7" right="0.7" top="0.75" bottom="0.75" header="0.3" footer="0.3"/>
  <pageSetup paperSize="9" orientation="portrait" horizontalDpi="4294967293" verticalDpi="7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150"/>
  <sheetViews>
    <sheetView zoomScaleNormal="100" workbookViewId="0">
      <pane xSplit="2" ySplit="7" topLeftCell="H77" activePane="bottomRight" state="frozen"/>
      <selection pane="topRight" activeCell="C1" sqref="C1"/>
      <selection pane="bottomLeft" activeCell="A8" sqref="A8"/>
      <selection pane="bottomRight" activeCell="L53" sqref="L53:O54"/>
    </sheetView>
  </sheetViews>
  <sheetFormatPr defaultColWidth="9.140625" defaultRowHeight="16.5" x14ac:dyDescent="0.25"/>
  <cols>
    <col min="1" max="1" width="15.7109375" style="271" customWidth="1"/>
    <col min="2" max="2" width="19.42578125" style="262" customWidth="1"/>
    <col min="3" max="3" width="8" style="262" customWidth="1"/>
    <col min="4" max="4" width="18.42578125" style="334" customWidth="1"/>
    <col min="5" max="5" width="18.28515625" style="334" customWidth="1"/>
    <col min="6" max="6" width="17.5703125" style="334" customWidth="1"/>
    <col min="7" max="7" width="18.85546875" style="334" customWidth="1"/>
    <col min="8" max="8" width="18.28515625" style="334" customWidth="1"/>
    <col min="9" max="9" width="17" style="334" bestFit="1" customWidth="1"/>
    <col min="10" max="10" width="18.42578125" style="334" customWidth="1"/>
    <col min="11" max="11" width="17.7109375" style="334" bestFit="1" customWidth="1"/>
    <col min="12" max="12" width="18.5703125" style="334" customWidth="1"/>
    <col min="13" max="13" width="15" style="334" customWidth="1"/>
    <col min="14" max="14" width="17.28515625" style="334" customWidth="1"/>
    <col min="15" max="15" width="17.7109375" style="334" bestFit="1" customWidth="1"/>
    <col min="16" max="17" width="17.28515625" style="334" bestFit="1" customWidth="1"/>
    <col min="18" max="18" width="17.7109375" style="334" bestFit="1" customWidth="1"/>
    <col min="19" max="19" width="18.28515625" style="334" customWidth="1"/>
    <col min="20" max="21" width="16.85546875" style="334" customWidth="1"/>
    <col min="22" max="22" width="15.7109375" style="334" customWidth="1"/>
    <col min="23" max="23" width="17.42578125" style="334" customWidth="1"/>
    <col min="24" max="24" width="17" style="334" bestFit="1" customWidth="1"/>
    <col min="25" max="25" width="18" style="334" customWidth="1"/>
    <col min="26" max="26" width="18.85546875" style="334" customWidth="1"/>
    <col min="27" max="27" width="17" style="334" customWidth="1"/>
    <col min="28" max="28" width="18.5703125" style="334" customWidth="1"/>
    <col min="29" max="29" width="18.28515625" style="334" customWidth="1"/>
    <col min="30" max="30" width="14.85546875" style="334" customWidth="1"/>
    <col min="31" max="31" width="17.28515625" style="334" bestFit="1" customWidth="1"/>
    <col min="32" max="38" width="17.28515625" style="334" customWidth="1"/>
    <col min="39" max="39" width="16.85546875" style="334" customWidth="1"/>
    <col min="40" max="40" width="2.28515625" style="262" customWidth="1"/>
    <col min="41" max="41" width="16.140625" style="262" customWidth="1"/>
    <col min="42" max="42" width="1.7109375" style="262" customWidth="1"/>
    <col min="43" max="43" width="15.140625" style="262" customWidth="1"/>
    <col min="44" max="44" width="1.28515625" style="262" customWidth="1"/>
    <col min="45" max="45" width="17.85546875" style="262" customWidth="1"/>
    <col min="46" max="46" width="1.28515625" style="262" customWidth="1"/>
    <col min="47" max="47" width="16" style="262" bestFit="1" customWidth="1"/>
    <col min="48" max="48" width="1.28515625" style="262" customWidth="1"/>
    <col min="49" max="49" width="13.7109375" style="262" customWidth="1"/>
    <col min="50" max="50" width="0.85546875" style="262" customWidth="1"/>
    <col min="51" max="51" width="16" style="262" customWidth="1"/>
    <col min="52" max="52" width="13.28515625" style="262" bestFit="1" customWidth="1"/>
    <col min="53" max="53" width="11.28515625" style="262" bestFit="1" customWidth="1"/>
    <col min="54" max="16384" width="9.140625" style="262"/>
  </cols>
  <sheetData>
    <row r="1" spans="1:53" ht="20.25" x14ac:dyDescent="0.25">
      <c r="A1" s="261" t="s">
        <v>0</v>
      </c>
    </row>
    <row r="2" spans="1:53" x14ac:dyDescent="0.25">
      <c r="A2" s="263" t="s">
        <v>161</v>
      </c>
      <c r="B2" s="264"/>
      <c r="C2" s="264"/>
      <c r="F2" s="265"/>
    </row>
    <row r="3" spans="1:53" x14ac:dyDescent="0.25">
      <c r="A3" s="263" t="s">
        <v>162</v>
      </c>
      <c r="B3" s="264"/>
      <c r="C3" s="264"/>
      <c r="F3" s="265"/>
    </row>
    <row r="4" spans="1:53" x14ac:dyDescent="0.25">
      <c r="A4" s="263" t="s">
        <v>130</v>
      </c>
      <c r="B4" s="266">
        <v>44835</v>
      </c>
      <c r="C4" s="267"/>
      <c r="F4" s="265"/>
    </row>
    <row r="6" spans="1:53" s="269" customFormat="1" x14ac:dyDescent="0.25">
      <c r="A6" s="1462" t="s">
        <v>139</v>
      </c>
      <c r="B6" s="1462" t="s">
        <v>163</v>
      </c>
      <c r="C6" s="1138"/>
      <c r="D6" s="319"/>
      <c r="E6" s="319"/>
      <c r="F6" s="1463" t="s">
        <v>109</v>
      </c>
      <c r="G6" s="1464"/>
      <c r="H6" s="1464"/>
      <c r="I6" s="1464"/>
      <c r="J6" s="1464"/>
      <c r="K6" s="1464"/>
      <c r="L6" s="1464"/>
      <c r="M6" s="1464"/>
      <c r="N6" s="1464"/>
      <c r="O6" s="1464"/>
      <c r="P6" s="1464"/>
      <c r="Q6" s="1464"/>
      <c r="R6" s="1464"/>
      <c r="S6" s="1464"/>
      <c r="T6" s="1464"/>
      <c r="U6" s="1464"/>
      <c r="V6" s="1464"/>
      <c r="W6" s="1464"/>
      <c r="X6" s="1464"/>
      <c r="Y6" s="1464"/>
      <c r="Z6" s="1464"/>
      <c r="AA6" s="1464"/>
      <c r="AB6" s="1464"/>
      <c r="AC6" s="1464"/>
      <c r="AD6" s="1464"/>
      <c r="AE6" s="1464"/>
      <c r="AF6" s="944"/>
      <c r="AG6" s="944"/>
      <c r="AH6" s="944"/>
      <c r="AI6" s="944"/>
      <c r="AJ6" s="944"/>
      <c r="AK6" s="944"/>
      <c r="AL6" s="944"/>
      <c r="AM6" s="1447" t="s">
        <v>24</v>
      </c>
      <c r="AN6" s="268"/>
      <c r="AO6" s="1447" t="s">
        <v>133</v>
      </c>
      <c r="AP6" s="268"/>
      <c r="AQ6" s="1447" t="s">
        <v>136</v>
      </c>
      <c r="AR6" s="268"/>
      <c r="AS6" s="1447" t="s">
        <v>137</v>
      </c>
      <c r="AT6" s="268"/>
      <c r="AU6" s="1447" t="s">
        <v>164</v>
      </c>
      <c r="AV6" s="268"/>
      <c r="AW6" s="1447" t="s">
        <v>138</v>
      </c>
      <c r="AX6" s="268"/>
      <c r="AY6" s="1447" t="s">
        <v>24</v>
      </c>
    </row>
    <row r="7" spans="1:53" s="271" customFormat="1" x14ac:dyDescent="0.25">
      <c r="A7" s="1462"/>
      <c r="B7" s="1462"/>
      <c r="C7" s="1138"/>
      <c r="D7" s="1139">
        <v>1</v>
      </c>
      <c r="E7" s="1139">
        <v>2</v>
      </c>
      <c r="F7" s="1139">
        <v>3</v>
      </c>
      <c r="G7" s="1139">
        <v>4</v>
      </c>
      <c r="H7" s="1139">
        <v>5</v>
      </c>
      <c r="I7" s="1139">
        <v>6</v>
      </c>
      <c r="J7" s="1139">
        <v>7</v>
      </c>
      <c r="K7" s="1139">
        <v>8</v>
      </c>
      <c r="L7" s="1139">
        <v>9</v>
      </c>
      <c r="M7" s="1139">
        <v>10</v>
      </c>
      <c r="N7" s="1139">
        <v>11</v>
      </c>
      <c r="O7" s="1139">
        <v>12</v>
      </c>
      <c r="P7" s="1139">
        <v>13</v>
      </c>
      <c r="Q7" s="1139">
        <v>14</v>
      </c>
      <c r="R7" s="1139">
        <v>15</v>
      </c>
      <c r="S7" s="1139">
        <v>16</v>
      </c>
      <c r="T7" s="1139">
        <v>17</v>
      </c>
      <c r="U7" s="1139">
        <v>18</v>
      </c>
      <c r="V7" s="1139">
        <v>19</v>
      </c>
      <c r="W7" s="1139">
        <v>20</v>
      </c>
      <c r="X7" s="1139">
        <v>21</v>
      </c>
      <c r="Y7" s="1139">
        <v>22</v>
      </c>
      <c r="Z7" s="1139">
        <v>23</v>
      </c>
      <c r="AA7" s="1139">
        <v>24</v>
      </c>
      <c r="AB7" s="1139">
        <v>25</v>
      </c>
      <c r="AC7" s="1139">
        <v>26</v>
      </c>
      <c r="AD7" s="1139">
        <v>27</v>
      </c>
      <c r="AE7" s="1139">
        <v>28</v>
      </c>
      <c r="AF7" s="1139">
        <v>29</v>
      </c>
      <c r="AG7" s="1139">
        <v>30</v>
      </c>
      <c r="AH7" s="1139">
        <v>31</v>
      </c>
      <c r="AI7" s="1139">
        <v>32</v>
      </c>
      <c r="AJ7" s="1139">
        <v>33</v>
      </c>
      <c r="AK7" s="1139">
        <v>34</v>
      </c>
      <c r="AL7" s="1139">
        <v>35</v>
      </c>
      <c r="AM7" s="1447"/>
      <c r="AN7" s="270"/>
      <c r="AO7" s="1447"/>
      <c r="AP7" s="270"/>
      <c r="AQ7" s="1447"/>
      <c r="AR7" s="270"/>
      <c r="AS7" s="1447"/>
      <c r="AT7" s="270"/>
      <c r="AU7" s="1447"/>
      <c r="AV7" s="270"/>
      <c r="AW7" s="1447"/>
      <c r="AX7" s="270"/>
      <c r="AY7" s="1447"/>
    </row>
    <row r="8" spans="1:53" s="275" customFormat="1" x14ac:dyDescent="0.25">
      <c r="A8" s="272"/>
      <c r="B8" s="272"/>
      <c r="C8" s="272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4"/>
      <c r="AN8" s="339"/>
      <c r="AO8" s="274"/>
      <c r="AP8" s="339"/>
      <c r="AQ8" s="274"/>
      <c r="AR8" s="339"/>
      <c r="AS8" s="274"/>
      <c r="AT8" s="339"/>
      <c r="AU8" s="274"/>
      <c r="AV8" s="339"/>
      <c r="AW8" s="274"/>
      <c r="AX8" s="339"/>
      <c r="AY8" s="274"/>
    </row>
    <row r="9" spans="1:53" x14ac:dyDescent="0.25">
      <c r="A9" s="1459" t="s">
        <v>86</v>
      </c>
      <c r="B9" s="1140" t="s">
        <v>165</v>
      </c>
      <c r="C9" s="1140"/>
      <c r="D9" s="448">
        <v>302398200</v>
      </c>
      <c r="E9" s="448"/>
      <c r="F9" s="448">
        <v>38392400</v>
      </c>
      <c r="G9" s="448">
        <v>61736600</v>
      </c>
      <c r="H9" s="448">
        <v>50974800</v>
      </c>
      <c r="I9" s="448">
        <v>49237800</v>
      </c>
      <c r="J9" s="429"/>
      <c r="K9" s="448"/>
      <c r="L9" s="448"/>
      <c r="M9" s="448"/>
      <c r="N9" s="448"/>
      <c r="O9" s="448"/>
      <c r="P9" s="1141"/>
      <c r="Q9" s="448"/>
      <c r="R9" s="915"/>
      <c r="S9" s="915"/>
      <c r="T9" s="1142"/>
      <c r="U9" s="915"/>
      <c r="V9" s="448"/>
      <c r="W9" s="448"/>
      <c r="X9" s="429"/>
      <c r="Y9" s="1142"/>
      <c r="Z9" s="1142"/>
      <c r="AA9" s="1142"/>
      <c r="AB9" s="1142"/>
      <c r="AC9" s="429"/>
      <c r="AD9" s="733"/>
      <c r="AE9" s="448"/>
      <c r="AF9" s="448"/>
      <c r="AG9" s="448"/>
      <c r="AH9" s="448"/>
      <c r="AI9" s="448"/>
      <c r="AJ9" s="448"/>
      <c r="AK9" s="448"/>
      <c r="AL9" s="448"/>
      <c r="AM9" s="429">
        <f t="shared" ref="AM9:AM40" si="0">SUM(D9:AL9)</f>
        <v>502739800</v>
      </c>
      <c r="AN9" s="339"/>
      <c r="AO9" s="429">
        <f>D9+E9+F9+G9+H9+I9+J9</f>
        <v>502739800</v>
      </c>
      <c r="AP9" s="339"/>
      <c r="AQ9" s="429">
        <f>K9+L9+M9+N9+O9+P9+Q9</f>
        <v>0</v>
      </c>
      <c r="AR9" s="339"/>
      <c r="AS9" s="429">
        <f>R9+S9+T9+U9+V9+W9+X9</f>
        <v>0</v>
      </c>
      <c r="AT9" s="339"/>
      <c r="AU9" s="429">
        <f>Y9+Z9+AA9+AB9+AC9+AD9+AE9</f>
        <v>0</v>
      </c>
      <c r="AV9" s="339"/>
      <c r="AW9" s="429">
        <f>AF9+AG9+AH9+AI9+AJ9+AK9+AL9</f>
        <v>0</v>
      </c>
      <c r="AX9" s="339"/>
      <c r="AY9" s="429">
        <f>AO9+AQ9+AS9+AU9+AW9</f>
        <v>502739800</v>
      </c>
      <c r="BA9" s="276"/>
    </row>
    <row r="10" spans="1:53" x14ac:dyDescent="0.25">
      <c r="A10" s="1460"/>
      <c r="B10" s="1140" t="s">
        <v>4305</v>
      </c>
      <c r="C10" s="1140"/>
      <c r="D10" s="448">
        <v>59044100</v>
      </c>
      <c r="E10" s="1143"/>
      <c r="F10" s="1141"/>
      <c r="G10" s="1141">
        <v>2200033</v>
      </c>
      <c r="H10" s="448">
        <v>10358330</v>
      </c>
      <c r="I10" s="448">
        <v>28271500</v>
      </c>
      <c r="J10" s="1141"/>
      <c r="K10" s="448"/>
      <c r="L10" s="448"/>
      <c r="M10" s="448"/>
      <c r="N10" s="448"/>
      <c r="O10" s="448"/>
      <c r="P10" s="1141"/>
      <c r="Q10" s="448"/>
      <c r="R10" s="915"/>
      <c r="S10" s="915"/>
      <c r="T10" s="915"/>
      <c r="U10" s="915"/>
      <c r="V10" s="448"/>
      <c r="W10" s="448"/>
      <c r="X10" s="429"/>
      <c r="Y10" s="1142"/>
      <c r="Z10" s="1142"/>
      <c r="AA10" s="1142"/>
      <c r="AB10" s="1142"/>
      <c r="AC10" s="429"/>
      <c r="AD10" s="958"/>
      <c r="AE10" s="448"/>
      <c r="AF10" s="448"/>
      <c r="AG10" s="448"/>
      <c r="AH10" s="448"/>
      <c r="AI10" s="448"/>
      <c r="AJ10" s="954"/>
      <c r="AK10" s="448"/>
      <c r="AL10" s="448"/>
      <c r="AM10" s="429">
        <f t="shared" si="0"/>
        <v>99873963</v>
      </c>
      <c r="AN10" s="339"/>
      <c r="AO10" s="429">
        <f>D10+E10+F10+G10+H10+I10+J10</f>
        <v>99873963</v>
      </c>
      <c r="AP10" s="339"/>
      <c r="AQ10" s="429">
        <f>K10+L10+M10+N10+O10+P10+Q10</f>
        <v>0</v>
      </c>
      <c r="AR10" s="339"/>
      <c r="AS10" s="429">
        <f>R10+S10+T10+U10+V10+W10+X10</f>
        <v>0</v>
      </c>
      <c r="AT10" s="339"/>
      <c r="AU10" s="429">
        <f>Y10+Z10+AA10+AB10+AC10+AD10+AE10</f>
        <v>0</v>
      </c>
      <c r="AV10" s="339"/>
      <c r="AW10" s="429">
        <f>AF10+AG10+AH10+AI10+AJ10+AK10+AL10</f>
        <v>0</v>
      </c>
      <c r="AX10" s="339"/>
      <c r="AY10" s="429">
        <f>AO10+AQ10+AS10+AU10+AW10</f>
        <v>99873963</v>
      </c>
      <c r="BA10" s="276"/>
    </row>
    <row r="11" spans="1:53" ht="17.25" thickBot="1" x14ac:dyDescent="0.3">
      <c r="A11" s="1460"/>
      <c r="B11" s="1140" t="s">
        <v>4306</v>
      </c>
      <c r="C11" s="1140"/>
      <c r="D11" s="448"/>
      <c r="E11" s="448"/>
      <c r="F11" s="450"/>
      <c r="H11" s="448"/>
      <c r="I11" s="448"/>
      <c r="J11" s="448"/>
      <c r="K11" s="448"/>
      <c r="L11" s="448"/>
      <c r="M11" s="448"/>
      <c r="N11" s="448"/>
      <c r="O11" s="340"/>
      <c r="P11" s="448"/>
      <c r="Q11" s="448"/>
      <c r="R11" s="448"/>
      <c r="S11" s="915"/>
      <c r="T11" s="448"/>
      <c r="U11" s="448"/>
      <c r="V11" s="448"/>
      <c r="W11" s="448"/>
      <c r="X11" s="429"/>
      <c r="Y11" s="1142"/>
      <c r="Z11" s="448"/>
      <c r="AA11" s="448"/>
      <c r="AB11" s="448"/>
      <c r="AC11" s="429"/>
      <c r="AE11" s="448"/>
      <c r="AF11" s="448"/>
      <c r="AG11" s="448"/>
      <c r="AH11" s="448"/>
      <c r="AI11" s="448"/>
      <c r="AJ11" s="448"/>
      <c r="AK11" s="448"/>
      <c r="AL11" s="448"/>
      <c r="AM11" s="429">
        <f t="shared" si="0"/>
        <v>0</v>
      </c>
      <c r="AN11" s="339"/>
      <c r="AO11" s="429">
        <f>D11+E11+F11+G11+H11+I11+J11</f>
        <v>0</v>
      </c>
      <c r="AP11" s="339"/>
      <c r="AQ11" s="429">
        <f>K11+L11+M11+N11+O11+P11+Q11</f>
        <v>0</v>
      </c>
      <c r="AR11" s="339"/>
      <c r="AS11" s="429">
        <f>R11+S11+T11+U11+V11+W11+X11</f>
        <v>0</v>
      </c>
      <c r="AT11" s="339"/>
      <c r="AU11" s="429">
        <f>Y11+Z11+AA11+AB11+AC11+AD11+AE11</f>
        <v>0</v>
      </c>
      <c r="AV11" s="339"/>
      <c r="AW11" s="429">
        <f>AF11+AG11+AH11+AI11+AJ11+AK11+AL11</f>
        <v>0</v>
      </c>
      <c r="AX11" s="339"/>
      <c r="AY11" s="429">
        <f>AO11+AQ11+AS11+AU11+AW11</f>
        <v>0</v>
      </c>
      <c r="BA11" s="276"/>
    </row>
    <row r="12" spans="1:53" s="279" customFormat="1" ht="18" thickTop="1" thickBot="1" x14ac:dyDescent="0.3">
      <c r="A12" s="277"/>
      <c r="B12" s="278" t="s">
        <v>24</v>
      </c>
      <c r="C12" s="278"/>
      <c r="D12" s="333">
        <f>SUM(D9:D11)</f>
        <v>361442300</v>
      </c>
      <c r="E12" s="333">
        <f>SUM(E9:E11)</f>
        <v>0</v>
      </c>
      <c r="F12" s="333">
        <f>SUM(F9:F11)</f>
        <v>38392400</v>
      </c>
      <c r="G12" s="333">
        <f>SUM(G9:G11)</f>
        <v>63936633</v>
      </c>
      <c r="H12" s="333">
        <f t="shared" ref="H12:AL12" si="1">SUM(H9:H11)</f>
        <v>61333130</v>
      </c>
      <c r="I12" s="333">
        <f t="shared" si="1"/>
        <v>77509300</v>
      </c>
      <c r="J12" s="333">
        <f t="shared" si="1"/>
        <v>0</v>
      </c>
      <c r="K12" s="333">
        <f t="shared" si="1"/>
        <v>0</v>
      </c>
      <c r="L12" s="333">
        <f t="shared" si="1"/>
        <v>0</v>
      </c>
      <c r="M12" s="333">
        <f>SUM(M9:M11)</f>
        <v>0</v>
      </c>
      <c r="N12" s="333">
        <f t="shared" si="1"/>
        <v>0</v>
      </c>
      <c r="O12" s="333">
        <f t="shared" si="1"/>
        <v>0</v>
      </c>
      <c r="P12" s="333">
        <f t="shared" si="1"/>
        <v>0</v>
      </c>
      <c r="Q12" s="333">
        <f t="shared" si="1"/>
        <v>0</v>
      </c>
      <c r="R12" s="333">
        <f>SUM(R9:R11)</f>
        <v>0</v>
      </c>
      <c r="S12" s="333">
        <f t="shared" si="1"/>
        <v>0</v>
      </c>
      <c r="T12" s="333">
        <f t="shared" si="1"/>
        <v>0</v>
      </c>
      <c r="U12" s="333">
        <f t="shared" si="1"/>
        <v>0</v>
      </c>
      <c r="V12" s="333">
        <f t="shared" si="1"/>
        <v>0</v>
      </c>
      <c r="W12" s="333">
        <f t="shared" si="1"/>
        <v>0</v>
      </c>
      <c r="X12" s="333">
        <f t="shared" si="1"/>
        <v>0</v>
      </c>
      <c r="Y12" s="333">
        <f>SUM(Y9:Y11)</f>
        <v>0</v>
      </c>
      <c r="Z12" s="333">
        <f>SUM(Z9:Z11)</f>
        <v>0</v>
      </c>
      <c r="AA12" s="333">
        <f t="shared" si="1"/>
        <v>0</v>
      </c>
      <c r="AB12" s="333">
        <f t="shared" si="1"/>
        <v>0</v>
      </c>
      <c r="AC12" s="333">
        <f>SUM(AC9:AC11)</f>
        <v>0</v>
      </c>
      <c r="AD12" s="333">
        <f t="shared" si="1"/>
        <v>0</v>
      </c>
      <c r="AE12" s="333">
        <f t="shared" si="1"/>
        <v>0</v>
      </c>
      <c r="AF12" s="333">
        <f t="shared" si="1"/>
        <v>0</v>
      </c>
      <c r="AG12" s="333">
        <f t="shared" si="1"/>
        <v>0</v>
      </c>
      <c r="AH12" s="333">
        <f t="shared" si="1"/>
        <v>0</v>
      </c>
      <c r="AI12" s="333">
        <f t="shared" si="1"/>
        <v>0</v>
      </c>
      <c r="AJ12" s="333">
        <f t="shared" si="1"/>
        <v>0</v>
      </c>
      <c r="AK12" s="333">
        <f t="shared" si="1"/>
        <v>0</v>
      </c>
      <c r="AL12" s="333">
        <f t="shared" si="1"/>
        <v>0</v>
      </c>
      <c r="AM12" s="321">
        <f t="shared" si="0"/>
        <v>602613763</v>
      </c>
      <c r="AN12" s="341"/>
      <c r="AO12" s="321">
        <f t="shared" ref="AO12:AV12" si="2">SUM(AO9:AO11)</f>
        <v>602613763</v>
      </c>
      <c r="AP12" s="321">
        <f t="shared" si="2"/>
        <v>0</v>
      </c>
      <c r="AQ12" s="321">
        <f t="shared" si="2"/>
        <v>0</v>
      </c>
      <c r="AR12" s="321">
        <f t="shared" si="2"/>
        <v>0</v>
      </c>
      <c r="AS12" s="321">
        <f t="shared" si="2"/>
        <v>0</v>
      </c>
      <c r="AT12" s="321">
        <f t="shared" si="2"/>
        <v>0</v>
      </c>
      <c r="AU12" s="321">
        <f t="shared" si="2"/>
        <v>0</v>
      </c>
      <c r="AV12" s="321">
        <f t="shared" si="2"/>
        <v>0</v>
      </c>
      <c r="AW12" s="321">
        <f>SUM(AW9:AW11)</f>
        <v>0</v>
      </c>
      <c r="AX12" s="328"/>
      <c r="AY12" s="342">
        <f>SUM(AY9:AY11)</f>
        <v>602613763</v>
      </c>
      <c r="BA12" s="276"/>
    </row>
    <row r="13" spans="1:53" ht="17.25" thickTop="1" x14ac:dyDescent="0.25">
      <c r="A13" s="1461" t="s">
        <v>87</v>
      </c>
      <c r="B13" s="1140" t="s">
        <v>165</v>
      </c>
      <c r="C13" s="280"/>
      <c r="D13" s="915">
        <v>161158200</v>
      </c>
      <c r="E13" s="915"/>
      <c r="F13" s="915">
        <v>230736700</v>
      </c>
      <c r="G13" s="915">
        <v>128726400</v>
      </c>
      <c r="H13" s="915">
        <v>198023600</v>
      </c>
      <c r="I13" s="915">
        <v>173833600</v>
      </c>
      <c r="J13" s="724"/>
      <c r="K13" s="915"/>
      <c r="L13" s="858"/>
      <c r="M13" s="915"/>
      <c r="N13" s="915"/>
      <c r="O13" s="915"/>
      <c r="P13" s="915"/>
      <c r="Q13" s="915"/>
      <c r="R13" s="915"/>
      <c r="S13" s="915"/>
      <c r="T13" s="1142"/>
      <c r="U13" s="915"/>
      <c r="V13" s="915"/>
      <c r="W13" s="858"/>
      <c r="X13" s="915"/>
      <c r="Y13" s="1142"/>
      <c r="Z13" s="1142"/>
      <c r="AA13" s="1142"/>
      <c r="AB13" s="1142"/>
      <c r="AC13" s="858"/>
      <c r="AD13" s="858"/>
      <c r="AE13" s="915"/>
      <c r="AF13" s="915"/>
      <c r="AG13" s="915"/>
      <c r="AH13" s="915"/>
      <c r="AI13" s="915"/>
      <c r="AJ13" s="915"/>
      <c r="AK13" s="915"/>
      <c r="AL13" s="915"/>
      <c r="AM13" s="429">
        <f t="shared" si="0"/>
        <v>892478500</v>
      </c>
      <c r="AN13" s="339"/>
      <c r="AO13" s="429">
        <f>D13+E13+F13+G13+H13+I13+J13</f>
        <v>892478500</v>
      </c>
      <c r="AP13" s="339"/>
      <c r="AQ13" s="429">
        <f>K13+L13+M13+N13+O13+P13+Q13</f>
        <v>0</v>
      </c>
      <c r="AR13" s="339"/>
      <c r="AS13" s="429">
        <f>R13+S13+T13+U13+V13+W13+X13</f>
        <v>0</v>
      </c>
      <c r="AT13" s="339"/>
      <c r="AU13" s="429">
        <f>Y13+Z13+AA13+AB13+AC13+AD13+AE13</f>
        <v>0</v>
      </c>
      <c r="AV13" s="339"/>
      <c r="AW13" s="429">
        <f>AF13+AG13+AH13+AI13+AJ13+AK13+AL13</f>
        <v>0</v>
      </c>
      <c r="AX13" s="339"/>
      <c r="AY13" s="429">
        <f>AO13+AQ13+AS13+AU13+AW13</f>
        <v>892478500</v>
      </c>
      <c r="BA13" s="276"/>
    </row>
    <row r="14" spans="1:53" x14ac:dyDescent="0.25">
      <c r="A14" s="1461"/>
      <c r="B14" s="1140" t="s">
        <v>4305</v>
      </c>
      <c r="C14" s="1140"/>
      <c r="D14" s="915">
        <v>30048700</v>
      </c>
      <c r="E14" s="1144"/>
      <c r="F14" s="1145"/>
      <c r="G14" s="1145">
        <v>35749667</v>
      </c>
      <c r="H14" s="915">
        <v>2625552</v>
      </c>
      <c r="I14" s="334">
        <v>965850723</v>
      </c>
      <c r="J14" s="915"/>
      <c r="K14" s="915"/>
      <c r="L14" s="858"/>
      <c r="M14" s="915"/>
      <c r="N14" s="915"/>
      <c r="O14" s="915"/>
      <c r="P14" s="915"/>
      <c r="Q14" s="915"/>
      <c r="R14" s="915"/>
      <c r="S14" s="915"/>
      <c r="T14" s="915"/>
      <c r="U14" s="915"/>
      <c r="V14" s="1142"/>
      <c r="W14" s="858"/>
      <c r="X14" s="915"/>
      <c r="Y14" s="1142"/>
      <c r="Z14" s="1142"/>
      <c r="AA14" s="1142"/>
      <c r="AB14" s="1142"/>
      <c r="AC14" s="858"/>
      <c r="AD14" s="1146"/>
      <c r="AE14" s="915"/>
      <c r="AF14" s="915"/>
      <c r="AG14" s="915"/>
      <c r="AH14" s="915"/>
      <c r="AI14" s="953"/>
      <c r="AJ14" s="915"/>
      <c r="AK14" s="915"/>
      <c r="AL14" s="915"/>
      <c r="AM14" s="429">
        <f t="shared" si="0"/>
        <v>1034274642</v>
      </c>
      <c r="AN14" s="339"/>
      <c r="AO14" s="429">
        <f>D14+E14+F14+G14+H14+I14+J14</f>
        <v>1034274642</v>
      </c>
      <c r="AP14" s="339"/>
      <c r="AQ14" s="429">
        <f>K14+L14+M14+N14+O14+P14+Q14</f>
        <v>0</v>
      </c>
      <c r="AR14" s="339"/>
      <c r="AS14" s="429">
        <f>R14+S14+T14+U14+V14+W14+X14</f>
        <v>0</v>
      </c>
      <c r="AT14" s="339"/>
      <c r="AU14" s="429">
        <f>Y14+Z14+AA14+AB14+AC14+AD14+AE14</f>
        <v>0</v>
      </c>
      <c r="AV14" s="339"/>
      <c r="AW14" s="429">
        <f>AF14+AG14+AH14+AI14+AJ14+AK14+AL14</f>
        <v>0</v>
      </c>
      <c r="AX14" s="339"/>
      <c r="AY14" s="429">
        <f>AO14+AQ14+AS14+AU14+AW14</f>
        <v>1034274642</v>
      </c>
      <c r="BA14" s="276"/>
    </row>
    <row r="15" spans="1:53" ht="17.25" thickBot="1" x14ac:dyDescent="0.3">
      <c r="A15" s="1461"/>
      <c r="B15" s="1140" t="s">
        <v>4306</v>
      </c>
      <c r="C15" s="1140"/>
      <c r="D15" s="915"/>
      <c r="E15" s="915"/>
      <c r="F15" s="859"/>
      <c r="G15" s="724">
        <v>980250</v>
      </c>
      <c r="H15" s="915"/>
      <c r="I15" s="915"/>
      <c r="J15" s="724"/>
      <c r="K15" s="915"/>
      <c r="L15" s="915"/>
      <c r="M15" s="915"/>
      <c r="N15" s="915"/>
      <c r="O15" s="915"/>
      <c r="P15" s="915"/>
      <c r="Q15" s="915"/>
      <c r="R15" s="915"/>
      <c r="S15" s="915"/>
      <c r="T15" s="915"/>
      <c r="U15" s="915"/>
      <c r="V15" s="915"/>
      <c r="W15" s="858"/>
      <c r="X15" s="915"/>
      <c r="Y15" s="1142"/>
      <c r="Z15" s="915"/>
      <c r="AA15" s="915"/>
      <c r="AB15" s="915"/>
      <c r="AC15" s="858"/>
      <c r="AD15" s="858"/>
      <c r="AE15" s="915"/>
      <c r="AF15" s="915"/>
      <c r="AG15" s="915"/>
      <c r="AH15" s="915"/>
      <c r="AI15" s="915"/>
      <c r="AJ15" s="915"/>
      <c r="AK15" s="915"/>
      <c r="AL15" s="915"/>
      <c r="AM15" s="429">
        <f t="shared" si="0"/>
        <v>980250</v>
      </c>
      <c r="AN15" s="339"/>
      <c r="AO15" s="429">
        <f>D15+E15+F15+G15+H15+I15+J15</f>
        <v>980250</v>
      </c>
      <c r="AP15" s="339"/>
      <c r="AQ15" s="429">
        <f>K15+L15+M15+N15+O15+P15+Q15</f>
        <v>0</v>
      </c>
      <c r="AR15" s="281" t="e">
        <f>N15+O15+P15+Q15+R15+S15+#REF!</f>
        <v>#REF!</v>
      </c>
      <c r="AS15" s="429">
        <f>R15+S15+T15+U15+V15+W15+X15</f>
        <v>0</v>
      </c>
      <c r="AT15" s="339"/>
      <c r="AU15" s="429">
        <f>Y15+Z15+AA15+AB15+AC15+AD15+AE15</f>
        <v>0</v>
      </c>
      <c r="AV15" s="339"/>
      <c r="AW15" s="429">
        <f>AF15+AG15+AH15+AI15+AJ15+AK15+AL15</f>
        <v>0</v>
      </c>
      <c r="AX15" s="339"/>
      <c r="AY15" s="429">
        <f>AO15+AQ15+AS15+AU15+AW15</f>
        <v>980250</v>
      </c>
      <c r="BA15" s="276"/>
    </row>
    <row r="16" spans="1:53" s="279" customFormat="1" ht="18" thickTop="1" thickBot="1" x14ac:dyDescent="0.3">
      <c r="A16" s="277"/>
      <c r="B16" s="278" t="s">
        <v>24</v>
      </c>
      <c r="C16" s="278"/>
      <c r="D16" s="333">
        <f>SUM(D13:D15)</f>
        <v>191206900</v>
      </c>
      <c r="E16" s="333">
        <f>SUM(E13:E15)</f>
        <v>0</v>
      </c>
      <c r="F16" s="333">
        <f>SUM(F13:F15)</f>
        <v>230736700</v>
      </c>
      <c r="G16" s="333">
        <f>SUM(G13:G15)</f>
        <v>165456317</v>
      </c>
      <c r="H16" s="333">
        <f t="shared" ref="H16:AL16" si="3">SUM(H13:H15)</f>
        <v>200649152</v>
      </c>
      <c r="I16" s="333">
        <f t="shared" si="3"/>
        <v>1139684323</v>
      </c>
      <c r="J16" s="333">
        <f t="shared" si="3"/>
        <v>0</v>
      </c>
      <c r="K16" s="333">
        <f t="shared" si="3"/>
        <v>0</v>
      </c>
      <c r="L16" s="333">
        <f t="shared" si="3"/>
        <v>0</v>
      </c>
      <c r="M16" s="333">
        <f>SUM(M13:M15)</f>
        <v>0</v>
      </c>
      <c r="N16" s="333">
        <f t="shared" si="3"/>
        <v>0</v>
      </c>
      <c r="O16" s="333">
        <f t="shared" si="3"/>
        <v>0</v>
      </c>
      <c r="P16" s="333">
        <f t="shared" si="3"/>
        <v>0</v>
      </c>
      <c r="Q16" s="333">
        <f t="shared" si="3"/>
        <v>0</v>
      </c>
      <c r="R16" s="333">
        <f t="shared" si="3"/>
        <v>0</v>
      </c>
      <c r="S16" s="333">
        <f t="shared" si="3"/>
        <v>0</v>
      </c>
      <c r="T16" s="333">
        <f t="shared" si="3"/>
        <v>0</v>
      </c>
      <c r="U16" s="333">
        <f t="shared" si="3"/>
        <v>0</v>
      </c>
      <c r="V16" s="333">
        <f t="shared" si="3"/>
        <v>0</v>
      </c>
      <c r="W16" s="333">
        <f t="shared" si="3"/>
        <v>0</v>
      </c>
      <c r="X16" s="333">
        <f t="shared" si="3"/>
        <v>0</v>
      </c>
      <c r="Y16" s="333">
        <f t="shared" si="3"/>
        <v>0</v>
      </c>
      <c r="Z16" s="333">
        <f>SUM(Z13:Z15)</f>
        <v>0</v>
      </c>
      <c r="AA16" s="333">
        <f t="shared" si="3"/>
        <v>0</v>
      </c>
      <c r="AB16" s="333">
        <f t="shared" si="3"/>
        <v>0</v>
      </c>
      <c r="AC16" s="333">
        <f>SUM(AC13:AC15)</f>
        <v>0</v>
      </c>
      <c r="AD16" s="333">
        <f t="shared" si="3"/>
        <v>0</v>
      </c>
      <c r="AE16" s="333">
        <f t="shared" si="3"/>
        <v>0</v>
      </c>
      <c r="AF16" s="333">
        <f t="shared" si="3"/>
        <v>0</v>
      </c>
      <c r="AG16" s="333">
        <f t="shared" si="3"/>
        <v>0</v>
      </c>
      <c r="AH16" s="333">
        <f t="shared" si="3"/>
        <v>0</v>
      </c>
      <c r="AI16" s="333">
        <f t="shared" si="3"/>
        <v>0</v>
      </c>
      <c r="AJ16" s="333">
        <f t="shared" si="3"/>
        <v>0</v>
      </c>
      <c r="AK16" s="333">
        <f t="shared" si="3"/>
        <v>0</v>
      </c>
      <c r="AL16" s="333">
        <f t="shared" si="3"/>
        <v>0</v>
      </c>
      <c r="AM16" s="321">
        <f t="shared" si="0"/>
        <v>1927733392</v>
      </c>
      <c r="AN16" s="341"/>
      <c r="AO16" s="321">
        <f t="shared" ref="AO16:AW16" si="4">SUM(AO13:AO15)</f>
        <v>1927733392</v>
      </c>
      <c r="AP16" s="321">
        <f t="shared" si="4"/>
        <v>0</v>
      </c>
      <c r="AQ16" s="321">
        <f t="shared" si="4"/>
        <v>0</v>
      </c>
      <c r="AR16" s="321" t="e">
        <f t="shared" si="4"/>
        <v>#REF!</v>
      </c>
      <c r="AS16" s="321">
        <f t="shared" si="4"/>
        <v>0</v>
      </c>
      <c r="AT16" s="321">
        <f t="shared" si="4"/>
        <v>0</v>
      </c>
      <c r="AU16" s="321">
        <f t="shared" si="4"/>
        <v>0</v>
      </c>
      <c r="AV16" s="321">
        <f t="shared" si="4"/>
        <v>0</v>
      </c>
      <c r="AW16" s="321">
        <f t="shared" si="4"/>
        <v>0</v>
      </c>
      <c r="AX16" s="328"/>
      <c r="AY16" s="342">
        <f>SUM(AY13:AY15)</f>
        <v>1927733392</v>
      </c>
      <c r="BA16" s="276"/>
    </row>
    <row r="17" spans="1:53" ht="17.25" thickTop="1" x14ac:dyDescent="0.25">
      <c r="A17" s="1453" t="s">
        <v>88</v>
      </c>
      <c r="B17" s="1140" t="s">
        <v>165</v>
      </c>
      <c r="C17" s="280"/>
      <c r="D17" s="915">
        <v>140269000</v>
      </c>
      <c r="E17" s="915"/>
      <c r="F17" s="915">
        <v>114765700</v>
      </c>
      <c r="G17" s="915">
        <v>178797800</v>
      </c>
      <c r="H17" s="915">
        <v>139303100</v>
      </c>
      <c r="I17" s="915">
        <v>164640400</v>
      </c>
      <c r="J17" s="724"/>
      <c r="K17" s="915"/>
      <c r="L17" s="858"/>
      <c r="M17" s="915"/>
      <c r="N17" s="915"/>
      <c r="O17" s="915"/>
      <c r="P17" s="915"/>
      <c r="Q17" s="915"/>
      <c r="R17" s="915"/>
      <c r="S17" s="915"/>
      <c r="T17" s="1142"/>
      <c r="U17" s="915"/>
      <c r="V17" s="915"/>
      <c r="W17" s="915"/>
      <c r="X17" s="858"/>
      <c r="Y17" s="1142"/>
      <c r="Z17" s="1142"/>
      <c r="AA17" s="1142"/>
      <c r="AB17" s="1142"/>
      <c r="AC17" s="858"/>
      <c r="AD17" s="915"/>
      <c r="AE17" s="915"/>
      <c r="AF17" s="915"/>
      <c r="AG17" s="915"/>
      <c r="AH17" s="915"/>
      <c r="AI17" s="915"/>
      <c r="AJ17" s="915"/>
      <c r="AK17" s="915"/>
      <c r="AL17" s="915"/>
      <c r="AM17" s="429">
        <f t="shared" si="0"/>
        <v>737776000</v>
      </c>
      <c r="AN17" s="339"/>
      <c r="AO17" s="429">
        <f>D17+E17+F17+G17+H17+I17+J17</f>
        <v>737776000</v>
      </c>
      <c r="AP17" s="339"/>
      <c r="AQ17" s="429">
        <f>K17+L17+M17+N17+O17+P17+Q17</f>
        <v>0</v>
      </c>
      <c r="AR17" s="339"/>
      <c r="AS17" s="429">
        <f>R17+S17+T17+U17+V17+W17+X17</f>
        <v>0</v>
      </c>
      <c r="AT17" s="339"/>
      <c r="AU17" s="429">
        <f>Y17+Z17+AA17+AB17+AC17+AD17+AE17</f>
        <v>0</v>
      </c>
      <c r="AV17" s="339"/>
      <c r="AW17" s="429">
        <f>AF17+AG17+AH17+AI17+AJ17+AK17+AL17</f>
        <v>0</v>
      </c>
      <c r="AX17" s="339"/>
      <c r="AY17" s="429">
        <f>AO17+AQ17+AS17+AU17+AW17</f>
        <v>737776000</v>
      </c>
      <c r="BA17" s="276"/>
    </row>
    <row r="18" spans="1:53" x14ac:dyDescent="0.25">
      <c r="A18" s="1453"/>
      <c r="B18" s="1140" t="s">
        <v>4305</v>
      </c>
      <c r="C18" s="1140"/>
      <c r="D18" s="915">
        <v>3187575</v>
      </c>
      <c r="E18" s="915"/>
      <c r="F18" s="915"/>
      <c r="G18" s="915">
        <v>42384107</v>
      </c>
      <c r="H18" s="915">
        <v>1342289</v>
      </c>
      <c r="I18" s="334">
        <v>211222396</v>
      </c>
      <c r="J18" s="915"/>
      <c r="K18" s="915"/>
      <c r="L18" s="858"/>
      <c r="M18" s="915"/>
      <c r="N18" s="915"/>
      <c r="O18" s="915"/>
      <c r="P18" s="724"/>
      <c r="Q18" s="915"/>
      <c r="R18" s="915"/>
      <c r="S18" s="915"/>
      <c r="T18" s="915"/>
      <c r="U18" s="915"/>
      <c r="V18" s="1142"/>
      <c r="W18" s="915"/>
      <c r="X18" s="858"/>
      <c r="Y18" s="1142"/>
      <c r="Z18" s="1142"/>
      <c r="AA18" s="1142"/>
      <c r="AB18" s="1142"/>
      <c r="AC18" s="858"/>
      <c r="AD18" s="915"/>
      <c r="AE18" s="915"/>
      <c r="AF18" s="915"/>
      <c r="AG18" s="915"/>
      <c r="AH18" s="915"/>
      <c r="AI18" s="915"/>
      <c r="AJ18" s="915"/>
      <c r="AK18" s="915"/>
      <c r="AL18" s="915"/>
      <c r="AM18" s="429">
        <f t="shared" si="0"/>
        <v>258136367</v>
      </c>
      <c r="AN18" s="339"/>
      <c r="AO18" s="429">
        <f>D18+E18+F18+G18+H18+I18+J18</f>
        <v>258136367</v>
      </c>
      <c r="AP18" s="339"/>
      <c r="AQ18" s="429">
        <f>K18+L18+M18+N18+O18+P18+Q18</f>
        <v>0</v>
      </c>
      <c r="AR18" s="339"/>
      <c r="AS18" s="429">
        <f>R18+S18+T18+U18+V18+W18+X18</f>
        <v>0</v>
      </c>
      <c r="AT18" s="339"/>
      <c r="AU18" s="429">
        <f>Y18+Z18+AA18+AB18+AC18+AD18+AE18</f>
        <v>0</v>
      </c>
      <c r="AV18" s="339"/>
      <c r="AW18" s="429">
        <f>AF18+AG18+AH18+AI18+AJ18+AK18+AL18</f>
        <v>0</v>
      </c>
      <c r="AX18" s="339"/>
      <c r="AY18" s="429">
        <f>AO18+AQ18+AS18+AU18+AW18</f>
        <v>258136367</v>
      </c>
      <c r="BA18" s="276"/>
    </row>
    <row r="19" spans="1:53" ht="17.25" thickBot="1" x14ac:dyDescent="0.3">
      <c r="A19" s="1453"/>
      <c r="B19" s="1140" t="s">
        <v>4306</v>
      </c>
      <c r="C19" s="1140"/>
      <c r="D19" s="915"/>
      <c r="E19" s="915"/>
      <c r="F19" s="859"/>
      <c r="G19" s="724"/>
      <c r="H19" s="915"/>
      <c r="I19" s="915"/>
      <c r="J19" s="915"/>
      <c r="L19" s="915"/>
      <c r="M19" s="915"/>
      <c r="N19" s="915"/>
      <c r="O19" s="860"/>
      <c r="P19" s="915"/>
      <c r="Q19" s="915"/>
      <c r="R19" s="915"/>
      <c r="S19" s="915"/>
      <c r="T19" s="915"/>
      <c r="U19" s="915"/>
      <c r="V19" s="915"/>
      <c r="W19" s="915"/>
      <c r="X19" s="858"/>
      <c r="Z19" s="1142"/>
      <c r="AA19" s="915"/>
      <c r="AB19" s="915"/>
      <c r="AC19" s="858"/>
      <c r="AD19" s="915"/>
      <c r="AE19" s="915"/>
      <c r="AF19" s="915"/>
      <c r="AG19" s="915"/>
      <c r="AH19" s="915"/>
      <c r="AI19" s="915"/>
      <c r="AJ19" s="915"/>
      <c r="AK19" s="915"/>
      <c r="AL19" s="915"/>
      <c r="AM19" s="429">
        <f t="shared" si="0"/>
        <v>0</v>
      </c>
      <c r="AN19" s="339"/>
      <c r="AO19" s="429">
        <f>D19+E19+F19+G19+H19+I19+J19</f>
        <v>0</v>
      </c>
      <c r="AP19" s="339"/>
      <c r="AQ19" s="429">
        <f>K19+L19+M19+N19+O19+P19+Q19</f>
        <v>0</v>
      </c>
      <c r="AR19" s="339"/>
      <c r="AS19" s="429">
        <f>R19+S19+T19+U19+V19+W19+X19</f>
        <v>0</v>
      </c>
      <c r="AT19" s="339"/>
      <c r="AU19" s="429">
        <f>Y19+Z19+AA19+AB19+AC19+AD19+AE19</f>
        <v>0</v>
      </c>
      <c r="AV19" s="339"/>
      <c r="AW19" s="429">
        <f>AF19+AG19+AH19+AI19+AJ19+AK19+AL19</f>
        <v>0</v>
      </c>
      <c r="AX19" s="339"/>
      <c r="AY19" s="429">
        <f>AO19+AQ19+AS19+AU19+AW19</f>
        <v>0</v>
      </c>
      <c r="BA19" s="276"/>
    </row>
    <row r="20" spans="1:53" s="279" customFormat="1" ht="18" thickTop="1" thickBot="1" x14ac:dyDescent="0.3">
      <c r="A20" s="277"/>
      <c r="B20" s="278" t="s">
        <v>24</v>
      </c>
      <c r="C20" s="278"/>
      <c r="D20" s="333">
        <f>SUM(D17:D19)</f>
        <v>143456575</v>
      </c>
      <c r="E20" s="333">
        <f>SUM(E17:E19)</f>
        <v>0</v>
      </c>
      <c r="F20" s="333">
        <f>SUM(F17:F19)</f>
        <v>114765700</v>
      </c>
      <c r="G20" s="333">
        <f>SUM(G17:G19)</f>
        <v>221181907</v>
      </c>
      <c r="H20" s="333">
        <f t="shared" ref="H20:AL20" si="5">SUM(H17:H19)</f>
        <v>140645389</v>
      </c>
      <c r="I20" s="333">
        <f t="shared" si="5"/>
        <v>375862796</v>
      </c>
      <c r="J20" s="333">
        <f t="shared" si="5"/>
        <v>0</v>
      </c>
      <c r="K20" s="333">
        <f t="shared" si="5"/>
        <v>0</v>
      </c>
      <c r="L20" s="333">
        <f>SUM(L17:L19)</f>
        <v>0</v>
      </c>
      <c r="M20" s="333">
        <f>SUM(M17:M19)</f>
        <v>0</v>
      </c>
      <c r="N20" s="333">
        <f t="shared" si="5"/>
        <v>0</v>
      </c>
      <c r="O20" s="333">
        <f t="shared" si="5"/>
        <v>0</v>
      </c>
      <c r="P20" s="333">
        <f>SUM(P17:P19)</f>
        <v>0</v>
      </c>
      <c r="Q20" s="333">
        <f t="shared" si="5"/>
        <v>0</v>
      </c>
      <c r="R20" s="333">
        <f t="shared" si="5"/>
        <v>0</v>
      </c>
      <c r="S20" s="333">
        <f t="shared" si="5"/>
        <v>0</v>
      </c>
      <c r="T20" s="333">
        <f>SUM(T17:T19)</f>
        <v>0</v>
      </c>
      <c r="U20" s="333">
        <f t="shared" si="5"/>
        <v>0</v>
      </c>
      <c r="V20" s="333">
        <f t="shared" si="5"/>
        <v>0</v>
      </c>
      <c r="W20" s="333">
        <f t="shared" si="5"/>
        <v>0</v>
      </c>
      <c r="X20" s="333">
        <f t="shared" si="5"/>
        <v>0</v>
      </c>
      <c r="Y20" s="333">
        <f t="shared" si="5"/>
        <v>0</v>
      </c>
      <c r="Z20" s="333">
        <f>SUM(Z17:Z19)</f>
        <v>0</v>
      </c>
      <c r="AA20" s="333">
        <f t="shared" si="5"/>
        <v>0</v>
      </c>
      <c r="AB20" s="333">
        <f t="shared" si="5"/>
        <v>0</v>
      </c>
      <c r="AC20" s="333">
        <f>SUM(AC17:AC19)</f>
        <v>0</v>
      </c>
      <c r="AD20" s="333">
        <f t="shared" si="5"/>
        <v>0</v>
      </c>
      <c r="AE20" s="333">
        <f t="shared" si="5"/>
        <v>0</v>
      </c>
      <c r="AF20" s="333">
        <f t="shared" si="5"/>
        <v>0</v>
      </c>
      <c r="AG20" s="333">
        <f t="shared" si="5"/>
        <v>0</v>
      </c>
      <c r="AH20" s="333">
        <f t="shared" si="5"/>
        <v>0</v>
      </c>
      <c r="AI20" s="333">
        <f t="shared" si="5"/>
        <v>0</v>
      </c>
      <c r="AJ20" s="333">
        <f t="shared" si="5"/>
        <v>0</v>
      </c>
      <c r="AK20" s="333">
        <f t="shared" si="5"/>
        <v>0</v>
      </c>
      <c r="AL20" s="333">
        <f t="shared" si="5"/>
        <v>0</v>
      </c>
      <c r="AM20" s="321">
        <f t="shared" si="0"/>
        <v>995912367</v>
      </c>
      <c r="AN20" s="341"/>
      <c r="AO20" s="321">
        <f t="shared" ref="AO20:AW20" si="6">SUM(AO17:AO19)</f>
        <v>995912367</v>
      </c>
      <c r="AP20" s="321">
        <f t="shared" si="6"/>
        <v>0</v>
      </c>
      <c r="AQ20" s="321">
        <f t="shared" si="6"/>
        <v>0</v>
      </c>
      <c r="AR20" s="321">
        <f t="shared" si="6"/>
        <v>0</v>
      </c>
      <c r="AS20" s="321">
        <f t="shared" si="6"/>
        <v>0</v>
      </c>
      <c r="AT20" s="321">
        <f t="shared" si="6"/>
        <v>0</v>
      </c>
      <c r="AU20" s="321">
        <f t="shared" si="6"/>
        <v>0</v>
      </c>
      <c r="AV20" s="321">
        <f t="shared" si="6"/>
        <v>0</v>
      </c>
      <c r="AW20" s="321">
        <f t="shared" si="6"/>
        <v>0</v>
      </c>
      <c r="AX20" s="328"/>
      <c r="AY20" s="342">
        <f>SUM(AY17:AY19)</f>
        <v>995912367</v>
      </c>
      <c r="BA20" s="276"/>
    </row>
    <row r="21" spans="1:53" ht="17.25" thickTop="1" x14ac:dyDescent="0.25">
      <c r="A21" s="1454" t="s">
        <v>82</v>
      </c>
      <c r="B21" s="1140" t="s">
        <v>165</v>
      </c>
      <c r="C21" s="280"/>
      <c r="D21" s="915">
        <v>141059100</v>
      </c>
      <c r="E21" s="915"/>
      <c r="F21" s="915">
        <v>68538900</v>
      </c>
      <c r="G21" s="915">
        <v>55203700</v>
      </c>
      <c r="H21" s="915">
        <v>72516700</v>
      </c>
      <c r="I21" s="915">
        <v>92868900</v>
      </c>
      <c r="J21" s="724"/>
      <c r="K21" s="915"/>
      <c r="L21" s="858"/>
      <c r="M21" s="915"/>
      <c r="N21" s="915"/>
      <c r="O21" s="915"/>
      <c r="P21" s="915"/>
      <c r="Q21" s="915"/>
      <c r="R21" s="915"/>
      <c r="S21" s="915"/>
      <c r="T21" s="1142"/>
      <c r="U21" s="915"/>
      <c r="V21" s="915"/>
      <c r="W21" s="915"/>
      <c r="X21" s="858"/>
      <c r="Y21" s="1142"/>
      <c r="Z21" s="1142"/>
      <c r="AA21" s="1142"/>
      <c r="AB21" s="1142"/>
      <c r="AC21" s="858"/>
      <c r="AD21" s="861"/>
      <c r="AE21" s="915"/>
      <c r="AF21" s="915"/>
      <c r="AG21" s="915"/>
      <c r="AH21" s="915"/>
      <c r="AI21" s="915"/>
      <c r="AJ21" s="1145"/>
      <c r="AK21" s="915"/>
      <c r="AL21" s="915"/>
      <c r="AM21" s="429">
        <f t="shared" si="0"/>
        <v>430187300</v>
      </c>
      <c r="AN21" s="339"/>
      <c r="AO21" s="429">
        <f>D21+E21+F21+G21+H21+I21+J21</f>
        <v>430187300</v>
      </c>
      <c r="AP21" s="339"/>
      <c r="AQ21" s="429">
        <f>K21+L21+M21+N21+O21+P21+Q21</f>
        <v>0</v>
      </c>
      <c r="AR21" s="339"/>
      <c r="AS21" s="429">
        <f>R21+S21+T21+U21+V21+W21+X21</f>
        <v>0</v>
      </c>
      <c r="AT21" s="339"/>
      <c r="AU21" s="429">
        <f>Y21+Z21+AA21+AB21+AC21+AD21+AE21</f>
        <v>0</v>
      </c>
      <c r="AV21" s="339"/>
      <c r="AW21" s="429">
        <f>AF21+AG21+AH21+AI21+AJ21+AK21+AL21</f>
        <v>0</v>
      </c>
      <c r="AX21" s="339"/>
      <c r="AY21" s="429">
        <f>AO21+AQ21+AS21+AU21+AW21</f>
        <v>430187300</v>
      </c>
      <c r="BA21" s="276"/>
    </row>
    <row r="22" spans="1:53" x14ac:dyDescent="0.25">
      <c r="A22" s="1454"/>
      <c r="B22" s="1140" t="s">
        <v>4305</v>
      </c>
      <c r="C22" s="1140"/>
      <c r="D22" s="953">
        <v>61301000.200000003</v>
      </c>
      <c r="E22" s="1145"/>
      <c r="F22" s="1145"/>
      <c r="G22" s="915">
        <v>333699300</v>
      </c>
      <c r="H22" s="915">
        <v>12050600</v>
      </c>
      <c r="I22" s="334">
        <v>76599876</v>
      </c>
      <c r="J22" s="915"/>
      <c r="K22" s="915"/>
      <c r="L22" s="858"/>
      <c r="M22" s="915"/>
      <c r="N22" s="915"/>
      <c r="O22" s="915"/>
      <c r="P22" s="724"/>
      <c r="Q22" s="915"/>
      <c r="R22" s="915"/>
      <c r="S22" s="915"/>
      <c r="T22" s="915"/>
      <c r="U22" s="915"/>
      <c r="V22" s="724"/>
      <c r="W22" s="915"/>
      <c r="X22" s="858"/>
      <c r="Y22" s="1142"/>
      <c r="Z22" s="1142"/>
      <c r="AA22" s="1142"/>
      <c r="AB22" s="1142"/>
      <c r="AC22" s="858"/>
      <c r="AD22" s="960"/>
      <c r="AE22" s="915"/>
      <c r="AF22" s="915"/>
      <c r="AG22" s="915"/>
      <c r="AH22" s="915"/>
      <c r="AI22" s="915"/>
      <c r="AJ22" s="1144"/>
      <c r="AK22" s="915"/>
      <c r="AL22" s="915"/>
      <c r="AM22" s="429">
        <f t="shared" si="0"/>
        <v>483650776.19999999</v>
      </c>
      <c r="AN22" s="339"/>
      <c r="AO22" s="429">
        <f>D22+E22+F22+G22+H22+I22+J22</f>
        <v>483650776.19999999</v>
      </c>
      <c r="AP22" s="339"/>
      <c r="AQ22" s="429">
        <f>K22+L22+M22+N22+O22+P22+Q22</f>
        <v>0</v>
      </c>
      <c r="AR22" s="339"/>
      <c r="AS22" s="429">
        <f>R22+S22+T22+U22+V22+W22+X22</f>
        <v>0</v>
      </c>
      <c r="AT22" s="339"/>
      <c r="AU22" s="429">
        <f>Y22+Z22+AA22+AB22+AC22+AD22+AE22</f>
        <v>0</v>
      </c>
      <c r="AV22" s="339"/>
      <c r="AW22" s="429">
        <f>AF22+AG22+AH22+AI22+AJ22+AK22+AL22</f>
        <v>0</v>
      </c>
      <c r="AX22" s="339"/>
      <c r="AY22" s="429">
        <f>AO22+AQ22+AS22+AU22+AW22</f>
        <v>483650776.19999999</v>
      </c>
      <c r="BA22" s="276"/>
    </row>
    <row r="23" spans="1:53" ht="17.25" thickBot="1" x14ac:dyDescent="0.3">
      <c r="A23" s="1454"/>
      <c r="B23" s="1140" t="s">
        <v>4306</v>
      </c>
      <c r="C23" s="1140"/>
      <c r="D23" s="915"/>
      <c r="E23" s="915"/>
      <c r="F23" s="859"/>
      <c r="G23" s="724"/>
      <c r="H23" s="915"/>
      <c r="I23" s="915"/>
      <c r="J23" s="915"/>
      <c r="K23" s="915"/>
      <c r="L23" s="915"/>
      <c r="M23" s="915"/>
      <c r="N23" s="915"/>
      <c r="O23" s="860"/>
      <c r="P23" s="915"/>
      <c r="Q23" s="915"/>
      <c r="R23" s="915"/>
      <c r="S23" s="915"/>
      <c r="T23" s="915"/>
      <c r="U23" s="915"/>
      <c r="V23" s="915"/>
      <c r="W23" s="915"/>
      <c r="X23" s="858"/>
      <c r="Y23" s="1142"/>
      <c r="Z23" s="915"/>
      <c r="AA23" s="915"/>
      <c r="AB23" s="915"/>
      <c r="AC23" s="858"/>
      <c r="AD23" s="724"/>
      <c r="AE23" s="915"/>
      <c r="AF23" s="915"/>
      <c r="AG23" s="915"/>
      <c r="AH23" s="915"/>
      <c r="AI23" s="915"/>
      <c r="AJ23" s="1145"/>
      <c r="AK23" s="915"/>
      <c r="AL23" s="915"/>
      <c r="AM23" s="429">
        <f t="shared" si="0"/>
        <v>0</v>
      </c>
      <c r="AN23" s="339"/>
      <c r="AO23" s="429">
        <f>D23+E23+F23+G23+H23+I23+J23</f>
        <v>0</v>
      </c>
      <c r="AP23" s="339"/>
      <c r="AQ23" s="429">
        <f>K23+L23+M23+N23+O23+P23+Q23</f>
        <v>0</v>
      </c>
      <c r="AR23" s="339"/>
      <c r="AS23" s="429">
        <f>R23+S23+T23+U23+V23+W23+X23</f>
        <v>0</v>
      </c>
      <c r="AT23" s="339"/>
      <c r="AU23" s="429">
        <f>Y23+Z23+AA23+AB23+AC23+AD23+AE23</f>
        <v>0</v>
      </c>
      <c r="AV23" s="339"/>
      <c r="AW23" s="429">
        <f>AF23+AG23+AH23+AI23+AJ23+AK23+AL23</f>
        <v>0</v>
      </c>
      <c r="AX23" s="339"/>
      <c r="AY23" s="429">
        <f>AO23+AQ23+AS23+AU23+AW23</f>
        <v>0</v>
      </c>
      <c r="BA23" s="276"/>
    </row>
    <row r="24" spans="1:53" s="279" customFormat="1" ht="18" thickTop="1" thickBot="1" x14ac:dyDescent="0.3">
      <c r="A24" s="277"/>
      <c r="B24" s="278" t="s">
        <v>24</v>
      </c>
      <c r="C24" s="278"/>
      <c r="D24" s="333">
        <f>SUM(D21:D23)</f>
        <v>202360100.19999999</v>
      </c>
      <c r="E24" s="333">
        <f>SUM(E21:E23)</f>
        <v>0</v>
      </c>
      <c r="F24" s="333">
        <f>SUM(F21:F23)</f>
        <v>68538900</v>
      </c>
      <c r="G24" s="333">
        <f>SUM(G21:G23)</f>
        <v>388903000</v>
      </c>
      <c r="H24" s="333">
        <f>SUM(H21:H23)</f>
        <v>84567300</v>
      </c>
      <c r="I24" s="333">
        <f t="shared" ref="I24:AL24" si="7">SUM(I21:I23)</f>
        <v>169468776</v>
      </c>
      <c r="J24" s="333">
        <f t="shared" si="7"/>
        <v>0</v>
      </c>
      <c r="K24" s="333">
        <f t="shared" si="7"/>
        <v>0</v>
      </c>
      <c r="L24" s="333">
        <f>SUM(L21:L23)</f>
        <v>0</v>
      </c>
      <c r="M24" s="333">
        <f>SUM(M21:M23)</f>
        <v>0</v>
      </c>
      <c r="N24" s="333">
        <f t="shared" si="7"/>
        <v>0</v>
      </c>
      <c r="O24" s="333">
        <f t="shared" si="7"/>
        <v>0</v>
      </c>
      <c r="P24" s="333">
        <f>SUM(P21:P23)</f>
        <v>0</v>
      </c>
      <c r="Q24" s="333">
        <f t="shared" si="7"/>
        <v>0</v>
      </c>
      <c r="R24" s="333">
        <f>SUM(R21:R23)</f>
        <v>0</v>
      </c>
      <c r="S24" s="333">
        <f t="shared" si="7"/>
        <v>0</v>
      </c>
      <c r="T24" s="333">
        <f t="shared" si="7"/>
        <v>0</v>
      </c>
      <c r="U24" s="333">
        <f t="shared" si="7"/>
        <v>0</v>
      </c>
      <c r="V24" s="333">
        <f t="shared" si="7"/>
        <v>0</v>
      </c>
      <c r="W24" s="333">
        <f t="shared" si="7"/>
        <v>0</v>
      </c>
      <c r="X24" s="333">
        <f t="shared" si="7"/>
        <v>0</v>
      </c>
      <c r="Y24" s="333">
        <f t="shared" si="7"/>
        <v>0</v>
      </c>
      <c r="Z24" s="333">
        <f t="shared" si="7"/>
        <v>0</v>
      </c>
      <c r="AA24" s="333">
        <f t="shared" si="7"/>
        <v>0</v>
      </c>
      <c r="AB24" s="333">
        <f t="shared" si="7"/>
        <v>0</v>
      </c>
      <c r="AC24" s="333">
        <f t="shared" si="7"/>
        <v>0</v>
      </c>
      <c r="AD24" s="333">
        <f t="shared" si="7"/>
        <v>0</v>
      </c>
      <c r="AE24" s="333">
        <f t="shared" si="7"/>
        <v>0</v>
      </c>
      <c r="AF24" s="333">
        <f t="shared" si="7"/>
        <v>0</v>
      </c>
      <c r="AG24" s="333">
        <f t="shared" si="7"/>
        <v>0</v>
      </c>
      <c r="AH24" s="333">
        <f t="shared" si="7"/>
        <v>0</v>
      </c>
      <c r="AI24" s="333">
        <f t="shared" si="7"/>
        <v>0</v>
      </c>
      <c r="AJ24" s="333">
        <f t="shared" si="7"/>
        <v>0</v>
      </c>
      <c r="AK24" s="333">
        <f t="shared" si="7"/>
        <v>0</v>
      </c>
      <c r="AL24" s="333">
        <f t="shared" si="7"/>
        <v>0</v>
      </c>
      <c r="AM24" s="321">
        <f t="shared" si="0"/>
        <v>913838076.20000005</v>
      </c>
      <c r="AN24" s="341"/>
      <c r="AO24" s="321">
        <f t="shared" ref="AO24:AW24" si="8">SUM(AO21:AO23)</f>
        <v>913838076.20000005</v>
      </c>
      <c r="AP24" s="321">
        <f t="shared" si="8"/>
        <v>0</v>
      </c>
      <c r="AQ24" s="321">
        <f t="shared" si="8"/>
        <v>0</v>
      </c>
      <c r="AR24" s="321">
        <f t="shared" si="8"/>
        <v>0</v>
      </c>
      <c r="AS24" s="321">
        <f t="shared" si="8"/>
        <v>0</v>
      </c>
      <c r="AT24" s="321">
        <f t="shared" si="8"/>
        <v>0</v>
      </c>
      <c r="AU24" s="321">
        <f t="shared" si="8"/>
        <v>0</v>
      </c>
      <c r="AV24" s="321">
        <f t="shared" si="8"/>
        <v>0</v>
      </c>
      <c r="AW24" s="321">
        <f t="shared" si="8"/>
        <v>0</v>
      </c>
      <c r="AX24" s="328"/>
      <c r="AY24" s="342">
        <f>SUM(AY21:AY23)</f>
        <v>913838076.20000005</v>
      </c>
      <c r="BA24" s="276"/>
    </row>
    <row r="25" spans="1:53" ht="17.25" thickTop="1" x14ac:dyDescent="0.25">
      <c r="A25" s="1441" t="s">
        <v>80</v>
      </c>
      <c r="B25" s="1140" t="s">
        <v>165</v>
      </c>
      <c r="C25" s="280"/>
      <c r="D25" s="915">
        <v>274021800</v>
      </c>
      <c r="E25" s="915"/>
      <c r="F25" s="915">
        <v>295305100</v>
      </c>
      <c r="G25" s="1145">
        <v>220869200</v>
      </c>
      <c r="H25" s="915">
        <v>213398000</v>
      </c>
      <c r="I25" s="915">
        <v>270678700</v>
      </c>
      <c r="J25" s="862"/>
      <c r="K25" s="915"/>
      <c r="L25" s="858"/>
      <c r="M25" s="915"/>
      <c r="N25" s="915"/>
      <c r="O25" s="915"/>
      <c r="P25" s="915"/>
      <c r="Q25" s="915"/>
      <c r="R25" s="915"/>
      <c r="S25" s="915"/>
      <c r="T25" s="1142"/>
      <c r="U25" s="915"/>
      <c r="V25" s="915"/>
      <c r="W25" s="915"/>
      <c r="X25" s="915"/>
      <c r="Y25" s="858"/>
      <c r="Z25" s="858"/>
      <c r="AA25" s="1142"/>
      <c r="AB25" s="1142"/>
      <c r="AC25" s="858"/>
      <c r="AD25" s="959"/>
      <c r="AE25" s="915"/>
      <c r="AF25" s="915"/>
      <c r="AG25" s="915"/>
      <c r="AH25" s="915"/>
      <c r="AI25" s="1145"/>
      <c r="AJ25" s="915"/>
      <c r="AK25" s="915"/>
      <c r="AL25" s="915"/>
      <c r="AM25" s="429">
        <f t="shared" si="0"/>
        <v>1274272800</v>
      </c>
      <c r="AN25" s="339"/>
      <c r="AO25" s="429">
        <f>D25+E25+F25+G25+H25+I25+J25</f>
        <v>1274272800</v>
      </c>
      <c r="AP25" s="339"/>
      <c r="AQ25" s="429">
        <f>K25+L25+M25+N25+O25+P25+Q25</f>
        <v>0</v>
      </c>
      <c r="AR25" s="339"/>
      <c r="AS25" s="429">
        <f>R25+S25+T25+U25+V25+W25+X25</f>
        <v>0</v>
      </c>
      <c r="AT25" s="339"/>
      <c r="AU25" s="429">
        <f>Y25+Z25+AA25+AB25+AC25+AD25+AE25</f>
        <v>0</v>
      </c>
      <c r="AV25" s="339"/>
      <c r="AW25" s="429">
        <f>AF25+AG25+AH25+AI25+AJ25+AK25+AL25</f>
        <v>0</v>
      </c>
      <c r="AX25" s="339"/>
      <c r="AY25" s="429">
        <f>AO25+AQ25+AS25+AU25+AW25</f>
        <v>1274272800</v>
      </c>
      <c r="BA25" s="276"/>
    </row>
    <row r="26" spans="1:53" x14ac:dyDescent="0.25">
      <c r="A26" s="1441"/>
      <c r="B26" s="1140" t="s">
        <v>4305</v>
      </c>
      <c r="C26" s="1140"/>
      <c r="D26" s="953">
        <v>1856074770.0999999</v>
      </c>
      <c r="E26" s="1145"/>
      <c r="F26" s="953"/>
      <c r="G26" s="1145">
        <v>168349314</v>
      </c>
      <c r="H26" s="915">
        <v>183003402</v>
      </c>
      <c r="I26" s="1439">
        <v>1950724357.1400001</v>
      </c>
      <c r="J26" s="858"/>
      <c r="K26" s="1145"/>
      <c r="L26" s="979"/>
      <c r="M26" s="915"/>
      <c r="N26" s="915"/>
      <c r="O26" s="915"/>
      <c r="P26" s="915"/>
      <c r="Q26" s="915"/>
      <c r="R26" s="915"/>
      <c r="S26" s="915"/>
      <c r="T26" s="915"/>
      <c r="U26" s="1145"/>
      <c r="V26" s="1145"/>
      <c r="W26" s="1145"/>
      <c r="X26" s="915"/>
      <c r="Y26" s="858"/>
      <c r="Z26" s="979"/>
      <c r="AA26" s="915"/>
      <c r="AB26" s="1142"/>
      <c r="AC26" s="858"/>
      <c r="AD26" s="960"/>
      <c r="AE26" s="915"/>
      <c r="AF26" s="915"/>
      <c r="AG26" s="915"/>
      <c r="AH26" s="915"/>
      <c r="AI26" s="1145"/>
      <c r="AJ26" s="915"/>
      <c r="AK26" s="915"/>
      <c r="AL26" s="915"/>
      <c r="AM26" s="429">
        <f t="shared" si="0"/>
        <v>4158151843.2399998</v>
      </c>
      <c r="AN26" s="339"/>
      <c r="AO26" s="429">
        <f>D26+E26+F26+G26+H26+I26+J26</f>
        <v>4158151843.2399998</v>
      </c>
      <c r="AP26" s="339"/>
      <c r="AQ26" s="429">
        <f>K26+L26+M26+N26+O26+P26+Q26</f>
        <v>0</v>
      </c>
      <c r="AR26" s="339"/>
      <c r="AS26" s="429">
        <f>R26+S26+T26+U26+V26+W26+X26</f>
        <v>0</v>
      </c>
      <c r="AT26" s="339"/>
      <c r="AU26" s="429">
        <f>Y26+Z26+AA26+AB26+AC26+AD26+AE26</f>
        <v>0</v>
      </c>
      <c r="AV26" s="339"/>
      <c r="AW26" s="429">
        <f>AF26+AG26+AH26+AI26+AJ26+AK26+AL26</f>
        <v>0</v>
      </c>
      <c r="AX26" s="339"/>
      <c r="AY26" s="429">
        <f>AO26+AQ26+AS26+AU26+AW26</f>
        <v>4158151843.2399998</v>
      </c>
      <c r="BA26" s="276"/>
    </row>
    <row r="27" spans="1:53" ht="17.25" thickBot="1" x14ac:dyDescent="0.3">
      <c r="A27" s="1441"/>
      <c r="B27" s="1140" t="s">
        <v>4306</v>
      </c>
      <c r="C27" s="1140"/>
      <c r="D27" s="915"/>
      <c r="E27" s="915"/>
      <c r="F27" s="859"/>
      <c r="G27" s="961">
        <v>95540</v>
      </c>
      <c r="H27" s="915"/>
      <c r="I27" s="915"/>
      <c r="J27" s="859"/>
      <c r="K27" s="915"/>
      <c r="L27" s="915"/>
      <c r="M27" s="915"/>
      <c r="N27" s="915"/>
      <c r="O27" s="915"/>
      <c r="P27" s="915"/>
      <c r="Q27" s="915"/>
      <c r="R27" s="915"/>
      <c r="S27" s="915"/>
      <c r="T27" s="1142"/>
      <c r="U27" s="915"/>
      <c r="V27" s="915"/>
      <c r="W27" s="915"/>
      <c r="X27" s="915"/>
      <c r="Y27" s="858"/>
      <c r="Z27" s="915"/>
      <c r="AA27" s="915"/>
      <c r="AB27" s="915"/>
      <c r="AC27" s="858"/>
      <c r="AD27" s="961"/>
      <c r="AE27" s="915"/>
      <c r="AF27" s="915"/>
      <c r="AG27" s="915"/>
      <c r="AH27" s="915"/>
      <c r="AI27" s="1145"/>
      <c r="AJ27" s="915"/>
      <c r="AK27" s="915"/>
      <c r="AL27" s="915"/>
      <c r="AM27" s="429">
        <f t="shared" si="0"/>
        <v>95540</v>
      </c>
      <c r="AN27" s="339"/>
      <c r="AO27" s="429">
        <f>D27+E27+F27+G27+H27+I27+J27</f>
        <v>95540</v>
      </c>
      <c r="AP27" s="339"/>
      <c r="AQ27" s="429">
        <f>K27+L27+M27+N27+O27+P27+Q27</f>
        <v>0</v>
      </c>
      <c r="AR27" s="339"/>
      <c r="AS27" s="429">
        <f>R27+S27+T27+U27+V27+W27+X27</f>
        <v>0</v>
      </c>
      <c r="AT27" s="339"/>
      <c r="AU27" s="429">
        <f>Y27+Z27+AA27+AB27+AC27+AD27+AE27</f>
        <v>0</v>
      </c>
      <c r="AV27" s="339"/>
      <c r="AW27" s="429">
        <f>AF27+AG27+AH27+AI27+AJ27+AK27+AL27</f>
        <v>0</v>
      </c>
      <c r="AX27" s="339"/>
      <c r="AY27" s="429">
        <f>AO27+AQ27+AS27+AU27+AW27</f>
        <v>95540</v>
      </c>
      <c r="BA27" s="276"/>
    </row>
    <row r="28" spans="1:53" s="279" customFormat="1" ht="18" thickTop="1" thickBot="1" x14ac:dyDescent="0.3">
      <c r="A28" s="277"/>
      <c r="B28" s="278" t="s">
        <v>24</v>
      </c>
      <c r="C28" s="278"/>
      <c r="D28" s="333">
        <f>SUM(D25:D27)</f>
        <v>2130096570.0999999</v>
      </c>
      <c r="E28" s="333">
        <f>SUM(E25:E27)</f>
        <v>0</v>
      </c>
      <c r="F28" s="333">
        <f>SUM(F25:F27)</f>
        <v>295305100</v>
      </c>
      <c r="G28" s="333">
        <f>SUM(G25:G27)</f>
        <v>389314054</v>
      </c>
      <c r="H28" s="333">
        <f t="shared" ref="H28:AL28" si="9">SUM(H25:H27)</f>
        <v>396401402</v>
      </c>
      <c r="I28" s="333">
        <f t="shared" si="9"/>
        <v>2221403057.1400003</v>
      </c>
      <c r="J28" s="347">
        <f t="shared" si="9"/>
        <v>0</v>
      </c>
      <c r="K28" s="333">
        <f t="shared" si="9"/>
        <v>0</v>
      </c>
      <c r="L28" s="333">
        <f>SUM(L25:L27)</f>
        <v>0</v>
      </c>
      <c r="M28" s="333">
        <f>SUM(M25:M27)</f>
        <v>0</v>
      </c>
      <c r="N28" s="333">
        <f t="shared" si="9"/>
        <v>0</v>
      </c>
      <c r="O28" s="333">
        <f t="shared" si="9"/>
        <v>0</v>
      </c>
      <c r="P28" s="333">
        <f t="shared" si="9"/>
        <v>0</v>
      </c>
      <c r="Q28" s="333">
        <f t="shared" si="9"/>
        <v>0</v>
      </c>
      <c r="R28" s="333">
        <f t="shared" si="9"/>
        <v>0</v>
      </c>
      <c r="S28" s="333">
        <f t="shared" si="9"/>
        <v>0</v>
      </c>
      <c r="T28" s="333">
        <f t="shared" si="9"/>
        <v>0</v>
      </c>
      <c r="U28" s="333">
        <f t="shared" si="9"/>
        <v>0</v>
      </c>
      <c r="V28" s="333">
        <f t="shared" si="9"/>
        <v>0</v>
      </c>
      <c r="W28" s="333">
        <f t="shared" si="9"/>
        <v>0</v>
      </c>
      <c r="X28" s="333">
        <f t="shared" si="9"/>
        <v>0</v>
      </c>
      <c r="Y28" s="333">
        <f t="shared" si="9"/>
        <v>0</v>
      </c>
      <c r="Z28" s="333">
        <f t="shared" si="9"/>
        <v>0</v>
      </c>
      <c r="AA28" s="333">
        <f t="shared" si="9"/>
        <v>0</v>
      </c>
      <c r="AB28" s="333">
        <f t="shared" si="9"/>
        <v>0</v>
      </c>
      <c r="AC28" s="333">
        <f>SUM(AC25:AC27)</f>
        <v>0</v>
      </c>
      <c r="AD28" s="333">
        <f t="shared" si="9"/>
        <v>0</v>
      </c>
      <c r="AE28" s="333">
        <f t="shared" si="9"/>
        <v>0</v>
      </c>
      <c r="AF28" s="333">
        <f t="shared" si="9"/>
        <v>0</v>
      </c>
      <c r="AG28" s="333">
        <f t="shared" si="9"/>
        <v>0</v>
      </c>
      <c r="AH28" s="333">
        <f t="shared" si="9"/>
        <v>0</v>
      </c>
      <c r="AI28" s="333">
        <f t="shared" si="9"/>
        <v>0</v>
      </c>
      <c r="AJ28" s="333">
        <f t="shared" si="9"/>
        <v>0</v>
      </c>
      <c r="AK28" s="333">
        <f t="shared" si="9"/>
        <v>0</v>
      </c>
      <c r="AL28" s="333">
        <f t="shared" si="9"/>
        <v>0</v>
      </c>
      <c r="AM28" s="321">
        <f t="shared" si="0"/>
        <v>5432520183.2399998</v>
      </c>
      <c r="AN28" s="341"/>
      <c r="AO28" s="321">
        <f t="shared" ref="AO28:AX28" si="10">SUM(AO25:AO27)</f>
        <v>5432520183.2399998</v>
      </c>
      <c r="AP28" s="321">
        <f t="shared" si="10"/>
        <v>0</v>
      </c>
      <c r="AQ28" s="321">
        <f t="shared" si="10"/>
        <v>0</v>
      </c>
      <c r="AR28" s="321">
        <f t="shared" si="10"/>
        <v>0</v>
      </c>
      <c r="AS28" s="321">
        <f t="shared" si="10"/>
        <v>0</v>
      </c>
      <c r="AT28" s="321">
        <f t="shared" si="10"/>
        <v>0</v>
      </c>
      <c r="AU28" s="321">
        <f t="shared" si="10"/>
        <v>0</v>
      </c>
      <c r="AV28" s="321">
        <f t="shared" si="10"/>
        <v>0</v>
      </c>
      <c r="AW28" s="321">
        <f t="shared" si="10"/>
        <v>0</v>
      </c>
      <c r="AX28" s="321">
        <f t="shared" si="10"/>
        <v>0</v>
      </c>
      <c r="AY28" s="342">
        <f>SUM(AY25:AY27)</f>
        <v>5432520183.2399998</v>
      </c>
      <c r="BA28" s="276"/>
    </row>
    <row r="29" spans="1:53" ht="17.25" thickTop="1" x14ac:dyDescent="0.25">
      <c r="A29" s="1455" t="s">
        <v>83</v>
      </c>
      <c r="B29" s="1140" t="s">
        <v>165</v>
      </c>
      <c r="C29" s="280"/>
      <c r="D29" s="915">
        <v>201710300</v>
      </c>
      <c r="E29" s="915"/>
      <c r="F29" s="915">
        <v>266595500</v>
      </c>
      <c r="G29" s="915">
        <v>195830900</v>
      </c>
      <c r="H29" s="915">
        <v>273015900</v>
      </c>
      <c r="I29" s="915">
        <v>110413700</v>
      </c>
      <c r="J29" s="724"/>
      <c r="K29" s="915"/>
      <c r="L29" s="858"/>
      <c r="M29" s="915"/>
      <c r="N29" s="915"/>
      <c r="O29" s="915"/>
      <c r="P29" s="915"/>
      <c r="Q29" s="915"/>
      <c r="R29" s="915"/>
      <c r="S29" s="915"/>
      <c r="T29" s="1147"/>
      <c r="U29" s="915"/>
      <c r="V29" s="915"/>
      <c r="W29" s="915"/>
      <c r="X29" s="858"/>
      <c r="Y29" s="1147"/>
      <c r="Z29" s="1147"/>
      <c r="AA29" s="1147"/>
      <c r="AB29" s="1147"/>
      <c r="AC29" s="858"/>
      <c r="AD29" s="724"/>
      <c r="AE29" s="915"/>
      <c r="AF29" s="915"/>
      <c r="AG29" s="915"/>
      <c r="AH29" s="915"/>
      <c r="AI29" s="1145"/>
      <c r="AJ29" s="915"/>
      <c r="AK29" s="915"/>
      <c r="AL29" s="915"/>
      <c r="AM29" s="429">
        <f t="shared" si="0"/>
        <v>1047566300</v>
      </c>
      <c r="AN29" s="339"/>
      <c r="AO29" s="429">
        <f>D29+E29+F29+G29+H29+I29+J29</f>
        <v>1047566300</v>
      </c>
      <c r="AP29" s="339"/>
      <c r="AQ29" s="429">
        <f>K29+L29+M29+N29+O29+P29+Q29</f>
        <v>0</v>
      </c>
      <c r="AR29" s="339"/>
      <c r="AS29" s="429">
        <f>R29+S29+T29+U29+V29+W29+X29</f>
        <v>0</v>
      </c>
      <c r="AT29" s="339"/>
      <c r="AU29" s="429">
        <f>Y29+Z29+AA29+AB29+AC29+AD29+AE29</f>
        <v>0</v>
      </c>
      <c r="AV29" s="339"/>
      <c r="AW29" s="429">
        <f>AF29+AG29+AH29+AI29+AJ29+AK29+AL29</f>
        <v>0</v>
      </c>
      <c r="AX29" s="339"/>
      <c r="AY29" s="429">
        <f>AO29+AQ29+AS29+AU29+AW29</f>
        <v>1047566300</v>
      </c>
      <c r="BA29" s="276"/>
    </row>
    <row r="30" spans="1:53" x14ac:dyDescent="0.25">
      <c r="A30" s="1455"/>
      <c r="B30" s="1140" t="s">
        <v>4305</v>
      </c>
      <c r="C30" s="1140"/>
      <c r="D30" s="953">
        <v>295210330.41000003</v>
      </c>
      <c r="E30" s="1145"/>
      <c r="F30" s="1145"/>
      <c r="G30" s="915">
        <v>132497792</v>
      </c>
      <c r="H30" s="915">
        <v>96011564</v>
      </c>
      <c r="I30" s="334">
        <v>55169744</v>
      </c>
      <c r="J30" s="915"/>
      <c r="K30" s="915"/>
      <c r="L30" s="858"/>
      <c r="M30" s="915"/>
      <c r="N30" s="915"/>
      <c r="O30" s="1145"/>
      <c r="P30" s="915"/>
      <c r="Q30" s="915"/>
      <c r="R30" s="915"/>
      <c r="S30" s="915"/>
      <c r="T30" s="915"/>
      <c r="U30" s="915"/>
      <c r="V30" s="724"/>
      <c r="W30" s="915"/>
      <c r="X30" s="858"/>
      <c r="Y30" s="915"/>
      <c r="Z30" s="915"/>
      <c r="AA30" s="1147"/>
      <c r="AB30" s="1147"/>
      <c r="AC30" s="858"/>
      <c r="AD30" s="960"/>
      <c r="AE30" s="915"/>
      <c r="AF30" s="915"/>
      <c r="AG30" s="915"/>
      <c r="AH30" s="915"/>
      <c r="AI30" s="1145"/>
      <c r="AJ30" s="953"/>
      <c r="AK30" s="915"/>
      <c r="AL30" s="915"/>
      <c r="AM30" s="429">
        <f t="shared" si="0"/>
        <v>578889430.41000009</v>
      </c>
      <c r="AN30" s="339"/>
      <c r="AO30" s="429">
        <f>D30+E30+F30+G30+H30+I30+J30</f>
        <v>578889430.41000009</v>
      </c>
      <c r="AP30" s="339"/>
      <c r="AQ30" s="429">
        <f>K30+L30+M30+N30+O30+P30+Q30</f>
        <v>0</v>
      </c>
      <c r="AR30" s="339"/>
      <c r="AS30" s="429">
        <f>R30+S30+T30+U30+V30+W30+X30</f>
        <v>0</v>
      </c>
      <c r="AT30" s="339"/>
      <c r="AU30" s="429">
        <f>Y30+Z30+AA30+AB30+AC30+AD30+AE30</f>
        <v>0</v>
      </c>
      <c r="AV30" s="339"/>
      <c r="AW30" s="429">
        <f>AF30+AG30+AH30+AI30+AJ30+AK30+AL30</f>
        <v>0</v>
      </c>
      <c r="AX30" s="339"/>
      <c r="AY30" s="429">
        <f>AO30+AQ30+AS30+AU30+AW30</f>
        <v>578889430.41000009</v>
      </c>
      <c r="BA30" s="276"/>
    </row>
    <row r="31" spans="1:53" ht="17.25" thickBot="1" x14ac:dyDescent="0.3">
      <c r="A31" s="1455"/>
      <c r="B31" s="1140" t="s">
        <v>4306</v>
      </c>
      <c r="C31" s="1140"/>
      <c r="D31" s="915"/>
      <c r="E31" s="915"/>
      <c r="F31" s="859"/>
      <c r="G31" s="724"/>
      <c r="H31" s="915"/>
      <c r="I31" s="915"/>
      <c r="J31" s="915"/>
      <c r="K31" s="858"/>
      <c r="L31" s="915"/>
      <c r="M31" s="915"/>
      <c r="N31" s="915"/>
      <c r="O31" s="915"/>
      <c r="P31" s="915"/>
      <c r="Q31" s="915"/>
      <c r="R31" s="915"/>
      <c r="S31" s="915"/>
      <c r="T31" s="915"/>
      <c r="U31" s="915"/>
      <c r="V31" s="1147"/>
      <c r="W31" s="915"/>
      <c r="X31" s="858"/>
      <c r="Y31" s="1142"/>
      <c r="Z31" s="915"/>
      <c r="AA31" s="915"/>
      <c r="AB31" s="915"/>
      <c r="AC31" s="858"/>
      <c r="AD31" s="724"/>
      <c r="AE31" s="915"/>
      <c r="AF31" s="915"/>
      <c r="AG31" s="915"/>
      <c r="AH31" s="915"/>
      <c r="AI31" s="1145"/>
      <c r="AJ31" s="915"/>
      <c r="AK31" s="915"/>
      <c r="AL31" s="915"/>
      <c r="AM31" s="429">
        <f t="shared" si="0"/>
        <v>0</v>
      </c>
      <c r="AN31" s="339"/>
      <c r="AO31" s="429">
        <f>D31+E31+F31+G31+H31+I31+J31</f>
        <v>0</v>
      </c>
      <c r="AP31" s="339"/>
      <c r="AQ31" s="429">
        <f>K31+L31+M31+N31+O31+P31+Q31</f>
        <v>0</v>
      </c>
      <c r="AR31" s="339"/>
      <c r="AS31" s="429">
        <f>R31+S31+T31+U31+V31+W31+X31</f>
        <v>0</v>
      </c>
      <c r="AT31" s="339"/>
      <c r="AU31" s="429">
        <f>Y31+Z31+AA31+AB31+AC31+AD31+AE31</f>
        <v>0</v>
      </c>
      <c r="AV31" s="339"/>
      <c r="AW31" s="429">
        <f>AF31+AG31+AH31+AI31+AJ31+AK31+AL31</f>
        <v>0</v>
      </c>
      <c r="AX31" s="339"/>
      <c r="AY31" s="429">
        <f>AO31+AQ31+AS31+AU31+AW31</f>
        <v>0</v>
      </c>
      <c r="BA31" s="276"/>
    </row>
    <row r="32" spans="1:53" s="279" customFormat="1" ht="18" thickTop="1" thickBot="1" x14ac:dyDescent="0.3">
      <c r="A32" s="277"/>
      <c r="B32" s="278" t="s">
        <v>24</v>
      </c>
      <c r="C32" s="278"/>
      <c r="D32" s="333">
        <f>SUM(D29:D31)</f>
        <v>496920630.41000003</v>
      </c>
      <c r="E32" s="333">
        <f>SUM(E29:E31)</f>
        <v>0</v>
      </c>
      <c r="F32" s="333">
        <f>SUM(F29:F31)</f>
        <v>266595500</v>
      </c>
      <c r="G32" s="333">
        <f>SUM(G29:G31)</f>
        <v>328328692</v>
      </c>
      <c r="H32" s="333">
        <f t="shared" ref="H32:AL32" si="11">SUM(H29:H31)</f>
        <v>369027464</v>
      </c>
      <c r="I32" s="333">
        <f t="shared" si="11"/>
        <v>165583444</v>
      </c>
      <c r="J32" s="333">
        <f t="shared" si="11"/>
        <v>0</v>
      </c>
      <c r="K32" s="333">
        <f>SUM(K29:K31)</f>
        <v>0</v>
      </c>
      <c r="L32" s="333">
        <f>SUM(L29:L31)</f>
        <v>0</v>
      </c>
      <c r="M32" s="333">
        <f>SUM(M29:M31)</f>
        <v>0</v>
      </c>
      <c r="N32" s="333">
        <f t="shared" si="11"/>
        <v>0</v>
      </c>
      <c r="O32" s="333">
        <f t="shared" si="11"/>
        <v>0</v>
      </c>
      <c r="P32" s="333">
        <f t="shared" si="11"/>
        <v>0</v>
      </c>
      <c r="Q32" s="333">
        <f t="shared" si="11"/>
        <v>0</v>
      </c>
      <c r="R32" s="333">
        <f t="shared" si="11"/>
        <v>0</v>
      </c>
      <c r="S32" s="333">
        <f t="shared" si="11"/>
        <v>0</v>
      </c>
      <c r="T32" s="333">
        <f t="shared" si="11"/>
        <v>0</v>
      </c>
      <c r="U32" s="333">
        <f t="shared" si="11"/>
        <v>0</v>
      </c>
      <c r="V32" s="333">
        <f t="shared" si="11"/>
        <v>0</v>
      </c>
      <c r="W32" s="333">
        <f t="shared" si="11"/>
        <v>0</v>
      </c>
      <c r="X32" s="333">
        <f t="shared" si="11"/>
        <v>0</v>
      </c>
      <c r="Y32" s="333">
        <f t="shared" si="11"/>
        <v>0</v>
      </c>
      <c r="Z32" s="333">
        <f t="shared" si="11"/>
        <v>0</v>
      </c>
      <c r="AA32" s="333">
        <f t="shared" si="11"/>
        <v>0</v>
      </c>
      <c r="AB32" s="333">
        <f t="shared" si="11"/>
        <v>0</v>
      </c>
      <c r="AC32" s="333">
        <f>SUM(AC29:AC31)</f>
        <v>0</v>
      </c>
      <c r="AD32" s="333">
        <f t="shared" si="11"/>
        <v>0</v>
      </c>
      <c r="AE32" s="333">
        <f t="shared" si="11"/>
        <v>0</v>
      </c>
      <c r="AF32" s="333">
        <f t="shared" si="11"/>
        <v>0</v>
      </c>
      <c r="AG32" s="333">
        <f t="shared" si="11"/>
        <v>0</v>
      </c>
      <c r="AH32" s="333">
        <f t="shared" si="11"/>
        <v>0</v>
      </c>
      <c r="AI32" s="333">
        <f t="shared" si="11"/>
        <v>0</v>
      </c>
      <c r="AJ32" s="333">
        <f t="shared" si="11"/>
        <v>0</v>
      </c>
      <c r="AK32" s="333">
        <f t="shared" si="11"/>
        <v>0</v>
      </c>
      <c r="AL32" s="333">
        <f t="shared" si="11"/>
        <v>0</v>
      </c>
      <c r="AM32" s="321">
        <f t="shared" si="0"/>
        <v>1626455730.4100001</v>
      </c>
      <c r="AN32" s="341"/>
      <c r="AO32" s="321">
        <f t="shared" ref="AO32:AW32" si="12">SUM(AO29:AO31)</f>
        <v>1626455730.4100001</v>
      </c>
      <c r="AP32" s="321">
        <f t="shared" si="12"/>
        <v>0</v>
      </c>
      <c r="AQ32" s="321">
        <f t="shared" si="12"/>
        <v>0</v>
      </c>
      <c r="AR32" s="321">
        <f t="shared" si="12"/>
        <v>0</v>
      </c>
      <c r="AS32" s="321">
        <f t="shared" si="12"/>
        <v>0</v>
      </c>
      <c r="AT32" s="321">
        <f t="shared" si="12"/>
        <v>0</v>
      </c>
      <c r="AU32" s="321">
        <f t="shared" si="12"/>
        <v>0</v>
      </c>
      <c r="AV32" s="321">
        <f t="shared" si="12"/>
        <v>0</v>
      </c>
      <c r="AW32" s="321">
        <f t="shared" si="12"/>
        <v>0</v>
      </c>
      <c r="AX32" s="328"/>
      <c r="AY32" s="342">
        <f>SUM(AY29:AY31)</f>
        <v>1626455730.4100001</v>
      </c>
      <c r="BA32" s="276"/>
    </row>
    <row r="33" spans="1:53" ht="17.25" thickTop="1" x14ac:dyDescent="0.25">
      <c r="A33" s="1456" t="s">
        <v>78</v>
      </c>
      <c r="B33" s="1140" t="s">
        <v>165</v>
      </c>
      <c r="C33" s="280"/>
      <c r="D33" s="448">
        <v>179522200</v>
      </c>
      <c r="E33" s="448"/>
      <c r="F33" s="1141">
        <v>138023800</v>
      </c>
      <c r="G33" s="1141">
        <v>87972800</v>
      </c>
      <c r="H33" s="448">
        <v>113758300</v>
      </c>
      <c r="I33" s="448">
        <v>137313000</v>
      </c>
      <c r="K33" s="448"/>
      <c r="L33" s="448"/>
      <c r="M33" s="448"/>
      <c r="N33" s="448"/>
      <c r="O33" s="448"/>
      <c r="P33" s="1141"/>
      <c r="Q33" s="448"/>
      <c r="R33" s="915"/>
      <c r="S33" s="448"/>
      <c r="T33" s="1148"/>
      <c r="U33" s="448"/>
      <c r="V33" s="448"/>
      <c r="W33" s="448"/>
      <c r="X33" s="429"/>
      <c r="Y33" s="1148"/>
      <c r="Z33" s="1148"/>
      <c r="AA33" s="1148"/>
      <c r="AB33" s="1148"/>
      <c r="AC33" s="429"/>
      <c r="AD33" s="429"/>
      <c r="AE33" s="448"/>
      <c r="AF33" s="448"/>
      <c r="AG33" s="448"/>
      <c r="AH33" s="448"/>
      <c r="AI33" s="448"/>
      <c r="AJ33" s="448"/>
      <c r="AK33" s="448"/>
      <c r="AL33" s="448"/>
      <c r="AM33" s="429">
        <f t="shared" si="0"/>
        <v>656590100</v>
      </c>
      <c r="AN33" s="339"/>
      <c r="AO33" s="429">
        <f>D33+E33+F33+G33+H33+I33+J33</f>
        <v>656590100</v>
      </c>
      <c r="AP33" s="339"/>
      <c r="AQ33" s="429">
        <f>K33+L33+M33+N33+O33+P33+Q33</f>
        <v>0</v>
      </c>
      <c r="AR33" s="339"/>
      <c r="AS33" s="429">
        <f>R33+S33+T33+U33+V33+W33+X33</f>
        <v>0</v>
      </c>
      <c r="AT33" s="339"/>
      <c r="AU33" s="429">
        <f>Y33+Z33+AA33+AB33+AC33+AD33+AE33</f>
        <v>0</v>
      </c>
      <c r="AV33" s="339"/>
      <c r="AW33" s="429">
        <f>AF33+AG33+AH33+AI33+AJ33+AK33+AL33</f>
        <v>0</v>
      </c>
      <c r="AX33" s="339"/>
      <c r="AY33" s="429">
        <f>AO33+AQ33+AS33+AU33+AW33</f>
        <v>656590100</v>
      </c>
      <c r="BA33" s="276"/>
    </row>
    <row r="34" spans="1:53" x14ac:dyDescent="0.25">
      <c r="A34" s="1456"/>
      <c r="B34" s="1140" t="s">
        <v>4305</v>
      </c>
      <c r="C34" s="1140"/>
      <c r="D34" s="448">
        <v>1621675</v>
      </c>
      <c r="E34" s="448"/>
      <c r="F34" s="1141"/>
      <c r="G34" s="1141">
        <v>45114211</v>
      </c>
      <c r="H34" s="448">
        <v>67719900</v>
      </c>
      <c r="I34" s="334">
        <v>607718513</v>
      </c>
      <c r="J34" s="1141"/>
      <c r="K34" s="448"/>
      <c r="L34" s="448"/>
      <c r="M34" s="448"/>
      <c r="N34" s="448"/>
      <c r="O34" s="448"/>
      <c r="P34" s="448"/>
      <c r="Q34" s="448"/>
      <c r="R34" s="915"/>
      <c r="S34" s="915"/>
      <c r="T34" s="915"/>
      <c r="U34" s="448"/>
      <c r="V34" s="335"/>
      <c r="W34" s="448"/>
      <c r="X34" s="429"/>
      <c r="Y34" s="448"/>
      <c r="Z34" s="448"/>
      <c r="AA34" s="1148"/>
      <c r="AB34" s="448"/>
      <c r="AC34" s="429"/>
      <c r="AD34" s="429"/>
      <c r="AE34" s="448"/>
      <c r="AF34" s="448"/>
      <c r="AG34" s="448"/>
      <c r="AH34" s="448"/>
      <c r="AI34" s="448"/>
      <c r="AJ34" s="448"/>
      <c r="AK34" s="448"/>
      <c r="AL34" s="448"/>
      <c r="AM34" s="429">
        <f t="shared" si="0"/>
        <v>722174299</v>
      </c>
      <c r="AN34" s="339"/>
      <c r="AO34" s="429">
        <f>D34+E34+F34+G34+H34+I34+J34</f>
        <v>722174299</v>
      </c>
      <c r="AP34" s="339"/>
      <c r="AQ34" s="429">
        <f>K34+L34+M34+N34+O34+P34+Q34</f>
        <v>0</v>
      </c>
      <c r="AR34" s="339"/>
      <c r="AS34" s="429">
        <f>R34+S34+T34+U34+V34+W34+X34</f>
        <v>0</v>
      </c>
      <c r="AT34" s="339"/>
      <c r="AU34" s="429">
        <f>Y34+Z34+AA34+AB34+AC34+AD34+AE34</f>
        <v>0</v>
      </c>
      <c r="AV34" s="339"/>
      <c r="AW34" s="429">
        <f>AF34+AG34+AH34+AI34+AJ34+AK34+AL34</f>
        <v>0</v>
      </c>
      <c r="AX34" s="339"/>
      <c r="AY34" s="429">
        <f>AO34+AQ34+AS34+AU34+AW34</f>
        <v>722174299</v>
      </c>
      <c r="BA34" s="276"/>
    </row>
    <row r="35" spans="1:53" ht="17.25" thickBot="1" x14ac:dyDescent="0.3">
      <c r="A35" s="1456"/>
      <c r="B35" s="1140" t="s">
        <v>4306</v>
      </c>
      <c r="C35" s="1140"/>
      <c r="D35" s="448"/>
      <c r="E35" s="448"/>
      <c r="F35" s="450"/>
      <c r="H35" s="448"/>
      <c r="I35" s="448">
        <v>50000</v>
      </c>
      <c r="J35" s="448"/>
      <c r="K35" s="448"/>
      <c r="L35" s="448"/>
      <c r="M35" s="448"/>
      <c r="N35" s="448"/>
      <c r="O35" s="448"/>
      <c r="P35" s="448"/>
      <c r="Q35" s="448"/>
      <c r="R35" s="448"/>
      <c r="S35" s="448"/>
      <c r="T35" s="448"/>
      <c r="U35" s="448"/>
      <c r="V35" s="448"/>
      <c r="W35" s="448"/>
      <c r="X35" s="429"/>
      <c r="Y35" s="1142"/>
      <c r="Z35" s="448"/>
      <c r="AA35" s="448"/>
      <c r="AB35" s="448"/>
      <c r="AC35" s="429"/>
      <c r="AD35" s="429"/>
      <c r="AE35" s="448"/>
      <c r="AF35" s="448"/>
      <c r="AG35" s="448"/>
      <c r="AH35" s="448"/>
      <c r="AI35" s="448"/>
      <c r="AJ35" s="448"/>
      <c r="AK35" s="448"/>
      <c r="AL35" s="448"/>
      <c r="AM35" s="429">
        <f t="shared" si="0"/>
        <v>50000</v>
      </c>
      <c r="AN35" s="339"/>
      <c r="AO35" s="429">
        <f>D35+E35+F35+G35+H35+I35+J35</f>
        <v>50000</v>
      </c>
      <c r="AP35" s="339"/>
      <c r="AQ35" s="429">
        <f>K35+L35+M35+N35+O35+P35+Q35</f>
        <v>0</v>
      </c>
      <c r="AR35" s="339"/>
      <c r="AS35" s="429">
        <f>R35+S35+T35+U35+V35+W35+X35</f>
        <v>0</v>
      </c>
      <c r="AT35" s="339"/>
      <c r="AU35" s="429">
        <f>Y35+Z35+AA35+AB35+AC35+AD35+AE35</f>
        <v>0</v>
      </c>
      <c r="AV35" s="339"/>
      <c r="AW35" s="429">
        <f>AF35+AG35+AH35+AI35+AJ35+AK35+AL35</f>
        <v>0</v>
      </c>
      <c r="AX35" s="339"/>
      <c r="AY35" s="429">
        <f>AO35+AQ35+AS35+AU35+AW35</f>
        <v>50000</v>
      </c>
      <c r="BA35" s="276"/>
    </row>
    <row r="36" spans="1:53" s="279" customFormat="1" ht="18" thickTop="1" thickBot="1" x14ac:dyDescent="0.3">
      <c r="A36" s="277"/>
      <c r="B36" s="278" t="s">
        <v>24</v>
      </c>
      <c r="C36" s="278"/>
      <c r="D36" s="347">
        <f>SUM(D33:D35)</f>
        <v>181143875</v>
      </c>
      <c r="E36" s="333">
        <f>SUM(E33:E35)</f>
        <v>0</v>
      </c>
      <c r="F36" s="333">
        <f>SUM(F33:F35)</f>
        <v>138023800</v>
      </c>
      <c r="G36" s="333">
        <f>SUM(G33:G35)</f>
        <v>133087011</v>
      </c>
      <c r="H36" s="333">
        <f t="shared" ref="H36:AL36" si="13">SUM(H33:H35)</f>
        <v>181478200</v>
      </c>
      <c r="I36" s="333">
        <f t="shared" si="13"/>
        <v>745081513</v>
      </c>
      <c r="J36" s="333">
        <f t="shared" si="13"/>
        <v>0</v>
      </c>
      <c r="K36" s="333">
        <f t="shared" si="13"/>
        <v>0</v>
      </c>
      <c r="L36" s="333">
        <f>SUM(L33:L35)</f>
        <v>0</v>
      </c>
      <c r="M36" s="333">
        <f>SUM(M33:M35)</f>
        <v>0</v>
      </c>
      <c r="N36" s="333">
        <f t="shared" si="13"/>
        <v>0</v>
      </c>
      <c r="O36" s="333">
        <f t="shared" si="13"/>
        <v>0</v>
      </c>
      <c r="P36" s="333">
        <f t="shared" si="13"/>
        <v>0</v>
      </c>
      <c r="Q36" s="333">
        <f t="shared" si="13"/>
        <v>0</v>
      </c>
      <c r="R36" s="333">
        <f t="shared" si="13"/>
        <v>0</v>
      </c>
      <c r="S36" s="333">
        <f t="shared" si="13"/>
        <v>0</v>
      </c>
      <c r="T36" s="333">
        <f t="shared" si="13"/>
        <v>0</v>
      </c>
      <c r="U36" s="333">
        <f t="shared" si="13"/>
        <v>0</v>
      </c>
      <c r="V36" s="333">
        <f t="shared" si="13"/>
        <v>0</v>
      </c>
      <c r="W36" s="333">
        <f t="shared" si="13"/>
        <v>0</v>
      </c>
      <c r="X36" s="333">
        <f t="shared" si="13"/>
        <v>0</v>
      </c>
      <c r="Y36" s="333">
        <f t="shared" si="13"/>
        <v>0</v>
      </c>
      <c r="Z36" s="347">
        <f t="shared" si="13"/>
        <v>0</v>
      </c>
      <c r="AA36" s="347">
        <f t="shared" si="13"/>
        <v>0</v>
      </c>
      <c r="AB36" s="347">
        <f t="shared" si="13"/>
        <v>0</v>
      </c>
      <c r="AC36" s="347">
        <f t="shared" si="13"/>
        <v>0</v>
      </c>
      <c r="AD36" s="347">
        <f t="shared" si="13"/>
        <v>0</v>
      </c>
      <c r="AE36" s="347">
        <f t="shared" si="13"/>
        <v>0</v>
      </c>
      <c r="AF36" s="347">
        <f t="shared" si="13"/>
        <v>0</v>
      </c>
      <c r="AG36" s="347">
        <f t="shared" si="13"/>
        <v>0</v>
      </c>
      <c r="AH36" s="347">
        <f t="shared" si="13"/>
        <v>0</v>
      </c>
      <c r="AI36" s="347">
        <f t="shared" si="13"/>
        <v>0</v>
      </c>
      <c r="AJ36" s="347">
        <f t="shared" si="13"/>
        <v>0</v>
      </c>
      <c r="AK36" s="347">
        <f t="shared" si="13"/>
        <v>0</v>
      </c>
      <c r="AL36" s="347">
        <f t="shared" si="13"/>
        <v>0</v>
      </c>
      <c r="AM36" s="321">
        <f t="shared" si="0"/>
        <v>1378814399</v>
      </c>
      <c r="AN36" s="341"/>
      <c r="AO36" s="321">
        <f t="shared" ref="AO36:AW36" si="14">SUM(AO33:AO35)</f>
        <v>1378814399</v>
      </c>
      <c r="AP36" s="321">
        <f t="shared" si="14"/>
        <v>0</v>
      </c>
      <c r="AQ36" s="321">
        <f t="shared" si="14"/>
        <v>0</v>
      </c>
      <c r="AR36" s="321">
        <f t="shared" si="14"/>
        <v>0</v>
      </c>
      <c r="AS36" s="321">
        <f t="shared" si="14"/>
        <v>0</v>
      </c>
      <c r="AT36" s="321">
        <f t="shared" si="14"/>
        <v>0</v>
      </c>
      <c r="AU36" s="321">
        <f t="shared" si="14"/>
        <v>0</v>
      </c>
      <c r="AV36" s="321">
        <f t="shared" si="14"/>
        <v>0</v>
      </c>
      <c r="AW36" s="321">
        <f t="shared" si="14"/>
        <v>0</v>
      </c>
      <c r="AX36" s="328"/>
      <c r="AY36" s="342">
        <f>SUM(AY33:AY35)</f>
        <v>1378814399</v>
      </c>
      <c r="BA36" s="276"/>
    </row>
    <row r="37" spans="1:53" ht="17.25" thickTop="1" x14ac:dyDescent="0.25">
      <c r="A37" s="1448" t="s">
        <v>79</v>
      </c>
      <c r="B37" s="1140" t="s">
        <v>165</v>
      </c>
      <c r="C37" s="280"/>
      <c r="D37" s="448">
        <v>189357000</v>
      </c>
      <c r="E37" s="448"/>
      <c r="F37" s="448">
        <v>55751300</v>
      </c>
      <c r="G37" s="448">
        <v>58342400</v>
      </c>
      <c r="H37" s="448">
        <v>125216400</v>
      </c>
      <c r="I37" s="448">
        <v>126587000</v>
      </c>
      <c r="K37" s="448"/>
      <c r="L37" s="448"/>
      <c r="M37" s="448"/>
      <c r="N37" s="448"/>
      <c r="O37" s="448"/>
      <c r="Q37" s="448"/>
      <c r="R37" s="915"/>
      <c r="S37" s="915"/>
      <c r="T37" s="915"/>
      <c r="U37" s="915"/>
      <c r="V37" s="448"/>
      <c r="W37" s="429"/>
      <c r="X37" s="448"/>
      <c r="Y37" s="915"/>
      <c r="Z37" s="915"/>
      <c r="AA37" s="915"/>
      <c r="AB37" s="915"/>
      <c r="AC37" s="429"/>
      <c r="AE37" s="448"/>
      <c r="AF37" s="448"/>
      <c r="AG37" s="448"/>
      <c r="AH37" s="448"/>
      <c r="AI37" s="448"/>
      <c r="AJ37" s="448"/>
      <c r="AK37" s="448"/>
      <c r="AL37" s="448"/>
      <c r="AM37" s="429">
        <f t="shared" si="0"/>
        <v>555254100</v>
      </c>
      <c r="AN37" s="339"/>
      <c r="AO37" s="320">
        <f>D37+E37+F37+G37+H37+I37+J37</f>
        <v>555254100</v>
      </c>
      <c r="AP37" s="339"/>
      <c r="AQ37" s="429">
        <f>K37+L37+M37+N37+O37+P37+Q37</f>
        <v>0</v>
      </c>
      <c r="AR37" s="339"/>
      <c r="AS37" s="429">
        <f>R37+S37+T37+U37+V37+W37+X37</f>
        <v>0</v>
      </c>
      <c r="AT37" s="339"/>
      <c r="AU37" s="429">
        <f>Y37+Z37+AA37+AB37+AC37+AD37+AE37</f>
        <v>0</v>
      </c>
      <c r="AV37" s="339"/>
      <c r="AW37" s="429">
        <f>AF37+AG37+AH37+AI37+AJ37+AK37+AL37</f>
        <v>0</v>
      </c>
      <c r="AX37" s="339"/>
      <c r="AY37" s="429">
        <f>AO37+AQ37+AS37+AU37+AW37</f>
        <v>555254100</v>
      </c>
      <c r="BA37" s="276"/>
    </row>
    <row r="38" spans="1:53" x14ac:dyDescent="0.25">
      <c r="A38" s="1448"/>
      <c r="B38" s="1140" t="s">
        <v>4305</v>
      </c>
      <c r="C38" s="1140"/>
      <c r="D38" s="448">
        <v>140054300</v>
      </c>
      <c r="E38" s="448"/>
      <c r="F38" s="1141"/>
      <c r="G38" s="1141">
        <v>36619200</v>
      </c>
      <c r="H38" s="448">
        <v>8754502</v>
      </c>
      <c r="I38" s="448"/>
      <c r="J38" s="1141"/>
      <c r="K38" s="448"/>
      <c r="L38" s="448"/>
      <c r="M38" s="448"/>
      <c r="N38" s="448"/>
      <c r="O38" s="448"/>
      <c r="P38" s="1141"/>
      <c r="Q38" s="448"/>
      <c r="R38" s="915"/>
      <c r="S38" s="915"/>
      <c r="T38" s="915"/>
      <c r="U38" s="915"/>
      <c r="V38" s="448"/>
      <c r="W38" s="429"/>
      <c r="X38" s="448"/>
      <c r="Y38" s="915"/>
      <c r="Z38" s="915"/>
      <c r="AA38" s="915"/>
      <c r="AB38" s="915"/>
      <c r="AC38" s="429"/>
      <c r="AD38" s="733"/>
      <c r="AE38" s="448"/>
      <c r="AF38" s="448"/>
      <c r="AG38" s="448"/>
      <c r="AH38" s="448"/>
      <c r="AI38" s="448"/>
      <c r="AJ38" s="448"/>
      <c r="AK38" s="448"/>
      <c r="AL38" s="448"/>
      <c r="AM38" s="429">
        <f t="shared" si="0"/>
        <v>185428002</v>
      </c>
      <c r="AN38" s="339"/>
      <c r="AO38" s="320">
        <f>D38+E38+F38+G38+H38+I38+J38</f>
        <v>185428002</v>
      </c>
      <c r="AP38" s="339"/>
      <c r="AQ38" s="429">
        <f>K38+L38+M38+N38+O38+P38+Q38</f>
        <v>0</v>
      </c>
      <c r="AR38" s="339"/>
      <c r="AS38" s="429">
        <f>R38+S38+T38+U38+V38+W38+X38</f>
        <v>0</v>
      </c>
      <c r="AT38" s="339"/>
      <c r="AU38" s="429">
        <f>Y38+Z38+AA38+AB38+AC38+AD38+AE38</f>
        <v>0</v>
      </c>
      <c r="AV38" s="339"/>
      <c r="AW38" s="429">
        <f>AF38+AG38+AH38+AI38+AJ38+AK38+AL38</f>
        <v>0</v>
      </c>
      <c r="AX38" s="339"/>
      <c r="AY38" s="429">
        <f>AO38+AQ38+AS38+AU38+AW38</f>
        <v>185428002</v>
      </c>
      <c r="BA38" s="276"/>
    </row>
    <row r="39" spans="1:53" ht="17.25" thickBot="1" x14ac:dyDescent="0.3">
      <c r="A39" s="1448"/>
      <c r="B39" s="1140" t="s">
        <v>4306</v>
      </c>
      <c r="C39" s="1140"/>
      <c r="D39" s="448"/>
      <c r="E39" s="448"/>
      <c r="F39" s="450"/>
      <c r="H39" s="448"/>
      <c r="I39" s="448"/>
      <c r="J39" s="448"/>
      <c r="K39" s="448"/>
      <c r="L39" s="448"/>
      <c r="M39" s="448"/>
      <c r="N39" s="448"/>
      <c r="O39" s="448"/>
      <c r="P39" s="448"/>
      <c r="Q39" s="915"/>
      <c r="R39" s="724"/>
      <c r="S39" s="915"/>
      <c r="T39" s="1142"/>
      <c r="U39" s="915"/>
      <c r="V39" s="448"/>
      <c r="W39" s="429"/>
      <c r="X39" s="448"/>
      <c r="Y39" s="915"/>
      <c r="Z39" s="448"/>
      <c r="AA39" s="448"/>
      <c r="AB39" s="448"/>
      <c r="AC39" s="429"/>
      <c r="AE39" s="448"/>
      <c r="AF39" s="448"/>
      <c r="AG39" s="448"/>
      <c r="AH39" s="448"/>
      <c r="AI39" s="448"/>
      <c r="AJ39" s="448"/>
      <c r="AK39" s="448"/>
      <c r="AL39" s="448"/>
      <c r="AM39" s="429">
        <f t="shared" si="0"/>
        <v>0</v>
      </c>
      <c r="AN39" s="339"/>
      <c r="AO39" s="320">
        <f>D39+E39+F39+G39+H39+I39+J39</f>
        <v>0</v>
      </c>
      <c r="AP39" s="339"/>
      <c r="AQ39" s="429">
        <f>K39+L39+M39+N39+O39+P39+Q39</f>
        <v>0</v>
      </c>
      <c r="AR39" s="339"/>
      <c r="AS39" s="429">
        <f>R39+S39+T39+U39+V39+W39+X39</f>
        <v>0</v>
      </c>
      <c r="AT39" s="339"/>
      <c r="AU39" s="429">
        <f>Y39+Z39+AA39+AB39+AC39+AD39+AE39</f>
        <v>0</v>
      </c>
      <c r="AV39" s="339"/>
      <c r="AW39" s="429">
        <f>AF39+AG39+AH39+AI39+AJ39+AK39+AL39</f>
        <v>0</v>
      </c>
      <c r="AX39" s="339"/>
      <c r="AY39" s="429">
        <f>AO39+AQ39+AS39+AU39+AW39</f>
        <v>0</v>
      </c>
      <c r="BA39" s="276"/>
    </row>
    <row r="40" spans="1:53" s="279" customFormat="1" ht="18" thickTop="1" thickBot="1" x14ac:dyDescent="0.3">
      <c r="A40" s="277"/>
      <c r="B40" s="278" t="s">
        <v>24</v>
      </c>
      <c r="C40" s="278"/>
      <c r="D40" s="333">
        <f>SUM(D37:D39)</f>
        <v>329411300</v>
      </c>
      <c r="E40" s="333">
        <f>SUM(E37:E39)</f>
        <v>0</v>
      </c>
      <c r="F40" s="333">
        <f>SUM(F37:F39)</f>
        <v>55751300</v>
      </c>
      <c r="G40" s="333">
        <f>SUM(G37:G39)</f>
        <v>94961600</v>
      </c>
      <c r="H40" s="333">
        <f t="shared" ref="H40:AL40" si="15">SUM(H37:H39)</f>
        <v>133970902</v>
      </c>
      <c r="I40" s="333">
        <f t="shared" si="15"/>
        <v>126587000</v>
      </c>
      <c r="J40" s="333">
        <f t="shared" si="15"/>
        <v>0</v>
      </c>
      <c r="K40" s="333">
        <f t="shared" si="15"/>
        <v>0</v>
      </c>
      <c r="L40" s="333">
        <f>SUM(L37:L39)</f>
        <v>0</v>
      </c>
      <c r="M40" s="333">
        <f>SUM(M37:M39)</f>
        <v>0</v>
      </c>
      <c r="N40" s="333">
        <f t="shared" si="15"/>
        <v>0</v>
      </c>
      <c r="O40" s="333">
        <f t="shared" si="15"/>
        <v>0</v>
      </c>
      <c r="P40" s="333">
        <f>SUM(P37:P39)</f>
        <v>0</v>
      </c>
      <c r="Q40" s="333">
        <f>SUM(Q37:Q39)</f>
        <v>0</v>
      </c>
      <c r="R40" s="333">
        <f t="shared" si="15"/>
        <v>0</v>
      </c>
      <c r="S40" s="333">
        <f t="shared" si="15"/>
        <v>0</v>
      </c>
      <c r="T40" s="333">
        <f t="shared" si="15"/>
        <v>0</v>
      </c>
      <c r="U40" s="333">
        <f t="shared" si="15"/>
        <v>0</v>
      </c>
      <c r="V40" s="333">
        <f t="shared" si="15"/>
        <v>0</v>
      </c>
      <c r="W40" s="333">
        <f t="shared" si="15"/>
        <v>0</v>
      </c>
      <c r="X40" s="333">
        <f t="shared" si="15"/>
        <v>0</v>
      </c>
      <c r="Y40" s="333">
        <f t="shared" si="15"/>
        <v>0</v>
      </c>
      <c r="Z40" s="333">
        <f t="shared" si="15"/>
        <v>0</v>
      </c>
      <c r="AA40" s="333">
        <f t="shared" si="15"/>
        <v>0</v>
      </c>
      <c r="AB40" s="333">
        <f t="shared" si="15"/>
        <v>0</v>
      </c>
      <c r="AC40" s="333">
        <f t="shared" si="15"/>
        <v>0</v>
      </c>
      <c r="AD40" s="333">
        <f t="shared" si="15"/>
        <v>0</v>
      </c>
      <c r="AE40" s="333">
        <f t="shared" si="15"/>
        <v>0</v>
      </c>
      <c r="AF40" s="333">
        <f t="shared" si="15"/>
        <v>0</v>
      </c>
      <c r="AG40" s="333">
        <f t="shared" si="15"/>
        <v>0</v>
      </c>
      <c r="AH40" s="333">
        <f t="shared" si="15"/>
        <v>0</v>
      </c>
      <c r="AI40" s="333">
        <f t="shared" si="15"/>
        <v>0</v>
      </c>
      <c r="AJ40" s="333">
        <f t="shared" si="15"/>
        <v>0</v>
      </c>
      <c r="AK40" s="333">
        <f t="shared" si="15"/>
        <v>0</v>
      </c>
      <c r="AL40" s="333">
        <f t="shared" si="15"/>
        <v>0</v>
      </c>
      <c r="AM40" s="321">
        <f t="shared" si="0"/>
        <v>740682102</v>
      </c>
      <c r="AN40" s="341"/>
      <c r="AO40" s="321">
        <f t="shared" ref="AO40:AW40" si="16">SUM(AO37:AO39)</f>
        <v>740682102</v>
      </c>
      <c r="AP40" s="321">
        <f t="shared" si="16"/>
        <v>0</v>
      </c>
      <c r="AQ40" s="321">
        <f t="shared" si="16"/>
        <v>0</v>
      </c>
      <c r="AR40" s="321">
        <f t="shared" si="16"/>
        <v>0</v>
      </c>
      <c r="AS40" s="321">
        <f t="shared" si="16"/>
        <v>0</v>
      </c>
      <c r="AT40" s="321">
        <f t="shared" si="16"/>
        <v>0</v>
      </c>
      <c r="AU40" s="321">
        <f t="shared" si="16"/>
        <v>0</v>
      </c>
      <c r="AV40" s="321">
        <f t="shared" si="16"/>
        <v>0</v>
      </c>
      <c r="AW40" s="321">
        <f t="shared" si="16"/>
        <v>0</v>
      </c>
      <c r="AX40" s="328"/>
      <c r="AY40" s="342">
        <f>SUM(AY37:AY39)</f>
        <v>740682102</v>
      </c>
      <c r="BA40" s="276"/>
    </row>
    <row r="41" spans="1:53" ht="17.25" thickTop="1" x14ac:dyDescent="0.25">
      <c r="A41" s="1449" t="s">
        <v>89</v>
      </c>
      <c r="B41" s="1140" t="s">
        <v>165</v>
      </c>
      <c r="C41" s="280"/>
      <c r="D41" s="448">
        <v>208303000</v>
      </c>
      <c r="E41" s="448"/>
      <c r="F41" s="334">
        <v>148675500</v>
      </c>
      <c r="G41" s="448">
        <v>147610000</v>
      </c>
      <c r="H41" s="448">
        <v>181627300</v>
      </c>
      <c r="I41" s="448">
        <v>188346400</v>
      </c>
      <c r="L41" s="448"/>
      <c r="M41" s="448"/>
      <c r="N41" s="448"/>
      <c r="O41" s="448"/>
      <c r="P41" s="1141"/>
      <c r="Q41" s="448"/>
      <c r="R41" s="915"/>
      <c r="S41" s="915"/>
      <c r="T41" s="1142"/>
      <c r="U41" s="915"/>
      <c r="V41" s="448"/>
      <c r="W41" s="429"/>
      <c r="X41" s="448"/>
      <c r="Y41" s="1142"/>
      <c r="Z41" s="1142"/>
      <c r="AA41" s="1142"/>
      <c r="AB41" s="1142"/>
      <c r="AC41" s="429"/>
      <c r="AE41" s="448"/>
      <c r="AF41" s="448"/>
      <c r="AG41" s="448"/>
      <c r="AH41" s="448"/>
      <c r="AI41" s="448"/>
      <c r="AJ41" s="448"/>
      <c r="AK41" s="448"/>
      <c r="AL41" s="448"/>
      <c r="AM41" s="429">
        <f t="shared" ref="AM41:AM63" si="17">SUM(D41:AL41)</f>
        <v>874562200</v>
      </c>
      <c r="AN41" s="339"/>
      <c r="AO41" s="320">
        <f>D41+E41+F41+G41+H41+I41+J41</f>
        <v>874562200</v>
      </c>
      <c r="AP41" s="339"/>
      <c r="AQ41" s="429">
        <f>K41+L41+M41+N41+O41+P41+Q41</f>
        <v>0</v>
      </c>
      <c r="AR41" s="339"/>
      <c r="AS41" s="429">
        <f>R41+S41+T41+U41+V41+W41+X41</f>
        <v>0</v>
      </c>
      <c r="AT41" s="339"/>
      <c r="AU41" s="429">
        <f>Y41+Z41+AA41+AB41+AC41+AD41+AE41</f>
        <v>0</v>
      </c>
      <c r="AV41" s="339"/>
      <c r="AW41" s="429">
        <f>AF41+AG41+AH41+AI41+AJ41+AK41+AL41</f>
        <v>0</v>
      </c>
      <c r="AX41" s="339"/>
      <c r="AY41" s="429">
        <f>AO41+AQ41+AS41+AU41+AW41</f>
        <v>874562200</v>
      </c>
      <c r="BA41" s="276"/>
    </row>
    <row r="42" spans="1:53" x14ac:dyDescent="0.25">
      <c r="A42" s="1449"/>
      <c r="B42" s="1140" t="s">
        <v>4305</v>
      </c>
      <c r="C42" s="1140"/>
      <c r="D42" s="448"/>
      <c r="E42" s="448"/>
      <c r="F42" s="448">
        <v>122533924</v>
      </c>
      <c r="G42" s="448">
        <v>21672726</v>
      </c>
      <c r="H42" s="448">
        <v>60798023</v>
      </c>
      <c r="I42" s="448">
        <v>61894246</v>
      </c>
      <c r="J42" s="448"/>
      <c r="K42" s="429"/>
      <c r="L42" s="448"/>
      <c r="M42" s="448"/>
      <c r="N42" s="448"/>
      <c r="O42" s="448"/>
      <c r="P42" s="448"/>
      <c r="Q42" s="448"/>
      <c r="R42" s="915"/>
      <c r="S42" s="915"/>
      <c r="T42" s="1142"/>
      <c r="U42" s="915"/>
      <c r="V42" s="1142"/>
      <c r="W42" s="429"/>
      <c r="X42" s="448"/>
      <c r="Y42" s="1142"/>
      <c r="Z42" s="1142"/>
      <c r="AA42" s="448"/>
      <c r="AB42" s="448"/>
      <c r="AC42" s="429"/>
      <c r="AD42" s="733"/>
      <c r="AE42" s="448"/>
      <c r="AF42" s="733"/>
      <c r="AG42" s="448"/>
      <c r="AH42" s="448"/>
      <c r="AI42" s="448"/>
      <c r="AJ42" s="448"/>
      <c r="AK42" s="448"/>
      <c r="AL42" s="448"/>
      <c r="AM42" s="429">
        <f t="shared" si="17"/>
        <v>266898919</v>
      </c>
      <c r="AN42" s="339"/>
      <c r="AO42" s="320">
        <f>D42+E42+F42+G42+H42+I42+J42</f>
        <v>266898919</v>
      </c>
      <c r="AP42" s="339"/>
      <c r="AQ42" s="429">
        <f>K42+L42+M42+N42+O42+P42+Q42</f>
        <v>0</v>
      </c>
      <c r="AR42" s="339"/>
      <c r="AS42" s="429">
        <f>R42+S42+T42+U42+V42+W42+X42</f>
        <v>0</v>
      </c>
      <c r="AT42" s="339"/>
      <c r="AU42" s="429">
        <f>Y42+Z42+AA42+AB42+AC42+AD42+AE42</f>
        <v>0</v>
      </c>
      <c r="AV42" s="339"/>
      <c r="AW42" s="429">
        <f>AF42+AG42+AH42+AI42+AJ42+AK42+AL42</f>
        <v>0</v>
      </c>
      <c r="AX42" s="339"/>
      <c r="AY42" s="429">
        <f>AO42+AQ42+AS42+AU42+AW42</f>
        <v>266898919</v>
      </c>
      <c r="BA42" s="276"/>
    </row>
    <row r="43" spans="1:53" ht="17.25" thickBot="1" x14ac:dyDescent="0.3">
      <c r="A43" s="1449"/>
      <c r="B43" s="1140" t="s">
        <v>4306</v>
      </c>
      <c r="C43" s="1140"/>
      <c r="D43" s="448"/>
      <c r="E43" s="448"/>
      <c r="F43" s="450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915"/>
      <c r="S43" s="915"/>
      <c r="T43" s="448"/>
      <c r="U43" s="915"/>
      <c r="V43" s="448"/>
      <c r="W43" s="429"/>
      <c r="X43" s="448"/>
      <c r="Y43" s="1142"/>
      <c r="Z43" s="448"/>
      <c r="AA43" s="1142"/>
      <c r="AB43" s="448"/>
      <c r="AC43" s="429"/>
      <c r="AE43" s="448"/>
      <c r="AF43" s="448"/>
      <c r="AG43" s="448"/>
      <c r="AH43" s="448"/>
      <c r="AI43" s="448"/>
      <c r="AJ43" s="448"/>
      <c r="AK43" s="448"/>
      <c r="AL43" s="448"/>
      <c r="AM43" s="429">
        <f t="shared" si="17"/>
        <v>0</v>
      </c>
      <c r="AN43" s="339"/>
      <c r="AO43" s="320">
        <f>D43+E43+F43+G43+H43+I43+J43</f>
        <v>0</v>
      </c>
      <c r="AP43" s="339"/>
      <c r="AQ43" s="429">
        <f>K43+L43+M43+N43+O43+P43+Q43</f>
        <v>0</v>
      </c>
      <c r="AR43" s="339"/>
      <c r="AS43" s="429">
        <f>R43+S43+T43+U43+V43+W43+X43</f>
        <v>0</v>
      </c>
      <c r="AT43" s="339"/>
      <c r="AU43" s="429">
        <f>Y43+Z43+AA43+AB43+AC43+AD43+AE43</f>
        <v>0</v>
      </c>
      <c r="AV43" s="339"/>
      <c r="AW43" s="429">
        <f>AF43+AG43+AH43+AI43+AJ43+AK43+AL43</f>
        <v>0</v>
      </c>
      <c r="AX43" s="339"/>
      <c r="AY43" s="429">
        <f>AO43+AQ43+AS43+AU43+AW43</f>
        <v>0</v>
      </c>
      <c r="BA43" s="276"/>
    </row>
    <row r="44" spans="1:53" s="279" customFormat="1" ht="18" thickTop="1" thickBot="1" x14ac:dyDescent="0.3">
      <c r="A44" s="277"/>
      <c r="B44" s="278" t="s">
        <v>24</v>
      </c>
      <c r="C44" s="278"/>
      <c r="D44" s="333">
        <f>SUM(D41:D43)</f>
        <v>208303000</v>
      </c>
      <c r="E44" s="333">
        <f>SUM(E41:E43)</f>
        <v>0</v>
      </c>
      <c r="F44" s="333">
        <f>SUM(F41:F43)</f>
        <v>271209424</v>
      </c>
      <c r="G44" s="333">
        <f>SUM(G41:G43)</f>
        <v>169282726</v>
      </c>
      <c r="H44" s="333">
        <f t="shared" ref="H44:AL44" si="18">SUM(H41:H43)</f>
        <v>242425323</v>
      </c>
      <c r="I44" s="333">
        <f t="shared" si="18"/>
        <v>250240646</v>
      </c>
      <c r="J44" s="333">
        <f t="shared" si="18"/>
        <v>0</v>
      </c>
      <c r="K44" s="333">
        <f>SUM(K41:K43)</f>
        <v>0</v>
      </c>
      <c r="L44" s="333">
        <f t="shared" si="18"/>
        <v>0</v>
      </c>
      <c r="M44" s="333">
        <f>SUM(M41:M43)</f>
        <v>0</v>
      </c>
      <c r="N44" s="333">
        <f t="shared" si="18"/>
        <v>0</v>
      </c>
      <c r="O44" s="333">
        <f t="shared" si="18"/>
        <v>0</v>
      </c>
      <c r="P44" s="333">
        <f t="shared" si="18"/>
        <v>0</v>
      </c>
      <c r="Q44" s="333">
        <f t="shared" si="18"/>
        <v>0</v>
      </c>
      <c r="R44" s="333">
        <f t="shared" si="18"/>
        <v>0</v>
      </c>
      <c r="S44" s="333">
        <f t="shared" si="18"/>
        <v>0</v>
      </c>
      <c r="T44" s="333">
        <f t="shared" si="18"/>
        <v>0</v>
      </c>
      <c r="U44" s="333">
        <f t="shared" si="18"/>
        <v>0</v>
      </c>
      <c r="V44" s="333">
        <f t="shared" si="18"/>
        <v>0</v>
      </c>
      <c r="W44" s="333">
        <f t="shared" si="18"/>
        <v>0</v>
      </c>
      <c r="X44" s="333">
        <f t="shared" si="18"/>
        <v>0</v>
      </c>
      <c r="Y44" s="333">
        <f t="shared" si="18"/>
        <v>0</v>
      </c>
      <c r="Z44" s="333">
        <f t="shared" si="18"/>
        <v>0</v>
      </c>
      <c r="AA44" s="333">
        <f t="shared" si="18"/>
        <v>0</v>
      </c>
      <c r="AB44" s="333">
        <f t="shared" si="18"/>
        <v>0</v>
      </c>
      <c r="AC44" s="333">
        <f>SUM(AC41:AC43)</f>
        <v>0</v>
      </c>
      <c r="AD44" s="333">
        <f t="shared" si="18"/>
        <v>0</v>
      </c>
      <c r="AE44" s="333">
        <f t="shared" si="18"/>
        <v>0</v>
      </c>
      <c r="AF44" s="333">
        <f t="shared" si="18"/>
        <v>0</v>
      </c>
      <c r="AG44" s="333">
        <f t="shared" si="18"/>
        <v>0</v>
      </c>
      <c r="AH44" s="333">
        <f t="shared" si="18"/>
        <v>0</v>
      </c>
      <c r="AI44" s="333">
        <f t="shared" si="18"/>
        <v>0</v>
      </c>
      <c r="AJ44" s="333">
        <f t="shared" si="18"/>
        <v>0</v>
      </c>
      <c r="AK44" s="333">
        <f t="shared" si="18"/>
        <v>0</v>
      </c>
      <c r="AL44" s="333">
        <f t="shared" si="18"/>
        <v>0</v>
      </c>
      <c r="AM44" s="321">
        <f t="shared" si="17"/>
        <v>1141461119</v>
      </c>
      <c r="AN44" s="341"/>
      <c r="AO44" s="321">
        <f t="shared" ref="AO44:AW44" si="19">SUM(AO41:AO43)</f>
        <v>1141461119</v>
      </c>
      <c r="AP44" s="321">
        <f t="shared" si="19"/>
        <v>0</v>
      </c>
      <c r="AQ44" s="321">
        <f t="shared" si="19"/>
        <v>0</v>
      </c>
      <c r="AR44" s="321">
        <f t="shared" si="19"/>
        <v>0</v>
      </c>
      <c r="AS44" s="321">
        <f t="shared" si="19"/>
        <v>0</v>
      </c>
      <c r="AT44" s="321">
        <f t="shared" si="19"/>
        <v>0</v>
      </c>
      <c r="AU44" s="321">
        <f t="shared" si="19"/>
        <v>0</v>
      </c>
      <c r="AV44" s="321">
        <f t="shared" si="19"/>
        <v>0</v>
      </c>
      <c r="AW44" s="321">
        <f t="shared" si="19"/>
        <v>0</v>
      </c>
      <c r="AX44" s="328"/>
      <c r="AY44" s="342">
        <f>SUM(AY41:AY43)</f>
        <v>1141461119</v>
      </c>
      <c r="BA44" s="276"/>
    </row>
    <row r="45" spans="1:53" ht="17.25" thickTop="1" x14ac:dyDescent="0.25">
      <c r="A45" s="1450" t="s">
        <v>81</v>
      </c>
      <c r="B45" s="1140" t="s">
        <v>165</v>
      </c>
      <c r="C45" s="280"/>
      <c r="D45" s="448">
        <v>189829800</v>
      </c>
      <c r="E45" s="448"/>
      <c r="F45" s="448">
        <v>108807600</v>
      </c>
      <c r="G45" s="448">
        <v>123280900</v>
      </c>
      <c r="H45" s="448">
        <v>87711100</v>
      </c>
      <c r="I45" s="448">
        <v>145005900</v>
      </c>
      <c r="K45" s="1141"/>
      <c r="L45" s="448"/>
      <c r="M45" s="448"/>
      <c r="N45" s="448"/>
      <c r="O45" s="448"/>
      <c r="Q45" s="448"/>
      <c r="R45" s="915"/>
      <c r="S45" s="915"/>
      <c r="T45" s="915"/>
      <c r="U45" s="915"/>
      <c r="V45" s="448"/>
      <c r="W45" s="448"/>
      <c r="X45" s="448"/>
      <c r="Y45" s="1142"/>
      <c r="Z45" s="1142"/>
      <c r="AA45" s="1142"/>
      <c r="AB45" s="1142"/>
      <c r="AC45" s="1142"/>
      <c r="AE45" s="448"/>
      <c r="AF45" s="448"/>
      <c r="AG45" s="448"/>
      <c r="AH45" s="448"/>
      <c r="AI45" s="1143"/>
      <c r="AJ45" s="448"/>
      <c r="AK45" s="448"/>
      <c r="AL45" s="448"/>
      <c r="AM45" s="429">
        <f t="shared" si="17"/>
        <v>654635300</v>
      </c>
      <c r="AN45" s="339"/>
      <c r="AO45" s="320">
        <f>D45+E45+F45+G45+H45+I45+J45</f>
        <v>654635300</v>
      </c>
      <c r="AP45" s="339"/>
      <c r="AQ45" s="429">
        <f>K45+L45+M45+N45+O45+P45+Q45</f>
        <v>0</v>
      </c>
      <c r="AR45" s="339"/>
      <c r="AS45" s="429">
        <f>R45+S45+T45+U45+V45+W45+X45</f>
        <v>0</v>
      </c>
      <c r="AT45" s="339"/>
      <c r="AU45" s="429">
        <f>Y45+Z45+AA45+AB45+AC45+AD45+AE45</f>
        <v>0</v>
      </c>
      <c r="AV45" s="339"/>
      <c r="AW45" s="429">
        <f>AF45+AG45+AH45+AI45+AJ45+AK45+AL45</f>
        <v>0</v>
      </c>
      <c r="AX45" s="339"/>
      <c r="AY45" s="429">
        <f>AO45+AQ45+AS45+AU45+AW45</f>
        <v>654635300</v>
      </c>
      <c r="BA45" s="276"/>
    </row>
    <row r="46" spans="1:53" x14ac:dyDescent="0.25">
      <c r="A46" s="1450"/>
      <c r="B46" s="1140" t="s">
        <v>4305</v>
      </c>
      <c r="C46" s="1140"/>
      <c r="D46" s="954">
        <v>231750543.30000001</v>
      </c>
      <c r="E46" s="1143"/>
      <c r="F46" s="1143"/>
      <c r="G46" s="448">
        <v>222278871</v>
      </c>
      <c r="H46" s="448">
        <v>35485133</v>
      </c>
      <c r="I46" s="448">
        <v>5200000</v>
      </c>
      <c r="J46" s="1141"/>
      <c r="K46" s="448"/>
      <c r="L46" s="448"/>
      <c r="M46" s="448"/>
      <c r="N46" s="448"/>
      <c r="O46" s="448"/>
      <c r="P46" s="1141"/>
      <c r="Q46" s="448"/>
      <c r="R46" s="915"/>
      <c r="S46" s="915"/>
      <c r="T46" s="915"/>
      <c r="U46" s="915"/>
      <c r="V46" s="1142"/>
      <c r="W46" s="448"/>
      <c r="X46" s="448"/>
      <c r="Y46" s="1142"/>
      <c r="Z46" s="1142"/>
      <c r="AA46" s="1142"/>
      <c r="AB46" s="448"/>
      <c r="AC46" s="448"/>
      <c r="AD46" s="1150"/>
      <c r="AE46" s="448"/>
      <c r="AF46" s="448"/>
      <c r="AG46" s="448"/>
      <c r="AH46" s="448"/>
      <c r="AI46" s="1143"/>
      <c r="AJ46" s="954"/>
      <c r="AK46" s="448"/>
      <c r="AL46" s="448"/>
      <c r="AM46" s="429">
        <f t="shared" si="17"/>
        <v>494714547.30000001</v>
      </c>
      <c r="AN46" s="339"/>
      <c r="AO46" s="320">
        <f>D46+E46+F46+G46+H46+I46+J46</f>
        <v>494714547.30000001</v>
      </c>
      <c r="AP46" s="339"/>
      <c r="AQ46" s="429">
        <f>K46+L46+M46+N46+O46+P46+Q46</f>
        <v>0</v>
      </c>
      <c r="AR46" s="339"/>
      <c r="AS46" s="429">
        <f>R46+S46+T46+U46+V46+W46+X46</f>
        <v>0</v>
      </c>
      <c r="AT46" s="339"/>
      <c r="AU46" s="429">
        <f>Y46+Z46+AA46+AB46+AC46+AD46+AE46</f>
        <v>0</v>
      </c>
      <c r="AV46" s="339"/>
      <c r="AW46" s="429">
        <f>AF46+AG46+AH46+AI46+AJ46+AK46+AL46</f>
        <v>0</v>
      </c>
      <c r="AX46" s="339"/>
      <c r="AY46" s="429">
        <f>AO46+AQ46+AS46+AU46+AW46</f>
        <v>494714547.30000001</v>
      </c>
      <c r="BA46" s="276"/>
    </row>
    <row r="47" spans="1:53" ht="17.25" thickBot="1" x14ac:dyDescent="0.3">
      <c r="A47" s="1450"/>
      <c r="B47" s="1140" t="s">
        <v>4306</v>
      </c>
      <c r="C47" s="1140"/>
      <c r="D47" s="448"/>
      <c r="E47" s="448"/>
      <c r="F47" s="450">
        <v>10000</v>
      </c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915"/>
      <c r="T47" s="915"/>
      <c r="U47" s="448"/>
      <c r="V47" s="1142"/>
      <c r="W47" s="448"/>
      <c r="X47" s="448"/>
      <c r="Y47" s="1142"/>
      <c r="Z47" s="1142"/>
      <c r="AA47" s="448"/>
      <c r="AB47" s="448"/>
      <c r="AC47" s="448"/>
      <c r="AE47" s="448"/>
      <c r="AF47" s="448"/>
      <c r="AG47" s="448"/>
      <c r="AH47" s="448"/>
      <c r="AI47" s="1143"/>
      <c r="AJ47" s="448"/>
      <c r="AK47" s="448"/>
      <c r="AL47" s="448"/>
      <c r="AM47" s="429">
        <f t="shared" si="17"/>
        <v>10000</v>
      </c>
      <c r="AN47" s="339"/>
      <c r="AO47" s="320">
        <f>D47+E47+F47+G47+H47+I47+J47</f>
        <v>10000</v>
      </c>
      <c r="AP47" s="339"/>
      <c r="AQ47" s="429">
        <f>K47+L47+M47+N47+O47+P47+Q47</f>
        <v>0</v>
      </c>
      <c r="AR47" s="339"/>
      <c r="AS47" s="429">
        <f>R47+S47+T47+U47+V47+W47+X47</f>
        <v>0</v>
      </c>
      <c r="AT47" s="339"/>
      <c r="AU47" s="429">
        <f>Y47+Z47+AA47+AB47+AC47+AD47+AE47</f>
        <v>0</v>
      </c>
      <c r="AV47" s="339"/>
      <c r="AW47" s="429">
        <f>AF47+AG47+AH47+AI47+AJ47+AK47+AL47</f>
        <v>0</v>
      </c>
      <c r="AX47" s="339"/>
      <c r="AY47" s="429">
        <f>AO47+AQ47+AS47+AU47+AW47</f>
        <v>10000</v>
      </c>
      <c r="BA47" s="276"/>
    </row>
    <row r="48" spans="1:53" s="279" customFormat="1" ht="18" thickTop="1" thickBot="1" x14ac:dyDescent="0.3">
      <c r="A48" s="277"/>
      <c r="B48" s="278" t="s">
        <v>24</v>
      </c>
      <c r="C48" s="278"/>
      <c r="D48" s="333">
        <f>SUM(D45:D47)</f>
        <v>421580343.30000001</v>
      </c>
      <c r="E48" s="333">
        <f>SUM(E45:E47)</f>
        <v>0</v>
      </c>
      <c r="F48" s="333">
        <f>SUM(F45:F47)</f>
        <v>108817600</v>
      </c>
      <c r="G48" s="333">
        <f>SUM(G45:G47)</f>
        <v>345559771</v>
      </c>
      <c r="H48" s="333">
        <f t="shared" ref="H48:AL48" si="20">SUM(H45:H47)</f>
        <v>123196233</v>
      </c>
      <c r="I48" s="333">
        <f t="shared" si="20"/>
        <v>150205900</v>
      </c>
      <c r="J48" s="333">
        <f t="shared" si="20"/>
        <v>0</v>
      </c>
      <c r="K48" s="333">
        <f t="shared" si="20"/>
        <v>0</v>
      </c>
      <c r="L48" s="333">
        <f>SUM(L45:L47)</f>
        <v>0</v>
      </c>
      <c r="M48" s="333">
        <f>SUM(M45:M47)</f>
        <v>0</v>
      </c>
      <c r="N48" s="333">
        <f t="shared" si="20"/>
        <v>0</v>
      </c>
      <c r="O48" s="333">
        <f t="shared" si="20"/>
        <v>0</v>
      </c>
      <c r="P48" s="333">
        <f>SUM(P45:P47)</f>
        <v>0</v>
      </c>
      <c r="Q48" s="333">
        <f t="shared" si="20"/>
        <v>0</v>
      </c>
      <c r="R48" s="333">
        <f t="shared" si="20"/>
        <v>0</v>
      </c>
      <c r="S48" s="333">
        <f t="shared" si="20"/>
        <v>0</v>
      </c>
      <c r="T48" s="333">
        <f t="shared" si="20"/>
        <v>0</v>
      </c>
      <c r="U48" s="333">
        <f t="shared" si="20"/>
        <v>0</v>
      </c>
      <c r="V48" s="333">
        <f>SUM(V45:V47)</f>
        <v>0</v>
      </c>
      <c r="W48" s="333">
        <f>SUM(W45:W47)</f>
        <v>0</v>
      </c>
      <c r="X48" s="333">
        <f>SUM(X45:X47)</f>
        <v>0</v>
      </c>
      <c r="Y48" s="333">
        <f>SUM(Y45:Y47)</f>
        <v>0</v>
      </c>
      <c r="Z48" s="333">
        <f>SUM(Z45:Z47)</f>
        <v>0</v>
      </c>
      <c r="AA48" s="333">
        <f t="shared" si="20"/>
        <v>0</v>
      </c>
      <c r="AB48" s="333">
        <f t="shared" si="20"/>
        <v>0</v>
      </c>
      <c r="AC48" s="333">
        <f t="shared" si="20"/>
        <v>0</v>
      </c>
      <c r="AD48" s="333">
        <f t="shared" si="20"/>
        <v>0</v>
      </c>
      <c r="AE48" s="333">
        <f t="shared" si="20"/>
        <v>0</v>
      </c>
      <c r="AF48" s="333">
        <f t="shared" si="20"/>
        <v>0</v>
      </c>
      <c r="AG48" s="333">
        <f t="shared" si="20"/>
        <v>0</v>
      </c>
      <c r="AH48" s="333">
        <f t="shared" si="20"/>
        <v>0</v>
      </c>
      <c r="AI48" s="333">
        <f t="shared" si="20"/>
        <v>0</v>
      </c>
      <c r="AJ48" s="333">
        <f t="shared" si="20"/>
        <v>0</v>
      </c>
      <c r="AK48" s="333">
        <f t="shared" si="20"/>
        <v>0</v>
      </c>
      <c r="AL48" s="333">
        <f t="shared" si="20"/>
        <v>0</v>
      </c>
      <c r="AM48" s="321">
        <f t="shared" si="17"/>
        <v>1149359847.3</v>
      </c>
      <c r="AN48" s="341"/>
      <c r="AO48" s="321">
        <f t="shared" ref="AO48:AW48" si="21">SUM(AO45:AO47)</f>
        <v>1149359847.3</v>
      </c>
      <c r="AP48" s="321">
        <f t="shared" si="21"/>
        <v>0</v>
      </c>
      <c r="AQ48" s="321">
        <f t="shared" si="21"/>
        <v>0</v>
      </c>
      <c r="AR48" s="321">
        <f t="shared" si="21"/>
        <v>0</v>
      </c>
      <c r="AS48" s="321">
        <f t="shared" si="21"/>
        <v>0</v>
      </c>
      <c r="AT48" s="321">
        <f t="shared" si="21"/>
        <v>0</v>
      </c>
      <c r="AU48" s="321">
        <f t="shared" si="21"/>
        <v>0</v>
      </c>
      <c r="AV48" s="321">
        <f t="shared" si="21"/>
        <v>0</v>
      </c>
      <c r="AW48" s="321">
        <f t="shared" si="21"/>
        <v>0</v>
      </c>
      <c r="AX48" s="328"/>
      <c r="AY48" s="342">
        <f>SUM(AY45:AY47)</f>
        <v>1149359847.3</v>
      </c>
      <c r="BA48" s="276"/>
    </row>
    <row r="49" spans="1:53" ht="17.25" thickTop="1" x14ac:dyDescent="0.25">
      <c r="A49" s="1446" t="s">
        <v>84</v>
      </c>
      <c r="B49" s="1140" t="s">
        <v>165</v>
      </c>
      <c r="C49" s="280"/>
      <c r="D49" s="448">
        <v>207842400</v>
      </c>
      <c r="E49" s="448"/>
      <c r="F49" s="448">
        <v>224425000</v>
      </c>
      <c r="G49" s="448">
        <v>317113000</v>
      </c>
      <c r="H49" s="448">
        <v>268718400</v>
      </c>
      <c r="I49" s="448">
        <v>336447700</v>
      </c>
      <c r="J49" s="1141"/>
      <c r="K49" s="448"/>
      <c r="L49" s="448"/>
      <c r="M49" s="448"/>
      <c r="N49" s="448"/>
      <c r="O49" s="448"/>
      <c r="P49" s="1141"/>
      <c r="Q49" s="448"/>
      <c r="R49" s="915"/>
      <c r="S49" s="915"/>
      <c r="T49" s="915"/>
      <c r="U49" s="1145"/>
      <c r="V49" s="1143"/>
      <c r="W49" s="448"/>
      <c r="X49" s="448"/>
      <c r="Y49" s="1142"/>
      <c r="Z49" s="1142"/>
      <c r="AA49" s="1142"/>
      <c r="AB49" s="1142"/>
      <c r="AC49" s="1142"/>
      <c r="AD49" s="448"/>
      <c r="AE49" s="448"/>
      <c r="AF49" s="448"/>
      <c r="AG49" s="448"/>
      <c r="AH49" s="448"/>
      <c r="AI49" s="448"/>
      <c r="AJ49" s="448"/>
      <c r="AK49" s="448"/>
      <c r="AL49" s="448"/>
      <c r="AM49" s="429">
        <f t="shared" si="17"/>
        <v>1354546500</v>
      </c>
      <c r="AN49" s="339"/>
      <c r="AO49" s="320">
        <f>D49+E49+F49+G49+H49+I49+J49</f>
        <v>1354546500</v>
      </c>
      <c r="AP49" s="339"/>
      <c r="AQ49" s="429">
        <f>K49+L49+M49+N49+O49+P49+Q49</f>
        <v>0</v>
      </c>
      <c r="AR49" s="339"/>
      <c r="AS49" s="429">
        <f>R49+S49+T49+U49+V49+W49+X49</f>
        <v>0</v>
      </c>
      <c r="AT49" s="339"/>
      <c r="AU49" s="429">
        <f>Y49+Z49+AA49+AB49+AC49+AD49+AE49</f>
        <v>0</v>
      </c>
      <c r="AV49" s="339"/>
      <c r="AW49" s="429">
        <f>AF49+AG49+AH49+AI49+AJ49+AK49+AL49</f>
        <v>0</v>
      </c>
      <c r="AX49" s="339"/>
      <c r="AY49" s="429">
        <f>AO49+AQ49+AS49+AU49+AW49</f>
        <v>1354546500</v>
      </c>
      <c r="BA49" s="276"/>
    </row>
    <row r="50" spans="1:53" x14ac:dyDescent="0.25">
      <c r="A50" s="1446"/>
      <c r="B50" s="1140" t="s">
        <v>4305</v>
      </c>
      <c r="C50" s="1140"/>
      <c r="D50" s="448"/>
      <c r="E50" s="954"/>
      <c r="F50" s="1143">
        <v>115034865</v>
      </c>
      <c r="G50" s="1143">
        <v>119764269</v>
      </c>
      <c r="H50" s="954">
        <v>1764509242.25</v>
      </c>
      <c r="I50" s="954">
        <v>310296615.11000001</v>
      </c>
      <c r="J50" s="1141"/>
      <c r="K50" s="1149"/>
      <c r="L50" s="954"/>
      <c r="M50" s="448"/>
      <c r="N50" s="448"/>
      <c r="O50" s="1143"/>
      <c r="P50" s="1141"/>
      <c r="Q50" s="448"/>
      <c r="R50" s="915"/>
      <c r="S50" s="915"/>
      <c r="T50" s="915"/>
      <c r="U50" s="1145"/>
      <c r="V50" s="1142"/>
      <c r="W50" s="448"/>
      <c r="X50" s="448"/>
      <c r="Y50" s="1151"/>
      <c r="Z50" s="1142"/>
      <c r="AA50" s="1142"/>
      <c r="AB50" s="448"/>
      <c r="AC50" s="448"/>
      <c r="AD50" s="448"/>
      <c r="AE50" s="448"/>
      <c r="AF50" s="448"/>
      <c r="AG50" s="448"/>
      <c r="AH50" s="448"/>
      <c r="AI50" s="448"/>
      <c r="AJ50" s="448"/>
      <c r="AK50" s="448"/>
      <c r="AL50" s="448"/>
      <c r="AM50" s="429">
        <f t="shared" si="17"/>
        <v>2309604991.3600001</v>
      </c>
      <c r="AN50" s="339"/>
      <c r="AO50" s="320">
        <f>D50+E50+F50+G50+H50+I50+J50</f>
        <v>2309604991.3600001</v>
      </c>
      <c r="AP50" s="339"/>
      <c r="AQ50" s="429">
        <f>K50+L50+M50+N50+O50+P50+Q50</f>
        <v>0</v>
      </c>
      <c r="AR50" s="339"/>
      <c r="AS50" s="429">
        <f>R50+S50+T50+U50+V50+W50+X50</f>
        <v>0</v>
      </c>
      <c r="AT50" s="339"/>
      <c r="AU50" s="429">
        <f>Y50+Z50+AA50+AB50+AC50+AD50+AE50</f>
        <v>0</v>
      </c>
      <c r="AV50" s="339"/>
      <c r="AW50" s="429">
        <f>AF50+AG50+AH50+AI50+AJ50+AK50+AL50</f>
        <v>0</v>
      </c>
      <c r="AX50" s="339"/>
      <c r="AY50" s="429">
        <f>AO50+AQ50+AS50+AU50+AW50</f>
        <v>2309604991.3600001</v>
      </c>
      <c r="BA50" s="276"/>
    </row>
    <row r="51" spans="1:53" ht="17.25" thickBot="1" x14ac:dyDescent="0.3">
      <c r="A51" s="1446"/>
      <c r="B51" s="1140" t="s">
        <v>4306</v>
      </c>
      <c r="C51" s="1140"/>
      <c r="D51" s="448"/>
      <c r="E51" s="448"/>
      <c r="F51" s="450"/>
      <c r="H51" s="448"/>
      <c r="I51" s="448"/>
      <c r="J51" s="448"/>
      <c r="K51" s="448"/>
      <c r="M51" s="448"/>
      <c r="N51" s="448"/>
      <c r="O51" s="448"/>
      <c r="P51" s="448"/>
      <c r="Q51" s="448"/>
      <c r="R51" s="448"/>
      <c r="S51" s="915"/>
      <c r="T51" s="915"/>
      <c r="U51" s="1145"/>
      <c r="V51" s="1142"/>
      <c r="W51" s="448"/>
      <c r="X51" s="448"/>
      <c r="Y51" s="1142"/>
      <c r="Z51" s="1142"/>
      <c r="AA51" s="448"/>
      <c r="AB51" s="448"/>
      <c r="AC51" s="734"/>
      <c r="AD51" s="448"/>
      <c r="AE51" s="448"/>
      <c r="AF51" s="448"/>
      <c r="AG51" s="448"/>
      <c r="AH51" s="448"/>
      <c r="AI51" s="448"/>
      <c r="AJ51" s="448"/>
      <c r="AK51" s="448"/>
      <c r="AL51" s="448"/>
      <c r="AM51" s="429">
        <f t="shared" si="17"/>
        <v>0</v>
      </c>
      <c r="AN51" s="339"/>
      <c r="AO51" s="320">
        <f>D51+E51+F51+G51+H51+I51+J51</f>
        <v>0</v>
      </c>
      <c r="AP51" s="339"/>
      <c r="AQ51" s="429">
        <f>K51+L51+M51+N51+O51+P51+Q51</f>
        <v>0</v>
      </c>
      <c r="AR51" s="339"/>
      <c r="AS51" s="429">
        <f>R51+S51+T51+U51+V51+W51+X51</f>
        <v>0</v>
      </c>
      <c r="AT51" s="339"/>
      <c r="AU51" s="429">
        <f>Y51+Z51+AA51+AB51+AC51+AD51+AE51</f>
        <v>0</v>
      </c>
      <c r="AV51" s="339"/>
      <c r="AW51" s="429">
        <f>AF51+AG51+AH51+AI51+AJ51+AK51+AL51</f>
        <v>0</v>
      </c>
      <c r="AX51" s="339"/>
      <c r="AY51" s="429">
        <f>AO51+AQ51+AS51+AU51+AW51</f>
        <v>0</v>
      </c>
      <c r="BA51" s="276"/>
    </row>
    <row r="52" spans="1:53" s="279" customFormat="1" ht="18" thickTop="1" thickBot="1" x14ac:dyDescent="0.3">
      <c r="A52" s="277"/>
      <c r="B52" s="278" t="s">
        <v>24</v>
      </c>
      <c r="C52" s="278"/>
      <c r="D52" s="333">
        <f>SUM(D49:D51)</f>
        <v>207842400</v>
      </c>
      <c r="E52" s="333">
        <f t="shared" ref="E52:L52" si="22">SUM(E49:E51)</f>
        <v>0</v>
      </c>
      <c r="F52" s="333">
        <f t="shared" si="22"/>
        <v>339459865</v>
      </c>
      <c r="G52" s="333">
        <f t="shared" si="22"/>
        <v>436877269</v>
      </c>
      <c r="H52" s="333">
        <f t="shared" si="22"/>
        <v>2033227642.25</v>
      </c>
      <c r="I52" s="333">
        <f t="shared" si="22"/>
        <v>646744315.11000001</v>
      </c>
      <c r="J52" s="333">
        <f t="shared" si="22"/>
        <v>0</v>
      </c>
      <c r="K52" s="333">
        <f>SUM(K49:K51)</f>
        <v>0</v>
      </c>
      <c r="L52" s="333">
        <f t="shared" si="22"/>
        <v>0</v>
      </c>
      <c r="M52" s="333">
        <f>SUM(M49:M51)</f>
        <v>0</v>
      </c>
      <c r="N52" s="333">
        <f t="shared" ref="N52:U52" si="23">SUM(N49:N51)</f>
        <v>0</v>
      </c>
      <c r="O52" s="333">
        <f t="shared" si="23"/>
        <v>0</v>
      </c>
      <c r="P52" s="333">
        <f t="shared" si="23"/>
        <v>0</v>
      </c>
      <c r="Q52" s="333">
        <f t="shared" si="23"/>
        <v>0</v>
      </c>
      <c r="R52" s="333">
        <f t="shared" si="23"/>
        <v>0</v>
      </c>
      <c r="S52" s="333">
        <f t="shared" si="23"/>
        <v>0</v>
      </c>
      <c r="T52" s="333">
        <f t="shared" si="23"/>
        <v>0</v>
      </c>
      <c r="U52" s="333">
        <f t="shared" si="23"/>
        <v>0</v>
      </c>
      <c r="V52" s="333">
        <f>SUM(V49:V51)</f>
        <v>0</v>
      </c>
      <c r="W52" s="333">
        <f t="shared" ref="W52:AL52" si="24">SUM(W49:W51)</f>
        <v>0</v>
      </c>
      <c r="X52" s="333">
        <f t="shared" si="24"/>
        <v>0</v>
      </c>
      <c r="Y52" s="333">
        <f t="shared" si="24"/>
        <v>0</v>
      </c>
      <c r="Z52" s="333">
        <f t="shared" si="24"/>
        <v>0</v>
      </c>
      <c r="AA52" s="333">
        <f t="shared" si="24"/>
        <v>0</v>
      </c>
      <c r="AB52" s="333">
        <f t="shared" si="24"/>
        <v>0</v>
      </c>
      <c r="AC52" s="735">
        <f>SUM(AC49:AC51)</f>
        <v>0</v>
      </c>
      <c r="AD52" s="333">
        <f t="shared" si="24"/>
        <v>0</v>
      </c>
      <c r="AE52" s="333">
        <f t="shared" si="24"/>
        <v>0</v>
      </c>
      <c r="AF52" s="333">
        <f t="shared" si="24"/>
        <v>0</v>
      </c>
      <c r="AG52" s="333">
        <f t="shared" si="24"/>
        <v>0</v>
      </c>
      <c r="AH52" s="333">
        <f t="shared" si="24"/>
        <v>0</v>
      </c>
      <c r="AI52" s="333">
        <f t="shared" si="24"/>
        <v>0</v>
      </c>
      <c r="AJ52" s="333">
        <f t="shared" si="24"/>
        <v>0</v>
      </c>
      <c r="AK52" s="333">
        <f t="shared" si="24"/>
        <v>0</v>
      </c>
      <c r="AL52" s="333">
        <f t="shared" si="24"/>
        <v>0</v>
      </c>
      <c r="AM52" s="321">
        <f t="shared" si="17"/>
        <v>3664151491.3600001</v>
      </c>
      <c r="AN52" s="341"/>
      <c r="AO52" s="321">
        <f t="shared" ref="AO52:AW52" si="25">SUM(AO49:AO51)</f>
        <v>3664151491.3600001</v>
      </c>
      <c r="AP52" s="321">
        <f t="shared" si="25"/>
        <v>0</v>
      </c>
      <c r="AQ52" s="321">
        <f t="shared" si="25"/>
        <v>0</v>
      </c>
      <c r="AR52" s="321">
        <f t="shared" si="25"/>
        <v>0</v>
      </c>
      <c r="AS52" s="321">
        <f t="shared" si="25"/>
        <v>0</v>
      </c>
      <c r="AT52" s="321">
        <f t="shared" si="25"/>
        <v>0</v>
      </c>
      <c r="AU52" s="321">
        <f t="shared" si="25"/>
        <v>0</v>
      </c>
      <c r="AV52" s="321">
        <f t="shared" si="25"/>
        <v>0</v>
      </c>
      <c r="AW52" s="321">
        <f t="shared" si="25"/>
        <v>0</v>
      </c>
      <c r="AX52" s="689">
        <f>SUM(AX49:AX51)</f>
        <v>0</v>
      </c>
      <c r="AY52" s="342">
        <f>SUM(AY49:AY51)</f>
        <v>3664151491.3600001</v>
      </c>
      <c r="BA52" s="276"/>
    </row>
    <row r="53" spans="1:53" ht="17.25" thickTop="1" x14ac:dyDescent="0.25">
      <c r="A53" s="1451" t="s">
        <v>4751</v>
      </c>
      <c r="B53" s="1140" t="s">
        <v>165</v>
      </c>
      <c r="C53" s="280"/>
      <c r="D53" s="448">
        <v>127433600</v>
      </c>
      <c r="E53" s="448"/>
      <c r="F53" s="1141">
        <v>160203600</v>
      </c>
      <c r="G53" s="1141">
        <v>176641500</v>
      </c>
      <c r="H53" s="1152">
        <v>240918900</v>
      </c>
      <c r="I53" s="448">
        <v>184054000</v>
      </c>
      <c r="L53" s="448"/>
      <c r="M53" s="448"/>
      <c r="N53" s="448"/>
      <c r="O53" s="448"/>
      <c r="Q53" s="448"/>
      <c r="R53" s="915"/>
      <c r="S53" s="915"/>
      <c r="T53" s="1142"/>
      <c r="U53" s="448"/>
      <c r="V53" s="1143"/>
      <c r="W53" s="448"/>
      <c r="X53" s="448"/>
      <c r="Y53" s="1148"/>
      <c r="Z53" s="448"/>
      <c r="AA53" s="1148"/>
      <c r="AB53" s="1142"/>
      <c r="AC53" s="320"/>
      <c r="AE53" s="448"/>
      <c r="AF53" s="448"/>
      <c r="AG53" s="448"/>
      <c r="AH53" s="448"/>
      <c r="AI53" s="448"/>
      <c r="AJ53" s="448"/>
      <c r="AK53" s="448"/>
      <c r="AL53" s="448"/>
      <c r="AM53" s="429">
        <f t="shared" si="17"/>
        <v>889251600</v>
      </c>
      <c r="AN53" s="339"/>
      <c r="AO53" s="320">
        <f>D53+E53+F53+G53+H53+I53+J53</f>
        <v>889251600</v>
      </c>
      <c r="AP53" s="339"/>
      <c r="AQ53" s="320">
        <f>K53+L53+M53+N53+O53+P53+Q53</f>
        <v>0</v>
      </c>
      <c r="AR53" s="339"/>
      <c r="AS53" s="429">
        <f>R53+S53+T53+U53+V53+W53+X53</f>
        <v>0</v>
      </c>
      <c r="AT53" s="339"/>
      <c r="AU53" s="429">
        <f>Y53+Z53+AA53+AB53+AC53+AD53+AE53</f>
        <v>0</v>
      </c>
      <c r="AV53" s="339"/>
      <c r="AW53" s="429">
        <f>AF53+AG53+AH53+AI53+AJ53+AK53+AL53</f>
        <v>0</v>
      </c>
      <c r="AX53" s="339"/>
      <c r="AY53" s="429">
        <f>AO53+AQ53+AS53+AU53+AW53</f>
        <v>889251600</v>
      </c>
      <c r="BA53" s="276"/>
    </row>
    <row r="54" spans="1:53" ht="15.75" customHeight="1" x14ac:dyDescent="0.25">
      <c r="A54" s="1451"/>
      <c r="B54" s="1140" t="s">
        <v>4305</v>
      </c>
      <c r="C54" s="1140"/>
      <c r="D54" s="448"/>
      <c r="E54" s="1149"/>
      <c r="F54" s="1143">
        <v>21976626</v>
      </c>
      <c r="G54" s="1143">
        <v>69378853</v>
      </c>
      <c r="H54" s="1149">
        <v>1058439708.47</v>
      </c>
      <c r="I54" s="448">
        <v>46203039</v>
      </c>
      <c r="J54" s="1141"/>
      <c r="K54" s="1149"/>
      <c r="L54" s="448"/>
      <c r="M54" s="448"/>
      <c r="N54" s="448"/>
      <c r="O54" s="448"/>
      <c r="P54" s="1141"/>
      <c r="Q54" s="448"/>
      <c r="R54" s="915">
        <v>80529444</v>
      </c>
      <c r="S54" s="1145">
        <v>57484445</v>
      </c>
      <c r="T54" s="1143">
        <v>16710401</v>
      </c>
      <c r="U54" s="1143">
        <v>49148294</v>
      </c>
      <c r="V54" s="1152">
        <v>40129182</v>
      </c>
      <c r="W54" s="448"/>
      <c r="X54" s="448"/>
      <c r="Y54" s="1149">
        <v>1118143885.9200001</v>
      </c>
      <c r="AA54" s="1148"/>
      <c r="AB54" s="1148"/>
      <c r="AC54" s="429"/>
      <c r="AD54" s="733"/>
      <c r="AE54" s="448"/>
      <c r="AF54" s="733"/>
      <c r="AG54" s="448"/>
      <c r="AH54" s="448"/>
      <c r="AI54" s="448"/>
      <c r="AJ54" s="448"/>
      <c r="AK54" s="448"/>
      <c r="AL54" s="448"/>
      <c r="AM54" s="429">
        <f t="shared" si="17"/>
        <v>2558143878.3900003</v>
      </c>
      <c r="AN54" s="339"/>
      <c r="AO54" s="320">
        <f>D54+E54+F54+G54+H54+I54+J54</f>
        <v>1195998226.47</v>
      </c>
      <c r="AP54" s="339"/>
      <c r="AQ54" s="320">
        <f>K54+L54+M54+N54+O54+P54+Q54</f>
        <v>0</v>
      </c>
      <c r="AR54" s="339"/>
      <c r="AS54" s="429">
        <f>R54+S54+T54+U54+V54+W54+X54</f>
        <v>244001766</v>
      </c>
      <c r="AT54" s="339"/>
      <c r="AU54" s="429">
        <f>Y54+Z54+AA54+AB54+AC54+AD54+AE54</f>
        <v>1118143885.9200001</v>
      </c>
      <c r="AV54" s="339"/>
      <c r="AW54" s="429">
        <f>AF54+AG54+AH54+AI54+AJ54+AK54+AL54</f>
        <v>0</v>
      </c>
      <c r="AX54" s="339"/>
      <c r="AY54" s="429">
        <f>AO54+AQ54+AS54+AU54+AW54</f>
        <v>2558143878.3900003</v>
      </c>
      <c r="BA54" s="276"/>
    </row>
    <row r="55" spans="1:53" ht="17.25" thickBot="1" x14ac:dyDescent="0.3">
      <c r="A55" s="1451"/>
      <c r="B55" s="904" t="s">
        <v>4306</v>
      </c>
      <c r="C55" s="904"/>
      <c r="D55" s="734"/>
      <c r="E55" s="734"/>
      <c r="F55" s="905"/>
      <c r="H55" s="734"/>
      <c r="I55" s="734"/>
      <c r="J55" s="734"/>
      <c r="K55" s="734"/>
      <c r="L55" s="734"/>
      <c r="M55" s="734"/>
      <c r="N55" s="734"/>
      <c r="O55" s="734"/>
      <c r="P55" s="734"/>
      <c r="Q55" s="734"/>
      <c r="R55" s="863"/>
      <c r="S55" s="863"/>
      <c r="T55" s="921"/>
      <c r="U55" s="734"/>
      <c r="V55" s="976"/>
      <c r="W55" s="734"/>
      <c r="X55" s="734"/>
      <c r="Y55" s="869"/>
      <c r="Z55" s="734"/>
      <c r="AA55" s="921"/>
      <c r="AB55" s="734"/>
      <c r="AC55" s="905"/>
      <c r="AE55" s="734"/>
      <c r="AF55" s="734"/>
      <c r="AG55" s="734"/>
      <c r="AH55" s="734"/>
      <c r="AI55" s="734"/>
      <c r="AJ55" s="734"/>
      <c r="AK55" s="734"/>
      <c r="AL55" s="734"/>
      <c r="AM55" s="429">
        <f t="shared" si="17"/>
        <v>0</v>
      </c>
      <c r="AN55" s="339"/>
      <c r="AO55" s="320">
        <f>D55+E55+F55+G55+H55+I55+J55</f>
        <v>0</v>
      </c>
      <c r="AP55" s="339"/>
      <c r="AQ55" s="320">
        <f>K55+L55+M55+N55+O55+P55+Q55</f>
        <v>0</v>
      </c>
      <c r="AR55" s="339"/>
      <c r="AS55" s="429">
        <f>R55+S55+T55+U55+V55+W55+X55</f>
        <v>0</v>
      </c>
      <c r="AT55" s="339"/>
      <c r="AU55" s="429">
        <f>Y55+Z55+AA55+AB55+AC55+AD55+AE55</f>
        <v>0</v>
      </c>
      <c r="AV55" s="339"/>
      <c r="AW55" s="429">
        <f>AF55+AG55+AH55+AI55+AJ55+AK55+AL55</f>
        <v>0</v>
      </c>
      <c r="AX55" s="339"/>
      <c r="AY55" s="906">
        <f>AO55+AQ55+AS55+AU55+AW55</f>
        <v>0</v>
      </c>
      <c r="BA55" s="276"/>
    </row>
    <row r="56" spans="1:53" s="279" customFormat="1" ht="18" thickTop="1" thickBot="1" x14ac:dyDescent="0.3">
      <c r="A56" s="277"/>
      <c r="B56" s="278" t="s">
        <v>24</v>
      </c>
      <c r="C56" s="278"/>
      <c r="D56" s="333">
        <f>SUM(D53:D55)</f>
        <v>127433600</v>
      </c>
      <c r="E56" s="333">
        <f>SUM(E53:E55)</f>
        <v>0</v>
      </c>
      <c r="F56" s="333">
        <f>SUM(F53:F55)</f>
        <v>182180226</v>
      </c>
      <c r="G56" s="333">
        <f>SUM(G53:G55)</f>
        <v>246020353</v>
      </c>
      <c r="H56" s="333">
        <f t="shared" ref="H56:AL56" si="26">SUM(H53:H55)</f>
        <v>1299358608.47</v>
      </c>
      <c r="I56" s="333">
        <f t="shared" si="26"/>
        <v>230257039</v>
      </c>
      <c r="J56" s="333">
        <f t="shared" si="26"/>
        <v>0</v>
      </c>
      <c r="K56" s="333">
        <f>SUM(K53:K55)</f>
        <v>0</v>
      </c>
      <c r="L56" s="333">
        <f>SUM(L53:L55)</f>
        <v>0</v>
      </c>
      <c r="M56" s="333">
        <f>SUM(M53:M55)</f>
        <v>0</v>
      </c>
      <c r="N56" s="333">
        <f t="shared" si="26"/>
        <v>0</v>
      </c>
      <c r="O56" s="333">
        <f t="shared" si="26"/>
        <v>0</v>
      </c>
      <c r="P56" s="333">
        <f>SUM(P53:P55)</f>
        <v>0</v>
      </c>
      <c r="Q56" s="333">
        <f t="shared" si="26"/>
        <v>0</v>
      </c>
      <c r="R56" s="333">
        <f t="shared" si="26"/>
        <v>80529444</v>
      </c>
      <c r="S56" s="333">
        <f t="shared" si="26"/>
        <v>57484445</v>
      </c>
      <c r="T56" s="333">
        <f t="shared" si="26"/>
        <v>16710401</v>
      </c>
      <c r="U56" s="333">
        <f t="shared" si="26"/>
        <v>49148294</v>
      </c>
      <c r="V56" s="333">
        <f t="shared" si="26"/>
        <v>40129182</v>
      </c>
      <c r="W56" s="333">
        <f t="shared" si="26"/>
        <v>0</v>
      </c>
      <c r="X56" s="333">
        <f t="shared" si="26"/>
        <v>0</v>
      </c>
      <c r="Y56" s="333">
        <f t="shared" si="26"/>
        <v>1118143885.9200001</v>
      </c>
      <c r="Z56" s="333">
        <f>SUM(Z53:Z55)</f>
        <v>0</v>
      </c>
      <c r="AA56" s="333">
        <f t="shared" si="26"/>
        <v>0</v>
      </c>
      <c r="AB56" s="333">
        <f t="shared" si="26"/>
        <v>0</v>
      </c>
      <c r="AC56" s="333">
        <f t="shared" si="26"/>
        <v>0</v>
      </c>
      <c r="AD56" s="333">
        <f t="shared" si="26"/>
        <v>0</v>
      </c>
      <c r="AE56" s="333">
        <f t="shared" si="26"/>
        <v>0</v>
      </c>
      <c r="AF56" s="333">
        <f t="shared" si="26"/>
        <v>0</v>
      </c>
      <c r="AG56" s="333">
        <f t="shared" si="26"/>
        <v>0</v>
      </c>
      <c r="AH56" s="333">
        <f t="shared" si="26"/>
        <v>0</v>
      </c>
      <c r="AI56" s="333">
        <f t="shared" si="26"/>
        <v>0</v>
      </c>
      <c r="AJ56" s="333">
        <f t="shared" si="26"/>
        <v>0</v>
      </c>
      <c r="AK56" s="333">
        <f t="shared" si="26"/>
        <v>0</v>
      </c>
      <c r="AL56" s="333">
        <f t="shared" si="26"/>
        <v>0</v>
      </c>
      <c r="AM56" s="321">
        <f t="shared" si="17"/>
        <v>3447395478.3900003</v>
      </c>
      <c r="AN56" s="907"/>
      <c r="AO56" s="321">
        <f t="shared" ref="AO56:AW56" si="27">SUM(AO53:AO55)</f>
        <v>2085249826.47</v>
      </c>
      <c r="AP56" s="321">
        <f t="shared" si="27"/>
        <v>0</v>
      </c>
      <c r="AQ56" s="321">
        <f t="shared" si="27"/>
        <v>0</v>
      </c>
      <c r="AR56" s="321">
        <f t="shared" si="27"/>
        <v>0</v>
      </c>
      <c r="AS56" s="321">
        <f t="shared" si="27"/>
        <v>244001766</v>
      </c>
      <c r="AT56" s="321">
        <f t="shared" si="27"/>
        <v>0</v>
      </c>
      <c r="AU56" s="321">
        <f t="shared" si="27"/>
        <v>1118143885.9200001</v>
      </c>
      <c r="AV56" s="321">
        <f t="shared" si="27"/>
        <v>0</v>
      </c>
      <c r="AW56" s="321">
        <f t="shared" si="27"/>
        <v>0</v>
      </c>
      <c r="AX56" s="908"/>
      <c r="AY56" s="342">
        <f>SUM(AY53:AY55)</f>
        <v>3447395478.3900003</v>
      </c>
      <c r="BA56" s="276"/>
    </row>
    <row r="57" spans="1:53" s="279" customFormat="1" ht="17.25" thickTop="1" x14ac:dyDescent="0.25">
      <c r="A57" s="1457" t="s">
        <v>85</v>
      </c>
      <c r="B57" s="1140" t="s">
        <v>165</v>
      </c>
      <c r="C57" s="911"/>
      <c r="D57" s="902">
        <v>29382100</v>
      </c>
      <c r="E57" s="902"/>
      <c r="F57" s="902">
        <v>44234600</v>
      </c>
      <c r="G57" s="902">
        <v>62393200</v>
      </c>
      <c r="H57" s="902">
        <v>44953900</v>
      </c>
      <c r="I57" s="902">
        <v>57395400</v>
      </c>
      <c r="J57" s="902"/>
      <c r="K57" s="902"/>
      <c r="L57" s="902"/>
      <c r="M57" s="902"/>
      <c r="N57" s="902"/>
      <c r="O57" s="902"/>
      <c r="P57" s="902"/>
      <c r="Q57" s="902"/>
      <c r="R57" s="902"/>
      <c r="S57" s="902"/>
      <c r="T57" s="902"/>
      <c r="U57" s="902"/>
      <c r="V57" s="902"/>
      <c r="W57" s="902"/>
      <c r="X57" s="902"/>
      <c r="Y57" s="902"/>
      <c r="Z57" s="902"/>
      <c r="AA57" s="902"/>
      <c r="AB57" s="902"/>
      <c r="AC57" s="902"/>
      <c r="AD57" s="902"/>
      <c r="AE57" s="902"/>
      <c r="AF57" s="902"/>
      <c r="AG57" s="902"/>
      <c r="AH57" s="902"/>
      <c r="AI57" s="902"/>
      <c r="AJ57" s="902"/>
      <c r="AK57" s="902"/>
      <c r="AL57" s="902"/>
      <c r="AM57" s="429">
        <f t="shared" si="17"/>
        <v>238359200</v>
      </c>
      <c r="AN57" s="1153"/>
      <c r="AO57" s="320">
        <f t="shared" ref="AO57:AP59" si="28">D57+E57+F57+G57+H57+I57+J57</f>
        <v>238359200</v>
      </c>
      <c r="AP57" s="1154">
        <f t="shared" si="28"/>
        <v>208977100</v>
      </c>
      <c r="AQ57" s="429">
        <f>K57+L57+M57+N57+O57+P57+Q57</f>
        <v>0</v>
      </c>
      <c r="AR57" s="1154">
        <f>G57+H57+I57+J57+K57+L57+M57</f>
        <v>164742500</v>
      </c>
      <c r="AS57" s="429">
        <f>R57+S57+T57+U57+V57+W57+X57</f>
        <v>0</v>
      </c>
      <c r="AT57" s="1154">
        <f>I57+J57+K57+L57+M57+N57+O57</f>
        <v>57395400</v>
      </c>
      <c r="AU57" s="429">
        <f>Y57+Z57+AA57+AB57+AC57+AD57+AE57</f>
        <v>0</v>
      </c>
      <c r="AV57" s="1154">
        <f>K57+L57+M57+N57+O57+P57+Q57</f>
        <v>0</v>
      </c>
      <c r="AW57" s="429">
        <f>AF57+AG57+AH57+AI57+AJ57+AK57+AL57</f>
        <v>0</v>
      </c>
      <c r="AX57" s="1153"/>
      <c r="AY57" s="906">
        <f>AO57+AQ57+AS57+AU57+AW57</f>
        <v>238359200</v>
      </c>
      <c r="BA57" s="276"/>
    </row>
    <row r="58" spans="1:53" s="279" customFormat="1" x14ac:dyDescent="0.25">
      <c r="A58" s="1458"/>
      <c r="B58" s="1140" t="s">
        <v>4305</v>
      </c>
      <c r="C58" s="912"/>
      <c r="D58" s="915"/>
      <c r="E58" s="913"/>
      <c r="F58" s="915"/>
      <c r="G58" s="915"/>
      <c r="H58" s="915"/>
      <c r="I58" s="915"/>
      <c r="J58" s="915"/>
      <c r="K58" s="915"/>
      <c r="L58" s="915"/>
      <c r="M58" s="915"/>
      <c r="N58" s="915"/>
      <c r="O58" s="915"/>
      <c r="P58" s="915"/>
      <c r="Q58" s="915"/>
      <c r="R58" s="915"/>
      <c r="S58" s="915"/>
      <c r="T58" s="915"/>
      <c r="U58" s="915"/>
      <c r="V58" s="915"/>
      <c r="W58" s="915"/>
      <c r="X58" s="915"/>
      <c r="Y58" s="915"/>
      <c r="Z58" s="915"/>
      <c r="AA58" s="915"/>
      <c r="AB58" s="915"/>
      <c r="AC58" s="915"/>
      <c r="AD58" s="915"/>
      <c r="AE58" s="915"/>
      <c r="AF58" s="915"/>
      <c r="AG58" s="915"/>
      <c r="AH58" s="915"/>
      <c r="AI58" s="915"/>
      <c r="AJ58" s="915"/>
      <c r="AK58" s="915"/>
      <c r="AL58" s="915"/>
      <c r="AM58" s="429">
        <f t="shared" si="17"/>
        <v>0</v>
      </c>
      <c r="AN58" s="1155"/>
      <c r="AO58" s="320">
        <f t="shared" si="28"/>
        <v>0</v>
      </c>
      <c r="AP58" s="1154">
        <f t="shared" si="28"/>
        <v>0</v>
      </c>
      <c r="AQ58" s="429">
        <f>K58+L58+M58+N58+O58+P58+Q58</f>
        <v>0</v>
      </c>
      <c r="AR58" s="1154">
        <f>G58+H58+I58+J58+K58+L58+M58</f>
        <v>0</v>
      </c>
      <c r="AS58" s="429">
        <f>R58+S58+T58+U58+V58+W58+X58</f>
        <v>0</v>
      </c>
      <c r="AT58" s="1154">
        <f>I58+J58+K58+L58+M58+N58+O58</f>
        <v>0</v>
      </c>
      <c r="AU58" s="429">
        <f>Y58+Z58+AA58+AB58+AC58+AD58+AE58</f>
        <v>0</v>
      </c>
      <c r="AV58" s="1154">
        <f>K58+L58+M58+N58+O58+P58+Q58</f>
        <v>0</v>
      </c>
      <c r="AW58" s="429">
        <f>AF58+AG58+AH58+AI58+AJ58+AK58+AL58</f>
        <v>0</v>
      </c>
      <c r="AX58" s="1155"/>
      <c r="AY58" s="906">
        <f>AO58+AQ58+AS58+AU58+AW58</f>
        <v>0</v>
      </c>
      <c r="BA58" s="276"/>
    </row>
    <row r="59" spans="1:53" s="279" customFormat="1" ht="17.25" thickBot="1" x14ac:dyDescent="0.3">
      <c r="A59" s="1458"/>
      <c r="B59" s="904" t="s">
        <v>4306</v>
      </c>
      <c r="C59" s="914"/>
      <c r="D59" s="863"/>
      <c r="E59" s="863"/>
      <c r="F59" s="863"/>
      <c r="G59" s="863"/>
      <c r="H59" s="863">
        <v>6000</v>
      </c>
      <c r="I59" s="863"/>
      <c r="J59" s="863"/>
      <c r="K59" s="863"/>
      <c r="L59" s="863"/>
      <c r="M59" s="863"/>
      <c r="N59" s="863"/>
      <c r="O59" s="863"/>
      <c r="P59" s="863"/>
      <c r="Q59" s="863"/>
      <c r="R59" s="863"/>
      <c r="S59" s="863"/>
      <c r="T59" s="863"/>
      <c r="U59" s="863"/>
      <c r="V59" s="863"/>
      <c r="W59" s="863"/>
      <c r="X59" s="863"/>
      <c r="Y59" s="863"/>
      <c r="Z59" s="863"/>
      <c r="AA59" s="863"/>
      <c r="AB59" s="863"/>
      <c r="AC59" s="863"/>
      <c r="AD59" s="863"/>
      <c r="AE59" s="863"/>
      <c r="AF59" s="863"/>
      <c r="AG59" s="863"/>
      <c r="AH59" s="863"/>
      <c r="AI59" s="863"/>
      <c r="AJ59" s="863"/>
      <c r="AK59" s="863"/>
      <c r="AL59" s="863"/>
      <c r="AM59" s="429">
        <f t="shared" si="17"/>
        <v>6000</v>
      </c>
      <c r="AN59" s="1156"/>
      <c r="AO59" s="320">
        <f t="shared" si="28"/>
        <v>6000</v>
      </c>
      <c r="AP59" s="1154">
        <f t="shared" si="28"/>
        <v>6000</v>
      </c>
      <c r="AQ59" s="429">
        <f>K59+L59+M59+N59+O59+P59+Q59</f>
        <v>0</v>
      </c>
      <c r="AR59" s="1154">
        <f>G59+H59+I59+J59+K59+L59+M59</f>
        <v>6000</v>
      </c>
      <c r="AS59" s="429">
        <f>R59+S59+T59+U59+V59+W59+X59</f>
        <v>0</v>
      </c>
      <c r="AT59" s="1154">
        <f>I59+J59+K59+L59+M59+N59+O59</f>
        <v>0</v>
      </c>
      <c r="AU59" s="429">
        <f>Y59+Z59+AA59+AB59+AC59+AD59+AE59</f>
        <v>0</v>
      </c>
      <c r="AV59" s="1154">
        <f>K59+L59+M59+N59+O59+P59+Q59</f>
        <v>0</v>
      </c>
      <c r="AW59" s="429">
        <f>AF59+AG59+AH59+AI59+AJ59+AK59+AL59</f>
        <v>0</v>
      </c>
      <c r="AX59" s="1156"/>
      <c r="AY59" s="906">
        <f>AO59+AQ59+AS59+AU59+AW59</f>
        <v>6000</v>
      </c>
      <c r="BA59" s="276"/>
    </row>
    <row r="60" spans="1:53" s="279" customFormat="1" ht="18" thickTop="1" thickBot="1" x14ac:dyDescent="0.3">
      <c r="A60" s="277"/>
      <c r="B60" s="278" t="s">
        <v>24</v>
      </c>
      <c r="C60" s="278"/>
      <c r="D60" s="333">
        <f>SUM(D57:D59)</f>
        <v>29382100</v>
      </c>
      <c r="E60" s="333">
        <f t="shared" ref="E60:AL60" si="29">SUM(E57:E59)</f>
        <v>0</v>
      </c>
      <c r="F60" s="333">
        <f t="shared" si="29"/>
        <v>44234600</v>
      </c>
      <c r="G60" s="333">
        <f t="shared" si="29"/>
        <v>62393200</v>
      </c>
      <c r="H60" s="333">
        <f t="shared" si="29"/>
        <v>44959900</v>
      </c>
      <c r="I60" s="333">
        <f t="shared" si="29"/>
        <v>57395400</v>
      </c>
      <c r="J60" s="333">
        <f t="shared" si="29"/>
        <v>0</v>
      </c>
      <c r="K60" s="333">
        <f t="shared" si="29"/>
        <v>0</v>
      </c>
      <c r="L60" s="333">
        <f t="shared" si="29"/>
        <v>0</v>
      </c>
      <c r="M60" s="333">
        <f t="shared" si="29"/>
        <v>0</v>
      </c>
      <c r="N60" s="333">
        <f t="shared" si="29"/>
        <v>0</v>
      </c>
      <c r="O60" s="333">
        <f t="shared" si="29"/>
        <v>0</v>
      </c>
      <c r="P60" s="333">
        <f t="shared" si="29"/>
        <v>0</v>
      </c>
      <c r="Q60" s="333">
        <f t="shared" si="29"/>
        <v>0</v>
      </c>
      <c r="R60" s="333">
        <f t="shared" si="29"/>
        <v>0</v>
      </c>
      <c r="S60" s="333">
        <f t="shared" si="29"/>
        <v>0</v>
      </c>
      <c r="T60" s="333">
        <f t="shared" si="29"/>
        <v>0</v>
      </c>
      <c r="U60" s="333">
        <f t="shared" si="29"/>
        <v>0</v>
      </c>
      <c r="V60" s="333">
        <f t="shared" si="29"/>
        <v>0</v>
      </c>
      <c r="W60" s="333">
        <f t="shared" si="29"/>
        <v>0</v>
      </c>
      <c r="X60" s="333">
        <f t="shared" si="29"/>
        <v>0</v>
      </c>
      <c r="Y60" s="333">
        <f t="shared" si="29"/>
        <v>0</v>
      </c>
      <c r="Z60" s="333">
        <f t="shared" si="29"/>
        <v>0</v>
      </c>
      <c r="AA60" s="333">
        <f t="shared" si="29"/>
        <v>0</v>
      </c>
      <c r="AB60" s="333">
        <f t="shared" si="29"/>
        <v>0</v>
      </c>
      <c r="AC60" s="333">
        <f>SUM(AC57:AC59)</f>
        <v>0</v>
      </c>
      <c r="AD60" s="333">
        <f t="shared" si="29"/>
        <v>0</v>
      </c>
      <c r="AE60" s="333">
        <f t="shared" si="29"/>
        <v>0</v>
      </c>
      <c r="AF60" s="333">
        <f t="shared" si="29"/>
        <v>0</v>
      </c>
      <c r="AG60" s="333">
        <f t="shared" si="29"/>
        <v>0</v>
      </c>
      <c r="AH60" s="333">
        <f t="shared" si="29"/>
        <v>0</v>
      </c>
      <c r="AI60" s="333">
        <f t="shared" si="29"/>
        <v>0</v>
      </c>
      <c r="AJ60" s="333">
        <f t="shared" si="29"/>
        <v>0</v>
      </c>
      <c r="AK60" s="333">
        <f t="shared" si="29"/>
        <v>0</v>
      </c>
      <c r="AL60" s="333">
        <f t="shared" si="29"/>
        <v>0</v>
      </c>
      <c r="AM60" s="321">
        <f t="shared" si="17"/>
        <v>238365200</v>
      </c>
      <c r="AN60" s="909"/>
      <c r="AO60" s="321">
        <f t="shared" ref="AO60:AW60" si="30">SUM(AO57:AO59)</f>
        <v>238365200</v>
      </c>
      <c r="AP60" s="321">
        <f t="shared" si="30"/>
        <v>208983100</v>
      </c>
      <c r="AQ60" s="321">
        <f t="shared" si="30"/>
        <v>0</v>
      </c>
      <c r="AR60" s="321">
        <f t="shared" si="30"/>
        <v>164748500</v>
      </c>
      <c r="AS60" s="321">
        <f t="shared" si="30"/>
        <v>0</v>
      </c>
      <c r="AT60" s="321">
        <f t="shared" si="30"/>
        <v>57395400</v>
      </c>
      <c r="AU60" s="321">
        <f t="shared" si="30"/>
        <v>0</v>
      </c>
      <c r="AV60" s="321">
        <f t="shared" si="30"/>
        <v>0</v>
      </c>
      <c r="AW60" s="321">
        <f t="shared" si="30"/>
        <v>0</v>
      </c>
      <c r="AX60" s="910"/>
      <c r="AY60" s="342">
        <f>SUM(AY57:AY59)</f>
        <v>238365200</v>
      </c>
      <c r="BA60" s="276"/>
    </row>
    <row r="61" spans="1:53" ht="17.25" thickTop="1" x14ac:dyDescent="0.25">
      <c r="A61" s="1452" t="s">
        <v>3435</v>
      </c>
      <c r="B61" s="280" t="s">
        <v>165</v>
      </c>
      <c r="C61" s="280"/>
      <c r="D61" s="900"/>
      <c r="E61" s="900"/>
      <c r="F61" s="901">
        <v>23809600</v>
      </c>
      <c r="G61" s="901">
        <v>28916100</v>
      </c>
      <c r="H61" s="900">
        <v>96760900</v>
      </c>
      <c r="I61" s="900">
        <v>45549900</v>
      </c>
      <c r="K61" s="900"/>
      <c r="L61" s="900"/>
      <c r="M61" s="900"/>
      <c r="N61" s="900"/>
      <c r="O61" s="900"/>
      <c r="P61" s="901"/>
      <c r="Q61" s="900"/>
      <c r="R61" s="902"/>
      <c r="S61" s="902"/>
      <c r="T61" s="903"/>
      <c r="U61" s="902"/>
      <c r="V61" s="900"/>
      <c r="W61" s="900"/>
      <c r="X61" s="320"/>
      <c r="Y61" s="903"/>
      <c r="Z61" s="1142"/>
      <c r="AA61" s="903"/>
      <c r="AB61" s="903"/>
      <c r="AC61" s="320"/>
      <c r="AE61" s="900"/>
      <c r="AF61" s="900"/>
      <c r="AG61" s="900"/>
      <c r="AH61" s="900"/>
      <c r="AI61" s="900"/>
      <c r="AJ61" s="900"/>
      <c r="AK61" s="900"/>
      <c r="AL61" s="900"/>
      <c r="AM61" s="429">
        <f t="shared" si="17"/>
        <v>195036500</v>
      </c>
      <c r="AN61" s="339"/>
      <c r="AO61" s="320">
        <f>D61+E61+F61+G61+H61+I61+J61</f>
        <v>195036500</v>
      </c>
      <c r="AP61" s="339"/>
      <c r="AQ61" s="320">
        <f>K61+L61+M61+N61+O61+P61+Q61</f>
        <v>0</v>
      </c>
      <c r="AR61" s="339"/>
      <c r="AS61" s="320">
        <f>R61+S61+T61+U61+V61+W61+X61</f>
        <v>0</v>
      </c>
      <c r="AT61" s="339"/>
      <c r="AU61" s="320">
        <f>Y61+Z61+AA61+AB61+AC61+AD61+AE61</f>
        <v>0</v>
      </c>
      <c r="AV61" s="339"/>
      <c r="AW61" s="429">
        <f>AF61+AG61+AH61+AI61+AJ61+AK61+AL61</f>
        <v>0</v>
      </c>
      <c r="AX61" s="339"/>
      <c r="AY61" s="320">
        <f>AO61+AQ61+AS61+AU61+AW61</f>
        <v>195036500</v>
      </c>
      <c r="BA61" s="276"/>
    </row>
    <row r="62" spans="1:53" x14ac:dyDescent="0.25">
      <c r="A62" s="1452"/>
      <c r="B62" s="1140" t="s">
        <v>4305</v>
      </c>
      <c r="C62" s="1140"/>
      <c r="D62" s="448"/>
      <c r="E62" s="448"/>
      <c r="F62" s="1141"/>
      <c r="G62" s="1141"/>
      <c r="H62" s="448"/>
      <c r="I62" s="448"/>
      <c r="J62" s="1141"/>
      <c r="K62" s="448"/>
      <c r="L62" s="448"/>
      <c r="M62" s="448"/>
      <c r="N62" s="448"/>
      <c r="O62" s="448"/>
      <c r="P62" s="1141"/>
      <c r="Q62" s="448"/>
      <c r="R62" s="915"/>
      <c r="S62" s="915"/>
      <c r="T62" s="1142"/>
      <c r="U62" s="915"/>
      <c r="V62" s="1142"/>
      <c r="X62" s="448"/>
      <c r="Y62" s="1142"/>
      <c r="AA62" s="1142"/>
      <c r="AB62" s="1142"/>
      <c r="AC62" s="429"/>
      <c r="AD62" s="733"/>
      <c r="AE62" s="448"/>
      <c r="AF62" s="448"/>
      <c r="AG62" s="448"/>
      <c r="AH62" s="448"/>
      <c r="AI62" s="448"/>
      <c r="AJ62" s="448"/>
      <c r="AK62" s="448"/>
      <c r="AL62" s="448"/>
      <c r="AM62" s="429">
        <f t="shared" si="17"/>
        <v>0</v>
      </c>
      <c r="AN62" s="339"/>
      <c r="AO62" s="320">
        <f>D62+E62+F62+G62+H62+I62+J62</f>
        <v>0</v>
      </c>
      <c r="AP62" s="339"/>
      <c r="AQ62" s="429">
        <f>K62+L62+M62+N62+O62+P62+Q62</f>
        <v>0</v>
      </c>
      <c r="AR62" s="339"/>
      <c r="AS62" s="429">
        <f>R62+S62+T62+U62+V62+W62+X62</f>
        <v>0</v>
      </c>
      <c r="AT62" s="339"/>
      <c r="AU62" s="320">
        <f>Y62+Z62+AA62+AB62+AC62+AD62+AE62</f>
        <v>0</v>
      </c>
      <c r="AV62" s="339"/>
      <c r="AW62" s="429">
        <f>AF62+AG62+AH62+AI62+AJ62+AK62+AL62</f>
        <v>0</v>
      </c>
      <c r="AX62" s="339"/>
      <c r="AY62" s="429">
        <f>AO62+AQ62+AS62+AU62+AW62</f>
        <v>0</v>
      </c>
      <c r="BA62" s="276"/>
    </row>
    <row r="63" spans="1:53" ht="17.25" thickBot="1" x14ac:dyDescent="0.3">
      <c r="A63" s="1452"/>
      <c r="B63" s="1140" t="s">
        <v>4306</v>
      </c>
      <c r="C63" s="1140"/>
      <c r="D63" s="448"/>
      <c r="E63" s="448"/>
      <c r="F63" s="448"/>
      <c r="G63" s="448"/>
      <c r="H63" s="448"/>
      <c r="I63" s="448"/>
      <c r="J63" s="448"/>
      <c r="K63" s="448"/>
      <c r="L63" s="448"/>
      <c r="M63" s="448"/>
      <c r="N63" s="448"/>
      <c r="O63" s="448"/>
      <c r="P63" s="448"/>
      <c r="Q63" s="448"/>
      <c r="R63" s="915"/>
      <c r="S63" s="915"/>
      <c r="T63" s="448"/>
      <c r="U63" s="915"/>
      <c r="V63" s="448"/>
      <c r="W63" s="448"/>
      <c r="X63" s="448"/>
      <c r="Y63" s="1142"/>
      <c r="Z63" s="448"/>
      <c r="AA63" s="1157"/>
      <c r="AB63" s="448"/>
      <c r="AC63" s="429"/>
      <c r="AE63" s="448"/>
      <c r="AF63" s="448"/>
      <c r="AG63" s="448"/>
      <c r="AH63" s="448"/>
      <c r="AI63" s="448"/>
      <c r="AJ63" s="448"/>
      <c r="AK63" s="448"/>
      <c r="AL63" s="448"/>
      <c r="AM63" s="429">
        <f t="shared" si="17"/>
        <v>0</v>
      </c>
      <c r="AN63" s="339"/>
      <c r="AO63" s="320">
        <f>D63+E63+F63+G63+H63+I63+J63</f>
        <v>0</v>
      </c>
      <c r="AP63" s="339"/>
      <c r="AQ63" s="429">
        <f>K63+L63+M63+N63+O63+P63+Q63</f>
        <v>0</v>
      </c>
      <c r="AR63" s="339"/>
      <c r="AS63" s="429">
        <f>R63+S63+T63+U63+V63+W63+X63</f>
        <v>0</v>
      </c>
      <c r="AT63" s="339"/>
      <c r="AU63" s="320">
        <f>Y63+Z63+AA63+AB63+AC63+AD63+AE63</f>
        <v>0</v>
      </c>
      <c r="AV63" s="339"/>
      <c r="AW63" s="429">
        <f>AF63+AG63+AH63+AI63+AJ63+AK63+AL63</f>
        <v>0</v>
      </c>
      <c r="AX63" s="339"/>
      <c r="AY63" s="429">
        <f>AO63+AQ63+AS63+AU63+AW63</f>
        <v>0</v>
      </c>
      <c r="BA63" s="276"/>
    </row>
    <row r="64" spans="1:53" s="279" customFormat="1" ht="18" thickTop="1" thickBot="1" x14ac:dyDescent="0.3">
      <c r="A64" s="282"/>
      <c r="B64" s="278" t="s">
        <v>24</v>
      </c>
      <c r="C64" s="278"/>
      <c r="D64" s="333">
        <f>SUM(D61:D63)</f>
        <v>0</v>
      </c>
      <c r="E64" s="333">
        <f t="shared" ref="E64:AM64" si="31">SUM(E61:E63)</f>
        <v>0</v>
      </c>
      <c r="F64" s="333">
        <f t="shared" si="31"/>
        <v>23809600</v>
      </c>
      <c r="G64" s="333">
        <f t="shared" si="31"/>
        <v>28916100</v>
      </c>
      <c r="H64" s="333">
        <f t="shared" si="31"/>
        <v>96760900</v>
      </c>
      <c r="I64" s="333">
        <f t="shared" si="31"/>
        <v>45549900</v>
      </c>
      <c r="J64" s="333">
        <f t="shared" si="31"/>
        <v>0</v>
      </c>
      <c r="K64" s="333">
        <f t="shared" si="31"/>
        <v>0</v>
      </c>
      <c r="L64" s="333">
        <f t="shared" si="31"/>
        <v>0</v>
      </c>
      <c r="M64" s="333">
        <f t="shared" si="31"/>
        <v>0</v>
      </c>
      <c r="N64" s="333">
        <f t="shared" si="31"/>
        <v>0</v>
      </c>
      <c r="O64" s="333">
        <f t="shared" si="31"/>
        <v>0</v>
      </c>
      <c r="P64" s="333">
        <f t="shared" si="31"/>
        <v>0</v>
      </c>
      <c r="Q64" s="333">
        <f t="shared" si="31"/>
        <v>0</v>
      </c>
      <c r="R64" s="333">
        <f t="shared" si="31"/>
        <v>0</v>
      </c>
      <c r="S64" s="333">
        <f t="shared" si="31"/>
        <v>0</v>
      </c>
      <c r="T64" s="333">
        <f t="shared" si="31"/>
        <v>0</v>
      </c>
      <c r="U64" s="333">
        <f t="shared" si="31"/>
        <v>0</v>
      </c>
      <c r="V64" s="333">
        <f t="shared" si="31"/>
        <v>0</v>
      </c>
      <c r="W64" s="333">
        <f t="shared" si="31"/>
        <v>0</v>
      </c>
      <c r="X64" s="333">
        <f t="shared" si="31"/>
        <v>0</v>
      </c>
      <c r="Y64" s="333">
        <f t="shared" si="31"/>
        <v>0</v>
      </c>
      <c r="Z64" s="333">
        <f t="shared" si="31"/>
        <v>0</v>
      </c>
      <c r="AA64" s="333">
        <f t="shared" si="31"/>
        <v>0</v>
      </c>
      <c r="AB64" s="333">
        <f t="shared" si="31"/>
        <v>0</v>
      </c>
      <c r="AC64" s="333">
        <f t="shared" si="31"/>
        <v>0</v>
      </c>
      <c r="AD64" s="333">
        <f t="shared" si="31"/>
        <v>0</v>
      </c>
      <c r="AE64" s="333">
        <f t="shared" si="31"/>
        <v>0</v>
      </c>
      <c r="AF64" s="333">
        <f t="shared" si="31"/>
        <v>0</v>
      </c>
      <c r="AG64" s="333">
        <f t="shared" si="31"/>
        <v>0</v>
      </c>
      <c r="AH64" s="333">
        <f t="shared" si="31"/>
        <v>0</v>
      </c>
      <c r="AI64" s="333">
        <f t="shared" si="31"/>
        <v>0</v>
      </c>
      <c r="AJ64" s="333">
        <f t="shared" si="31"/>
        <v>0</v>
      </c>
      <c r="AK64" s="333">
        <f t="shared" si="31"/>
        <v>0</v>
      </c>
      <c r="AL64" s="333">
        <f t="shared" si="31"/>
        <v>0</v>
      </c>
      <c r="AM64" s="333">
        <f t="shared" si="31"/>
        <v>195036500</v>
      </c>
      <c r="AN64" s="341"/>
      <c r="AO64" s="321">
        <f t="shared" ref="AO64:AW64" si="32">SUM(AO61:AO63)</f>
        <v>195036500</v>
      </c>
      <c r="AP64" s="321">
        <f t="shared" si="32"/>
        <v>0</v>
      </c>
      <c r="AQ64" s="321">
        <f t="shared" si="32"/>
        <v>0</v>
      </c>
      <c r="AR64" s="321">
        <f t="shared" si="32"/>
        <v>0</v>
      </c>
      <c r="AS64" s="321">
        <f t="shared" si="32"/>
        <v>0</v>
      </c>
      <c r="AT64" s="321">
        <f t="shared" si="32"/>
        <v>0</v>
      </c>
      <c r="AU64" s="321">
        <f t="shared" si="32"/>
        <v>0</v>
      </c>
      <c r="AV64" s="321">
        <f t="shared" si="32"/>
        <v>0</v>
      </c>
      <c r="AW64" s="321">
        <f t="shared" si="32"/>
        <v>0</v>
      </c>
      <c r="AX64" s="341"/>
      <c r="AY64" s="342">
        <f>SUM(AY61:AY63)</f>
        <v>195036500</v>
      </c>
      <c r="BA64" s="276"/>
    </row>
    <row r="65" spans="1:53" s="279" customFormat="1" ht="17.25" thickTop="1" x14ac:dyDescent="0.25">
      <c r="A65" s="1440" t="s">
        <v>6301</v>
      </c>
      <c r="B65" s="1140" t="s">
        <v>165</v>
      </c>
      <c r="C65" s="648"/>
      <c r="D65" s="902">
        <v>76577200</v>
      </c>
      <c r="E65" s="343"/>
      <c r="F65" s="915">
        <v>79493900</v>
      </c>
      <c r="G65" s="915">
        <v>93873000</v>
      </c>
      <c r="H65" s="343">
        <v>179459500</v>
      </c>
      <c r="I65" s="343">
        <v>139945000</v>
      </c>
      <c r="J65" s="343"/>
      <c r="K65" s="343"/>
      <c r="L65" s="343"/>
      <c r="M65" s="343"/>
      <c r="N65" s="343"/>
      <c r="O65" s="343"/>
      <c r="P65" s="343"/>
      <c r="Q65" s="343"/>
      <c r="R65" s="915"/>
      <c r="S65" s="343"/>
      <c r="T65" s="343"/>
      <c r="U65" s="343"/>
      <c r="V65" s="343"/>
      <c r="W65" s="343"/>
      <c r="X65" s="343"/>
      <c r="Y65" s="902"/>
      <c r="Z65" s="1158"/>
      <c r="AA65" s="1158"/>
      <c r="AB65" s="1158"/>
      <c r="AC65" s="1158"/>
      <c r="AD65" s="857"/>
      <c r="AE65" s="902"/>
      <c r="AF65" s="902"/>
      <c r="AG65" s="902"/>
      <c r="AH65" s="902"/>
      <c r="AI65" s="902"/>
      <c r="AJ65" s="902"/>
      <c r="AK65" s="902"/>
      <c r="AL65" s="902"/>
      <c r="AM65" s="429">
        <f t="shared" ref="AM65:AM72" si="33">SUM(D65:AL65)</f>
        <v>569348600</v>
      </c>
      <c r="AN65" s="341"/>
      <c r="AO65" s="320">
        <f>D65+E65+F65+G65+H65+I65+J65</f>
        <v>569348600</v>
      </c>
      <c r="AP65" s="1159"/>
      <c r="AQ65" s="429">
        <f>K65+L65+M65+N65+O65+P65+Q65</f>
        <v>0</v>
      </c>
      <c r="AR65" s="1159"/>
      <c r="AS65" s="429">
        <f>R65+S65+T65+U65+V65+W65+X65</f>
        <v>0</v>
      </c>
      <c r="AT65" s="1159"/>
      <c r="AU65" s="429">
        <f>Y65+Z65+AA65+AB65+AC65+AD65+AE65</f>
        <v>0</v>
      </c>
      <c r="AV65" s="1159"/>
      <c r="AW65" s="429">
        <f>AF65+AG65+AH65+AI65+AJ65+AK65+AL65</f>
        <v>0</v>
      </c>
      <c r="AX65" s="1159"/>
      <c r="AY65" s="429">
        <f>AO65+AQ65+AS65+AU65+AW65</f>
        <v>569348600</v>
      </c>
      <c r="BA65" s="276"/>
    </row>
    <row r="66" spans="1:53" s="279" customFormat="1" x14ac:dyDescent="0.25">
      <c r="A66" s="1441"/>
      <c r="B66" s="1140" t="s">
        <v>4305</v>
      </c>
      <c r="C66" s="1160"/>
      <c r="D66" s="915"/>
      <c r="E66" s="915"/>
      <c r="F66" s="915"/>
      <c r="G66" s="915"/>
      <c r="H66" s="915"/>
      <c r="I66" s="915"/>
      <c r="J66" s="915"/>
      <c r="K66" s="915"/>
      <c r="L66" s="915"/>
      <c r="M66" s="915"/>
      <c r="N66" s="915"/>
      <c r="O66" s="915"/>
      <c r="P66" s="915"/>
      <c r="Q66" s="915"/>
      <c r="R66" s="915"/>
      <c r="S66" s="915"/>
      <c r="T66" s="915"/>
      <c r="U66" s="915"/>
      <c r="V66" s="915"/>
      <c r="W66" s="915"/>
      <c r="X66" s="915"/>
      <c r="Y66" s="915"/>
      <c r="Z66" s="915"/>
      <c r="AA66" s="915"/>
      <c r="AB66" s="915"/>
      <c r="AC66" s="915"/>
      <c r="AD66" s="1161"/>
      <c r="AE66" s="915"/>
      <c r="AF66" s="915"/>
      <c r="AG66" s="915"/>
      <c r="AH66" s="915"/>
      <c r="AI66" s="915"/>
      <c r="AJ66" s="915"/>
      <c r="AK66" s="915"/>
      <c r="AL66" s="915"/>
      <c r="AM66" s="429">
        <f t="shared" si="33"/>
        <v>0</v>
      </c>
      <c r="AN66" s="341"/>
      <c r="AO66" s="320">
        <f>D66+E66+F66+G66+H66+I66+J66</f>
        <v>0</v>
      </c>
      <c r="AP66" s="1159"/>
      <c r="AQ66" s="429">
        <f>K66+L66+M66+N66+O66+P66+Q66</f>
        <v>0</v>
      </c>
      <c r="AR66" s="1159"/>
      <c r="AS66" s="429">
        <f>R66+S66+T66+U66+V66+W66+X66</f>
        <v>0</v>
      </c>
      <c r="AT66" s="1159"/>
      <c r="AU66" s="429">
        <f>Y66+Z66+AA66+AB66+AC66+AD66+AE66</f>
        <v>0</v>
      </c>
      <c r="AV66" s="1159"/>
      <c r="AW66" s="429">
        <f>AF66+AG66+AH66+AI66+AJ66+AK66+AL66</f>
        <v>0</v>
      </c>
      <c r="AX66" s="1159"/>
      <c r="AY66" s="429">
        <f>AO66+AQ66+AS66+AU66+AW66</f>
        <v>0</v>
      </c>
      <c r="BA66" s="276"/>
    </row>
    <row r="67" spans="1:53" s="283" customFormat="1" ht="17.25" thickBot="1" x14ac:dyDescent="0.3">
      <c r="A67" s="1442"/>
      <c r="B67" s="1140" t="s">
        <v>4306</v>
      </c>
      <c r="C67" s="649"/>
      <c r="D67" s="863"/>
      <c r="E67" s="650"/>
      <c r="F67" s="650"/>
      <c r="G67" s="650"/>
      <c r="H67" s="650"/>
      <c r="I67" s="650"/>
      <c r="J67" s="650"/>
      <c r="K67" s="650"/>
      <c r="L67" s="650"/>
      <c r="M67" s="650"/>
      <c r="N67" s="650"/>
      <c r="O67" s="650"/>
      <c r="P67" s="650"/>
      <c r="Q67" s="650"/>
      <c r="R67" s="650"/>
      <c r="S67" s="650"/>
      <c r="T67" s="650"/>
      <c r="U67" s="650"/>
      <c r="V67" s="650"/>
      <c r="W67" s="650"/>
      <c r="X67" s="650"/>
      <c r="Y67" s="869"/>
      <c r="Z67" s="863"/>
      <c r="AA67" s="863"/>
      <c r="AB67" s="863"/>
      <c r="AC67" s="863"/>
      <c r="AD67" s="870"/>
      <c r="AE67" s="863"/>
      <c r="AF67" s="863"/>
      <c r="AG67" s="863"/>
      <c r="AH67" s="863"/>
      <c r="AI67" s="863"/>
      <c r="AJ67" s="863"/>
      <c r="AK67" s="863"/>
      <c r="AL67" s="863"/>
      <c r="AM67" s="429">
        <f t="shared" si="33"/>
        <v>0</v>
      </c>
      <c r="AN67" s="344"/>
      <c r="AO67" s="320">
        <f>D67+E67+F67+G67+H67+I67+J67</f>
        <v>0</v>
      </c>
      <c r="AP67" s="1159"/>
      <c r="AQ67" s="429">
        <f>K67+L67+M67+N67+O67+P67+Q67</f>
        <v>0</v>
      </c>
      <c r="AR67" s="1159"/>
      <c r="AS67" s="429">
        <f>R67+S67+T67+U67+V67+W67+X67</f>
        <v>0</v>
      </c>
      <c r="AT67" s="1159"/>
      <c r="AU67" s="429">
        <f>Y67+Z67+AA67+AB67+AC67+AD67+AE67</f>
        <v>0</v>
      </c>
      <c r="AV67" s="1159"/>
      <c r="AW67" s="429">
        <f>AF67+AG67+AH67+AI67+AJ67+AK67+AL67</f>
        <v>0</v>
      </c>
      <c r="AX67" s="1159"/>
      <c r="AY67" s="429">
        <f>AO67+AQ67+AS67+AU67+AW67</f>
        <v>0</v>
      </c>
      <c r="BA67" s="284"/>
    </row>
    <row r="68" spans="1:53" s="279" customFormat="1" ht="18" thickTop="1" thickBot="1" x14ac:dyDescent="0.3">
      <c r="A68" s="968"/>
      <c r="B68" s="969" t="s">
        <v>24</v>
      </c>
      <c r="C68" s="970"/>
      <c r="D68" s="333">
        <f>SUM(D65:D67)</f>
        <v>76577200</v>
      </c>
      <c r="E68" s="971">
        <f>SUM(E65:E67)</f>
        <v>0</v>
      </c>
      <c r="F68" s="333">
        <f>SUM(F65:F67)</f>
        <v>79493900</v>
      </c>
      <c r="G68" s="333">
        <f>SUM(G65:G67)</f>
        <v>93873000</v>
      </c>
      <c r="H68" s="971">
        <f t="shared" ref="H68:K68" si="34">SUM(H65:H67)</f>
        <v>179459500</v>
      </c>
      <c r="I68" s="971">
        <f t="shared" si="34"/>
        <v>139945000</v>
      </c>
      <c r="J68" s="972">
        <f t="shared" si="34"/>
        <v>0</v>
      </c>
      <c r="K68" s="971">
        <f t="shared" si="34"/>
        <v>0</v>
      </c>
      <c r="L68" s="971">
        <f>SUM(L65:L67)</f>
        <v>0</v>
      </c>
      <c r="M68" s="971">
        <f>SUM(M65:M67)</f>
        <v>0</v>
      </c>
      <c r="N68" s="971">
        <f t="shared" ref="N68:AB68" si="35">SUM(N65:N67)</f>
        <v>0</v>
      </c>
      <c r="O68" s="971">
        <f t="shared" si="35"/>
        <v>0</v>
      </c>
      <c r="P68" s="971">
        <f t="shared" si="35"/>
        <v>0</v>
      </c>
      <c r="Q68" s="971">
        <f t="shared" si="35"/>
        <v>0</v>
      </c>
      <c r="R68" s="971">
        <f t="shared" si="35"/>
        <v>0</v>
      </c>
      <c r="S68" s="971">
        <f t="shared" si="35"/>
        <v>0</v>
      </c>
      <c r="T68" s="971">
        <f t="shared" si="35"/>
        <v>0</v>
      </c>
      <c r="U68" s="972">
        <f t="shared" si="35"/>
        <v>0</v>
      </c>
      <c r="V68" s="971">
        <f t="shared" si="35"/>
        <v>0</v>
      </c>
      <c r="W68" s="971">
        <f t="shared" si="35"/>
        <v>0</v>
      </c>
      <c r="X68" s="971">
        <f t="shared" si="35"/>
        <v>0</v>
      </c>
      <c r="Y68" s="972">
        <f t="shared" si="35"/>
        <v>0</v>
      </c>
      <c r="Z68" s="972">
        <f t="shared" si="35"/>
        <v>0</v>
      </c>
      <c r="AA68" s="972">
        <f t="shared" si="35"/>
        <v>0</v>
      </c>
      <c r="AB68" s="972">
        <f t="shared" si="35"/>
        <v>0</v>
      </c>
      <c r="AC68" s="972">
        <f>SUM(AC65:AC67)</f>
        <v>0</v>
      </c>
      <c r="AD68" s="972">
        <f t="shared" ref="AD68:AL68" si="36">SUM(AD65:AD67)</f>
        <v>0</v>
      </c>
      <c r="AE68" s="972">
        <f t="shared" si="36"/>
        <v>0</v>
      </c>
      <c r="AF68" s="972">
        <f t="shared" si="36"/>
        <v>0</v>
      </c>
      <c r="AG68" s="972">
        <f t="shared" si="36"/>
        <v>0</v>
      </c>
      <c r="AH68" s="972">
        <f t="shared" si="36"/>
        <v>0</v>
      </c>
      <c r="AI68" s="972">
        <f t="shared" si="36"/>
        <v>0</v>
      </c>
      <c r="AJ68" s="972">
        <f t="shared" si="36"/>
        <v>0</v>
      </c>
      <c r="AK68" s="972">
        <f t="shared" si="36"/>
        <v>0</v>
      </c>
      <c r="AL68" s="972">
        <f t="shared" si="36"/>
        <v>0</v>
      </c>
      <c r="AM68" s="321">
        <f t="shared" si="33"/>
        <v>569348600</v>
      </c>
      <c r="AN68" s="341"/>
      <c r="AO68" s="321">
        <f t="shared" ref="AO68:AW68" si="37">SUM(AO65:AO67)</f>
        <v>569348600</v>
      </c>
      <c r="AP68" s="321">
        <f t="shared" si="37"/>
        <v>0</v>
      </c>
      <c r="AQ68" s="321">
        <f t="shared" si="37"/>
        <v>0</v>
      </c>
      <c r="AR68" s="321">
        <f t="shared" si="37"/>
        <v>0</v>
      </c>
      <c r="AS68" s="321">
        <f t="shared" si="37"/>
        <v>0</v>
      </c>
      <c r="AT68" s="321">
        <f t="shared" si="37"/>
        <v>0</v>
      </c>
      <c r="AU68" s="321">
        <f t="shared" si="37"/>
        <v>0</v>
      </c>
      <c r="AV68" s="321">
        <f t="shared" si="37"/>
        <v>0</v>
      </c>
      <c r="AW68" s="321">
        <f t="shared" si="37"/>
        <v>0</v>
      </c>
      <c r="AX68" s="341"/>
      <c r="AY68" s="342">
        <f>SUM(AY65:AY67)</f>
        <v>569348600</v>
      </c>
      <c r="BA68" s="276"/>
    </row>
    <row r="69" spans="1:53" s="279" customFormat="1" ht="17.25" thickTop="1" x14ac:dyDescent="0.25">
      <c r="A69" s="1443" t="s">
        <v>6299</v>
      </c>
      <c r="B69" s="1140" t="s">
        <v>165</v>
      </c>
      <c r="C69" s="648"/>
      <c r="D69" s="902">
        <v>33574600</v>
      </c>
      <c r="E69" s="343"/>
      <c r="F69" s="902">
        <v>36292800</v>
      </c>
      <c r="G69" s="902">
        <v>14959000</v>
      </c>
      <c r="H69" s="343">
        <v>19388300</v>
      </c>
      <c r="I69" s="343">
        <v>18110100</v>
      </c>
      <c r="J69" s="343"/>
      <c r="K69" s="343"/>
      <c r="L69" s="343"/>
      <c r="M69" s="343"/>
      <c r="N69" s="343"/>
      <c r="O69" s="343"/>
      <c r="P69" s="343"/>
      <c r="Q69" s="343"/>
      <c r="R69" s="915"/>
      <c r="S69" s="343"/>
      <c r="T69" s="343"/>
      <c r="U69" s="343"/>
      <c r="V69" s="343"/>
      <c r="W69" s="343"/>
      <c r="X69" s="343"/>
      <c r="Y69" s="902"/>
      <c r="Z69" s="1158"/>
      <c r="AA69" s="1158"/>
      <c r="AB69" s="1158"/>
      <c r="AC69" s="1158"/>
      <c r="AD69" s="857"/>
      <c r="AE69" s="902"/>
      <c r="AF69" s="902"/>
      <c r="AG69" s="902"/>
      <c r="AH69" s="902"/>
      <c r="AI69" s="902"/>
      <c r="AJ69" s="902"/>
      <c r="AK69" s="902"/>
      <c r="AL69" s="902"/>
      <c r="AM69" s="429">
        <f t="shared" si="33"/>
        <v>122324800</v>
      </c>
      <c r="AN69" s="341"/>
      <c r="AO69" s="320">
        <f>D69+E69+F69+G69+H69+I69+J69</f>
        <v>122324800</v>
      </c>
      <c r="AP69" s="1159"/>
      <c r="AQ69" s="429">
        <f>K69+L69+M69+N69+O69+P69+Q69</f>
        <v>0</v>
      </c>
      <c r="AR69" s="1159"/>
      <c r="AS69" s="429">
        <f>R69+S69+T69+U69+V69+W69+X69</f>
        <v>0</v>
      </c>
      <c r="AT69" s="1159"/>
      <c r="AU69" s="429">
        <f>Y69+Z69+AA69+AB69+AC69+AD69+AE69</f>
        <v>0</v>
      </c>
      <c r="AV69" s="1159"/>
      <c r="AW69" s="429">
        <f>AF69+AG69+AH69+AI69+AJ69+AK69+AL69</f>
        <v>0</v>
      </c>
      <c r="AX69" s="1159"/>
      <c r="AY69" s="429">
        <f>AO69+AQ69+AS69+AU69+AW69</f>
        <v>122324800</v>
      </c>
      <c r="BA69" s="276"/>
    </row>
    <row r="70" spans="1:53" s="279" customFormat="1" x14ac:dyDescent="0.25">
      <c r="A70" s="1444"/>
      <c r="B70" s="1140" t="s">
        <v>4305</v>
      </c>
      <c r="C70" s="1160"/>
      <c r="D70" s="915"/>
      <c r="E70" s="915"/>
      <c r="F70" s="915"/>
      <c r="G70" s="915"/>
      <c r="H70" s="915"/>
      <c r="I70" s="915"/>
      <c r="J70" s="915"/>
      <c r="K70" s="915"/>
      <c r="L70" s="915"/>
      <c r="M70" s="915"/>
      <c r="N70" s="915"/>
      <c r="O70" s="915"/>
      <c r="P70" s="915"/>
      <c r="Q70" s="915"/>
      <c r="R70" s="915"/>
      <c r="S70" s="915"/>
      <c r="T70" s="915"/>
      <c r="U70" s="915"/>
      <c r="V70" s="915"/>
      <c r="W70" s="915"/>
      <c r="X70" s="915"/>
      <c r="Y70" s="915"/>
      <c r="Z70" s="915"/>
      <c r="AA70" s="915"/>
      <c r="AB70" s="915"/>
      <c r="AC70" s="915"/>
      <c r="AD70" s="1161"/>
      <c r="AE70" s="915"/>
      <c r="AF70" s="915"/>
      <c r="AG70" s="915"/>
      <c r="AH70" s="915"/>
      <c r="AI70" s="915"/>
      <c r="AJ70" s="915"/>
      <c r="AK70" s="915"/>
      <c r="AL70" s="915"/>
      <c r="AM70" s="429">
        <f t="shared" si="33"/>
        <v>0</v>
      </c>
      <c r="AN70" s="341"/>
      <c r="AO70" s="320">
        <f>D70+E70+F70+G70+H70+I70+J70</f>
        <v>0</v>
      </c>
      <c r="AP70" s="1159"/>
      <c r="AQ70" s="429">
        <f>K70+L70+M70+N70+O70+P70+Q70</f>
        <v>0</v>
      </c>
      <c r="AR70" s="1159"/>
      <c r="AS70" s="429">
        <f>R70+S70+T70+U70+V70+W70+X70</f>
        <v>0</v>
      </c>
      <c r="AT70" s="1159"/>
      <c r="AU70" s="429">
        <f>Y70+Z70+AA70+AB70+AC70+AD70+AE70</f>
        <v>0</v>
      </c>
      <c r="AV70" s="1159"/>
      <c r="AW70" s="429">
        <f>AF70+AG70+AH70+AI70+AJ70+AK70+AL70</f>
        <v>0</v>
      </c>
      <c r="AX70" s="1159"/>
      <c r="AY70" s="429">
        <f>AO70+AQ70+AS70+AU70+AW70</f>
        <v>0</v>
      </c>
      <c r="BA70" s="276"/>
    </row>
    <row r="71" spans="1:53" s="283" customFormat="1" ht="17.25" thickBot="1" x14ac:dyDescent="0.3">
      <c r="A71" s="1445"/>
      <c r="B71" s="1140" t="s">
        <v>4306</v>
      </c>
      <c r="C71" s="649"/>
      <c r="D71" s="863"/>
      <c r="E71" s="650"/>
      <c r="F71" s="650"/>
      <c r="G71" s="650"/>
      <c r="H71" s="650"/>
      <c r="I71" s="650"/>
      <c r="J71" s="650"/>
      <c r="K71" s="650"/>
      <c r="L71" s="650"/>
      <c r="M71" s="650"/>
      <c r="N71" s="650"/>
      <c r="O71" s="650"/>
      <c r="P71" s="650"/>
      <c r="Q71" s="650"/>
      <c r="R71" s="650"/>
      <c r="S71" s="650"/>
      <c r="T71" s="650"/>
      <c r="U71" s="650"/>
      <c r="V71" s="650"/>
      <c r="W71" s="650"/>
      <c r="X71" s="650"/>
      <c r="Y71" s="869"/>
      <c r="Z71" s="863"/>
      <c r="AA71" s="863"/>
      <c r="AB71" s="863"/>
      <c r="AC71" s="863"/>
      <c r="AD71" s="870"/>
      <c r="AE71" s="863"/>
      <c r="AF71" s="863"/>
      <c r="AG71" s="863"/>
      <c r="AH71" s="863"/>
      <c r="AI71" s="863"/>
      <c r="AJ71" s="863"/>
      <c r="AK71" s="863"/>
      <c r="AL71" s="863"/>
      <c r="AM71" s="429">
        <f t="shared" si="33"/>
        <v>0</v>
      </c>
      <c r="AN71" s="344"/>
      <c r="AO71" s="320">
        <f>D71+E71+F71+G71+H71+I71+J71</f>
        <v>0</v>
      </c>
      <c r="AP71" s="1159"/>
      <c r="AQ71" s="429">
        <f>K71+L71+M71+N71+O71+P71+Q71</f>
        <v>0</v>
      </c>
      <c r="AR71" s="1159"/>
      <c r="AS71" s="429">
        <f>R71+S71+T71+U71+V71+W71+X71</f>
        <v>0</v>
      </c>
      <c r="AT71" s="1159"/>
      <c r="AU71" s="429">
        <f>Y71+Z71+AA71+AB71+AC71+AD71+AE71</f>
        <v>0</v>
      </c>
      <c r="AV71" s="1159"/>
      <c r="AW71" s="429">
        <f>AF71+AG71+AH71+AI71+AJ71+AK71+AL71</f>
        <v>0</v>
      </c>
      <c r="AX71" s="1159"/>
      <c r="AY71" s="429">
        <f>AO71+AQ71+AS71+AU71+AW71</f>
        <v>0</v>
      </c>
      <c r="BA71" s="284"/>
    </row>
    <row r="72" spans="1:53" s="279" customFormat="1" ht="18" thickTop="1" thickBot="1" x14ac:dyDescent="0.3">
      <c r="A72" s="968"/>
      <c r="B72" s="969" t="s">
        <v>24</v>
      </c>
      <c r="C72" s="970"/>
      <c r="D72" s="972">
        <f>SUM(D69:D71)</f>
        <v>33574600</v>
      </c>
      <c r="E72" s="971">
        <f>SUM(E69:E71)</f>
        <v>0</v>
      </c>
      <c r="F72" s="971">
        <f>SUM(F69:F71)</f>
        <v>36292800</v>
      </c>
      <c r="G72" s="971">
        <f>SUM(G69:G71)</f>
        <v>14959000</v>
      </c>
      <c r="H72" s="971">
        <f t="shared" ref="H72:K72" si="38">SUM(H69:H71)</f>
        <v>19388300</v>
      </c>
      <c r="I72" s="971">
        <f t="shared" si="38"/>
        <v>18110100</v>
      </c>
      <c r="J72" s="972">
        <f t="shared" si="38"/>
        <v>0</v>
      </c>
      <c r="K72" s="971">
        <f t="shared" si="38"/>
        <v>0</v>
      </c>
      <c r="L72" s="971">
        <f>SUM(L69:L71)</f>
        <v>0</v>
      </c>
      <c r="M72" s="971">
        <f>SUM(M69:M71)</f>
        <v>0</v>
      </c>
      <c r="N72" s="971">
        <f t="shared" ref="N72:AB72" si="39">SUM(N69:N71)</f>
        <v>0</v>
      </c>
      <c r="O72" s="971">
        <f t="shared" si="39"/>
        <v>0</v>
      </c>
      <c r="P72" s="971">
        <f t="shared" si="39"/>
        <v>0</v>
      </c>
      <c r="Q72" s="971">
        <f t="shared" si="39"/>
        <v>0</v>
      </c>
      <c r="R72" s="971">
        <f t="shared" si="39"/>
        <v>0</v>
      </c>
      <c r="S72" s="971">
        <f t="shared" si="39"/>
        <v>0</v>
      </c>
      <c r="T72" s="971">
        <f t="shared" si="39"/>
        <v>0</v>
      </c>
      <c r="U72" s="972">
        <f t="shared" si="39"/>
        <v>0</v>
      </c>
      <c r="V72" s="971">
        <f t="shared" si="39"/>
        <v>0</v>
      </c>
      <c r="W72" s="971">
        <f t="shared" si="39"/>
        <v>0</v>
      </c>
      <c r="X72" s="971">
        <f t="shared" si="39"/>
        <v>0</v>
      </c>
      <c r="Y72" s="972">
        <f t="shared" si="39"/>
        <v>0</v>
      </c>
      <c r="Z72" s="972">
        <f t="shared" si="39"/>
        <v>0</v>
      </c>
      <c r="AA72" s="972">
        <f t="shared" si="39"/>
        <v>0</v>
      </c>
      <c r="AB72" s="972">
        <f t="shared" si="39"/>
        <v>0</v>
      </c>
      <c r="AC72" s="972">
        <f>SUM(AC69:AC71)</f>
        <v>0</v>
      </c>
      <c r="AD72" s="972">
        <f t="shared" ref="AD72:AL72" si="40">SUM(AD69:AD71)</f>
        <v>0</v>
      </c>
      <c r="AE72" s="972">
        <f t="shared" si="40"/>
        <v>0</v>
      </c>
      <c r="AF72" s="972">
        <f t="shared" si="40"/>
        <v>0</v>
      </c>
      <c r="AG72" s="972">
        <f t="shared" si="40"/>
        <v>0</v>
      </c>
      <c r="AH72" s="972">
        <f t="shared" si="40"/>
        <v>0</v>
      </c>
      <c r="AI72" s="972">
        <f t="shared" si="40"/>
        <v>0</v>
      </c>
      <c r="AJ72" s="972">
        <f t="shared" si="40"/>
        <v>0</v>
      </c>
      <c r="AK72" s="972">
        <f t="shared" si="40"/>
        <v>0</v>
      </c>
      <c r="AL72" s="972">
        <f t="shared" si="40"/>
        <v>0</v>
      </c>
      <c r="AM72" s="321">
        <f t="shared" si="33"/>
        <v>122324800</v>
      </c>
      <c r="AN72" s="341"/>
      <c r="AO72" s="321">
        <f t="shared" ref="AO72:AW72" si="41">SUM(AO69:AO71)</f>
        <v>122324800</v>
      </c>
      <c r="AP72" s="321">
        <f t="shared" si="41"/>
        <v>0</v>
      </c>
      <c r="AQ72" s="321">
        <f t="shared" si="41"/>
        <v>0</v>
      </c>
      <c r="AR72" s="321">
        <f t="shared" si="41"/>
        <v>0</v>
      </c>
      <c r="AS72" s="321">
        <f t="shared" si="41"/>
        <v>0</v>
      </c>
      <c r="AT72" s="321">
        <f t="shared" si="41"/>
        <v>0</v>
      </c>
      <c r="AU72" s="321">
        <f t="shared" si="41"/>
        <v>0</v>
      </c>
      <c r="AV72" s="321">
        <f t="shared" si="41"/>
        <v>0</v>
      </c>
      <c r="AW72" s="321">
        <f t="shared" si="41"/>
        <v>0</v>
      </c>
      <c r="AX72" s="341"/>
      <c r="AY72" s="342">
        <f>SUM(AY69:AY71)</f>
        <v>122324800</v>
      </c>
      <c r="BA72" s="276"/>
    </row>
    <row r="73" spans="1:53" s="285" customFormat="1" ht="18" thickTop="1" thickBot="1" x14ac:dyDescent="0.3">
      <c r="A73" s="973" t="s">
        <v>167</v>
      </c>
      <c r="B73" s="974"/>
      <c r="C73" s="974"/>
      <c r="D73" s="975">
        <f>D12+D16+D20+D24+D28+D32+D36+D40+D44+D48+D56+D64+D52+D60+D68+D72</f>
        <v>5140731494.0100002</v>
      </c>
      <c r="E73" s="975">
        <f t="shared" ref="E73:AM73" si="42">E12+E16+E20+E24+E28+E32+E36+E40+E44+E48+E56+E64+E52+E60+E68+E72</f>
        <v>0</v>
      </c>
      <c r="F73" s="975">
        <f t="shared" si="42"/>
        <v>2293607415</v>
      </c>
      <c r="G73" s="975">
        <f t="shared" si="42"/>
        <v>3183050633</v>
      </c>
      <c r="H73" s="975">
        <f t="shared" si="42"/>
        <v>5606849345.7200003</v>
      </c>
      <c r="I73" s="975">
        <f t="shared" si="42"/>
        <v>6559628509.25</v>
      </c>
      <c r="J73" s="975">
        <f t="shared" si="42"/>
        <v>0</v>
      </c>
      <c r="K73" s="975">
        <f t="shared" si="42"/>
        <v>0</v>
      </c>
      <c r="L73" s="975">
        <f t="shared" si="42"/>
        <v>0</v>
      </c>
      <c r="M73" s="975">
        <f t="shared" si="42"/>
        <v>0</v>
      </c>
      <c r="N73" s="975">
        <f t="shared" si="42"/>
        <v>0</v>
      </c>
      <c r="O73" s="975">
        <f t="shared" si="42"/>
        <v>0</v>
      </c>
      <c r="P73" s="975">
        <f t="shared" si="42"/>
        <v>0</v>
      </c>
      <c r="Q73" s="975">
        <f t="shared" si="42"/>
        <v>0</v>
      </c>
      <c r="R73" s="975">
        <f t="shared" si="42"/>
        <v>80529444</v>
      </c>
      <c r="S73" s="975">
        <f t="shared" si="42"/>
        <v>57484445</v>
      </c>
      <c r="T73" s="975">
        <f t="shared" si="42"/>
        <v>16710401</v>
      </c>
      <c r="U73" s="975">
        <f t="shared" si="42"/>
        <v>49148294</v>
      </c>
      <c r="V73" s="975">
        <f t="shared" si="42"/>
        <v>40129182</v>
      </c>
      <c r="W73" s="975">
        <f t="shared" si="42"/>
        <v>0</v>
      </c>
      <c r="X73" s="975">
        <f t="shared" si="42"/>
        <v>0</v>
      </c>
      <c r="Y73" s="975">
        <f t="shared" si="42"/>
        <v>1118143885.9200001</v>
      </c>
      <c r="Z73" s="975">
        <f t="shared" si="42"/>
        <v>0</v>
      </c>
      <c r="AA73" s="975">
        <f t="shared" si="42"/>
        <v>0</v>
      </c>
      <c r="AB73" s="975">
        <f t="shared" si="42"/>
        <v>0</v>
      </c>
      <c r="AC73" s="975">
        <f t="shared" si="42"/>
        <v>0</v>
      </c>
      <c r="AD73" s="975">
        <f t="shared" si="42"/>
        <v>0</v>
      </c>
      <c r="AE73" s="975">
        <f t="shared" si="42"/>
        <v>0</v>
      </c>
      <c r="AF73" s="975">
        <f t="shared" si="42"/>
        <v>0</v>
      </c>
      <c r="AG73" s="975">
        <f t="shared" si="42"/>
        <v>0</v>
      </c>
      <c r="AH73" s="975">
        <f t="shared" si="42"/>
        <v>0</v>
      </c>
      <c r="AI73" s="975">
        <f t="shared" si="42"/>
        <v>0</v>
      </c>
      <c r="AJ73" s="975">
        <f t="shared" si="42"/>
        <v>0</v>
      </c>
      <c r="AK73" s="975">
        <f t="shared" si="42"/>
        <v>0</v>
      </c>
      <c r="AL73" s="975">
        <f t="shared" si="42"/>
        <v>0</v>
      </c>
      <c r="AM73" s="975">
        <f t="shared" si="42"/>
        <v>24146013048.899998</v>
      </c>
      <c r="AN73" s="346"/>
      <c r="AO73" s="1162">
        <f>D73+E73+F73+G73+H73+I73+J73</f>
        <v>22783867396.98</v>
      </c>
      <c r="AP73" s="346"/>
      <c r="AQ73" s="1162">
        <f>K73+L73+M73+N73+O73+P73+Q73</f>
        <v>0</v>
      </c>
      <c r="AR73" s="346"/>
      <c r="AS73" s="345">
        <f>R73+S73+T73+U73+V73+W73+X73</f>
        <v>244001766</v>
      </c>
      <c r="AT73" s="345">
        <f>S73+T73+U73+V73+W73+X73+Y73</f>
        <v>1281616207.9200001</v>
      </c>
      <c r="AU73" s="345">
        <f>T73+U73+V73+W73+X73+Y73+Z73</f>
        <v>1224131762.9200001</v>
      </c>
      <c r="AV73" s="345">
        <f>U73+V73+W73+X73+Y73+Z73+AA73</f>
        <v>1207421361.9200001</v>
      </c>
      <c r="AW73" s="345">
        <f>V73+W73+X73+Y73+Z73+AA73+AB73</f>
        <v>1158273067.9200001</v>
      </c>
      <c r="AX73" s="346"/>
      <c r="AY73" s="345" t="e">
        <f>AY12+AY16+AY20+AY24+AY28+AY32+AY36+AY40+AY44+AY48+AY56+AY64+AY60+#REF!+AY52</f>
        <v>#REF!</v>
      </c>
    </row>
    <row r="74" spans="1:53" ht="17.25" thickTop="1" x14ac:dyDescent="0.25">
      <c r="A74" s="286"/>
      <c r="B74" s="287"/>
      <c r="C74" s="287"/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337"/>
      <c r="AM74" s="288" t="e">
        <f>+#REF!+AM64+AM56+AM52+AM48+AM44+AM40+AM36+AM32+AM28+AM24+AM20+AM16+AM12</f>
        <v>#REF!</v>
      </c>
      <c r="AN74" s="339"/>
      <c r="AO74" s="288"/>
      <c r="AP74" s="339"/>
      <c r="AQ74" s="288"/>
      <c r="AR74" s="339"/>
      <c r="AS74" s="288"/>
      <c r="AT74" s="339"/>
      <c r="AU74" s="288"/>
      <c r="AV74" s="339"/>
      <c r="AW74" s="320"/>
      <c r="AX74" s="339"/>
      <c r="AY74" s="288"/>
    </row>
    <row r="75" spans="1:53" x14ac:dyDescent="0.25">
      <c r="A75" s="1137" t="s">
        <v>168</v>
      </c>
      <c r="B75" s="449" t="s">
        <v>5948</v>
      </c>
      <c r="C75" s="449"/>
      <c r="D75" s="448"/>
      <c r="E75" s="448"/>
      <c r="F75" s="448"/>
      <c r="G75" s="448"/>
      <c r="H75" s="448"/>
      <c r="I75" s="915"/>
      <c r="J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  <c r="AB75" s="448"/>
      <c r="AC75" s="448"/>
      <c r="AD75" s="448"/>
      <c r="AE75" s="448"/>
      <c r="AF75" s="448"/>
      <c r="AG75" s="448"/>
      <c r="AH75" s="448"/>
      <c r="AI75" s="448"/>
      <c r="AJ75" s="448"/>
      <c r="AK75" s="448"/>
      <c r="AL75" s="448"/>
      <c r="AM75" s="429">
        <f t="shared" ref="AM75:AM83" si="43">SUM(D75:AE75)</f>
        <v>0</v>
      </c>
      <c r="AN75" s="289"/>
      <c r="AO75" s="429">
        <f t="shared" ref="AO75:AO83" si="44">D75+E75+F75+G75+H75+I75+J75</f>
        <v>0</v>
      </c>
      <c r="AP75" s="339"/>
      <c r="AQ75" s="429">
        <f t="shared" ref="AQ75:AQ83" si="45">K75+L75+M75+N75+O75+P75+Q75</f>
        <v>0</v>
      </c>
      <c r="AR75" s="339"/>
      <c r="AS75" s="429">
        <f t="shared" ref="AS75:AS104" si="46">R75+S75+T75+U75+V75+W75+X75</f>
        <v>0</v>
      </c>
      <c r="AT75" s="339"/>
      <c r="AU75" s="429">
        <f t="shared" ref="AU75:AU83" si="47">Y75+Z75+AA75+AB75+AC75+AD75+AE75</f>
        <v>0</v>
      </c>
      <c r="AV75" s="339"/>
      <c r="AW75" s="429"/>
      <c r="AX75" s="339"/>
      <c r="AY75" s="429">
        <f t="shared" ref="AY75:AY104" si="48">AO75+AQ75+AS75+AU75+AW75</f>
        <v>0</v>
      </c>
      <c r="AZ75" s="276"/>
    </row>
    <row r="76" spans="1:53" x14ac:dyDescent="0.25">
      <c r="A76" s="1137"/>
      <c r="B76" s="449" t="s">
        <v>6220</v>
      </c>
      <c r="C76" s="449"/>
      <c r="D76" s="448"/>
      <c r="E76" s="448"/>
      <c r="F76" s="448"/>
      <c r="G76" s="448"/>
      <c r="H76" s="448"/>
      <c r="I76" s="915"/>
      <c r="J76" s="448"/>
      <c r="K76" s="448"/>
      <c r="L76" s="448"/>
      <c r="M76" s="448"/>
      <c r="N76" s="448"/>
      <c r="O76" s="448"/>
      <c r="P76" s="448"/>
      <c r="Q76" s="448"/>
      <c r="R76" s="448"/>
      <c r="S76" s="448"/>
      <c r="T76" s="448"/>
      <c r="U76" s="448"/>
      <c r="V76" s="448"/>
      <c r="W76" s="448"/>
      <c r="X76" s="448"/>
      <c r="Y76" s="448"/>
      <c r="Z76" s="448"/>
      <c r="AA76" s="448"/>
      <c r="AB76" s="448"/>
      <c r="AC76" s="448"/>
      <c r="AD76" s="448"/>
      <c r="AE76" s="448"/>
      <c r="AF76" s="448"/>
      <c r="AG76" s="448"/>
      <c r="AH76" s="448"/>
      <c r="AI76" s="448"/>
      <c r="AJ76" s="448"/>
      <c r="AK76" s="448"/>
      <c r="AL76" s="448"/>
      <c r="AM76" s="429"/>
      <c r="AN76" s="289"/>
      <c r="AO76" s="429"/>
      <c r="AP76" s="339"/>
      <c r="AQ76" s="429"/>
      <c r="AR76" s="339"/>
      <c r="AS76" s="429"/>
      <c r="AT76" s="339"/>
      <c r="AU76" s="429"/>
      <c r="AV76" s="339"/>
      <c r="AW76" s="429"/>
      <c r="AX76" s="339"/>
      <c r="AY76" s="429"/>
      <c r="AZ76" s="276"/>
    </row>
    <row r="77" spans="1:53" x14ac:dyDescent="0.25">
      <c r="A77" s="1137"/>
      <c r="B77" s="449" t="s">
        <v>29</v>
      </c>
      <c r="C77" s="449"/>
      <c r="D77" s="448"/>
      <c r="E77" s="448"/>
      <c r="F77" s="448"/>
      <c r="G77" s="448"/>
      <c r="H77" s="448"/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448"/>
      <c r="U77" s="448"/>
      <c r="V77" s="448"/>
      <c r="W77" s="448"/>
      <c r="X77" s="448"/>
      <c r="Y77" s="448"/>
      <c r="Z77" s="448"/>
      <c r="AA77" s="448"/>
      <c r="AB77" s="448"/>
      <c r="AC77" s="448"/>
      <c r="AD77" s="448"/>
      <c r="AE77" s="448"/>
      <c r="AF77" s="448"/>
      <c r="AG77" s="448"/>
      <c r="AH77" s="448"/>
      <c r="AI77" s="448"/>
      <c r="AJ77" s="448"/>
      <c r="AK77" s="448"/>
      <c r="AL77" s="448"/>
      <c r="AM77" s="429">
        <f t="shared" si="43"/>
        <v>0</v>
      </c>
      <c r="AN77" s="339"/>
      <c r="AO77" s="429">
        <f t="shared" si="44"/>
        <v>0</v>
      </c>
      <c r="AP77" s="339"/>
      <c r="AQ77" s="429">
        <f t="shared" si="45"/>
        <v>0</v>
      </c>
      <c r="AR77" s="339"/>
      <c r="AS77" s="429">
        <f t="shared" si="46"/>
        <v>0</v>
      </c>
      <c r="AT77" s="339"/>
      <c r="AU77" s="429">
        <f t="shared" si="47"/>
        <v>0</v>
      </c>
      <c r="AV77" s="339"/>
      <c r="AW77" s="429"/>
      <c r="AX77" s="339"/>
      <c r="AY77" s="429">
        <f t="shared" si="48"/>
        <v>0</v>
      </c>
      <c r="AZ77" s="276"/>
    </row>
    <row r="78" spans="1:53" x14ac:dyDescent="0.25">
      <c r="A78" s="1137"/>
      <c r="B78" s="449" t="s">
        <v>128</v>
      </c>
      <c r="C78" s="449"/>
      <c r="D78" s="448"/>
      <c r="E78" s="448"/>
      <c r="F78" s="448"/>
      <c r="G78" s="448"/>
      <c r="H78" s="448"/>
      <c r="I78" s="448"/>
      <c r="J78" s="448"/>
      <c r="K78" s="448"/>
      <c r="L78" s="448"/>
      <c r="M78" s="448"/>
      <c r="N78" s="448"/>
      <c r="O78" s="448"/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448"/>
      <c r="AF78" s="448"/>
      <c r="AG78" s="448"/>
      <c r="AH78" s="448"/>
      <c r="AI78" s="448"/>
      <c r="AJ78" s="448"/>
      <c r="AK78" s="448"/>
      <c r="AL78" s="448"/>
      <c r="AM78" s="429">
        <f t="shared" si="43"/>
        <v>0</v>
      </c>
      <c r="AN78" s="339"/>
      <c r="AO78" s="429">
        <f t="shared" si="44"/>
        <v>0</v>
      </c>
      <c r="AP78" s="339"/>
      <c r="AQ78" s="429">
        <f t="shared" si="45"/>
        <v>0</v>
      </c>
      <c r="AR78" s="339"/>
      <c r="AS78" s="429">
        <f t="shared" si="46"/>
        <v>0</v>
      </c>
      <c r="AT78" s="339"/>
      <c r="AU78" s="429">
        <f t="shared" si="47"/>
        <v>0</v>
      </c>
      <c r="AV78" s="339"/>
      <c r="AW78" s="429"/>
      <c r="AX78" s="339"/>
      <c r="AY78" s="429">
        <f t="shared" si="48"/>
        <v>0</v>
      </c>
      <c r="AZ78" s="276"/>
    </row>
    <row r="79" spans="1:53" x14ac:dyDescent="0.25">
      <c r="A79" s="1137"/>
      <c r="B79" s="449" t="s">
        <v>31</v>
      </c>
      <c r="C79" s="449"/>
      <c r="D79" s="448"/>
      <c r="E79" s="448"/>
      <c r="G79" s="448"/>
      <c r="H79" s="448"/>
      <c r="I79" s="448"/>
      <c r="K79" s="448"/>
      <c r="L79" s="448"/>
      <c r="M79" s="448"/>
      <c r="N79" s="448"/>
      <c r="O79" s="448"/>
      <c r="P79" s="448"/>
      <c r="Q79" s="448"/>
      <c r="R79" s="448"/>
      <c r="S79" s="448"/>
      <c r="T79" s="448"/>
      <c r="U79" s="448"/>
      <c r="V79" s="448"/>
      <c r="W79" s="448"/>
      <c r="X79" s="448"/>
      <c r="Y79" s="448"/>
      <c r="Z79" s="448"/>
      <c r="AA79" s="448"/>
      <c r="AB79" s="448"/>
      <c r="AC79" s="448"/>
      <c r="AD79" s="448"/>
      <c r="AE79" s="448"/>
      <c r="AF79" s="448"/>
      <c r="AG79" s="448"/>
      <c r="AH79" s="448"/>
      <c r="AI79" s="448"/>
      <c r="AJ79" s="448"/>
      <c r="AK79" s="448"/>
      <c r="AL79" s="448"/>
      <c r="AM79" s="429">
        <f t="shared" si="43"/>
        <v>0</v>
      </c>
      <c r="AN79" s="339"/>
      <c r="AO79" s="429">
        <f t="shared" si="44"/>
        <v>0</v>
      </c>
      <c r="AP79" s="339"/>
      <c r="AQ79" s="429">
        <f t="shared" si="45"/>
        <v>0</v>
      </c>
      <c r="AR79" s="339"/>
      <c r="AS79" s="429">
        <f t="shared" si="46"/>
        <v>0</v>
      </c>
      <c r="AT79" s="339"/>
      <c r="AU79" s="429">
        <f t="shared" si="47"/>
        <v>0</v>
      </c>
      <c r="AV79" s="339"/>
      <c r="AW79" s="429"/>
      <c r="AX79" s="339"/>
      <c r="AY79" s="429">
        <f t="shared" si="48"/>
        <v>0</v>
      </c>
      <c r="AZ79" s="276"/>
    </row>
    <row r="80" spans="1:53" x14ac:dyDescent="0.25">
      <c r="A80" s="1137"/>
      <c r="B80" s="449" t="s">
        <v>33</v>
      </c>
      <c r="C80" s="449"/>
      <c r="D80" s="448"/>
      <c r="E80" s="448"/>
      <c r="F80" s="448"/>
      <c r="G80" s="448"/>
      <c r="H80" s="448"/>
      <c r="I80" s="448"/>
      <c r="J80" s="448"/>
      <c r="L80" s="448"/>
      <c r="M80" s="448"/>
      <c r="N80" s="448"/>
      <c r="O80" s="448"/>
      <c r="P80" s="448"/>
      <c r="Q80" s="448"/>
      <c r="R80" s="915"/>
      <c r="S80" s="448"/>
      <c r="T80" s="448"/>
      <c r="U80" s="448"/>
      <c r="V80" s="448"/>
      <c r="W80" s="448"/>
      <c r="X80" s="448"/>
      <c r="Y80" s="448"/>
      <c r="Z80" s="448"/>
      <c r="AA80" s="448"/>
      <c r="AB80" s="448"/>
      <c r="AC80" s="448"/>
      <c r="AD80" s="448"/>
      <c r="AE80" s="448"/>
      <c r="AF80" s="448"/>
      <c r="AG80" s="448"/>
      <c r="AH80" s="448"/>
      <c r="AI80" s="448"/>
      <c r="AJ80" s="448"/>
      <c r="AK80" s="448"/>
      <c r="AL80" s="448"/>
      <c r="AM80" s="429">
        <f t="shared" si="43"/>
        <v>0</v>
      </c>
      <c r="AN80" s="339"/>
      <c r="AO80" s="429">
        <f t="shared" si="44"/>
        <v>0</v>
      </c>
      <c r="AP80" s="339"/>
      <c r="AQ80" s="429">
        <f t="shared" si="45"/>
        <v>0</v>
      </c>
      <c r="AR80" s="339"/>
      <c r="AS80" s="429">
        <f t="shared" si="46"/>
        <v>0</v>
      </c>
      <c r="AT80" s="339"/>
      <c r="AU80" s="429">
        <f t="shared" si="47"/>
        <v>0</v>
      </c>
      <c r="AV80" s="339"/>
      <c r="AW80" s="429"/>
      <c r="AX80" s="339"/>
      <c r="AY80" s="429">
        <f t="shared" si="48"/>
        <v>0</v>
      </c>
      <c r="AZ80" s="276"/>
    </row>
    <row r="81" spans="1:52" x14ac:dyDescent="0.25">
      <c r="A81" s="1137"/>
      <c r="B81" s="449" t="s">
        <v>35</v>
      </c>
      <c r="C81" s="449"/>
      <c r="D81" s="448"/>
      <c r="E81" s="448"/>
      <c r="F81" s="448"/>
      <c r="G81" s="448"/>
      <c r="H81" s="448"/>
      <c r="I81" s="448"/>
      <c r="J81" s="448"/>
      <c r="K81" s="448"/>
      <c r="L81" s="448"/>
      <c r="M81" s="448"/>
      <c r="N81" s="448"/>
      <c r="O81" s="448"/>
      <c r="P81" s="448"/>
      <c r="Q81" s="448"/>
      <c r="R81" s="448"/>
      <c r="S81" s="448"/>
      <c r="T81" s="448"/>
      <c r="U81" s="448"/>
      <c r="V81" s="903"/>
      <c r="W81" s="448"/>
      <c r="X81" s="448"/>
      <c r="Y81" s="448"/>
      <c r="Z81" s="448"/>
      <c r="AA81" s="448"/>
      <c r="AB81" s="448"/>
      <c r="AC81" s="448"/>
      <c r="AD81" s="448"/>
      <c r="AE81" s="448"/>
      <c r="AF81" s="448"/>
      <c r="AG81" s="448"/>
      <c r="AH81" s="448"/>
      <c r="AI81" s="448"/>
      <c r="AJ81" s="448"/>
      <c r="AK81" s="448"/>
      <c r="AL81" s="448"/>
      <c r="AM81" s="429">
        <f t="shared" si="43"/>
        <v>0</v>
      </c>
      <c r="AN81" s="339"/>
      <c r="AO81" s="429">
        <f t="shared" si="44"/>
        <v>0</v>
      </c>
      <c r="AP81" s="339"/>
      <c r="AQ81" s="429">
        <f t="shared" si="45"/>
        <v>0</v>
      </c>
      <c r="AR81" s="339"/>
      <c r="AS81" s="429">
        <f t="shared" si="46"/>
        <v>0</v>
      </c>
      <c r="AT81" s="339"/>
      <c r="AU81" s="429">
        <f t="shared" si="47"/>
        <v>0</v>
      </c>
      <c r="AV81" s="339"/>
      <c r="AW81" s="429"/>
      <c r="AX81" s="339"/>
      <c r="AY81" s="429">
        <f t="shared" si="48"/>
        <v>0</v>
      </c>
      <c r="AZ81" s="276"/>
    </row>
    <row r="82" spans="1:52" x14ac:dyDescent="0.25">
      <c r="A82" s="1137"/>
      <c r="B82" s="449" t="s">
        <v>37</v>
      </c>
      <c r="C82" s="449"/>
      <c r="D82" s="448"/>
      <c r="E82" s="448"/>
      <c r="F82" s="448"/>
      <c r="G82" s="448"/>
      <c r="H82" s="448"/>
      <c r="I82" s="448"/>
      <c r="J82" s="448"/>
      <c r="K82" s="448"/>
      <c r="L82" s="448"/>
      <c r="M82" s="448"/>
      <c r="N82" s="448"/>
      <c r="O82" s="448"/>
      <c r="P82" s="448"/>
      <c r="Q82" s="448"/>
      <c r="R82" s="448"/>
      <c r="S82" s="448"/>
      <c r="T82" s="448"/>
      <c r="U82" s="448"/>
      <c r="V82" s="448"/>
      <c r="W82" s="448"/>
      <c r="X82" s="448"/>
      <c r="Y82" s="448"/>
      <c r="Z82" s="448"/>
      <c r="AA82" s="448"/>
      <c r="AB82" s="448"/>
      <c r="AC82" s="448"/>
      <c r="AD82" s="448"/>
      <c r="AE82" s="448"/>
      <c r="AF82" s="448"/>
      <c r="AG82" s="448"/>
      <c r="AH82" s="448"/>
      <c r="AI82" s="448"/>
      <c r="AJ82" s="448"/>
      <c r="AK82" s="448"/>
      <c r="AL82" s="448"/>
      <c r="AM82" s="429">
        <f t="shared" si="43"/>
        <v>0</v>
      </c>
      <c r="AN82" s="339"/>
      <c r="AO82" s="429">
        <f t="shared" si="44"/>
        <v>0</v>
      </c>
      <c r="AP82" s="339"/>
      <c r="AQ82" s="429">
        <f t="shared" si="45"/>
        <v>0</v>
      </c>
      <c r="AR82" s="339"/>
      <c r="AS82" s="429">
        <f t="shared" si="46"/>
        <v>0</v>
      </c>
      <c r="AT82" s="339"/>
      <c r="AU82" s="429">
        <f t="shared" si="47"/>
        <v>0</v>
      </c>
      <c r="AV82" s="339"/>
      <c r="AW82" s="429"/>
      <c r="AX82" s="339"/>
      <c r="AY82" s="429">
        <f t="shared" si="48"/>
        <v>0</v>
      </c>
      <c r="AZ82" s="276"/>
    </row>
    <row r="83" spans="1:52" x14ac:dyDescent="0.25">
      <c r="A83" s="1137"/>
      <c r="B83" s="449" t="s">
        <v>38</v>
      </c>
      <c r="C83" s="449"/>
      <c r="D83" s="448"/>
      <c r="E83" s="448"/>
      <c r="F83" s="448"/>
      <c r="G83" s="448"/>
      <c r="H83" s="448">
        <v>561529134</v>
      </c>
      <c r="I83" s="448"/>
      <c r="J83" s="448"/>
      <c r="K83" s="448"/>
      <c r="L83" s="448"/>
      <c r="M83" s="448"/>
      <c r="N83" s="448"/>
      <c r="O83" s="429"/>
      <c r="P83" s="448"/>
      <c r="Q83" s="448"/>
      <c r="R83" s="448"/>
      <c r="S83" s="448"/>
      <c r="T83" s="448"/>
      <c r="U83" s="448"/>
      <c r="V83" s="448"/>
      <c r="W83" s="448"/>
      <c r="X83" s="448"/>
      <c r="Y83" s="448"/>
      <c r="Z83" s="448"/>
      <c r="AA83" s="448"/>
      <c r="AB83" s="448"/>
      <c r="AC83" s="448"/>
      <c r="AD83" s="448"/>
      <c r="AE83" s="448"/>
      <c r="AF83" s="448"/>
      <c r="AG83" s="448"/>
      <c r="AH83" s="448"/>
      <c r="AI83" s="448"/>
      <c r="AJ83" s="448"/>
      <c r="AK83" s="448"/>
      <c r="AL83" s="448"/>
      <c r="AM83" s="429">
        <f t="shared" si="43"/>
        <v>561529134</v>
      </c>
      <c r="AN83" s="339"/>
      <c r="AO83" s="429">
        <f t="shared" si="44"/>
        <v>561529134</v>
      </c>
      <c r="AP83" s="339"/>
      <c r="AQ83" s="429">
        <f t="shared" si="45"/>
        <v>0</v>
      </c>
      <c r="AR83" s="339"/>
      <c r="AS83" s="429">
        <f t="shared" si="46"/>
        <v>0</v>
      </c>
      <c r="AT83" s="339"/>
      <c r="AU83" s="429">
        <f t="shared" si="47"/>
        <v>0</v>
      </c>
      <c r="AV83" s="339"/>
      <c r="AW83" s="429"/>
      <c r="AX83" s="339"/>
      <c r="AY83" s="429">
        <f>AO83+AQ83+AS83+AU83+AW83</f>
        <v>561529134</v>
      </c>
      <c r="AZ83" s="276"/>
    </row>
    <row r="84" spans="1:52" x14ac:dyDescent="0.25">
      <c r="A84" s="1137"/>
      <c r="B84" s="449" t="s">
        <v>129</v>
      </c>
      <c r="C84" s="449"/>
      <c r="D84" s="448"/>
      <c r="E84" s="448"/>
      <c r="F84" s="448"/>
      <c r="G84" s="448"/>
      <c r="H84" s="448"/>
      <c r="I84" s="448"/>
      <c r="J84" s="448"/>
      <c r="K84" s="448"/>
      <c r="L84" s="448"/>
      <c r="M84" s="448"/>
      <c r="N84" s="448"/>
      <c r="O84" s="429"/>
      <c r="P84" s="448"/>
      <c r="Q84" s="448"/>
      <c r="R84" s="448"/>
      <c r="S84" s="448"/>
      <c r="T84" s="448"/>
      <c r="U84" s="448"/>
      <c r="V84" s="448"/>
      <c r="W84" s="448"/>
      <c r="X84" s="448"/>
      <c r="Y84" s="448"/>
      <c r="Z84" s="448"/>
      <c r="AA84" s="448"/>
      <c r="AB84" s="448"/>
      <c r="AC84" s="448"/>
      <c r="AD84" s="448"/>
      <c r="AE84" s="448"/>
      <c r="AF84" s="448"/>
      <c r="AG84" s="448"/>
      <c r="AH84" s="448"/>
      <c r="AI84" s="448"/>
      <c r="AJ84" s="448"/>
      <c r="AK84" s="448"/>
      <c r="AL84" s="448"/>
      <c r="AM84" s="429"/>
      <c r="AN84" s="339"/>
      <c r="AO84" s="429"/>
      <c r="AP84" s="339"/>
      <c r="AQ84" s="429"/>
      <c r="AR84" s="339"/>
      <c r="AS84" s="429">
        <f t="shared" si="46"/>
        <v>0</v>
      </c>
      <c r="AT84" s="339"/>
      <c r="AU84" s="429"/>
      <c r="AV84" s="339"/>
      <c r="AW84" s="429"/>
      <c r="AX84" s="339"/>
      <c r="AY84" s="429"/>
      <c r="AZ84" s="276"/>
    </row>
    <row r="85" spans="1:52" x14ac:dyDescent="0.25">
      <c r="A85" s="1137"/>
      <c r="B85" s="449" t="s">
        <v>46</v>
      </c>
      <c r="C85" s="449"/>
      <c r="D85" s="448"/>
      <c r="E85" s="448"/>
      <c r="F85" s="448"/>
      <c r="G85" s="448"/>
      <c r="H85" s="448"/>
      <c r="I85" s="448"/>
      <c r="J85" s="448"/>
      <c r="K85" s="448"/>
      <c r="L85" s="448"/>
      <c r="M85" s="448"/>
      <c r="N85" s="448"/>
      <c r="O85" s="429"/>
      <c r="P85" s="448"/>
      <c r="Q85" s="448"/>
      <c r="R85" s="448"/>
      <c r="S85" s="448"/>
      <c r="T85" s="448"/>
      <c r="U85" s="448"/>
      <c r="V85" s="448"/>
      <c r="W85" s="448"/>
      <c r="X85" s="448"/>
      <c r="Y85" s="448"/>
      <c r="Z85" s="448"/>
      <c r="AA85" s="448"/>
      <c r="AB85" s="448"/>
      <c r="AC85" s="448"/>
      <c r="AD85" s="448"/>
      <c r="AE85" s="448"/>
      <c r="AF85" s="448"/>
      <c r="AG85" s="448"/>
      <c r="AH85" s="448"/>
      <c r="AI85" s="448"/>
      <c r="AJ85" s="448"/>
      <c r="AK85" s="448"/>
      <c r="AL85" s="448"/>
      <c r="AM85" s="429"/>
      <c r="AN85" s="339"/>
      <c r="AO85" s="429"/>
      <c r="AP85" s="339"/>
      <c r="AQ85" s="429"/>
      <c r="AR85" s="339"/>
      <c r="AS85" s="429">
        <f t="shared" si="46"/>
        <v>0</v>
      </c>
      <c r="AT85" s="339"/>
      <c r="AU85" s="429"/>
      <c r="AV85" s="339"/>
      <c r="AW85" s="429"/>
      <c r="AX85" s="339"/>
      <c r="AY85" s="429"/>
      <c r="AZ85" s="276"/>
    </row>
    <row r="86" spans="1:52" x14ac:dyDescent="0.25">
      <c r="A86" s="1137"/>
      <c r="B86" s="449" t="s">
        <v>5986</v>
      </c>
      <c r="C86" s="449"/>
      <c r="D86" s="448"/>
      <c r="E86" s="448"/>
      <c r="F86" s="448"/>
      <c r="G86" s="448"/>
      <c r="H86" s="448"/>
      <c r="I86" s="448"/>
      <c r="J86" s="448"/>
      <c r="K86" s="448"/>
      <c r="L86" s="448"/>
      <c r="M86" s="448"/>
      <c r="N86" s="448"/>
      <c r="O86" s="448"/>
      <c r="P86" s="448"/>
      <c r="Q86" s="448"/>
      <c r="R86" s="448"/>
      <c r="S86" s="448"/>
      <c r="T86" s="448"/>
      <c r="U86" s="448"/>
      <c r="V86" s="448"/>
      <c r="W86" s="448"/>
      <c r="X86" s="448"/>
      <c r="Y86" s="448"/>
      <c r="Z86" s="448"/>
      <c r="AA86" s="448"/>
      <c r="AB86" s="448"/>
      <c r="AC86" s="1163"/>
      <c r="AD86" s="448"/>
      <c r="AE86" s="448"/>
      <c r="AF86" s="448"/>
      <c r="AG86" s="448"/>
      <c r="AH86" s="448"/>
      <c r="AI86" s="448"/>
      <c r="AJ86" s="448"/>
      <c r="AK86" s="448"/>
      <c r="AL86" s="448"/>
      <c r="AM86" s="429">
        <f t="shared" ref="AM86:AM104" si="49">SUM(D86:AE86)</f>
        <v>0</v>
      </c>
      <c r="AN86" s="339"/>
      <c r="AO86" s="429">
        <f t="shared" ref="AO86:AO104" si="50">D86+E86+F86+G86+H86+I86+J86</f>
        <v>0</v>
      </c>
      <c r="AP86" s="339"/>
      <c r="AQ86" s="429">
        <f t="shared" ref="AQ86:AQ104" si="51">K86+L86+M86+N86+O86+P86+Q86</f>
        <v>0</v>
      </c>
      <c r="AR86" s="339"/>
      <c r="AS86" s="429">
        <f t="shared" si="46"/>
        <v>0</v>
      </c>
      <c r="AT86" s="339"/>
      <c r="AU86" s="429">
        <f t="shared" ref="AU86:AU104" si="52">Y86+Z86+AA86+AB86+AC86+AD86+AE86</f>
        <v>0</v>
      </c>
      <c r="AV86" s="339"/>
      <c r="AW86" s="429"/>
      <c r="AX86" s="339"/>
      <c r="AY86" s="429">
        <f t="shared" si="48"/>
        <v>0</v>
      </c>
      <c r="AZ86" s="276"/>
    </row>
    <row r="87" spans="1:52" x14ac:dyDescent="0.25">
      <c r="A87" s="1137"/>
      <c r="B87" s="449" t="s">
        <v>48</v>
      </c>
      <c r="C87" s="449"/>
      <c r="D87" s="448"/>
      <c r="E87" s="448"/>
      <c r="F87" s="448"/>
      <c r="G87" s="448"/>
      <c r="H87" s="448">
        <v>21127670</v>
      </c>
      <c r="I87" s="448"/>
      <c r="J87" s="448"/>
      <c r="K87" s="448"/>
      <c r="L87" s="448"/>
      <c r="M87" s="448"/>
      <c r="N87" s="448"/>
      <c r="O87" s="448"/>
      <c r="P87" s="448"/>
      <c r="Q87" s="448"/>
      <c r="R87" s="448"/>
      <c r="S87" s="448"/>
      <c r="T87" s="448"/>
      <c r="U87" s="448"/>
      <c r="V87" s="448"/>
      <c r="W87" s="448"/>
      <c r="X87" s="448"/>
      <c r="Y87" s="448"/>
      <c r="Z87" s="448"/>
      <c r="AA87" s="448"/>
      <c r="AB87" s="448"/>
      <c r="AC87" s="448"/>
      <c r="AD87" s="448"/>
      <c r="AE87" s="448"/>
      <c r="AF87" s="448"/>
      <c r="AG87" s="448"/>
      <c r="AH87" s="448"/>
      <c r="AI87" s="448"/>
      <c r="AJ87" s="448"/>
      <c r="AK87" s="448"/>
      <c r="AL87" s="448"/>
      <c r="AM87" s="429">
        <f t="shared" si="49"/>
        <v>21127670</v>
      </c>
      <c r="AN87" s="339"/>
      <c r="AO87" s="429">
        <f t="shared" si="50"/>
        <v>21127670</v>
      </c>
      <c r="AP87" s="339"/>
      <c r="AQ87" s="429">
        <f t="shared" si="51"/>
        <v>0</v>
      </c>
      <c r="AR87" s="339"/>
      <c r="AS87" s="429">
        <f t="shared" si="46"/>
        <v>0</v>
      </c>
      <c r="AT87" s="339"/>
      <c r="AU87" s="429">
        <f t="shared" si="52"/>
        <v>0</v>
      </c>
      <c r="AV87" s="339"/>
      <c r="AW87" s="429"/>
      <c r="AX87" s="339"/>
      <c r="AY87" s="429">
        <f t="shared" si="48"/>
        <v>21127670</v>
      </c>
      <c r="AZ87" s="276"/>
    </row>
    <row r="88" spans="1:52" x14ac:dyDescent="0.25">
      <c r="A88" s="1137"/>
      <c r="B88" s="449" t="s">
        <v>50</v>
      </c>
      <c r="C88" s="449"/>
      <c r="D88" s="448"/>
      <c r="E88" s="448"/>
      <c r="F88" s="448"/>
      <c r="G88" s="448"/>
      <c r="H88" s="448"/>
      <c r="I88" s="448"/>
      <c r="J88" s="448"/>
      <c r="K88" s="448"/>
      <c r="L88" s="448"/>
      <c r="M88" s="448"/>
      <c r="N88" s="448"/>
      <c r="O88" s="448"/>
      <c r="P88" s="448"/>
      <c r="Q88" s="448"/>
      <c r="R88" s="448"/>
      <c r="S88" s="448"/>
      <c r="T88" s="448"/>
      <c r="U88" s="448"/>
      <c r="V88" s="448"/>
      <c r="W88" s="448"/>
      <c r="X88" s="448"/>
      <c r="Y88" s="448"/>
      <c r="Z88" s="448"/>
      <c r="AA88" s="448"/>
      <c r="AB88" s="448"/>
      <c r="AC88" s="448"/>
      <c r="AD88" s="448"/>
      <c r="AE88" s="448"/>
      <c r="AF88" s="448"/>
      <c r="AG88" s="448"/>
      <c r="AH88" s="448"/>
      <c r="AI88" s="448"/>
      <c r="AJ88" s="448"/>
      <c r="AK88" s="448"/>
      <c r="AL88" s="448"/>
      <c r="AM88" s="429">
        <f t="shared" si="49"/>
        <v>0</v>
      </c>
      <c r="AN88" s="339"/>
      <c r="AO88" s="429">
        <f t="shared" si="50"/>
        <v>0</v>
      </c>
      <c r="AP88" s="339"/>
      <c r="AQ88" s="429">
        <f t="shared" si="51"/>
        <v>0</v>
      </c>
      <c r="AR88" s="339"/>
      <c r="AS88" s="429">
        <f t="shared" si="46"/>
        <v>0</v>
      </c>
      <c r="AT88" s="339"/>
      <c r="AU88" s="429">
        <f t="shared" si="52"/>
        <v>0</v>
      </c>
      <c r="AV88" s="339"/>
      <c r="AW88" s="429"/>
      <c r="AX88" s="339"/>
      <c r="AY88" s="429">
        <f t="shared" si="48"/>
        <v>0</v>
      </c>
      <c r="AZ88" s="276"/>
    </row>
    <row r="89" spans="1:52" x14ac:dyDescent="0.25">
      <c r="A89" s="1137"/>
      <c r="B89" s="449" t="s">
        <v>52</v>
      </c>
      <c r="C89" s="449"/>
      <c r="D89" s="448"/>
      <c r="E89" s="448"/>
      <c r="F89" s="448"/>
      <c r="G89" s="448"/>
      <c r="H89" s="448"/>
      <c r="I89" s="448"/>
      <c r="J89" s="448"/>
      <c r="K89" s="448"/>
      <c r="L89" s="448"/>
      <c r="M89" s="448"/>
      <c r="N89" s="448"/>
      <c r="O89" s="448"/>
      <c r="P89" s="448"/>
      <c r="Q89" s="448"/>
      <c r="R89" s="448"/>
      <c r="S89" s="448"/>
      <c r="T89" s="448"/>
      <c r="U89" s="448"/>
      <c r="V89" s="448"/>
      <c r="W89" s="448"/>
      <c r="X89" s="448"/>
      <c r="Y89" s="448"/>
      <c r="Z89" s="448"/>
      <c r="AA89" s="448"/>
      <c r="AB89" s="448"/>
      <c r="AC89" s="448"/>
      <c r="AD89" s="448"/>
      <c r="AE89" s="448"/>
      <c r="AF89" s="448"/>
      <c r="AG89" s="448"/>
      <c r="AH89" s="448"/>
      <c r="AI89" s="448"/>
      <c r="AJ89" s="448"/>
      <c r="AK89" s="448"/>
      <c r="AL89" s="448"/>
      <c r="AM89" s="429">
        <f t="shared" si="49"/>
        <v>0</v>
      </c>
      <c r="AN89" s="339"/>
      <c r="AO89" s="429">
        <f t="shared" si="50"/>
        <v>0</v>
      </c>
      <c r="AP89" s="339"/>
      <c r="AQ89" s="429">
        <f t="shared" si="51"/>
        <v>0</v>
      </c>
      <c r="AR89" s="339"/>
      <c r="AS89" s="429">
        <f t="shared" si="46"/>
        <v>0</v>
      </c>
      <c r="AT89" s="339"/>
      <c r="AU89" s="429">
        <f t="shared" si="52"/>
        <v>0</v>
      </c>
      <c r="AV89" s="339"/>
      <c r="AW89" s="429"/>
      <c r="AX89" s="339"/>
      <c r="AY89" s="429">
        <f t="shared" si="48"/>
        <v>0</v>
      </c>
      <c r="AZ89" s="276"/>
    </row>
    <row r="90" spans="1:52" x14ac:dyDescent="0.25">
      <c r="A90" s="1137"/>
      <c r="B90" s="449" t="s">
        <v>55</v>
      </c>
      <c r="C90" s="449"/>
      <c r="D90" s="448"/>
      <c r="E90" s="448"/>
      <c r="F90" s="448"/>
      <c r="G90" s="448"/>
      <c r="H90" s="448"/>
      <c r="I90" s="448"/>
      <c r="J90" s="915"/>
      <c r="K90" s="448"/>
      <c r="L90" s="448"/>
      <c r="M90" s="448"/>
      <c r="N90" s="448"/>
      <c r="O90" s="448"/>
      <c r="P90" s="448"/>
      <c r="Q90" s="448"/>
      <c r="R90" s="448"/>
      <c r="S90" s="448"/>
      <c r="T90" s="1142"/>
      <c r="U90" s="448"/>
      <c r="V90" s="448"/>
      <c r="W90" s="448"/>
      <c r="X90" s="448"/>
      <c r="Y90" s="1164"/>
      <c r="Z90" s="1164"/>
      <c r="AA90" s="448"/>
      <c r="AB90" s="448"/>
      <c r="AC90" s="1142"/>
      <c r="AD90" s="448"/>
      <c r="AE90" s="448"/>
      <c r="AF90" s="448"/>
      <c r="AG90" s="448"/>
      <c r="AH90" s="448"/>
      <c r="AI90" s="448"/>
      <c r="AJ90" s="448"/>
      <c r="AK90" s="448"/>
      <c r="AL90" s="448"/>
      <c r="AM90" s="429">
        <f t="shared" si="49"/>
        <v>0</v>
      </c>
      <c r="AN90" s="339"/>
      <c r="AO90" s="429">
        <f t="shared" si="50"/>
        <v>0</v>
      </c>
      <c r="AP90" s="339"/>
      <c r="AQ90" s="429">
        <f t="shared" si="51"/>
        <v>0</v>
      </c>
      <c r="AR90" s="339"/>
      <c r="AS90" s="429">
        <f t="shared" si="46"/>
        <v>0</v>
      </c>
      <c r="AT90" s="339"/>
      <c r="AU90" s="429">
        <f t="shared" si="52"/>
        <v>0</v>
      </c>
      <c r="AV90" s="339"/>
      <c r="AW90" s="429"/>
      <c r="AX90" s="339"/>
      <c r="AY90" s="429">
        <f t="shared" si="48"/>
        <v>0</v>
      </c>
      <c r="AZ90" s="276"/>
    </row>
    <row r="91" spans="1:52" x14ac:dyDescent="0.25">
      <c r="A91" s="1137"/>
      <c r="B91" s="449" t="s">
        <v>57</v>
      </c>
      <c r="C91" s="449"/>
      <c r="D91" s="448"/>
      <c r="E91" s="448"/>
      <c r="F91" s="448"/>
      <c r="G91" s="448"/>
      <c r="H91" s="448"/>
      <c r="I91" s="448"/>
      <c r="J91" s="448"/>
      <c r="K91" s="448"/>
      <c r="L91" s="448"/>
      <c r="M91" s="448"/>
      <c r="N91" s="448"/>
      <c r="O91" s="448"/>
      <c r="P91" s="448"/>
      <c r="Q91" s="448"/>
      <c r="R91" s="448"/>
      <c r="S91" s="448"/>
      <c r="T91" s="915"/>
      <c r="U91" s="448"/>
      <c r="V91" s="448"/>
      <c r="W91" s="448"/>
      <c r="X91" s="448"/>
      <c r="Y91" s="448"/>
      <c r="Z91" s="448"/>
      <c r="AA91" s="448"/>
      <c r="AB91" s="448"/>
      <c r="AC91" s="448"/>
      <c r="AD91" s="448"/>
      <c r="AE91" s="448"/>
      <c r="AF91" s="448"/>
      <c r="AG91" s="448"/>
      <c r="AH91" s="448"/>
      <c r="AI91" s="448"/>
      <c r="AJ91" s="448"/>
      <c r="AK91" s="448"/>
      <c r="AL91" s="448"/>
      <c r="AM91" s="429">
        <f t="shared" si="49"/>
        <v>0</v>
      </c>
      <c r="AN91" s="339"/>
      <c r="AO91" s="429">
        <f t="shared" si="50"/>
        <v>0</v>
      </c>
      <c r="AP91" s="339"/>
      <c r="AQ91" s="429">
        <f t="shared" si="51"/>
        <v>0</v>
      </c>
      <c r="AR91" s="339"/>
      <c r="AS91" s="429">
        <f t="shared" si="46"/>
        <v>0</v>
      </c>
      <c r="AT91" s="339"/>
      <c r="AU91" s="429">
        <f t="shared" si="52"/>
        <v>0</v>
      </c>
      <c r="AV91" s="339"/>
      <c r="AW91" s="429"/>
      <c r="AX91" s="339"/>
      <c r="AY91" s="429">
        <f t="shared" si="48"/>
        <v>0</v>
      </c>
      <c r="AZ91" s="276"/>
    </row>
    <row r="92" spans="1:52" x14ac:dyDescent="0.25">
      <c r="A92" s="1137"/>
      <c r="B92" s="449" t="s">
        <v>6121</v>
      </c>
      <c r="C92" s="449"/>
      <c r="D92" s="448"/>
      <c r="E92" s="448"/>
      <c r="F92" s="448"/>
      <c r="G92" s="448"/>
      <c r="H92" s="448"/>
      <c r="I92" s="448"/>
      <c r="J92" s="448"/>
      <c r="K92" s="448"/>
      <c r="L92" s="448"/>
      <c r="M92" s="448"/>
      <c r="N92" s="448"/>
      <c r="O92" s="448"/>
      <c r="P92" s="448"/>
      <c r="Q92" s="448"/>
      <c r="R92" s="448"/>
      <c r="S92" s="448"/>
      <c r="T92" s="915"/>
      <c r="U92" s="448"/>
      <c r="V92" s="448"/>
      <c r="W92" s="448"/>
      <c r="X92" s="448"/>
      <c r="Y92" s="448"/>
      <c r="Z92" s="448"/>
      <c r="AA92" s="448"/>
      <c r="AB92" s="448"/>
      <c r="AC92" s="448"/>
      <c r="AD92" s="448"/>
      <c r="AE92" s="448"/>
      <c r="AF92" s="448"/>
      <c r="AG92" s="448"/>
      <c r="AH92" s="448"/>
      <c r="AI92" s="448"/>
      <c r="AJ92" s="448"/>
      <c r="AK92" s="448"/>
      <c r="AL92" s="448"/>
      <c r="AM92" s="429"/>
      <c r="AN92" s="339"/>
      <c r="AO92" s="429"/>
      <c r="AP92" s="339"/>
      <c r="AQ92" s="429"/>
      <c r="AR92" s="339"/>
      <c r="AS92" s="429"/>
      <c r="AT92" s="339"/>
      <c r="AU92" s="429"/>
      <c r="AV92" s="339"/>
      <c r="AW92" s="429"/>
      <c r="AX92" s="339"/>
      <c r="AY92" s="429"/>
      <c r="AZ92" s="276"/>
    </row>
    <row r="93" spans="1:52" x14ac:dyDescent="0.25">
      <c r="A93" s="1137"/>
      <c r="B93" s="449" t="s">
        <v>5974</v>
      </c>
      <c r="C93" s="449"/>
      <c r="D93" s="448"/>
      <c r="E93" s="448"/>
      <c r="F93" s="448"/>
      <c r="G93" s="448"/>
      <c r="H93" s="448"/>
      <c r="I93" s="448"/>
      <c r="J93" s="448"/>
      <c r="K93" s="448"/>
      <c r="L93" s="448"/>
      <c r="M93" s="448"/>
      <c r="N93" s="448"/>
      <c r="O93" s="448"/>
      <c r="P93" s="448"/>
      <c r="Q93" s="448"/>
      <c r="R93" s="448"/>
      <c r="S93" s="448"/>
      <c r="T93" s="448"/>
      <c r="U93" s="448"/>
      <c r="V93" s="448"/>
      <c r="W93" s="448"/>
      <c r="X93" s="448"/>
      <c r="Y93" s="448"/>
      <c r="Z93" s="448"/>
      <c r="AA93" s="448"/>
      <c r="AB93" s="448"/>
      <c r="AC93" s="448"/>
      <c r="AD93" s="448"/>
      <c r="AE93" s="448"/>
      <c r="AF93" s="448"/>
      <c r="AG93" s="448"/>
      <c r="AH93" s="448"/>
      <c r="AI93" s="448"/>
      <c r="AJ93" s="448"/>
      <c r="AK93" s="448"/>
      <c r="AL93" s="448"/>
      <c r="AM93" s="429">
        <f t="shared" si="49"/>
        <v>0</v>
      </c>
      <c r="AN93" s="339"/>
      <c r="AO93" s="429">
        <f t="shared" si="50"/>
        <v>0</v>
      </c>
      <c r="AP93" s="339"/>
      <c r="AQ93" s="429">
        <f t="shared" si="51"/>
        <v>0</v>
      </c>
      <c r="AR93" s="339"/>
      <c r="AS93" s="429">
        <f t="shared" si="46"/>
        <v>0</v>
      </c>
      <c r="AT93" s="339"/>
      <c r="AU93" s="429">
        <f t="shared" si="52"/>
        <v>0</v>
      </c>
      <c r="AV93" s="339"/>
      <c r="AW93" s="429"/>
      <c r="AX93" s="339"/>
      <c r="AY93" s="429">
        <f t="shared" si="48"/>
        <v>0</v>
      </c>
      <c r="AZ93" s="276"/>
    </row>
    <row r="94" spans="1:52" x14ac:dyDescent="0.25">
      <c r="A94" s="1137"/>
      <c r="B94" s="449" t="s">
        <v>59</v>
      </c>
      <c r="C94" s="449"/>
      <c r="D94" s="448"/>
      <c r="E94" s="448"/>
      <c r="F94" s="448"/>
      <c r="G94" s="448"/>
      <c r="H94" s="448"/>
      <c r="I94" s="448"/>
      <c r="J94" s="448"/>
      <c r="K94" s="448"/>
      <c r="L94" s="448"/>
      <c r="M94" s="448"/>
      <c r="N94" s="448"/>
      <c r="O94" s="448"/>
      <c r="P94" s="448"/>
      <c r="Q94" s="448"/>
      <c r="R94" s="448"/>
      <c r="S94" s="448"/>
      <c r="T94" s="448"/>
      <c r="U94" s="448"/>
      <c r="V94" s="448"/>
      <c r="W94" s="448"/>
      <c r="X94" s="448"/>
      <c r="Y94" s="448"/>
      <c r="Z94" s="448"/>
      <c r="AA94" s="448"/>
      <c r="AB94" s="448"/>
      <c r="AC94" s="448"/>
      <c r="AD94" s="448"/>
      <c r="AE94" s="448"/>
      <c r="AF94" s="448"/>
      <c r="AG94" s="448"/>
      <c r="AH94" s="448"/>
      <c r="AI94" s="448"/>
      <c r="AJ94" s="448"/>
      <c r="AK94" s="448"/>
      <c r="AL94" s="448"/>
      <c r="AM94" s="429">
        <f t="shared" si="49"/>
        <v>0</v>
      </c>
      <c r="AN94" s="339"/>
      <c r="AO94" s="429">
        <f t="shared" si="50"/>
        <v>0</v>
      </c>
      <c r="AP94" s="339"/>
      <c r="AQ94" s="429">
        <f t="shared" si="51"/>
        <v>0</v>
      </c>
      <c r="AR94" s="339"/>
      <c r="AS94" s="429">
        <f t="shared" si="46"/>
        <v>0</v>
      </c>
      <c r="AT94" s="339"/>
      <c r="AU94" s="429">
        <f t="shared" si="52"/>
        <v>0</v>
      </c>
      <c r="AV94" s="339"/>
      <c r="AW94" s="429"/>
      <c r="AX94" s="339"/>
      <c r="AY94" s="429">
        <f t="shared" si="48"/>
        <v>0</v>
      </c>
      <c r="AZ94" s="276"/>
    </row>
    <row r="95" spans="1:52" x14ac:dyDescent="0.25">
      <c r="A95" s="1137"/>
      <c r="B95" s="449" t="s">
        <v>5945</v>
      </c>
      <c r="C95" s="449"/>
      <c r="D95" s="448"/>
      <c r="E95" s="448"/>
      <c r="F95" s="448"/>
      <c r="G95" s="448"/>
      <c r="H95" s="448"/>
      <c r="I95" s="448"/>
      <c r="J95" s="448"/>
      <c r="L95" s="448"/>
      <c r="M95" s="448"/>
      <c r="N95" s="448"/>
      <c r="O95" s="448"/>
      <c r="P95" s="448"/>
      <c r="Q95" s="448"/>
      <c r="R95" s="448"/>
      <c r="S95" s="448"/>
      <c r="T95" s="448"/>
      <c r="U95" s="448"/>
      <c r="V95" s="448"/>
      <c r="X95" s="448"/>
      <c r="Y95" s="448"/>
      <c r="Z95" s="448"/>
      <c r="AA95" s="448"/>
      <c r="AB95" s="448"/>
      <c r="AC95" s="448"/>
      <c r="AD95" s="448"/>
      <c r="AE95" s="448"/>
      <c r="AF95" s="448"/>
      <c r="AG95" s="448"/>
      <c r="AH95" s="448"/>
      <c r="AI95" s="448"/>
      <c r="AJ95" s="448"/>
      <c r="AK95" s="448"/>
      <c r="AL95" s="448"/>
      <c r="AM95" s="429">
        <f t="shared" si="49"/>
        <v>0</v>
      </c>
      <c r="AN95" s="339"/>
      <c r="AO95" s="429">
        <f t="shared" si="50"/>
        <v>0</v>
      </c>
      <c r="AP95" s="339"/>
      <c r="AQ95" s="429">
        <f t="shared" si="51"/>
        <v>0</v>
      </c>
      <c r="AR95" s="339"/>
      <c r="AS95" s="429">
        <f t="shared" si="46"/>
        <v>0</v>
      </c>
      <c r="AT95" s="339"/>
      <c r="AU95" s="429">
        <f t="shared" si="52"/>
        <v>0</v>
      </c>
      <c r="AV95" s="339"/>
      <c r="AW95" s="429"/>
      <c r="AX95" s="339"/>
      <c r="AY95" s="429">
        <f t="shared" si="48"/>
        <v>0</v>
      </c>
      <c r="AZ95" s="276"/>
    </row>
    <row r="96" spans="1:52" x14ac:dyDescent="0.25">
      <c r="A96" s="1137"/>
      <c r="B96" s="449" t="s">
        <v>61</v>
      </c>
      <c r="C96" s="449"/>
      <c r="D96" s="448"/>
      <c r="E96" s="448"/>
      <c r="F96" s="448"/>
      <c r="G96" s="448"/>
      <c r="H96" s="448"/>
      <c r="I96" s="448"/>
      <c r="J96" s="448"/>
      <c r="K96" s="448"/>
      <c r="L96" s="448"/>
      <c r="M96" s="448"/>
      <c r="N96" s="448"/>
      <c r="O96" s="448"/>
      <c r="P96" s="448"/>
      <c r="Q96" s="448"/>
      <c r="R96" s="448"/>
      <c r="S96" s="448"/>
      <c r="T96" s="448"/>
      <c r="U96" s="448"/>
      <c r="V96" s="448"/>
      <c r="W96" s="448"/>
      <c r="X96" s="448"/>
      <c r="Y96" s="448"/>
      <c r="Z96" s="448"/>
      <c r="AA96" s="448"/>
      <c r="AB96" s="448"/>
      <c r="AC96" s="448"/>
      <c r="AD96" s="448"/>
      <c r="AE96" s="448"/>
      <c r="AF96" s="448"/>
      <c r="AG96" s="448"/>
      <c r="AH96" s="448"/>
      <c r="AI96" s="448"/>
      <c r="AJ96" s="448"/>
      <c r="AK96" s="448"/>
      <c r="AL96" s="448"/>
      <c r="AM96" s="429">
        <f t="shared" si="49"/>
        <v>0</v>
      </c>
      <c r="AN96" s="339"/>
      <c r="AO96" s="429">
        <f t="shared" si="50"/>
        <v>0</v>
      </c>
      <c r="AP96" s="339"/>
      <c r="AQ96" s="429">
        <f t="shared" si="51"/>
        <v>0</v>
      </c>
      <c r="AR96" s="339"/>
      <c r="AS96" s="429">
        <f t="shared" si="46"/>
        <v>0</v>
      </c>
      <c r="AT96" s="339"/>
      <c r="AU96" s="429">
        <f t="shared" si="52"/>
        <v>0</v>
      </c>
      <c r="AV96" s="339"/>
      <c r="AW96" s="429"/>
      <c r="AX96" s="339"/>
      <c r="AY96" s="429">
        <f t="shared" si="48"/>
        <v>0</v>
      </c>
      <c r="AZ96" s="276"/>
    </row>
    <row r="97" spans="1:52" x14ac:dyDescent="0.25">
      <c r="A97" s="1137"/>
      <c r="B97" s="449" t="s">
        <v>62</v>
      </c>
      <c r="C97" s="449"/>
      <c r="D97" s="448"/>
      <c r="E97" s="448"/>
      <c r="F97" s="448"/>
      <c r="G97" s="448"/>
      <c r="H97" s="448"/>
      <c r="I97" s="448"/>
      <c r="J97" s="448"/>
      <c r="K97" s="448"/>
      <c r="L97" s="448"/>
      <c r="M97" s="448"/>
      <c r="N97" s="448"/>
      <c r="O97" s="448"/>
      <c r="P97" s="448"/>
      <c r="Q97" s="448"/>
      <c r="R97" s="448"/>
      <c r="S97" s="448"/>
      <c r="T97" s="448"/>
      <c r="U97" s="448"/>
      <c r="V97" s="448"/>
      <c r="W97" s="448"/>
      <c r="X97" s="448"/>
      <c r="Y97" s="336"/>
      <c r="Z97" s="448"/>
      <c r="AA97" s="448"/>
      <c r="AB97" s="448"/>
      <c r="AC97" s="448"/>
      <c r="AD97" s="448"/>
      <c r="AE97" s="448"/>
      <c r="AF97" s="448"/>
      <c r="AG97" s="448"/>
      <c r="AH97" s="448"/>
      <c r="AI97" s="448"/>
      <c r="AJ97" s="448"/>
      <c r="AK97" s="448"/>
      <c r="AL97" s="448"/>
      <c r="AM97" s="429">
        <f t="shared" si="49"/>
        <v>0</v>
      </c>
      <c r="AN97" s="339"/>
      <c r="AO97" s="429">
        <f t="shared" si="50"/>
        <v>0</v>
      </c>
      <c r="AP97" s="339"/>
      <c r="AQ97" s="429">
        <f t="shared" si="51"/>
        <v>0</v>
      </c>
      <c r="AR97" s="339"/>
      <c r="AS97" s="429">
        <f t="shared" si="46"/>
        <v>0</v>
      </c>
      <c r="AT97" s="339"/>
      <c r="AU97" s="429">
        <f t="shared" si="52"/>
        <v>0</v>
      </c>
      <c r="AV97" s="339"/>
      <c r="AW97" s="429"/>
      <c r="AX97" s="339"/>
      <c r="AY97" s="429">
        <f t="shared" si="48"/>
        <v>0</v>
      </c>
      <c r="AZ97" s="276"/>
    </row>
    <row r="98" spans="1:52" x14ac:dyDescent="0.25">
      <c r="A98" s="447"/>
      <c r="B98" s="449" t="s">
        <v>6087</v>
      </c>
      <c r="C98" s="449"/>
      <c r="D98" s="448"/>
      <c r="E98" s="448"/>
      <c r="F98" s="448"/>
      <c r="G98" s="448"/>
      <c r="H98" s="448"/>
      <c r="I98" s="448"/>
      <c r="J98" s="448"/>
      <c r="K98" s="448"/>
      <c r="L98" s="448"/>
      <c r="M98" s="448"/>
      <c r="N98" s="448"/>
      <c r="O98" s="448"/>
      <c r="P98" s="448"/>
      <c r="Q98" s="448"/>
      <c r="R98" s="448"/>
      <c r="S98" s="448"/>
      <c r="T98" s="448"/>
      <c r="U98" s="448"/>
      <c r="V98" s="448"/>
      <c r="W98" s="448"/>
      <c r="X98" s="448"/>
      <c r="Y98" s="336"/>
      <c r="Z98" s="448"/>
      <c r="AA98" s="448"/>
      <c r="AB98" s="448"/>
      <c r="AC98" s="448"/>
      <c r="AD98" s="448"/>
      <c r="AE98" s="448"/>
      <c r="AF98" s="448"/>
      <c r="AG98" s="448"/>
      <c r="AH98" s="448"/>
      <c r="AI98" s="448"/>
      <c r="AJ98" s="448"/>
      <c r="AK98" s="448"/>
      <c r="AL98" s="448"/>
      <c r="AM98" s="429"/>
      <c r="AN98" s="339"/>
      <c r="AO98" s="429"/>
      <c r="AP98" s="339"/>
      <c r="AQ98" s="429"/>
      <c r="AR98" s="339"/>
      <c r="AS98" s="429"/>
      <c r="AT98" s="339"/>
      <c r="AU98" s="429"/>
      <c r="AV98" s="339"/>
      <c r="AW98" s="429"/>
      <c r="AX98" s="339"/>
      <c r="AY98" s="429"/>
      <c r="AZ98" s="276"/>
    </row>
    <row r="99" spans="1:52" x14ac:dyDescent="0.25">
      <c r="A99" s="447"/>
      <c r="B99" s="449" t="s">
        <v>64</v>
      </c>
      <c r="C99" s="449"/>
      <c r="D99" s="448"/>
      <c r="E99" s="448"/>
      <c r="F99" s="448"/>
      <c r="G99" s="448"/>
      <c r="H99" s="448"/>
      <c r="I99" s="448"/>
      <c r="J99" s="448"/>
      <c r="K99" s="448"/>
      <c r="L99" s="448"/>
      <c r="M99" s="448"/>
      <c r="N99" s="448"/>
      <c r="O99" s="448"/>
      <c r="P99" s="448"/>
      <c r="Q99" s="448"/>
      <c r="R99" s="448"/>
      <c r="S99" s="448"/>
      <c r="T99" s="448"/>
      <c r="U99" s="448"/>
      <c r="V99" s="448"/>
      <c r="W99" s="448"/>
      <c r="X99" s="448"/>
      <c r="Y99" s="336"/>
      <c r="Z99" s="448"/>
      <c r="AA99" s="448"/>
      <c r="AB99" s="448"/>
      <c r="AC99" s="448"/>
      <c r="AD99" s="448"/>
      <c r="AE99" s="448"/>
      <c r="AF99" s="448"/>
      <c r="AG99" s="448"/>
      <c r="AH99" s="448"/>
      <c r="AI99" s="448"/>
      <c r="AJ99" s="448"/>
      <c r="AK99" s="448"/>
      <c r="AL99" s="448"/>
      <c r="AM99" s="429">
        <f t="shared" si="49"/>
        <v>0</v>
      </c>
      <c r="AN99" s="339"/>
      <c r="AO99" s="429">
        <f t="shared" si="50"/>
        <v>0</v>
      </c>
      <c r="AP99" s="339"/>
      <c r="AQ99" s="429">
        <f t="shared" si="51"/>
        <v>0</v>
      </c>
      <c r="AR99" s="339"/>
      <c r="AS99" s="429">
        <f t="shared" si="46"/>
        <v>0</v>
      </c>
      <c r="AT99" s="339"/>
      <c r="AU99" s="429">
        <f t="shared" si="52"/>
        <v>0</v>
      </c>
      <c r="AV99" s="339"/>
      <c r="AW99" s="429"/>
      <c r="AX99" s="339"/>
      <c r="AY99" s="429">
        <f t="shared" si="48"/>
        <v>0</v>
      </c>
      <c r="AZ99" s="276"/>
    </row>
    <row r="100" spans="1:52" x14ac:dyDescent="0.25">
      <c r="A100" s="447"/>
      <c r="B100" s="449" t="s">
        <v>4881</v>
      </c>
      <c r="C100" s="449"/>
      <c r="D100" s="448"/>
      <c r="E100" s="448"/>
      <c r="F100" s="448"/>
      <c r="G100" s="448"/>
      <c r="H100" s="448"/>
      <c r="I100" s="448"/>
      <c r="J100" s="448"/>
      <c r="K100" s="448"/>
      <c r="L100" s="448"/>
      <c r="M100" s="448"/>
      <c r="N100" s="448"/>
      <c r="O100" s="448"/>
      <c r="P100" s="448"/>
      <c r="Q100" s="448"/>
      <c r="R100" s="448"/>
      <c r="S100" s="448"/>
      <c r="T100" s="448"/>
      <c r="U100" s="448"/>
      <c r="V100" s="448"/>
      <c r="W100" s="448"/>
      <c r="X100" s="448"/>
      <c r="Y100" s="336"/>
      <c r="Z100" s="448"/>
      <c r="AA100" s="448"/>
      <c r="AB100" s="448"/>
      <c r="AC100" s="448"/>
      <c r="AD100" s="448"/>
      <c r="AE100" s="448"/>
      <c r="AF100" s="448"/>
      <c r="AG100" s="448"/>
      <c r="AH100" s="448"/>
      <c r="AI100" s="448"/>
      <c r="AJ100" s="448"/>
      <c r="AK100" s="448"/>
      <c r="AL100" s="448"/>
      <c r="AM100" s="429">
        <f t="shared" si="49"/>
        <v>0</v>
      </c>
      <c r="AN100" s="339"/>
      <c r="AO100" s="429">
        <f t="shared" si="50"/>
        <v>0</v>
      </c>
      <c r="AP100" s="339"/>
      <c r="AQ100" s="429">
        <f t="shared" si="51"/>
        <v>0</v>
      </c>
      <c r="AR100" s="339"/>
      <c r="AS100" s="429">
        <f t="shared" si="46"/>
        <v>0</v>
      </c>
      <c r="AT100" s="339"/>
      <c r="AU100" s="429">
        <f t="shared" si="52"/>
        <v>0</v>
      </c>
      <c r="AV100" s="339"/>
      <c r="AW100" s="429"/>
      <c r="AX100" s="339"/>
      <c r="AY100" s="429">
        <f t="shared" si="48"/>
        <v>0</v>
      </c>
      <c r="AZ100" s="276"/>
    </row>
    <row r="101" spans="1:52" x14ac:dyDescent="0.25">
      <c r="A101" s="447"/>
      <c r="B101" s="449" t="s">
        <v>5985</v>
      </c>
      <c r="C101" s="449"/>
      <c r="D101" s="448"/>
      <c r="E101" s="448"/>
      <c r="F101" s="448"/>
      <c r="G101" s="448"/>
      <c r="H101" s="448"/>
      <c r="I101" s="448"/>
      <c r="J101" s="448"/>
      <c r="K101" s="448"/>
      <c r="L101" s="448"/>
      <c r="M101" s="448"/>
      <c r="N101" s="448"/>
      <c r="O101" s="448"/>
      <c r="P101" s="448"/>
      <c r="Q101" s="448"/>
      <c r="R101" s="448"/>
      <c r="S101" s="448"/>
      <c r="T101" s="448"/>
      <c r="U101" s="448"/>
      <c r="V101" s="448"/>
      <c r="W101" s="448"/>
      <c r="X101" s="448"/>
      <c r="Y101" s="336"/>
      <c r="Z101" s="448"/>
      <c r="AA101" s="448"/>
      <c r="AB101" s="448"/>
      <c r="AC101" s="448"/>
      <c r="AD101" s="448"/>
      <c r="AE101" s="448"/>
      <c r="AF101" s="448"/>
      <c r="AG101" s="448"/>
      <c r="AH101" s="448"/>
      <c r="AI101" s="448"/>
      <c r="AJ101" s="448"/>
      <c r="AK101" s="448"/>
      <c r="AL101" s="448"/>
      <c r="AM101" s="429">
        <f t="shared" si="49"/>
        <v>0</v>
      </c>
      <c r="AN101" s="339"/>
      <c r="AO101" s="429">
        <f t="shared" si="50"/>
        <v>0</v>
      </c>
      <c r="AP101" s="339"/>
      <c r="AQ101" s="429">
        <f t="shared" si="51"/>
        <v>0</v>
      </c>
      <c r="AR101" s="339"/>
      <c r="AS101" s="429">
        <f t="shared" si="46"/>
        <v>0</v>
      </c>
      <c r="AT101" s="339"/>
      <c r="AU101" s="429">
        <f t="shared" si="52"/>
        <v>0</v>
      </c>
      <c r="AV101" s="339"/>
      <c r="AW101" s="429"/>
      <c r="AX101" s="339"/>
      <c r="AY101" s="429">
        <f t="shared" si="48"/>
        <v>0</v>
      </c>
      <c r="AZ101" s="276"/>
    </row>
    <row r="102" spans="1:52" x14ac:dyDescent="0.25">
      <c r="A102" s="447"/>
      <c r="B102" s="449" t="s">
        <v>155</v>
      </c>
      <c r="C102" s="449"/>
      <c r="D102" s="448"/>
      <c r="E102" s="448"/>
      <c r="F102" s="448"/>
      <c r="G102" s="448"/>
      <c r="H102" s="448"/>
      <c r="I102" s="448"/>
      <c r="J102" s="448"/>
      <c r="K102" s="448"/>
      <c r="L102" s="448"/>
      <c r="M102" s="448"/>
      <c r="N102" s="448"/>
      <c r="O102" s="448"/>
      <c r="P102" s="448"/>
      <c r="Q102" s="448"/>
      <c r="R102" s="448"/>
      <c r="S102" s="448"/>
      <c r="T102" s="448"/>
      <c r="U102" s="448"/>
      <c r="V102" s="448"/>
      <c r="W102" s="448"/>
      <c r="X102" s="448"/>
      <c r="Y102" s="336"/>
      <c r="Z102" s="448"/>
      <c r="AA102" s="448"/>
      <c r="AB102" s="448"/>
      <c r="AC102" s="448"/>
      <c r="AD102" s="448"/>
      <c r="AE102" s="448"/>
      <c r="AF102" s="448"/>
      <c r="AG102" s="448"/>
      <c r="AH102" s="448"/>
      <c r="AI102" s="448"/>
      <c r="AJ102" s="448"/>
      <c r="AK102" s="448"/>
      <c r="AL102" s="448"/>
      <c r="AM102" s="429">
        <f t="shared" si="49"/>
        <v>0</v>
      </c>
      <c r="AN102" s="339"/>
      <c r="AO102" s="429">
        <f t="shared" si="50"/>
        <v>0</v>
      </c>
      <c r="AP102" s="339"/>
      <c r="AQ102" s="429">
        <f t="shared" si="51"/>
        <v>0</v>
      </c>
      <c r="AR102" s="339"/>
      <c r="AS102" s="429">
        <f t="shared" si="46"/>
        <v>0</v>
      </c>
      <c r="AT102" s="339"/>
      <c r="AU102" s="429">
        <f t="shared" si="52"/>
        <v>0</v>
      </c>
      <c r="AV102" s="339"/>
      <c r="AW102" s="429"/>
      <c r="AX102" s="339"/>
      <c r="AY102" s="429">
        <f t="shared" si="48"/>
        <v>0</v>
      </c>
      <c r="AZ102" s="276"/>
    </row>
    <row r="103" spans="1:52" x14ac:dyDescent="0.25">
      <c r="A103" s="447"/>
      <c r="B103" s="449" t="s">
        <v>68</v>
      </c>
      <c r="C103" s="449"/>
      <c r="D103" s="448"/>
      <c r="E103" s="448"/>
      <c r="F103" s="448"/>
      <c r="G103" s="448"/>
      <c r="H103" s="448"/>
      <c r="I103" s="448"/>
      <c r="J103" s="448"/>
      <c r="K103" s="448"/>
      <c r="L103" s="448"/>
      <c r="M103" s="448"/>
      <c r="N103" s="448"/>
      <c r="O103" s="448"/>
      <c r="P103" s="448"/>
      <c r="Q103" s="448"/>
      <c r="R103" s="448"/>
      <c r="S103" s="448"/>
      <c r="T103" s="448"/>
      <c r="U103" s="448"/>
      <c r="V103" s="448"/>
      <c r="W103" s="448"/>
      <c r="X103" s="448"/>
      <c r="Y103" s="336"/>
      <c r="Z103" s="448"/>
      <c r="AA103" s="448"/>
      <c r="AB103" s="448"/>
      <c r="AC103" s="448"/>
      <c r="AD103" s="448"/>
      <c r="AE103" s="448"/>
      <c r="AF103" s="448"/>
      <c r="AG103" s="448"/>
      <c r="AH103" s="448"/>
      <c r="AI103" s="448"/>
      <c r="AJ103" s="448"/>
      <c r="AK103" s="448"/>
      <c r="AL103" s="448"/>
      <c r="AM103" s="429">
        <f t="shared" si="49"/>
        <v>0</v>
      </c>
      <c r="AN103" s="339"/>
      <c r="AO103" s="429">
        <f t="shared" si="50"/>
        <v>0</v>
      </c>
      <c r="AP103" s="339"/>
      <c r="AQ103" s="429">
        <f t="shared" si="51"/>
        <v>0</v>
      </c>
      <c r="AR103" s="339"/>
      <c r="AS103" s="429">
        <f t="shared" si="46"/>
        <v>0</v>
      </c>
      <c r="AT103" s="339"/>
      <c r="AU103" s="429">
        <f t="shared" si="52"/>
        <v>0</v>
      </c>
      <c r="AV103" s="339"/>
      <c r="AW103" s="429"/>
      <c r="AX103" s="339"/>
      <c r="AY103" s="429">
        <f t="shared" si="48"/>
        <v>0</v>
      </c>
      <c r="AZ103" s="276"/>
    </row>
    <row r="104" spans="1:52" x14ac:dyDescent="0.25">
      <c r="A104" s="447"/>
      <c r="B104" s="449" t="s">
        <v>70</v>
      </c>
      <c r="C104" s="893"/>
      <c r="D104" s="448"/>
      <c r="E104" s="448"/>
      <c r="F104" s="448"/>
      <c r="G104" s="448"/>
      <c r="H104" s="448"/>
      <c r="I104" s="448"/>
      <c r="J104" s="448"/>
      <c r="K104" s="448"/>
      <c r="L104" s="448"/>
      <c r="M104" s="448"/>
      <c r="N104" s="448"/>
      <c r="O104" s="448"/>
      <c r="P104" s="448"/>
      <c r="Q104" s="448"/>
      <c r="R104" s="448"/>
      <c r="S104" s="448"/>
      <c r="T104" s="448"/>
      <c r="U104" s="448"/>
      <c r="V104" s="448"/>
      <c r="W104" s="448"/>
      <c r="X104" s="448"/>
      <c r="Y104" s="336"/>
      <c r="Z104" s="448"/>
      <c r="AA104" s="448"/>
      <c r="AB104" s="448"/>
      <c r="AC104" s="448"/>
      <c r="AD104" s="448"/>
      <c r="AE104" s="448"/>
      <c r="AF104" s="448"/>
      <c r="AG104" s="448"/>
      <c r="AH104" s="448"/>
      <c r="AI104" s="448"/>
      <c r="AJ104" s="448"/>
      <c r="AK104" s="448"/>
      <c r="AL104" s="448"/>
      <c r="AM104" s="429">
        <f t="shared" si="49"/>
        <v>0</v>
      </c>
      <c r="AN104" s="339"/>
      <c r="AO104" s="429">
        <f t="shared" si="50"/>
        <v>0</v>
      </c>
      <c r="AP104" s="339"/>
      <c r="AQ104" s="429">
        <f t="shared" si="51"/>
        <v>0</v>
      </c>
      <c r="AR104" s="339"/>
      <c r="AS104" s="429">
        <f t="shared" si="46"/>
        <v>0</v>
      </c>
      <c r="AT104" s="339"/>
      <c r="AU104" s="429">
        <f t="shared" si="52"/>
        <v>0</v>
      </c>
      <c r="AV104" s="339"/>
      <c r="AW104" s="429"/>
      <c r="AX104" s="339"/>
      <c r="AY104" s="429">
        <f t="shared" si="48"/>
        <v>0</v>
      </c>
      <c r="AZ104" s="276"/>
    </row>
    <row r="105" spans="1:52" x14ac:dyDescent="0.25">
      <c r="A105" s="935" t="s">
        <v>169</v>
      </c>
      <c r="B105" s="936"/>
      <c r="C105" s="287"/>
      <c r="D105" s="1333">
        <f>SUM(D75:D104)</f>
        <v>0</v>
      </c>
      <c r="E105" s="871">
        <f t="shared" ref="E105:AL105" si="53">SUM(E75:E104)</f>
        <v>0</v>
      </c>
      <c r="F105" s="871">
        <f t="shared" si="53"/>
        <v>0</v>
      </c>
      <c r="G105" s="871">
        <f t="shared" si="53"/>
        <v>0</v>
      </c>
      <c r="H105" s="871">
        <f t="shared" si="53"/>
        <v>582656804</v>
      </c>
      <c r="I105" s="871">
        <f t="shared" si="53"/>
        <v>0</v>
      </c>
      <c r="J105" s="871">
        <f t="shared" si="53"/>
        <v>0</v>
      </c>
      <c r="K105" s="871">
        <f t="shared" si="53"/>
        <v>0</v>
      </c>
      <c r="L105" s="871">
        <f t="shared" si="53"/>
        <v>0</v>
      </c>
      <c r="M105" s="871">
        <f t="shared" si="53"/>
        <v>0</v>
      </c>
      <c r="N105" s="871">
        <f t="shared" si="53"/>
        <v>0</v>
      </c>
      <c r="O105" s="871">
        <f t="shared" si="53"/>
        <v>0</v>
      </c>
      <c r="P105" s="871">
        <f t="shared" si="53"/>
        <v>0</v>
      </c>
      <c r="Q105" s="871">
        <f t="shared" si="53"/>
        <v>0</v>
      </c>
      <c r="R105" s="871">
        <f t="shared" si="53"/>
        <v>0</v>
      </c>
      <c r="S105" s="871">
        <f t="shared" si="53"/>
        <v>0</v>
      </c>
      <c r="T105" s="871">
        <f t="shared" si="53"/>
        <v>0</v>
      </c>
      <c r="U105" s="871">
        <f t="shared" si="53"/>
        <v>0</v>
      </c>
      <c r="V105" s="871">
        <f t="shared" si="53"/>
        <v>0</v>
      </c>
      <c r="W105" s="871">
        <f t="shared" si="53"/>
        <v>0</v>
      </c>
      <c r="X105" s="871">
        <f t="shared" si="53"/>
        <v>0</v>
      </c>
      <c r="Y105" s="871">
        <f t="shared" si="53"/>
        <v>0</v>
      </c>
      <c r="Z105" s="871">
        <f t="shared" si="53"/>
        <v>0</v>
      </c>
      <c r="AA105" s="871">
        <f t="shared" si="53"/>
        <v>0</v>
      </c>
      <c r="AB105" s="871">
        <f t="shared" si="53"/>
        <v>0</v>
      </c>
      <c r="AC105" s="871">
        <f t="shared" si="53"/>
        <v>0</v>
      </c>
      <c r="AD105" s="871">
        <f t="shared" si="53"/>
        <v>0</v>
      </c>
      <c r="AE105" s="871">
        <f t="shared" si="53"/>
        <v>0</v>
      </c>
      <c r="AF105" s="871">
        <f t="shared" si="53"/>
        <v>0</v>
      </c>
      <c r="AG105" s="871">
        <f t="shared" si="53"/>
        <v>0</v>
      </c>
      <c r="AH105" s="871">
        <f t="shared" si="53"/>
        <v>0</v>
      </c>
      <c r="AI105" s="871">
        <f t="shared" si="53"/>
        <v>0</v>
      </c>
      <c r="AJ105" s="871">
        <f t="shared" si="53"/>
        <v>0</v>
      </c>
      <c r="AK105" s="871">
        <f t="shared" si="53"/>
        <v>0</v>
      </c>
      <c r="AL105" s="871">
        <f t="shared" si="53"/>
        <v>0</v>
      </c>
      <c r="AM105" s="871">
        <f>SUM(AM75:AM104)</f>
        <v>582656804</v>
      </c>
      <c r="AN105" s="339"/>
      <c r="AO105" s="1165">
        <f>SUM(AO75:AO104)</f>
        <v>582656804</v>
      </c>
      <c r="AP105" s="1165">
        <f t="shared" ref="AP105:AW105" si="54">SUM(AP75:AP104)</f>
        <v>0</v>
      </c>
      <c r="AQ105" s="1165">
        <f t="shared" si="54"/>
        <v>0</v>
      </c>
      <c r="AR105" s="1165">
        <f t="shared" si="54"/>
        <v>0</v>
      </c>
      <c r="AS105" s="1165">
        <f t="shared" si="54"/>
        <v>0</v>
      </c>
      <c r="AT105" s="1165">
        <f t="shared" si="54"/>
        <v>0</v>
      </c>
      <c r="AU105" s="1165">
        <f t="shared" si="54"/>
        <v>0</v>
      </c>
      <c r="AV105" s="1165">
        <f t="shared" si="54"/>
        <v>0</v>
      </c>
      <c r="AW105" s="1165">
        <f t="shared" si="54"/>
        <v>0</v>
      </c>
      <c r="AX105" s="1165">
        <f>SUM(AX75:AX101)</f>
        <v>0</v>
      </c>
      <c r="AY105" s="1165">
        <f>AO105+AQ105+AS105+AU105+AW105</f>
        <v>582656804</v>
      </c>
    </row>
    <row r="106" spans="1:52" x14ac:dyDescent="0.25">
      <c r="A106" s="1137"/>
      <c r="B106" s="1166" t="s">
        <v>4763</v>
      </c>
      <c r="C106" s="1166"/>
      <c r="D106" s="952"/>
      <c r="E106" s="952"/>
      <c r="F106" s="945">
        <f>13435200</f>
        <v>13435200</v>
      </c>
      <c r="G106" s="945"/>
      <c r="H106" s="945"/>
      <c r="I106" s="945"/>
      <c r="J106" s="945"/>
      <c r="K106" s="1167"/>
      <c r="L106" s="945"/>
      <c r="M106" s="945"/>
      <c r="N106" s="945"/>
      <c r="O106" s="945"/>
      <c r="P106" s="945"/>
      <c r="Q106" s="945"/>
      <c r="R106" s="945"/>
      <c r="S106" s="945"/>
      <c r="T106" s="945"/>
      <c r="U106" s="945"/>
      <c r="V106" s="945"/>
      <c r="W106" s="945"/>
      <c r="X106" s="945"/>
      <c r="Y106" s="338"/>
      <c r="Z106" s="873"/>
      <c r="AA106" s="945"/>
      <c r="AB106" s="873"/>
      <c r="AC106" s="1168"/>
      <c r="AD106" s="1168"/>
      <c r="AE106" s="945"/>
      <c r="AF106" s="945"/>
      <c r="AG106" s="945"/>
      <c r="AH106" s="952"/>
      <c r="AI106" s="945"/>
      <c r="AJ106" s="952"/>
      <c r="AK106" s="945"/>
      <c r="AL106" s="945"/>
      <c r="AM106" s="1167">
        <f>SUM(C106:AE106)</f>
        <v>13435200</v>
      </c>
      <c r="AN106" s="339"/>
      <c r="AO106" s="429">
        <f>D105+E106+F106+G106+H106+I106+J106</f>
        <v>13435200</v>
      </c>
      <c r="AP106" s="429">
        <f>E106+F106+G106+H106+I106+J106+K106</f>
        <v>13435200</v>
      </c>
      <c r="AQ106" s="429">
        <f>K106+L106+M106+N106+O106+P106+Q106</f>
        <v>0</v>
      </c>
      <c r="AR106" s="429">
        <f>G106+H106+I106+J106+K106+L106+M106</f>
        <v>0</v>
      </c>
      <c r="AS106" s="429">
        <f>R106+S106+T106+U106+V106+W106+X106</f>
        <v>0</v>
      </c>
      <c r="AT106" s="429">
        <f>I106+J106+K106+L106+M106+N106+O106</f>
        <v>0</v>
      </c>
      <c r="AU106" s="429">
        <f>Y106+Z106+AA106+AB106+AC106+AD106+AE106</f>
        <v>0</v>
      </c>
      <c r="AV106" s="429" t="e">
        <f>#REF!+#REF!+#REF!+#REF!+#REF!+#REF!+#REF!</f>
        <v>#REF!</v>
      </c>
      <c r="AW106" s="429"/>
      <c r="AX106" s="339"/>
      <c r="AY106" s="1167">
        <f>AO106+AQ106+AS106+AU106+AW106</f>
        <v>13435200</v>
      </c>
    </row>
    <row r="107" spans="1:52" x14ac:dyDescent="0.25">
      <c r="B107" s="290"/>
      <c r="C107" s="29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  <c r="AC107" s="340"/>
      <c r="AD107" s="340"/>
      <c r="AE107" s="340"/>
      <c r="AF107" s="340"/>
      <c r="AG107" s="340"/>
      <c r="AH107" s="340"/>
      <c r="AI107" s="340"/>
      <c r="AJ107" s="340"/>
      <c r="AK107" s="340"/>
      <c r="AL107" s="340"/>
      <c r="AN107" s="339"/>
      <c r="AO107" s="334"/>
      <c r="AP107" s="339"/>
      <c r="AQ107" s="334"/>
      <c r="AR107" s="339"/>
      <c r="AS107" s="334"/>
      <c r="AT107" s="339"/>
      <c r="AU107" s="334"/>
      <c r="AV107" s="339"/>
      <c r="AW107" s="429"/>
      <c r="AX107" s="339"/>
      <c r="AY107" s="429"/>
    </row>
    <row r="108" spans="1:52" s="292" customFormat="1" ht="21" customHeight="1" thickBot="1" x14ac:dyDescent="0.3">
      <c r="A108" s="1169" t="s">
        <v>170</v>
      </c>
      <c r="B108" s="1170"/>
      <c r="C108" s="1170"/>
      <c r="D108" s="1171">
        <f>D73+D105+D106</f>
        <v>5140731494.0100002</v>
      </c>
      <c r="E108" s="1171">
        <f>E73+E105+E106</f>
        <v>0</v>
      </c>
      <c r="F108" s="1171">
        <f>F73+F105+F106</f>
        <v>2307042615</v>
      </c>
      <c r="G108" s="1171">
        <f>G73+G105+G106</f>
        <v>3183050633</v>
      </c>
      <c r="H108" s="1171">
        <f t="shared" ref="H108:AL108" si="55">H73+H105+H106</f>
        <v>6189506149.7200003</v>
      </c>
      <c r="I108" s="1171">
        <f t="shared" si="55"/>
        <v>6559628509.25</v>
      </c>
      <c r="J108" s="1171">
        <f t="shared" si="55"/>
        <v>0</v>
      </c>
      <c r="K108" s="1171">
        <f t="shared" si="55"/>
        <v>0</v>
      </c>
      <c r="L108" s="1171">
        <f t="shared" si="55"/>
        <v>0</v>
      </c>
      <c r="M108" s="1171">
        <f t="shared" si="55"/>
        <v>0</v>
      </c>
      <c r="N108" s="1171">
        <f t="shared" si="55"/>
        <v>0</v>
      </c>
      <c r="O108" s="1171">
        <f t="shared" si="55"/>
        <v>0</v>
      </c>
      <c r="P108" s="1171">
        <f t="shared" si="55"/>
        <v>0</v>
      </c>
      <c r="Q108" s="1171">
        <f t="shared" si="55"/>
        <v>0</v>
      </c>
      <c r="R108" s="1171">
        <f>R73+R105+R106</f>
        <v>80529444</v>
      </c>
      <c r="S108" s="1171">
        <f t="shared" si="55"/>
        <v>57484445</v>
      </c>
      <c r="T108" s="1171">
        <f>T73+T105+T106</f>
        <v>16710401</v>
      </c>
      <c r="U108" s="1171">
        <f t="shared" si="55"/>
        <v>49148294</v>
      </c>
      <c r="V108" s="1171">
        <f>V73+V105+V106</f>
        <v>40129182</v>
      </c>
      <c r="W108" s="1171">
        <f t="shared" si="55"/>
        <v>0</v>
      </c>
      <c r="X108" s="1171">
        <f t="shared" si="55"/>
        <v>0</v>
      </c>
      <c r="Y108" s="1171">
        <f t="shared" si="55"/>
        <v>1118143885.9200001</v>
      </c>
      <c r="Z108" s="1171">
        <f t="shared" si="55"/>
        <v>0</v>
      </c>
      <c r="AA108" s="1171">
        <f t="shared" si="55"/>
        <v>0</v>
      </c>
      <c r="AB108" s="1171">
        <f t="shared" si="55"/>
        <v>0</v>
      </c>
      <c r="AC108" s="1171">
        <f t="shared" si="55"/>
        <v>0</v>
      </c>
      <c r="AD108" s="1171">
        <f t="shared" si="55"/>
        <v>0</v>
      </c>
      <c r="AE108" s="1171">
        <f t="shared" si="55"/>
        <v>0</v>
      </c>
      <c r="AF108" s="1171">
        <f t="shared" si="55"/>
        <v>0</v>
      </c>
      <c r="AG108" s="1171">
        <f t="shared" si="55"/>
        <v>0</v>
      </c>
      <c r="AH108" s="1171">
        <f t="shared" si="55"/>
        <v>0</v>
      </c>
      <c r="AI108" s="1171">
        <f t="shared" si="55"/>
        <v>0</v>
      </c>
      <c r="AJ108" s="1171">
        <f t="shared" si="55"/>
        <v>0</v>
      </c>
      <c r="AK108" s="1171">
        <f t="shared" si="55"/>
        <v>0</v>
      </c>
      <c r="AL108" s="1171">
        <f t="shared" si="55"/>
        <v>0</v>
      </c>
      <c r="AM108" s="1171">
        <f>AM73+AM105+AM106</f>
        <v>24742105052.899998</v>
      </c>
      <c r="AN108" s="291"/>
      <c r="AO108" s="1172">
        <f>AO73+AO105</f>
        <v>23366524200.98</v>
      </c>
      <c r="AP108" s="1172"/>
      <c r="AQ108" s="1172">
        <f t="shared" ref="AQ108:AW108" si="56">AQ73+AQ105</f>
        <v>0</v>
      </c>
      <c r="AR108" s="1172"/>
      <c r="AS108" s="1172">
        <f t="shared" si="56"/>
        <v>244001766</v>
      </c>
      <c r="AT108" s="1172"/>
      <c r="AU108" s="1172">
        <f t="shared" si="56"/>
        <v>1224131762.9200001</v>
      </c>
      <c r="AV108" s="1172"/>
      <c r="AW108" s="1172">
        <f t="shared" si="56"/>
        <v>1158273067.9200001</v>
      </c>
      <c r="AX108" s="291"/>
      <c r="AY108" s="1172" t="e">
        <f>AY106+AY105+AY73</f>
        <v>#REF!</v>
      </c>
    </row>
    <row r="109" spans="1:52" ht="21.75" thickBot="1" x14ac:dyDescent="0.4">
      <c r="W109" s="293"/>
      <c r="Y109" s="294"/>
      <c r="AY109" s="276"/>
    </row>
    <row r="110" spans="1:52" x14ac:dyDescent="0.25">
      <c r="A110" s="271" t="s">
        <v>18</v>
      </c>
      <c r="D110" s="276"/>
      <c r="E110" s="262"/>
      <c r="F110" s="276"/>
      <c r="G110" s="262"/>
      <c r="H110" s="676"/>
      <c r="I110" s="262"/>
      <c r="J110" s="262"/>
      <c r="K110" s="688"/>
      <c r="L110" s="676"/>
      <c r="M110" s="676"/>
      <c r="N110" s="938"/>
      <c r="O110" s="262"/>
      <c r="P110" s="262"/>
      <c r="Q110" s="262"/>
      <c r="R110" s="262"/>
      <c r="S110" s="262"/>
      <c r="T110" s="262"/>
      <c r="U110" s="938"/>
      <c r="V110" s="676"/>
      <c r="W110" s="938"/>
      <c r="X110" s="262"/>
      <c r="Y110" s="262"/>
      <c r="Z110" s="262"/>
      <c r="AA110" s="262"/>
      <c r="AB110" s="676"/>
      <c r="AC110" s="938"/>
      <c r="AD110" s="262"/>
      <c r="AE110" s="262"/>
      <c r="AF110" s="262"/>
      <c r="AG110" s="262"/>
      <c r="AH110" s="938"/>
      <c r="AI110" s="262"/>
      <c r="AJ110" s="262"/>
      <c r="AK110" s="262"/>
      <c r="AL110" s="262"/>
      <c r="AM110" s="262"/>
    </row>
    <row r="111" spans="1:52" x14ac:dyDescent="0.25">
      <c r="D111" s="262"/>
      <c r="E111" s="676"/>
      <c r="F111" s="262"/>
      <c r="G111" s="938"/>
      <c r="H111" s="262"/>
      <c r="I111" s="262"/>
      <c r="J111" s="262"/>
      <c r="K111" s="676"/>
      <c r="L111" s="938"/>
      <c r="M111" s="262"/>
      <c r="N111" s="262"/>
      <c r="O111" s="676"/>
      <c r="P111" s="262"/>
      <c r="Q111" s="262"/>
      <c r="R111" s="262"/>
      <c r="S111" s="262"/>
      <c r="T111" s="262"/>
      <c r="U111" s="262"/>
      <c r="V111" s="262"/>
      <c r="W111" s="941"/>
      <c r="X111" s="262"/>
      <c r="Y111" s="941"/>
      <c r="Z111" s="262"/>
      <c r="AA111" s="262"/>
      <c r="AB111" s="938"/>
      <c r="AC111" s="938"/>
      <c r="AD111" s="262"/>
      <c r="AE111" s="262"/>
      <c r="AF111" s="938"/>
      <c r="AG111" s="262"/>
      <c r="AH111" s="262"/>
      <c r="AI111" s="262"/>
      <c r="AJ111" s="262"/>
      <c r="AK111" s="262"/>
      <c r="AL111" s="262"/>
      <c r="AM111" s="262"/>
    </row>
    <row r="112" spans="1:52" x14ac:dyDescent="0.25">
      <c r="D112" s="262"/>
      <c r="E112" s="262"/>
      <c r="F112" s="262"/>
      <c r="G112" s="676"/>
      <c r="H112" s="262"/>
      <c r="I112" s="262"/>
      <c r="J112" s="262"/>
      <c r="K112" s="262"/>
      <c r="L112" s="262"/>
      <c r="M112" s="262"/>
      <c r="N112" s="938"/>
      <c r="O112" s="262"/>
      <c r="P112" s="262"/>
      <c r="Q112" s="262"/>
      <c r="R112" s="262"/>
      <c r="S112" s="262"/>
      <c r="T112" s="262"/>
      <c r="U112" s="262"/>
      <c r="V112" s="262"/>
      <c r="W112" s="262"/>
      <c r="X112" s="262"/>
      <c r="Y112" s="262"/>
      <c r="Z112" s="262"/>
      <c r="AA112" s="262"/>
      <c r="AB112" s="262"/>
      <c r="AC112" s="262"/>
      <c r="AD112" s="262"/>
      <c r="AE112" s="262"/>
      <c r="AF112" s="262"/>
      <c r="AG112" s="262"/>
      <c r="AH112" s="262"/>
      <c r="AI112" s="262"/>
      <c r="AJ112" s="262"/>
      <c r="AK112" s="262"/>
      <c r="AL112" s="262"/>
      <c r="AM112" s="262"/>
    </row>
    <row r="113" spans="1:39" x14ac:dyDescent="0.25">
      <c r="B113" s="334"/>
      <c r="C113" s="334"/>
      <c r="AM113" s="262"/>
    </row>
    <row r="114" spans="1:39" x14ac:dyDescent="0.25">
      <c r="F114" s="295"/>
    </row>
    <row r="115" spans="1:39" x14ac:dyDescent="0.25">
      <c r="F115" s="295"/>
    </row>
    <row r="116" spans="1:39" x14ac:dyDescent="0.25">
      <c r="F116" s="295"/>
    </row>
    <row r="117" spans="1:39" x14ac:dyDescent="0.25">
      <c r="F117" s="295"/>
    </row>
    <row r="118" spans="1:39" x14ac:dyDescent="0.25">
      <c r="F118" s="295"/>
    </row>
    <row r="119" spans="1:39" x14ac:dyDescent="0.25">
      <c r="A119" s="262"/>
      <c r="D119" s="262"/>
      <c r="E119" s="262"/>
      <c r="F119" s="295"/>
      <c r="G119" s="262"/>
      <c r="H119" s="262"/>
      <c r="I119" s="262"/>
      <c r="J119" s="262"/>
      <c r="K119" s="262"/>
      <c r="L119" s="262"/>
      <c r="M119" s="262"/>
      <c r="N119" s="262"/>
      <c r="O119" s="262"/>
      <c r="P119" s="262"/>
      <c r="Q119" s="262"/>
      <c r="R119" s="262"/>
      <c r="S119" s="262"/>
      <c r="T119" s="262"/>
      <c r="U119" s="262"/>
      <c r="V119" s="262"/>
      <c r="W119" s="262"/>
      <c r="X119" s="262"/>
      <c r="Y119" s="262"/>
      <c r="Z119" s="262"/>
      <c r="AA119" s="262"/>
      <c r="AB119" s="262"/>
      <c r="AC119" s="262"/>
      <c r="AD119" s="262"/>
      <c r="AE119" s="262"/>
      <c r="AF119" s="262"/>
      <c r="AG119" s="262"/>
      <c r="AH119" s="262"/>
      <c r="AI119" s="262"/>
      <c r="AJ119" s="262"/>
      <c r="AK119" s="262"/>
      <c r="AL119" s="262"/>
      <c r="AM119" s="262"/>
    </row>
    <row r="120" spans="1:39" x14ac:dyDescent="0.25">
      <c r="A120" s="262"/>
      <c r="D120" s="262"/>
      <c r="E120" s="262"/>
      <c r="F120" s="295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2"/>
      <c r="S120" s="262"/>
      <c r="T120" s="262"/>
      <c r="U120" s="262"/>
      <c r="V120" s="262"/>
      <c r="W120" s="262"/>
      <c r="X120" s="262"/>
      <c r="Y120" s="262"/>
      <c r="Z120" s="262"/>
      <c r="AA120" s="262"/>
      <c r="AB120" s="262"/>
      <c r="AC120" s="262"/>
      <c r="AD120" s="262"/>
      <c r="AE120" s="262"/>
      <c r="AF120" s="262"/>
      <c r="AG120" s="262"/>
      <c r="AH120" s="262"/>
      <c r="AI120" s="262"/>
      <c r="AJ120" s="262"/>
      <c r="AK120" s="262"/>
      <c r="AL120" s="262"/>
      <c r="AM120" s="262"/>
    </row>
    <row r="121" spans="1:39" x14ac:dyDescent="0.25">
      <c r="A121" s="262"/>
      <c r="D121" s="262"/>
      <c r="E121" s="262"/>
      <c r="F121" s="295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  <c r="Y121" s="262"/>
      <c r="Z121" s="262"/>
      <c r="AA121" s="262"/>
      <c r="AB121" s="262"/>
      <c r="AC121" s="262"/>
      <c r="AD121" s="262"/>
      <c r="AE121" s="262"/>
      <c r="AF121" s="262"/>
      <c r="AG121" s="262"/>
      <c r="AH121" s="262"/>
      <c r="AI121" s="262"/>
      <c r="AJ121" s="262"/>
      <c r="AK121" s="262"/>
      <c r="AL121" s="262"/>
      <c r="AM121" s="262"/>
    </row>
    <row r="122" spans="1:39" x14ac:dyDescent="0.25">
      <c r="A122" s="262"/>
      <c r="D122" s="262"/>
      <c r="E122" s="262"/>
      <c r="F122" s="295"/>
      <c r="G122" s="262"/>
      <c r="H122" s="262"/>
      <c r="I122" s="262"/>
      <c r="J122" s="262"/>
      <c r="K122" s="262"/>
      <c r="L122" s="262"/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  <c r="Y122" s="262"/>
      <c r="Z122" s="262"/>
      <c r="AA122" s="262"/>
      <c r="AB122" s="262"/>
      <c r="AC122" s="262"/>
      <c r="AD122" s="262"/>
      <c r="AE122" s="262"/>
      <c r="AF122" s="262"/>
      <c r="AG122" s="262"/>
      <c r="AH122" s="262"/>
      <c r="AI122" s="262"/>
      <c r="AJ122" s="262"/>
      <c r="AK122" s="262"/>
      <c r="AL122" s="262"/>
      <c r="AM122" s="262"/>
    </row>
    <row r="123" spans="1:39" x14ac:dyDescent="0.25">
      <c r="A123" s="262"/>
      <c r="D123" s="262"/>
      <c r="E123" s="262"/>
      <c r="F123" s="295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  <c r="Q123" s="262"/>
      <c r="R123" s="262"/>
      <c r="S123" s="262"/>
      <c r="T123" s="262"/>
      <c r="U123" s="262"/>
      <c r="V123" s="262"/>
      <c r="W123" s="262"/>
      <c r="X123" s="262"/>
      <c r="Y123" s="262"/>
      <c r="Z123" s="262"/>
      <c r="AA123" s="262"/>
      <c r="AB123" s="262"/>
      <c r="AC123" s="262"/>
      <c r="AD123" s="262"/>
      <c r="AE123" s="262"/>
      <c r="AF123" s="262"/>
      <c r="AG123" s="262"/>
      <c r="AH123" s="262"/>
      <c r="AI123" s="262"/>
      <c r="AJ123" s="262"/>
      <c r="AK123" s="262"/>
      <c r="AL123" s="262"/>
      <c r="AM123" s="262"/>
    </row>
    <row r="124" spans="1:39" x14ac:dyDescent="0.25">
      <c r="A124" s="262"/>
      <c r="D124" s="262"/>
      <c r="E124" s="262"/>
      <c r="F124" s="295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2"/>
      <c r="S124" s="262"/>
      <c r="T124" s="262"/>
      <c r="U124" s="262"/>
      <c r="V124" s="262"/>
      <c r="W124" s="262"/>
      <c r="X124" s="262"/>
      <c r="Y124" s="262"/>
      <c r="Z124" s="262"/>
      <c r="AA124" s="262"/>
      <c r="AB124" s="262"/>
      <c r="AC124" s="262"/>
      <c r="AD124" s="262"/>
      <c r="AE124" s="262"/>
      <c r="AF124" s="262"/>
      <c r="AG124" s="262"/>
      <c r="AH124" s="262"/>
      <c r="AI124" s="262"/>
      <c r="AJ124" s="262"/>
      <c r="AK124" s="262"/>
      <c r="AL124" s="262"/>
      <c r="AM124" s="262"/>
    </row>
    <row r="125" spans="1:39" x14ac:dyDescent="0.25">
      <c r="A125" s="262"/>
      <c r="D125" s="262"/>
      <c r="E125" s="262"/>
      <c r="F125" s="295"/>
      <c r="G125" s="262"/>
      <c r="H125" s="262"/>
      <c r="I125" s="262"/>
      <c r="J125" s="262"/>
      <c r="K125" s="262"/>
      <c r="L125" s="262"/>
      <c r="M125" s="262"/>
      <c r="N125" s="262"/>
      <c r="O125" s="262"/>
      <c r="P125" s="262"/>
      <c r="Q125" s="262"/>
      <c r="R125" s="262"/>
      <c r="S125" s="262"/>
      <c r="T125" s="262"/>
      <c r="U125" s="262"/>
      <c r="V125" s="262"/>
      <c r="W125" s="262"/>
      <c r="X125" s="262"/>
      <c r="Y125" s="262"/>
      <c r="Z125" s="262"/>
      <c r="AA125" s="262"/>
      <c r="AB125" s="262"/>
      <c r="AC125" s="262"/>
      <c r="AD125" s="262"/>
      <c r="AE125" s="262"/>
      <c r="AF125" s="262"/>
      <c r="AG125" s="262"/>
      <c r="AH125" s="262"/>
      <c r="AI125" s="262"/>
      <c r="AJ125" s="262"/>
      <c r="AK125" s="262"/>
      <c r="AL125" s="262"/>
      <c r="AM125" s="262"/>
    </row>
    <row r="126" spans="1:39" x14ac:dyDescent="0.25">
      <c r="A126" s="262"/>
      <c r="D126" s="262"/>
      <c r="E126" s="262"/>
      <c r="F126" s="295"/>
      <c r="G126" s="262"/>
      <c r="H126" s="262"/>
      <c r="I126" s="262"/>
      <c r="J126" s="262"/>
      <c r="K126" s="262"/>
      <c r="L126" s="262"/>
      <c r="M126" s="262"/>
      <c r="N126" s="262"/>
      <c r="O126" s="262"/>
      <c r="P126" s="262"/>
      <c r="Q126" s="262"/>
      <c r="R126" s="262"/>
      <c r="S126" s="262"/>
      <c r="T126" s="262"/>
      <c r="U126" s="262"/>
      <c r="V126" s="262"/>
      <c r="W126" s="262"/>
      <c r="X126" s="262"/>
      <c r="Y126" s="262"/>
      <c r="Z126" s="262"/>
      <c r="AA126" s="262"/>
      <c r="AB126" s="262"/>
      <c r="AC126" s="262"/>
      <c r="AD126" s="262"/>
      <c r="AE126" s="262"/>
      <c r="AF126" s="262"/>
      <c r="AG126" s="262"/>
      <c r="AH126" s="262"/>
      <c r="AI126" s="262"/>
      <c r="AJ126" s="262"/>
      <c r="AK126" s="262"/>
      <c r="AL126" s="262"/>
      <c r="AM126" s="262"/>
    </row>
    <row r="127" spans="1:39" x14ac:dyDescent="0.25">
      <c r="A127" s="262"/>
      <c r="D127" s="262"/>
      <c r="E127" s="262"/>
      <c r="F127" s="295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262"/>
      <c r="X127" s="262"/>
      <c r="Y127" s="262"/>
      <c r="Z127" s="262"/>
      <c r="AA127" s="262"/>
      <c r="AB127" s="262"/>
      <c r="AC127" s="262"/>
      <c r="AD127" s="262"/>
      <c r="AE127" s="262"/>
      <c r="AF127" s="262"/>
      <c r="AG127" s="262"/>
      <c r="AH127" s="262"/>
      <c r="AI127" s="262"/>
      <c r="AJ127" s="262"/>
      <c r="AK127" s="262"/>
      <c r="AL127" s="262"/>
      <c r="AM127" s="262"/>
    </row>
    <row r="128" spans="1:39" x14ac:dyDescent="0.25">
      <c r="A128" s="262"/>
      <c r="D128" s="262"/>
      <c r="E128" s="262"/>
      <c r="F128" s="295"/>
      <c r="G128" s="26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  <c r="Y128" s="262"/>
      <c r="Z128" s="262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/>
      <c r="AM128" s="262"/>
    </row>
    <row r="129" spans="1:39" x14ac:dyDescent="0.25">
      <c r="A129" s="262"/>
      <c r="D129" s="262"/>
      <c r="E129" s="262"/>
      <c r="F129" s="295"/>
      <c r="G129" s="262"/>
      <c r="H129" s="262"/>
      <c r="I129" s="262"/>
      <c r="J129" s="262"/>
      <c r="K129" s="262"/>
      <c r="L129" s="262"/>
      <c r="M129" s="262"/>
      <c r="N129" s="262"/>
      <c r="O129" s="262"/>
      <c r="P129" s="262"/>
      <c r="Q129" s="262"/>
      <c r="R129" s="262"/>
      <c r="S129" s="262"/>
      <c r="T129" s="262"/>
      <c r="U129" s="262"/>
      <c r="V129" s="262"/>
      <c r="W129" s="262"/>
      <c r="X129" s="262"/>
      <c r="Y129" s="262"/>
      <c r="Z129" s="262"/>
      <c r="AA129" s="262"/>
      <c r="AB129" s="262"/>
      <c r="AC129" s="262"/>
      <c r="AD129" s="262"/>
      <c r="AE129" s="262"/>
      <c r="AF129" s="262"/>
      <c r="AG129" s="262"/>
      <c r="AH129" s="262"/>
      <c r="AI129" s="262"/>
      <c r="AJ129" s="262"/>
      <c r="AK129" s="262"/>
      <c r="AL129" s="262"/>
      <c r="AM129" s="262"/>
    </row>
    <row r="130" spans="1:39" x14ac:dyDescent="0.25">
      <c r="A130" s="262"/>
      <c r="D130" s="262"/>
      <c r="E130" s="262"/>
      <c r="F130" s="295"/>
      <c r="G130" s="262"/>
      <c r="H130" s="262"/>
      <c r="I130" s="262"/>
      <c r="J130" s="262"/>
      <c r="K130" s="262"/>
      <c r="L130" s="262"/>
      <c r="M130" s="262"/>
      <c r="N130" s="262"/>
      <c r="O130" s="262"/>
      <c r="P130" s="262"/>
      <c r="Q130" s="262"/>
      <c r="R130" s="262"/>
      <c r="S130" s="262"/>
      <c r="T130" s="262"/>
      <c r="U130" s="262"/>
      <c r="V130" s="262"/>
      <c r="W130" s="262"/>
      <c r="X130" s="262"/>
      <c r="Y130" s="262"/>
      <c r="Z130" s="262"/>
      <c r="AA130" s="262"/>
      <c r="AB130" s="262"/>
      <c r="AC130" s="262"/>
      <c r="AD130" s="262"/>
      <c r="AE130" s="262"/>
      <c r="AF130" s="262"/>
      <c r="AG130" s="262"/>
      <c r="AH130" s="262"/>
      <c r="AI130" s="262"/>
      <c r="AJ130" s="262"/>
      <c r="AK130" s="262"/>
      <c r="AL130" s="262"/>
      <c r="AM130" s="262"/>
    </row>
    <row r="131" spans="1:39" x14ac:dyDescent="0.25">
      <c r="A131" s="262"/>
      <c r="D131" s="262"/>
      <c r="E131" s="262"/>
      <c r="F131" s="295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2"/>
      <c r="S131" s="262"/>
      <c r="T131" s="262"/>
      <c r="U131" s="262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2"/>
      <c r="AK131" s="262"/>
      <c r="AL131" s="262"/>
      <c r="AM131" s="262"/>
    </row>
    <row r="132" spans="1:39" x14ac:dyDescent="0.25">
      <c r="A132" s="262"/>
      <c r="D132" s="262"/>
      <c r="E132" s="262"/>
      <c r="F132" s="295"/>
      <c r="G132" s="262"/>
      <c r="H132" s="262"/>
      <c r="I132" s="262"/>
      <c r="J132" s="262"/>
      <c r="K132" s="262"/>
      <c r="L132" s="262"/>
      <c r="M132" s="262"/>
      <c r="N132" s="262"/>
      <c r="O132" s="262"/>
      <c r="P132" s="262"/>
      <c r="Q132" s="262"/>
      <c r="R132" s="262"/>
      <c r="S132" s="262"/>
      <c r="T132" s="262"/>
      <c r="U132" s="262"/>
      <c r="V132" s="262"/>
      <c r="W132" s="262"/>
      <c r="X132" s="262"/>
      <c r="Y132" s="262"/>
      <c r="Z132" s="262"/>
      <c r="AA132" s="262"/>
      <c r="AB132" s="262"/>
      <c r="AC132" s="262"/>
      <c r="AD132" s="262"/>
      <c r="AE132" s="262"/>
      <c r="AF132" s="262"/>
      <c r="AG132" s="262"/>
      <c r="AH132" s="262"/>
      <c r="AI132" s="262"/>
      <c r="AJ132" s="262"/>
      <c r="AK132" s="262"/>
      <c r="AL132" s="262"/>
      <c r="AM132" s="262"/>
    </row>
    <row r="133" spans="1:39" x14ac:dyDescent="0.25">
      <c r="A133" s="262"/>
      <c r="D133" s="262"/>
      <c r="E133" s="262"/>
      <c r="F133" s="295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2"/>
      <c r="S133" s="262"/>
      <c r="T133" s="262"/>
      <c r="U133" s="262"/>
      <c r="V133" s="262"/>
      <c r="W133" s="262"/>
      <c r="X133" s="262"/>
      <c r="Y133" s="262"/>
      <c r="Z133" s="262"/>
      <c r="AA133" s="262"/>
      <c r="AB133" s="262"/>
      <c r="AC133" s="262"/>
      <c r="AD133" s="262"/>
      <c r="AE133" s="262"/>
      <c r="AF133" s="262"/>
      <c r="AG133" s="262"/>
      <c r="AH133" s="262"/>
      <c r="AI133" s="262"/>
      <c r="AJ133" s="262"/>
      <c r="AK133" s="262"/>
      <c r="AL133" s="262"/>
      <c r="AM133" s="262"/>
    </row>
    <row r="134" spans="1:39" x14ac:dyDescent="0.25">
      <c r="A134" s="262"/>
      <c r="D134" s="262"/>
      <c r="E134" s="262"/>
      <c r="F134" s="295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2"/>
      <c r="S134" s="262"/>
      <c r="T134" s="262"/>
      <c r="U134" s="262"/>
      <c r="V134" s="262"/>
      <c r="W134" s="262"/>
      <c r="X134" s="262"/>
      <c r="Y134" s="262"/>
      <c r="Z134" s="262"/>
      <c r="AA134" s="262"/>
      <c r="AB134" s="262"/>
      <c r="AC134" s="262"/>
      <c r="AD134" s="262"/>
      <c r="AE134" s="262"/>
      <c r="AF134" s="262"/>
      <c r="AG134" s="262"/>
      <c r="AH134" s="262"/>
      <c r="AI134" s="262"/>
      <c r="AJ134" s="262"/>
      <c r="AK134" s="262"/>
      <c r="AL134" s="262"/>
      <c r="AM134" s="262"/>
    </row>
    <row r="135" spans="1:39" x14ac:dyDescent="0.25">
      <c r="A135" s="262"/>
      <c r="D135" s="262"/>
      <c r="E135" s="262"/>
      <c r="F135" s="295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2"/>
      <c r="S135" s="262"/>
      <c r="T135" s="262"/>
      <c r="U135" s="262"/>
      <c r="V135" s="262"/>
      <c r="W135" s="262"/>
      <c r="X135" s="262"/>
      <c r="Y135" s="262"/>
      <c r="Z135" s="262"/>
      <c r="AA135" s="262"/>
      <c r="AB135" s="262"/>
      <c r="AC135" s="262"/>
      <c r="AD135" s="262"/>
      <c r="AE135" s="262"/>
      <c r="AF135" s="262"/>
      <c r="AG135" s="262"/>
      <c r="AH135" s="262"/>
      <c r="AI135" s="262"/>
      <c r="AJ135" s="262"/>
      <c r="AK135" s="262"/>
      <c r="AL135" s="262"/>
      <c r="AM135" s="262"/>
    </row>
    <row r="136" spans="1:39" x14ac:dyDescent="0.25">
      <c r="A136" s="262"/>
      <c r="D136" s="262"/>
      <c r="E136" s="262"/>
      <c r="F136" s="295"/>
      <c r="G136" s="262"/>
      <c r="H136" s="262"/>
      <c r="I136" s="262"/>
      <c r="J136" s="262"/>
      <c r="K136" s="262"/>
      <c r="L136" s="262"/>
      <c r="M136" s="262"/>
      <c r="N136" s="262"/>
      <c r="O136" s="262"/>
      <c r="P136" s="262"/>
      <c r="Q136" s="262"/>
      <c r="R136" s="262"/>
      <c r="S136" s="262"/>
      <c r="T136" s="262"/>
      <c r="U136" s="262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2"/>
      <c r="AK136" s="262"/>
      <c r="AL136" s="262"/>
      <c r="AM136" s="262"/>
    </row>
    <row r="137" spans="1:39" x14ac:dyDescent="0.25">
      <c r="A137" s="262"/>
      <c r="D137" s="262"/>
      <c r="E137" s="262"/>
      <c r="F137" s="295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2"/>
      <c r="S137" s="262"/>
      <c r="T137" s="262"/>
      <c r="U137" s="262"/>
      <c r="V137" s="262"/>
      <c r="W137" s="262"/>
      <c r="X137" s="262"/>
      <c r="Y137" s="262"/>
      <c r="Z137" s="262"/>
      <c r="AA137" s="262"/>
      <c r="AB137" s="262"/>
      <c r="AC137" s="262"/>
      <c r="AD137" s="262"/>
      <c r="AE137" s="262"/>
      <c r="AF137" s="262"/>
      <c r="AG137" s="262"/>
      <c r="AH137" s="262"/>
      <c r="AI137" s="262"/>
      <c r="AJ137" s="262"/>
      <c r="AK137" s="262"/>
      <c r="AL137" s="262"/>
      <c r="AM137" s="262"/>
    </row>
    <row r="138" spans="1:39" x14ac:dyDescent="0.25">
      <c r="A138" s="262"/>
      <c r="D138" s="262"/>
      <c r="E138" s="262"/>
      <c r="F138" s="295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2"/>
      <c r="S138" s="262"/>
      <c r="T138" s="262"/>
      <c r="U138" s="262"/>
      <c r="V138" s="262"/>
      <c r="W138" s="262"/>
      <c r="X138" s="262"/>
      <c r="Y138" s="262"/>
      <c r="Z138" s="262"/>
      <c r="AA138" s="262"/>
      <c r="AB138" s="262"/>
      <c r="AC138" s="262"/>
      <c r="AD138" s="262"/>
      <c r="AE138" s="262"/>
      <c r="AF138" s="262"/>
      <c r="AG138" s="262"/>
      <c r="AH138" s="262"/>
      <c r="AI138" s="262"/>
      <c r="AJ138" s="262"/>
      <c r="AK138" s="262"/>
      <c r="AL138" s="262"/>
      <c r="AM138" s="262"/>
    </row>
    <row r="139" spans="1:39" x14ac:dyDescent="0.25">
      <c r="A139" s="262"/>
      <c r="D139" s="262"/>
      <c r="E139" s="262"/>
      <c r="F139" s="295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  <c r="Q139" s="262"/>
      <c r="R139" s="262"/>
      <c r="S139" s="262"/>
      <c r="T139" s="262"/>
      <c r="U139" s="262"/>
      <c r="V139" s="262"/>
      <c r="W139" s="262"/>
      <c r="X139" s="262"/>
      <c r="Y139" s="262"/>
      <c r="Z139" s="262"/>
      <c r="AA139" s="262"/>
      <c r="AB139" s="262"/>
      <c r="AC139" s="262"/>
      <c r="AD139" s="262"/>
      <c r="AE139" s="262"/>
      <c r="AF139" s="262"/>
      <c r="AG139" s="262"/>
      <c r="AH139" s="262"/>
      <c r="AI139" s="262"/>
      <c r="AJ139" s="262"/>
      <c r="AK139" s="262"/>
      <c r="AL139" s="262"/>
      <c r="AM139" s="262"/>
    </row>
    <row r="140" spans="1:39" x14ac:dyDescent="0.25">
      <c r="A140" s="262"/>
      <c r="D140" s="262"/>
      <c r="E140" s="262"/>
      <c r="F140" s="295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T140" s="262"/>
      <c r="U140" s="262"/>
      <c r="V140" s="262"/>
      <c r="W140" s="262"/>
      <c r="X140" s="262"/>
      <c r="Y140" s="262"/>
      <c r="Z140" s="262"/>
      <c r="AA140" s="262"/>
      <c r="AB140" s="262"/>
      <c r="AC140" s="262"/>
      <c r="AD140" s="262"/>
      <c r="AE140" s="262"/>
      <c r="AF140" s="262"/>
      <c r="AG140" s="262"/>
      <c r="AH140" s="262"/>
      <c r="AI140" s="262"/>
      <c r="AJ140" s="262"/>
      <c r="AK140" s="262"/>
      <c r="AL140" s="262"/>
      <c r="AM140" s="262"/>
    </row>
    <row r="141" spans="1:39" x14ac:dyDescent="0.25">
      <c r="A141" s="262"/>
      <c r="D141" s="262"/>
      <c r="E141" s="262"/>
      <c r="F141" s="295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2"/>
      <c r="S141" s="262"/>
      <c r="T141" s="262"/>
      <c r="U141" s="262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2"/>
      <c r="AK141" s="262"/>
      <c r="AL141" s="262"/>
      <c r="AM141" s="262"/>
    </row>
    <row r="142" spans="1:39" x14ac:dyDescent="0.25">
      <c r="A142" s="262"/>
      <c r="D142" s="262"/>
      <c r="E142" s="262"/>
      <c r="F142" s="295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2"/>
      <c r="S142" s="262"/>
      <c r="T142" s="262"/>
      <c r="U142" s="262"/>
      <c r="V142" s="262"/>
      <c r="W142" s="262"/>
      <c r="X142" s="262"/>
      <c r="Y142" s="262"/>
      <c r="Z142" s="262"/>
      <c r="AA142" s="262"/>
      <c r="AB142" s="262"/>
      <c r="AC142" s="262"/>
      <c r="AD142" s="262"/>
      <c r="AE142" s="262"/>
      <c r="AF142" s="262"/>
      <c r="AG142" s="262"/>
      <c r="AH142" s="262"/>
      <c r="AI142" s="262"/>
      <c r="AJ142" s="262"/>
      <c r="AK142" s="262"/>
      <c r="AL142" s="262"/>
      <c r="AM142" s="262"/>
    </row>
    <row r="143" spans="1:39" x14ac:dyDescent="0.25">
      <c r="A143" s="262"/>
      <c r="D143" s="262"/>
      <c r="E143" s="262"/>
      <c r="F143" s="295"/>
      <c r="G143" s="262"/>
      <c r="H143" s="262"/>
      <c r="I143" s="262"/>
      <c r="J143" s="262"/>
      <c r="K143" s="262"/>
      <c r="L143" s="262"/>
      <c r="M143" s="262"/>
      <c r="N143" s="262"/>
      <c r="O143" s="262"/>
      <c r="P143" s="262"/>
      <c r="Q143" s="262"/>
      <c r="R143" s="262"/>
      <c r="S143" s="262"/>
      <c r="T143" s="262"/>
      <c r="U143" s="262"/>
      <c r="V143" s="262"/>
      <c r="W143" s="262"/>
      <c r="X143" s="262"/>
      <c r="Y143" s="262"/>
      <c r="Z143" s="262"/>
      <c r="AA143" s="262"/>
      <c r="AB143" s="262"/>
      <c r="AC143" s="262"/>
      <c r="AD143" s="262"/>
      <c r="AE143" s="262"/>
      <c r="AF143" s="262"/>
      <c r="AG143" s="262"/>
      <c r="AH143" s="262"/>
      <c r="AI143" s="262"/>
      <c r="AJ143" s="262"/>
      <c r="AK143" s="262"/>
      <c r="AL143" s="262"/>
      <c r="AM143" s="262"/>
    </row>
    <row r="144" spans="1:39" x14ac:dyDescent="0.25">
      <c r="A144" s="262"/>
      <c r="D144" s="262"/>
      <c r="E144" s="262"/>
      <c r="F144" s="295"/>
      <c r="G144" s="262"/>
      <c r="H144" s="262"/>
      <c r="I144" s="262"/>
      <c r="J144" s="262"/>
      <c r="K144" s="262"/>
      <c r="L144" s="262"/>
      <c r="M144" s="262"/>
      <c r="N144" s="262"/>
      <c r="O144" s="262"/>
      <c r="P144" s="262"/>
      <c r="Q144" s="262"/>
      <c r="R144" s="262"/>
      <c r="S144" s="262"/>
      <c r="T144" s="262"/>
      <c r="U144" s="262"/>
      <c r="V144" s="262"/>
      <c r="W144" s="262"/>
      <c r="X144" s="262"/>
      <c r="Y144" s="262"/>
      <c r="Z144" s="262"/>
      <c r="AA144" s="262"/>
      <c r="AB144" s="262"/>
      <c r="AC144" s="262"/>
      <c r="AD144" s="262"/>
      <c r="AE144" s="262"/>
      <c r="AF144" s="262"/>
      <c r="AG144" s="262"/>
      <c r="AH144" s="262"/>
      <c r="AI144" s="262"/>
      <c r="AJ144" s="262"/>
      <c r="AK144" s="262"/>
      <c r="AL144" s="262"/>
      <c r="AM144" s="262"/>
    </row>
    <row r="145" spans="1:39" x14ac:dyDescent="0.25">
      <c r="A145" s="262"/>
      <c r="D145" s="262"/>
      <c r="E145" s="262"/>
      <c r="F145" s="295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2"/>
      <c r="S145" s="262"/>
      <c r="T145" s="262"/>
      <c r="U145" s="262"/>
      <c r="V145" s="262"/>
      <c r="W145" s="262"/>
      <c r="X145" s="262"/>
      <c r="Y145" s="262"/>
      <c r="Z145" s="262"/>
      <c r="AA145" s="262"/>
      <c r="AB145" s="262"/>
      <c r="AC145" s="262"/>
      <c r="AD145" s="262"/>
      <c r="AE145" s="262"/>
      <c r="AF145" s="262"/>
      <c r="AG145" s="262"/>
      <c r="AH145" s="262"/>
      <c r="AI145" s="262"/>
      <c r="AJ145" s="262"/>
      <c r="AK145" s="262"/>
      <c r="AL145" s="262"/>
      <c r="AM145" s="262"/>
    </row>
    <row r="146" spans="1:39" x14ac:dyDescent="0.25">
      <c r="A146" s="262"/>
      <c r="D146" s="262"/>
      <c r="E146" s="262"/>
      <c r="F146" s="295"/>
      <c r="G146" s="262"/>
      <c r="H146" s="262"/>
      <c r="I146" s="262"/>
      <c r="J146" s="262"/>
      <c r="K146" s="262"/>
      <c r="L146" s="262"/>
      <c r="M146" s="262"/>
      <c r="N146" s="262"/>
      <c r="O146" s="262"/>
      <c r="P146" s="262"/>
      <c r="Q146" s="262"/>
      <c r="R146" s="262"/>
      <c r="S146" s="262"/>
      <c r="T146" s="262"/>
      <c r="U146" s="262"/>
      <c r="V146" s="262"/>
      <c r="W146" s="262"/>
      <c r="X146" s="262"/>
      <c r="Y146" s="262"/>
      <c r="Z146" s="262"/>
      <c r="AA146" s="262"/>
      <c r="AB146" s="262"/>
      <c r="AC146" s="262"/>
      <c r="AD146" s="262"/>
      <c r="AE146" s="262"/>
      <c r="AF146" s="262"/>
      <c r="AG146" s="262"/>
      <c r="AH146" s="262"/>
      <c r="AI146" s="262"/>
      <c r="AJ146" s="262"/>
      <c r="AK146" s="262"/>
      <c r="AL146" s="262"/>
      <c r="AM146" s="262"/>
    </row>
    <row r="147" spans="1:39" x14ac:dyDescent="0.25">
      <c r="A147" s="262"/>
      <c r="D147" s="262"/>
      <c r="E147" s="262"/>
      <c r="F147" s="295"/>
      <c r="G147" s="262"/>
      <c r="H147" s="262"/>
      <c r="I147" s="262"/>
      <c r="J147" s="262"/>
      <c r="K147" s="262"/>
      <c r="L147" s="262"/>
      <c r="M147" s="262"/>
      <c r="N147" s="262"/>
      <c r="O147" s="262"/>
      <c r="P147" s="262"/>
      <c r="Q147" s="262"/>
      <c r="R147" s="262"/>
      <c r="S147" s="262"/>
      <c r="T147" s="262"/>
      <c r="U147" s="262"/>
      <c r="V147" s="262"/>
      <c r="W147" s="262"/>
      <c r="X147" s="262"/>
      <c r="Y147" s="262"/>
      <c r="Z147" s="262"/>
      <c r="AA147" s="262"/>
      <c r="AB147" s="262"/>
      <c r="AC147" s="262"/>
      <c r="AD147" s="262"/>
      <c r="AE147" s="262"/>
      <c r="AF147" s="262"/>
      <c r="AG147" s="262"/>
      <c r="AH147" s="262"/>
      <c r="AI147" s="262"/>
      <c r="AJ147" s="262"/>
      <c r="AK147" s="262"/>
      <c r="AL147" s="262"/>
      <c r="AM147" s="262"/>
    </row>
    <row r="148" spans="1:39" x14ac:dyDescent="0.25">
      <c r="A148" s="262"/>
      <c r="D148" s="262"/>
      <c r="E148" s="262"/>
      <c r="F148" s="295"/>
      <c r="G148" s="262"/>
      <c r="H148" s="262"/>
      <c r="I148" s="262"/>
      <c r="J148" s="262"/>
      <c r="K148" s="262"/>
      <c r="L148" s="262"/>
      <c r="M148" s="262"/>
      <c r="N148" s="262"/>
      <c r="O148" s="262"/>
      <c r="P148" s="262"/>
      <c r="Q148" s="262"/>
      <c r="R148" s="262"/>
      <c r="S148" s="262"/>
      <c r="T148" s="262"/>
      <c r="U148" s="262"/>
      <c r="V148" s="262"/>
      <c r="W148" s="262"/>
      <c r="X148" s="262"/>
      <c r="Y148" s="262"/>
      <c r="Z148" s="262"/>
      <c r="AA148" s="262"/>
      <c r="AB148" s="262"/>
      <c r="AC148" s="262"/>
      <c r="AD148" s="262"/>
      <c r="AE148" s="262"/>
      <c r="AF148" s="262"/>
      <c r="AG148" s="262"/>
      <c r="AH148" s="262"/>
      <c r="AI148" s="262"/>
      <c r="AJ148" s="262"/>
      <c r="AK148" s="262"/>
      <c r="AL148" s="262"/>
      <c r="AM148" s="262"/>
    </row>
    <row r="149" spans="1:39" x14ac:dyDescent="0.25">
      <c r="A149" s="262"/>
      <c r="D149" s="262"/>
      <c r="E149" s="262"/>
      <c r="F149" s="295"/>
      <c r="G149" s="262"/>
      <c r="H149" s="262"/>
      <c r="I149" s="262"/>
      <c r="J149" s="262"/>
      <c r="K149" s="262"/>
      <c r="L149" s="262"/>
      <c r="M149" s="262"/>
      <c r="N149" s="262"/>
      <c r="O149" s="262"/>
      <c r="P149" s="262"/>
      <c r="Q149" s="262"/>
      <c r="R149" s="262"/>
      <c r="S149" s="262"/>
      <c r="T149" s="262"/>
      <c r="U149" s="262"/>
      <c r="V149" s="262"/>
      <c r="W149" s="262"/>
      <c r="X149" s="262"/>
      <c r="Y149" s="262"/>
      <c r="Z149" s="262"/>
      <c r="AA149" s="262"/>
      <c r="AB149" s="262"/>
      <c r="AC149" s="262"/>
      <c r="AD149" s="262"/>
      <c r="AE149" s="262"/>
      <c r="AF149" s="262"/>
      <c r="AG149" s="262"/>
      <c r="AH149" s="262"/>
      <c r="AI149" s="262"/>
      <c r="AJ149" s="262"/>
      <c r="AK149" s="262"/>
      <c r="AL149" s="262"/>
      <c r="AM149" s="262"/>
    </row>
    <row r="150" spans="1:39" x14ac:dyDescent="0.25">
      <c r="A150" s="262"/>
      <c r="D150" s="262"/>
      <c r="E150" s="262"/>
      <c r="F150" s="295"/>
      <c r="G150" s="262"/>
      <c r="H150" s="262"/>
      <c r="I150" s="262"/>
      <c r="J150" s="262"/>
      <c r="K150" s="262"/>
      <c r="L150" s="262"/>
      <c r="M150" s="262"/>
      <c r="N150" s="262"/>
      <c r="O150" s="262"/>
      <c r="P150" s="262"/>
      <c r="Q150" s="262"/>
      <c r="R150" s="262"/>
      <c r="S150" s="262"/>
      <c r="T150" s="262"/>
      <c r="U150" s="262"/>
      <c r="V150" s="262"/>
      <c r="W150" s="262"/>
      <c r="X150" s="262"/>
      <c r="Y150" s="262"/>
      <c r="Z150" s="262"/>
      <c r="AA150" s="262"/>
      <c r="AB150" s="262"/>
      <c r="AC150" s="262"/>
      <c r="AD150" s="262"/>
      <c r="AE150" s="262"/>
      <c r="AF150" s="262"/>
      <c r="AG150" s="262"/>
      <c r="AH150" s="262"/>
      <c r="AI150" s="262"/>
      <c r="AJ150" s="262"/>
      <c r="AK150" s="262"/>
      <c r="AL150" s="262"/>
      <c r="AM150" s="262"/>
    </row>
  </sheetData>
  <sortState ref="B71:B97">
    <sortCondition ref="B71"/>
  </sortState>
  <mergeCells count="26">
    <mergeCell ref="AY6:AY7"/>
    <mergeCell ref="A9:A11"/>
    <mergeCell ref="AO6:AO7"/>
    <mergeCell ref="AQ6:AQ7"/>
    <mergeCell ref="A13:A15"/>
    <mergeCell ref="A6:A7"/>
    <mergeCell ref="B6:B7"/>
    <mergeCell ref="F6:AE6"/>
    <mergeCell ref="AM6:AM7"/>
    <mergeCell ref="AW6:AW7"/>
    <mergeCell ref="A37:A39"/>
    <mergeCell ref="A41:A43"/>
    <mergeCell ref="A45:A47"/>
    <mergeCell ref="A53:A55"/>
    <mergeCell ref="A17:A19"/>
    <mergeCell ref="A21:A23"/>
    <mergeCell ref="A25:A27"/>
    <mergeCell ref="A29:A31"/>
    <mergeCell ref="A33:A35"/>
    <mergeCell ref="A65:A67"/>
    <mergeCell ref="A69:A71"/>
    <mergeCell ref="A49:A51"/>
    <mergeCell ref="AS6:AS7"/>
    <mergeCell ref="AU6:AU7"/>
    <mergeCell ref="A61:A63"/>
    <mergeCell ref="A57:A59"/>
  </mergeCells>
  <conditionalFormatting sqref="H53">
    <cfRule type="duplicateValues" dxfId="127" priority="128"/>
  </conditionalFormatting>
  <conditionalFormatting sqref="V42">
    <cfRule type="duplicateValues" dxfId="126" priority="127"/>
  </conditionalFormatting>
  <conditionalFormatting sqref="V46">
    <cfRule type="duplicateValues" dxfId="125" priority="126"/>
  </conditionalFormatting>
  <conditionalFormatting sqref="V14">
    <cfRule type="duplicateValues" dxfId="124" priority="125"/>
  </conditionalFormatting>
  <conditionalFormatting sqref="V18">
    <cfRule type="duplicateValues" dxfId="123" priority="124"/>
  </conditionalFormatting>
  <conditionalFormatting sqref="V31">
    <cfRule type="duplicateValues" dxfId="122" priority="123"/>
  </conditionalFormatting>
  <conditionalFormatting sqref="V54">
    <cfRule type="duplicateValues" dxfId="121" priority="122"/>
  </conditionalFormatting>
  <conditionalFormatting sqref="V34">
    <cfRule type="duplicateValues" dxfId="120" priority="121"/>
  </conditionalFormatting>
  <conditionalFormatting sqref="V62">
    <cfRule type="duplicateValues" dxfId="119" priority="120"/>
  </conditionalFormatting>
  <conditionalFormatting sqref="V81">
    <cfRule type="duplicateValues" dxfId="118" priority="119"/>
  </conditionalFormatting>
  <conditionalFormatting sqref="V47">
    <cfRule type="duplicateValues" dxfId="117" priority="118"/>
  </conditionalFormatting>
  <conditionalFormatting sqref="Y9">
    <cfRule type="duplicateValues" dxfId="116" priority="117"/>
  </conditionalFormatting>
  <conditionalFormatting sqref="Y41">
    <cfRule type="duplicateValues" dxfId="115" priority="116"/>
  </conditionalFormatting>
  <conditionalFormatting sqref="Y45">
    <cfRule type="duplicateValues" dxfId="114" priority="115"/>
  </conditionalFormatting>
  <conditionalFormatting sqref="Y13">
    <cfRule type="duplicateValues" dxfId="113" priority="114"/>
  </conditionalFormatting>
  <conditionalFormatting sqref="Y21">
    <cfRule type="duplicateValues" dxfId="112" priority="113"/>
  </conditionalFormatting>
  <conditionalFormatting sqref="Y17">
    <cfRule type="duplicateValues" dxfId="111" priority="112"/>
  </conditionalFormatting>
  <conditionalFormatting sqref="Y29">
    <cfRule type="duplicateValues" dxfId="110" priority="111"/>
  </conditionalFormatting>
  <conditionalFormatting sqref="Y61">
    <cfRule type="duplicateValues" dxfId="109" priority="110"/>
  </conditionalFormatting>
  <conditionalFormatting sqref="Y10">
    <cfRule type="duplicateValues" dxfId="108" priority="109"/>
  </conditionalFormatting>
  <conditionalFormatting sqref="Y42">
    <cfRule type="duplicateValues" dxfId="107" priority="108"/>
  </conditionalFormatting>
  <conditionalFormatting sqref="Y46">
    <cfRule type="duplicateValues" dxfId="106" priority="107"/>
  </conditionalFormatting>
  <conditionalFormatting sqref="Y62">
    <cfRule type="duplicateValues" dxfId="105" priority="106"/>
  </conditionalFormatting>
  <conditionalFormatting sqref="Y106">
    <cfRule type="duplicateValues" dxfId="104" priority="105"/>
  </conditionalFormatting>
  <conditionalFormatting sqref="Y97:Y104">
    <cfRule type="duplicateValues" dxfId="103" priority="104"/>
  </conditionalFormatting>
  <conditionalFormatting sqref="Y11">
    <cfRule type="duplicateValues" dxfId="102" priority="103"/>
  </conditionalFormatting>
  <conditionalFormatting sqref="Y39">
    <cfRule type="duplicateValues" dxfId="101" priority="102"/>
  </conditionalFormatting>
  <conditionalFormatting sqref="Y43">
    <cfRule type="duplicateValues" dxfId="100" priority="101"/>
  </conditionalFormatting>
  <conditionalFormatting sqref="Y47">
    <cfRule type="duplicateValues" dxfId="99" priority="100"/>
  </conditionalFormatting>
  <conditionalFormatting sqref="Y15">
    <cfRule type="duplicateValues" dxfId="98" priority="99"/>
  </conditionalFormatting>
  <conditionalFormatting sqref="Y23">
    <cfRule type="duplicateValues" dxfId="97" priority="98"/>
  </conditionalFormatting>
  <conditionalFormatting sqref="Z19">
    <cfRule type="duplicateValues" dxfId="96" priority="97"/>
  </conditionalFormatting>
  <conditionalFormatting sqref="Y31">
    <cfRule type="duplicateValues" dxfId="95" priority="95"/>
  </conditionalFormatting>
  <conditionalFormatting sqref="Y55">
    <cfRule type="duplicateValues" dxfId="94" priority="94"/>
  </conditionalFormatting>
  <conditionalFormatting sqref="Y35">
    <cfRule type="duplicateValues" dxfId="93" priority="93"/>
  </conditionalFormatting>
  <conditionalFormatting sqref="Y63">
    <cfRule type="duplicateValues" dxfId="92" priority="92"/>
  </conditionalFormatting>
  <conditionalFormatting sqref="Z41">
    <cfRule type="duplicateValues" dxfId="91" priority="91"/>
  </conditionalFormatting>
  <conditionalFormatting sqref="Z45">
    <cfRule type="duplicateValues" dxfId="90" priority="90"/>
  </conditionalFormatting>
  <conditionalFormatting sqref="Z106">
    <cfRule type="duplicateValues" dxfId="89" priority="89"/>
  </conditionalFormatting>
  <conditionalFormatting sqref="Z47">
    <cfRule type="duplicateValues" dxfId="88" priority="88"/>
  </conditionalFormatting>
  <conditionalFormatting sqref="AA9">
    <cfRule type="duplicateValues" dxfId="87" priority="87"/>
  </conditionalFormatting>
  <conditionalFormatting sqref="AA41">
    <cfRule type="duplicateValues" dxfId="86" priority="86"/>
  </conditionalFormatting>
  <conditionalFormatting sqref="AA45">
    <cfRule type="duplicateValues" dxfId="85" priority="85"/>
  </conditionalFormatting>
  <conditionalFormatting sqref="AA13">
    <cfRule type="duplicateValues" dxfId="84" priority="84"/>
  </conditionalFormatting>
  <conditionalFormatting sqref="AA17">
    <cfRule type="duplicateValues" dxfId="83" priority="83"/>
  </conditionalFormatting>
  <conditionalFormatting sqref="AA25">
    <cfRule type="duplicateValues" dxfId="82" priority="82"/>
  </conditionalFormatting>
  <conditionalFormatting sqref="AA29">
    <cfRule type="duplicateValues" dxfId="81" priority="81"/>
  </conditionalFormatting>
  <conditionalFormatting sqref="AA61">
    <cfRule type="duplicateValues" dxfId="80" priority="80"/>
  </conditionalFormatting>
  <conditionalFormatting sqref="AA10">
    <cfRule type="duplicateValues" dxfId="79" priority="79"/>
  </conditionalFormatting>
  <conditionalFormatting sqref="AA46">
    <cfRule type="duplicateValues" dxfId="78" priority="78"/>
  </conditionalFormatting>
  <conditionalFormatting sqref="AA14">
    <cfRule type="duplicateValues" dxfId="77" priority="77"/>
  </conditionalFormatting>
  <conditionalFormatting sqref="AA22">
    <cfRule type="duplicateValues" dxfId="76" priority="76"/>
  </conditionalFormatting>
  <conditionalFormatting sqref="AA18">
    <cfRule type="duplicateValues" dxfId="75" priority="75"/>
  </conditionalFormatting>
  <conditionalFormatting sqref="AA30">
    <cfRule type="duplicateValues" dxfId="74" priority="74"/>
  </conditionalFormatting>
  <conditionalFormatting sqref="AA54">
    <cfRule type="duplicateValues" dxfId="73" priority="73"/>
  </conditionalFormatting>
  <conditionalFormatting sqref="AA34">
    <cfRule type="duplicateValues" dxfId="72" priority="72"/>
  </conditionalFormatting>
  <conditionalFormatting sqref="AA62">
    <cfRule type="duplicateValues" dxfId="71" priority="71"/>
  </conditionalFormatting>
  <conditionalFormatting sqref="AA55">
    <cfRule type="duplicateValues" dxfId="70" priority="70"/>
  </conditionalFormatting>
  <conditionalFormatting sqref="AA63">
    <cfRule type="duplicateValues" dxfId="69" priority="69"/>
  </conditionalFormatting>
  <conditionalFormatting sqref="AA43">
    <cfRule type="duplicateValues" dxfId="68" priority="68"/>
  </conditionalFormatting>
  <conditionalFormatting sqref="AB9">
    <cfRule type="duplicateValues" dxfId="67" priority="67"/>
  </conditionalFormatting>
  <conditionalFormatting sqref="AB41">
    <cfRule type="duplicateValues" dxfId="66" priority="66"/>
  </conditionalFormatting>
  <conditionalFormatting sqref="AB45">
    <cfRule type="duplicateValues" dxfId="65" priority="65"/>
  </conditionalFormatting>
  <conditionalFormatting sqref="AB13">
    <cfRule type="duplicateValues" dxfId="64" priority="64"/>
  </conditionalFormatting>
  <conditionalFormatting sqref="AB21">
    <cfRule type="duplicateValues" dxfId="63" priority="63"/>
  </conditionalFormatting>
  <conditionalFormatting sqref="AB17">
    <cfRule type="duplicateValues" dxfId="62" priority="62"/>
  </conditionalFormatting>
  <conditionalFormatting sqref="AB25">
    <cfRule type="duplicateValues" dxfId="61" priority="61"/>
  </conditionalFormatting>
  <conditionalFormatting sqref="AB29">
    <cfRule type="duplicateValues" dxfId="60" priority="60"/>
  </conditionalFormatting>
  <conditionalFormatting sqref="AB53">
    <cfRule type="duplicateValues" dxfId="59" priority="59"/>
  </conditionalFormatting>
  <conditionalFormatting sqref="AB61">
    <cfRule type="duplicateValues" dxfId="58" priority="58"/>
  </conditionalFormatting>
  <conditionalFormatting sqref="AB10">
    <cfRule type="duplicateValues" dxfId="57" priority="57"/>
  </conditionalFormatting>
  <conditionalFormatting sqref="AB14">
    <cfRule type="duplicateValues" dxfId="56" priority="56"/>
  </conditionalFormatting>
  <conditionalFormatting sqref="AB22">
    <cfRule type="duplicateValues" dxfId="55" priority="55"/>
  </conditionalFormatting>
  <conditionalFormatting sqref="AB18">
    <cfRule type="duplicateValues" dxfId="54" priority="54"/>
  </conditionalFormatting>
  <conditionalFormatting sqref="AB26">
    <cfRule type="duplicateValues" dxfId="53" priority="53"/>
  </conditionalFormatting>
  <conditionalFormatting sqref="AB30">
    <cfRule type="duplicateValues" dxfId="52" priority="52"/>
  </conditionalFormatting>
  <conditionalFormatting sqref="AB54">
    <cfRule type="duplicateValues" dxfId="51" priority="51"/>
  </conditionalFormatting>
  <conditionalFormatting sqref="AB62">
    <cfRule type="duplicateValues" dxfId="50" priority="50"/>
  </conditionalFormatting>
  <conditionalFormatting sqref="AB106">
    <cfRule type="duplicateValues" dxfId="49" priority="49"/>
  </conditionalFormatting>
  <conditionalFormatting sqref="T9">
    <cfRule type="duplicateValues" dxfId="48" priority="48"/>
  </conditionalFormatting>
  <conditionalFormatting sqref="T41">
    <cfRule type="duplicateValues" dxfId="47" priority="47"/>
  </conditionalFormatting>
  <conditionalFormatting sqref="AC45">
    <cfRule type="duplicateValues" dxfId="46" priority="46"/>
  </conditionalFormatting>
  <conditionalFormatting sqref="T13">
    <cfRule type="duplicateValues" dxfId="45" priority="45"/>
  </conditionalFormatting>
  <conditionalFormatting sqref="T21">
    <cfRule type="duplicateValues" dxfId="44" priority="44"/>
  </conditionalFormatting>
  <conditionalFormatting sqref="T17">
    <cfRule type="duplicateValues" dxfId="43" priority="43"/>
  </conditionalFormatting>
  <conditionalFormatting sqref="T25">
    <cfRule type="duplicateValues" dxfId="42" priority="42"/>
  </conditionalFormatting>
  <conditionalFormatting sqref="T29">
    <cfRule type="duplicateValues" dxfId="41" priority="41"/>
  </conditionalFormatting>
  <conditionalFormatting sqref="T53">
    <cfRule type="duplicateValues" dxfId="40" priority="40"/>
  </conditionalFormatting>
  <conditionalFormatting sqref="T61">
    <cfRule type="duplicateValues" dxfId="39" priority="39"/>
  </conditionalFormatting>
  <conditionalFormatting sqref="T42">
    <cfRule type="duplicateValues" dxfId="38" priority="38"/>
  </conditionalFormatting>
  <conditionalFormatting sqref="T62">
    <cfRule type="duplicateValues" dxfId="37" priority="37"/>
  </conditionalFormatting>
  <conditionalFormatting sqref="T55">
    <cfRule type="duplicateValues" dxfId="36" priority="36"/>
  </conditionalFormatting>
  <conditionalFormatting sqref="AC86">
    <cfRule type="duplicateValues" dxfId="35" priority="35"/>
  </conditionalFormatting>
  <conditionalFormatting sqref="AC90">
    <cfRule type="duplicateValues" dxfId="34" priority="34"/>
  </conditionalFormatting>
  <conditionalFormatting sqref="T39">
    <cfRule type="duplicateValues" dxfId="33" priority="33"/>
  </conditionalFormatting>
  <conditionalFormatting sqref="T27">
    <cfRule type="duplicateValues" dxfId="32" priority="32"/>
  </conditionalFormatting>
  <conditionalFormatting sqref="V50">
    <cfRule type="duplicateValues" dxfId="31" priority="31"/>
  </conditionalFormatting>
  <conditionalFormatting sqref="V51">
    <cfRule type="duplicateValues" dxfId="30" priority="30"/>
  </conditionalFormatting>
  <conditionalFormatting sqref="Y49">
    <cfRule type="duplicateValues" dxfId="29" priority="29"/>
  </conditionalFormatting>
  <conditionalFormatting sqref="Y50">
    <cfRule type="duplicateValues" dxfId="28" priority="28"/>
  </conditionalFormatting>
  <conditionalFormatting sqref="Y51">
    <cfRule type="duplicateValues" dxfId="27" priority="27"/>
  </conditionalFormatting>
  <conditionalFormatting sqref="Z49">
    <cfRule type="duplicateValues" dxfId="26" priority="26"/>
  </conditionalFormatting>
  <conditionalFormatting sqref="Z50">
    <cfRule type="duplicateValues" dxfId="25" priority="25"/>
  </conditionalFormatting>
  <conditionalFormatting sqref="Z51">
    <cfRule type="duplicateValues" dxfId="24" priority="24"/>
  </conditionalFormatting>
  <conditionalFormatting sqref="AA49">
    <cfRule type="duplicateValues" dxfId="23" priority="23"/>
  </conditionalFormatting>
  <conditionalFormatting sqref="AA50">
    <cfRule type="duplicateValues" dxfId="22" priority="22"/>
  </conditionalFormatting>
  <conditionalFormatting sqref="AB49">
    <cfRule type="duplicateValues" dxfId="21" priority="21"/>
  </conditionalFormatting>
  <conditionalFormatting sqref="AC49">
    <cfRule type="duplicateValues" dxfId="20" priority="20"/>
  </conditionalFormatting>
  <conditionalFormatting sqref="T90">
    <cfRule type="duplicateValues" dxfId="19" priority="19"/>
  </conditionalFormatting>
  <conditionalFormatting sqref="Z9">
    <cfRule type="duplicateValues" dxfId="18" priority="18"/>
  </conditionalFormatting>
  <conditionalFormatting sqref="Z10">
    <cfRule type="duplicateValues" dxfId="17" priority="17"/>
  </conditionalFormatting>
  <conditionalFormatting sqref="Z13">
    <cfRule type="duplicateValues" dxfId="16" priority="16"/>
  </conditionalFormatting>
  <conditionalFormatting sqref="Z14">
    <cfRule type="duplicateValues" dxfId="15" priority="15"/>
  </conditionalFormatting>
  <conditionalFormatting sqref="Z17">
    <cfRule type="duplicateValues" dxfId="14" priority="14"/>
  </conditionalFormatting>
  <conditionalFormatting sqref="Z18">
    <cfRule type="duplicateValues" dxfId="13" priority="13"/>
  </conditionalFormatting>
  <conditionalFormatting sqref="Z21">
    <cfRule type="duplicateValues" dxfId="12" priority="12"/>
  </conditionalFormatting>
  <conditionalFormatting sqref="Z22">
    <cfRule type="duplicateValues" dxfId="11" priority="11"/>
  </conditionalFormatting>
  <conditionalFormatting sqref="Z29">
    <cfRule type="duplicateValues" dxfId="10" priority="10"/>
  </conditionalFormatting>
  <conditionalFormatting sqref="Z42">
    <cfRule type="duplicateValues" dxfId="9" priority="9"/>
  </conditionalFormatting>
  <conditionalFormatting sqref="Z46">
    <cfRule type="duplicateValues" dxfId="8" priority="8"/>
  </conditionalFormatting>
  <conditionalFormatting sqref="Z61">
    <cfRule type="duplicateValues" dxfId="7" priority="7"/>
  </conditionalFormatting>
  <conditionalFormatting sqref="Y14">
    <cfRule type="duplicateValues" dxfId="6" priority="6"/>
  </conditionalFormatting>
  <conditionalFormatting sqref="Y22">
    <cfRule type="duplicateValues" dxfId="5" priority="5"/>
  </conditionalFormatting>
  <conditionalFormatting sqref="Y18">
    <cfRule type="duplicateValues" dxfId="4" priority="4"/>
  </conditionalFormatting>
  <conditionalFormatting sqref="AA21">
    <cfRule type="duplicateValues" dxfId="3" priority="3"/>
  </conditionalFormatting>
  <conditionalFormatting sqref="Y67">
    <cfRule type="duplicateValues" dxfId="2" priority="2"/>
  </conditionalFormatting>
  <conditionalFormatting sqref="Y71">
    <cfRule type="duplicateValues" dxfId="1" priority="1"/>
  </conditionalFormatting>
  <pageMargins left="0.7" right="0.7" top="0.75" bottom="0.75" header="0.3" footer="0.3"/>
  <pageSetup scale="11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L44"/>
  <sheetViews>
    <sheetView topLeftCell="A16" workbookViewId="0">
      <selection activeCell="N31" sqref="N31"/>
    </sheetView>
  </sheetViews>
  <sheetFormatPr defaultColWidth="9.140625" defaultRowHeight="15" x14ac:dyDescent="0.25"/>
  <cols>
    <col min="1" max="1" width="9.140625" style="254"/>
    <col min="2" max="2" width="5.5703125" style="254" customWidth="1"/>
    <col min="3" max="3" width="14.28515625" style="254" customWidth="1"/>
    <col min="4" max="4" width="14.7109375" style="254" bestFit="1" customWidth="1"/>
    <col min="5" max="5" width="15.85546875" style="254" bestFit="1" customWidth="1"/>
    <col min="6" max="7" width="11" style="254" customWidth="1"/>
    <col min="8" max="8" width="13.5703125" style="254" customWidth="1"/>
    <col min="9" max="10" width="14.5703125" style="254" bestFit="1" customWidth="1"/>
    <col min="11" max="11" width="9.140625" style="254"/>
    <col min="12" max="12" width="12.5703125" style="254" customWidth="1"/>
    <col min="13" max="16384" width="9.140625" style="254"/>
  </cols>
  <sheetData>
    <row r="2" spans="2:12" x14ac:dyDescent="0.25">
      <c r="B2" s="1393" t="s">
        <v>131</v>
      </c>
      <c r="C2" s="1393" t="s">
        <v>5961</v>
      </c>
      <c r="D2" s="1393" t="s">
        <v>5979</v>
      </c>
      <c r="E2" s="1393" t="s">
        <v>5963</v>
      </c>
      <c r="F2" s="1393" t="s">
        <v>5980</v>
      </c>
      <c r="G2" s="1393" t="s">
        <v>6002</v>
      </c>
      <c r="H2" s="1393" t="s">
        <v>5983</v>
      </c>
      <c r="I2" s="1393" t="s">
        <v>5981</v>
      </c>
      <c r="J2" s="1393" t="s">
        <v>5982</v>
      </c>
      <c r="K2" s="895" t="s">
        <v>6003</v>
      </c>
      <c r="L2" s="895" t="s">
        <v>6041</v>
      </c>
    </row>
    <row r="3" spans="2:12" x14ac:dyDescent="0.25">
      <c r="B3" s="362">
        <v>1</v>
      </c>
      <c r="C3" s="362" t="s">
        <v>6039</v>
      </c>
      <c r="D3" s="560">
        <v>750000000</v>
      </c>
      <c r="E3" s="362"/>
      <c r="F3" s="362"/>
      <c r="G3" s="362"/>
      <c r="H3" s="560">
        <f>E3+F3+G3</f>
        <v>0</v>
      </c>
      <c r="I3" s="364">
        <v>44055</v>
      </c>
      <c r="J3" s="364">
        <v>44255</v>
      </c>
      <c r="K3" s="362" t="s">
        <v>6029</v>
      </c>
      <c r="L3" s="362"/>
    </row>
    <row r="4" spans="2:12" x14ac:dyDescent="0.25">
      <c r="B4" s="362"/>
      <c r="C4" s="362" t="s">
        <v>6039</v>
      </c>
      <c r="D4" s="560">
        <v>750000000</v>
      </c>
      <c r="E4" s="560">
        <v>7604167</v>
      </c>
      <c r="F4" s="560"/>
      <c r="G4" s="560">
        <v>100000</v>
      </c>
      <c r="H4" s="560">
        <f t="shared" ref="H4:H40" si="0">E4+F4+G4</f>
        <v>7704167</v>
      </c>
      <c r="I4" s="364">
        <v>44235</v>
      </c>
      <c r="J4" s="364">
        <v>44600</v>
      </c>
      <c r="K4" s="362" t="s">
        <v>6029</v>
      </c>
      <c r="L4" s="364">
        <v>44238</v>
      </c>
    </row>
    <row r="5" spans="2:12" x14ac:dyDescent="0.25">
      <c r="B5" s="362">
        <v>2</v>
      </c>
      <c r="C5" s="362" t="s">
        <v>6128</v>
      </c>
      <c r="D5" s="560">
        <v>3000000000</v>
      </c>
      <c r="E5" s="560">
        <v>31583334</v>
      </c>
      <c r="F5" s="560"/>
      <c r="G5" s="560">
        <v>100000</v>
      </c>
      <c r="H5" s="560">
        <f t="shared" si="0"/>
        <v>31683334</v>
      </c>
      <c r="I5" s="364">
        <v>44409</v>
      </c>
      <c r="J5" s="364">
        <v>44774</v>
      </c>
      <c r="K5" s="362" t="s">
        <v>153</v>
      </c>
      <c r="L5" s="364">
        <v>44431</v>
      </c>
    </row>
    <row r="6" spans="2:12" x14ac:dyDescent="0.25">
      <c r="B6" s="362">
        <v>3</v>
      </c>
      <c r="C6" s="362" t="s">
        <v>6037</v>
      </c>
      <c r="D6" s="560">
        <v>3500000000</v>
      </c>
      <c r="E6" s="560"/>
      <c r="F6" s="560"/>
      <c r="G6" s="560"/>
      <c r="H6" s="560">
        <f t="shared" si="0"/>
        <v>0</v>
      </c>
      <c r="I6" s="364">
        <v>43810</v>
      </c>
      <c r="J6" s="364">
        <v>44156</v>
      </c>
      <c r="K6" s="362" t="s">
        <v>6029</v>
      </c>
      <c r="L6" s="362"/>
    </row>
    <row r="7" spans="2:12" x14ac:dyDescent="0.25">
      <c r="B7" s="362"/>
      <c r="C7" s="362" t="s">
        <v>6037</v>
      </c>
      <c r="D7" s="560">
        <v>3500000000</v>
      </c>
      <c r="E7" s="560">
        <v>36361111</v>
      </c>
      <c r="F7" s="560">
        <v>10000</v>
      </c>
      <c r="G7" s="560"/>
      <c r="H7" s="560">
        <f t="shared" si="0"/>
        <v>36371111</v>
      </c>
      <c r="I7" s="364">
        <v>44545</v>
      </c>
      <c r="J7" s="364">
        <v>44904</v>
      </c>
      <c r="K7" s="362" t="s">
        <v>688</v>
      </c>
      <c r="L7" s="609">
        <v>44551</v>
      </c>
    </row>
    <row r="8" spans="2:12" x14ac:dyDescent="0.25">
      <c r="B8" s="362">
        <v>4</v>
      </c>
      <c r="C8" s="362" t="s">
        <v>6036</v>
      </c>
      <c r="D8" s="560">
        <v>500000000</v>
      </c>
      <c r="E8" s="560"/>
      <c r="F8" s="560"/>
      <c r="G8" s="560"/>
      <c r="H8" s="560">
        <f t="shared" si="0"/>
        <v>0</v>
      </c>
      <c r="I8" s="364">
        <v>43743</v>
      </c>
      <c r="J8" s="364">
        <v>44094</v>
      </c>
      <c r="K8" s="362" t="s">
        <v>6029</v>
      </c>
      <c r="L8" s="362"/>
    </row>
    <row r="9" spans="2:12" x14ac:dyDescent="0.25">
      <c r="B9" s="362"/>
      <c r="C9" s="362" t="s">
        <v>6036</v>
      </c>
      <c r="D9" s="560">
        <v>500000000</v>
      </c>
      <c r="E9" s="362"/>
      <c r="F9" s="362"/>
      <c r="G9" s="362"/>
      <c r="H9" s="560">
        <f t="shared" si="0"/>
        <v>0</v>
      </c>
      <c r="I9" s="364">
        <v>44103</v>
      </c>
      <c r="J9" s="364">
        <v>44286</v>
      </c>
      <c r="K9" s="362" t="s">
        <v>6029</v>
      </c>
      <c r="L9" s="362"/>
    </row>
    <row r="10" spans="2:12" x14ac:dyDescent="0.25">
      <c r="B10" s="362"/>
      <c r="C10" s="362" t="s">
        <v>6036</v>
      </c>
      <c r="D10" s="560">
        <v>500000000</v>
      </c>
      <c r="E10" s="560">
        <v>5263889</v>
      </c>
      <c r="F10" s="362"/>
      <c r="G10" s="560">
        <v>100000</v>
      </c>
      <c r="H10" s="560">
        <f t="shared" si="0"/>
        <v>5363889</v>
      </c>
      <c r="I10" s="364">
        <v>44409</v>
      </c>
      <c r="J10" s="364">
        <v>44774</v>
      </c>
      <c r="K10" s="362" t="s">
        <v>153</v>
      </c>
      <c r="L10" s="609">
        <v>44431</v>
      </c>
    </row>
    <row r="11" spans="2:12" x14ac:dyDescent="0.25">
      <c r="B11" s="362">
        <v>5</v>
      </c>
      <c r="C11" s="362" t="s">
        <v>6028</v>
      </c>
      <c r="D11" s="560">
        <v>2250000000</v>
      </c>
      <c r="E11" s="560"/>
      <c r="F11" s="560"/>
      <c r="G11" s="560"/>
      <c r="H11" s="560">
        <f t="shared" si="0"/>
        <v>0</v>
      </c>
      <c r="I11" s="364">
        <v>44105</v>
      </c>
      <c r="J11" s="364">
        <v>44453</v>
      </c>
      <c r="K11" s="362" t="s">
        <v>6029</v>
      </c>
      <c r="L11" s="362"/>
    </row>
    <row r="12" spans="2:12" x14ac:dyDescent="0.25">
      <c r="B12" s="362"/>
      <c r="C12" s="362" t="s">
        <v>6028</v>
      </c>
      <c r="D12" s="560">
        <v>2250000000</v>
      </c>
      <c r="E12" s="560">
        <v>22250000</v>
      </c>
      <c r="F12" s="560">
        <v>10000</v>
      </c>
      <c r="G12" s="560"/>
      <c r="H12" s="560">
        <f t="shared" si="0"/>
        <v>22260000</v>
      </c>
      <c r="I12" s="364">
        <v>44480</v>
      </c>
      <c r="J12" s="364">
        <v>44088</v>
      </c>
      <c r="K12" s="362" t="s">
        <v>688</v>
      </c>
      <c r="L12" s="609">
        <v>44482</v>
      </c>
    </row>
    <row r="13" spans="2:12" x14ac:dyDescent="0.25">
      <c r="B13" s="362">
        <v>6</v>
      </c>
      <c r="C13" s="362" t="s">
        <v>6033</v>
      </c>
      <c r="D13" s="560">
        <v>16000000000</v>
      </c>
      <c r="E13" s="560"/>
      <c r="F13" s="560"/>
      <c r="G13" s="560"/>
      <c r="H13" s="560">
        <f t="shared" si="0"/>
        <v>0</v>
      </c>
      <c r="I13" s="364">
        <v>43601</v>
      </c>
      <c r="J13" s="364">
        <v>43631</v>
      </c>
      <c r="K13" s="362" t="s">
        <v>688</v>
      </c>
      <c r="L13" s="362"/>
    </row>
    <row r="14" spans="2:12" x14ac:dyDescent="0.25">
      <c r="B14" s="362"/>
      <c r="C14" s="362" t="s">
        <v>6033</v>
      </c>
      <c r="D14" s="560">
        <v>20000000</v>
      </c>
      <c r="E14" s="560">
        <v>78333333</v>
      </c>
      <c r="F14" s="560">
        <v>10000</v>
      </c>
      <c r="G14" s="560"/>
      <c r="H14" s="560">
        <f t="shared" si="0"/>
        <v>78343333</v>
      </c>
      <c r="I14" s="364">
        <v>44435</v>
      </c>
      <c r="J14" s="364">
        <v>44561</v>
      </c>
      <c r="K14" s="362" t="s">
        <v>688</v>
      </c>
      <c r="L14" s="609">
        <v>44439</v>
      </c>
    </row>
    <row r="15" spans="2:12" x14ac:dyDescent="0.25">
      <c r="B15" s="362"/>
      <c r="C15" s="362" t="s">
        <v>6033</v>
      </c>
      <c r="D15" s="560">
        <v>20000000000</v>
      </c>
      <c r="E15" s="560">
        <v>202777778</v>
      </c>
      <c r="F15" s="560">
        <v>10000</v>
      </c>
      <c r="G15" s="560"/>
      <c r="H15" s="560">
        <f t="shared" si="0"/>
        <v>202787778</v>
      </c>
      <c r="I15" s="364">
        <v>44211</v>
      </c>
      <c r="J15" s="364">
        <v>44940</v>
      </c>
      <c r="K15" s="362" t="s">
        <v>688</v>
      </c>
      <c r="L15" s="609">
        <v>44561</v>
      </c>
    </row>
    <row r="16" spans="2:12" x14ac:dyDescent="0.25">
      <c r="B16" s="362">
        <v>7</v>
      </c>
      <c r="C16" s="362" t="s">
        <v>6031</v>
      </c>
      <c r="D16" s="560">
        <v>1500000000</v>
      </c>
      <c r="E16" s="560"/>
      <c r="F16" s="560"/>
      <c r="G16" s="560"/>
      <c r="H16" s="560">
        <f t="shared" si="0"/>
        <v>0</v>
      </c>
      <c r="I16" s="364">
        <v>43647</v>
      </c>
      <c r="J16" s="364">
        <v>43853</v>
      </c>
      <c r="K16" s="362" t="s">
        <v>688</v>
      </c>
      <c r="L16" s="362"/>
    </row>
    <row r="17" spans="2:12" x14ac:dyDescent="0.25">
      <c r="B17" s="362">
        <v>8</v>
      </c>
      <c r="C17" s="362" t="s">
        <v>6001</v>
      </c>
      <c r="D17" s="560">
        <v>8000000000</v>
      </c>
      <c r="E17" s="560">
        <v>83861111</v>
      </c>
      <c r="F17" s="560"/>
      <c r="G17" s="560">
        <v>100000</v>
      </c>
      <c r="H17" s="560">
        <f t="shared" si="0"/>
        <v>83961111</v>
      </c>
      <c r="I17" s="364">
        <v>44255</v>
      </c>
      <c r="J17" s="364">
        <v>44620</v>
      </c>
      <c r="K17" s="362" t="s">
        <v>153</v>
      </c>
      <c r="L17" s="362"/>
    </row>
    <row r="18" spans="2:12" x14ac:dyDescent="0.25">
      <c r="B18" s="362"/>
      <c r="C18" s="362"/>
      <c r="D18" s="560">
        <v>8000000000</v>
      </c>
      <c r="E18" s="560">
        <v>81211112</v>
      </c>
      <c r="F18" s="560"/>
      <c r="G18" s="560"/>
      <c r="H18" s="560">
        <f t="shared" si="0"/>
        <v>81211112</v>
      </c>
      <c r="I18" s="364">
        <v>44620</v>
      </c>
      <c r="J18" s="364">
        <v>44985</v>
      </c>
      <c r="K18" s="362" t="s">
        <v>6029</v>
      </c>
      <c r="L18" s="609">
        <v>44615</v>
      </c>
    </row>
    <row r="19" spans="2:12" x14ac:dyDescent="0.25">
      <c r="B19" s="362">
        <v>9</v>
      </c>
      <c r="C19" s="362" t="s">
        <v>6030</v>
      </c>
      <c r="D19" s="560">
        <v>5000000000</v>
      </c>
      <c r="E19" s="560"/>
      <c r="F19" s="560"/>
      <c r="G19" s="560"/>
      <c r="H19" s="560">
        <f t="shared" si="0"/>
        <v>0</v>
      </c>
      <c r="I19" s="364">
        <v>43890</v>
      </c>
      <c r="J19" s="364">
        <v>44255</v>
      </c>
      <c r="K19" s="362" t="s">
        <v>6029</v>
      </c>
      <c r="L19" s="362"/>
    </row>
    <row r="20" spans="2:12" x14ac:dyDescent="0.25">
      <c r="B20" s="362">
        <v>10</v>
      </c>
      <c r="C20" s="362" t="s">
        <v>6027</v>
      </c>
      <c r="D20" s="560">
        <v>12000000000</v>
      </c>
      <c r="E20" s="560"/>
      <c r="F20" s="560"/>
      <c r="G20" s="560"/>
      <c r="H20" s="560">
        <f t="shared" si="0"/>
        <v>0</v>
      </c>
      <c r="I20" s="364">
        <v>44135</v>
      </c>
      <c r="J20" s="364">
        <v>44495</v>
      </c>
      <c r="K20" s="362" t="s">
        <v>153</v>
      </c>
      <c r="L20" s="362"/>
    </row>
    <row r="21" spans="2:12" x14ac:dyDescent="0.25">
      <c r="B21" s="362"/>
      <c r="C21" s="362" t="s">
        <v>6027</v>
      </c>
      <c r="D21" s="560">
        <v>12000000000</v>
      </c>
      <c r="E21" s="560">
        <v>123433334</v>
      </c>
      <c r="F21" s="560"/>
      <c r="G21" s="560"/>
      <c r="H21" s="560">
        <f t="shared" si="0"/>
        <v>123433334</v>
      </c>
      <c r="I21" s="364">
        <v>44495</v>
      </c>
      <c r="J21" s="364">
        <v>44851</v>
      </c>
      <c r="K21" s="362" t="s">
        <v>6029</v>
      </c>
      <c r="L21" s="609">
        <v>44557</v>
      </c>
    </row>
    <row r="22" spans="2:12" x14ac:dyDescent="0.25">
      <c r="B22" s="362">
        <v>11</v>
      </c>
      <c r="C22" s="362" t="s">
        <v>6034</v>
      </c>
      <c r="D22" s="560">
        <v>500000000</v>
      </c>
      <c r="E22" s="560"/>
      <c r="F22" s="560"/>
      <c r="G22" s="560"/>
      <c r="H22" s="560">
        <f t="shared" si="0"/>
        <v>0</v>
      </c>
      <c r="I22" s="364">
        <v>44029</v>
      </c>
      <c r="J22" s="364">
        <v>44408</v>
      </c>
      <c r="K22" s="362" t="s">
        <v>6029</v>
      </c>
      <c r="L22" s="362"/>
    </row>
    <row r="23" spans="2:12" x14ac:dyDescent="0.25">
      <c r="B23" s="362"/>
      <c r="C23" s="362" t="s">
        <v>6034</v>
      </c>
      <c r="D23" s="560">
        <v>1000000000</v>
      </c>
      <c r="E23" s="560">
        <v>10238889</v>
      </c>
      <c r="F23" s="560"/>
      <c r="G23" s="560"/>
      <c r="H23" s="560">
        <f t="shared" si="0"/>
        <v>10238889</v>
      </c>
      <c r="I23" s="364">
        <v>44408</v>
      </c>
      <c r="J23" s="364">
        <v>44773</v>
      </c>
      <c r="K23" s="362" t="s">
        <v>153</v>
      </c>
      <c r="L23" s="362"/>
    </row>
    <row r="24" spans="2:12" x14ac:dyDescent="0.25">
      <c r="B24" s="362">
        <v>12</v>
      </c>
      <c r="C24" s="362" t="s">
        <v>4563</v>
      </c>
      <c r="D24" s="560">
        <v>12500000000</v>
      </c>
      <c r="E24" s="362"/>
      <c r="F24" s="362"/>
      <c r="G24" s="362"/>
      <c r="H24" s="560">
        <f t="shared" si="0"/>
        <v>0</v>
      </c>
      <c r="I24" s="364">
        <v>43524</v>
      </c>
      <c r="J24" s="364">
        <v>44561</v>
      </c>
      <c r="K24" s="362" t="s">
        <v>688</v>
      </c>
      <c r="L24" s="362"/>
    </row>
    <row r="25" spans="2:12" x14ac:dyDescent="0.25">
      <c r="B25" s="362"/>
      <c r="C25" s="362" t="s">
        <v>4563</v>
      </c>
      <c r="D25" s="560">
        <v>750000000</v>
      </c>
      <c r="E25" s="362"/>
      <c r="F25" s="362"/>
      <c r="G25" s="362"/>
      <c r="H25" s="560">
        <f t="shared" si="0"/>
        <v>0</v>
      </c>
      <c r="I25" s="364">
        <v>43952</v>
      </c>
      <c r="J25" s="364">
        <v>44043</v>
      </c>
      <c r="K25" s="362"/>
      <c r="L25" s="609">
        <v>43949</v>
      </c>
    </row>
    <row r="26" spans="2:12" x14ac:dyDescent="0.25">
      <c r="B26" s="362"/>
      <c r="C26" s="362" t="s">
        <v>4563</v>
      </c>
      <c r="D26" s="560">
        <v>5000000000</v>
      </c>
      <c r="E26" s="362"/>
      <c r="F26" s="362"/>
      <c r="G26" s="362"/>
      <c r="H26" s="560">
        <f t="shared" si="0"/>
        <v>0</v>
      </c>
      <c r="I26" s="364">
        <v>44043</v>
      </c>
      <c r="J26" s="364">
        <v>44196</v>
      </c>
      <c r="K26" s="362"/>
      <c r="L26" s="609">
        <v>44022</v>
      </c>
    </row>
    <row r="27" spans="2:12" x14ac:dyDescent="0.25">
      <c r="B27" s="362"/>
      <c r="C27" s="362" t="s">
        <v>4563</v>
      </c>
      <c r="D27" s="560">
        <v>5000000000</v>
      </c>
      <c r="E27" s="362"/>
      <c r="F27" s="362"/>
      <c r="G27" s="362"/>
      <c r="H27" s="560">
        <f t="shared" si="0"/>
        <v>0</v>
      </c>
      <c r="I27" s="364">
        <v>44068</v>
      </c>
      <c r="J27" s="364">
        <v>44416</v>
      </c>
      <c r="K27" s="362"/>
      <c r="L27" s="609">
        <v>44074</v>
      </c>
    </row>
    <row r="28" spans="2:12" x14ac:dyDescent="0.25">
      <c r="B28" s="362"/>
      <c r="C28" s="362" t="s">
        <v>4563</v>
      </c>
      <c r="D28" s="560">
        <v>2500000000</v>
      </c>
      <c r="E28" s="362"/>
      <c r="F28" s="362"/>
      <c r="G28" s="362"/>
      <c r="H28" s="560">
        <f t="shared" si="0"/>
        <v>0</v>
      </c>
      <c r="I28" s="364">
        <v>44105</v>
      </c>
      <c r="J28" s="364">
        <v>44414</v>
      </c>
      <c r="K28" s="362"/>
      <c r="L28" s="609">
        <v>44110</v>
      </c>
    </row>
    <row r="29" spans="2:12" x14ac:dyDescent="0.25">
      <c r="B29" s="362"/>
      <c r="C29" s="362" t="s">
        <v>4563</v>
      </c>
      <c r="D29" s="560">
        <v>14150000000</v>
      </c>
      <c r="E29" s="560">
        <v>82541667</v>
      </c>
      <c r="F29" s="560">
        <v>6000</v>
      </c>
      <c r="G29" s="560"/>
      <c r="H29" s="560">
        <f t="shared" si="0"/>
        <v>82547667</v>
      </c>
      <c r="I29" s="364">
        <v>44197</v>
      </c>
      <c r="J29" s="364">
        <v>44377</v>
      </c>
      <c r="K29" s="362"/>
      <c r="L29" s="609">
        <v>44200</v>
      </c>
    </row>
    <row r="30" spans="2:12" x14ac:dyDescent="0.25">
      <c r="B30" s="362"/>
      <c r="C30" s="362" t="s">
        <v>4563</v>
      </c>
      <c r="D30" s="560">
        <v>14150000000</v>
      </c>
      <c r="E30" s="560">
        <v>36554167</v>
      </c>
      <c r="F30" s="560">
        <v>10000</v>
      </c>
      <c r="G30" s="560"/>
      <c r="H30" s="560">
        <f t="shared" si="0"/>
        <v>36564167</v>
      </c>
      <c r="I30" s="364">
        <v>44377</v>
      </c>
      <c r="J30" s="364">
        <v>44470</v>
      </c>
      <c r="K30" s="362"/>
      <c r="L30" s="609">
        <v>44344</v>
      </c>
    </row>
    <row r="31" spans="2:12" x14ac:dyDescent="0.25">
      <c r="B31" s="362"/>
      <c r="C31" s="362" t="s">
        <v>4563</v>
      </c>
      <c r="D31" s="560">
        <v>5000000000</v>
      </c>
      <c r="E31" s="560">
        <v>22222222</v>
      </c>
      <c r="F31" s="560"/>
      <c r="G31" s="560">
        <v>100000</v>
      </c>
      <c r="H31" s="560">
        <f t="shared" si="0"/>
        <v>22322222</v>
      </c>
      <c r="I31" s="364">
        <v>44415</v>
      </c>
      <c r="J31" s="364">
        <v>44561</v>
      </c>
      <c r="K31" s="362" t="s">
        <v>153</v>
      </c>
      <c r="L31" s="609">
        <v>44434</v>
      </c>
    </row>
    <row r="32" spans="2:12" x14ac:dyDescent="0.25">
      <c r="B32" s="362">
        <v>13</v>
      </c>
      <c r="C32" s="362" t="s">
        <v>6035</v>
      </c>
      <c r="D32" s="560">
        <v>11000000000</v>
      </c>
      <c r="E32" s="560"/>
      <c r="F32" s="560"/>
      <c r="G32" s="560"/>
      <c r="H32" s="560">
        <f t="shared" si="0"/>
        <v>0</v>
      </c>
      <c r="I32" s="364">
        <v>44124</v>
      </c>
      <c r="J32" s="364">
        <v>44465</v>
      </c>
      <c r="K32" s="362" t="s">
        <v>6029</v>
      </c>
      <c r="L32" s="362"/>
    </row>
    <row r="33" spans="2:12" x14ac:dyDescent="0.25">
      <c r="B33" s="362"/>
      <c r="C33" s="362" t="s">
        <v>6035</v>
      </c>
      <c r="D33" s="560">
        <v>11000000000</v>
      </c>
      <c r="E33" s="560">
        <v>111527778</v>
      </c>
      <c r="F33" s="560"/>
      <c r="G33" s="560">
        <v>10000</v>
      </c>
      <c r="H33" s="560">
        <f t="shared" si="0"/>
        <v>111537778</v>
      </c>
      <c r="I33" s="364">
        <v>44465</v>
      </c>
      <c r="J33" s="364">
        <v>44830</v>
      </c>
      <c r="K33" s="362" t="s">
        <v>6029</v>
      </c>
      <c r="L33" s="609">
        <v>44461</v>
      </c>
    </row>
    <row r="34" spans="2:12" x14ac:dyDescent="0.25">
      <c r="B34" s="362">
        <v>14</v>
      </c>
      <c r="C34" s="362" t="s">
        <v>6038</v>
      </c>
      <c r="D34" s="560">
        <v>500000000</v>
      </c>
      <c r="E34" s="362"/>
      <c r="F34" s="362"/>
      <c r="G34" s="362"/>
      <c r="H34" s="560">
        <f t="shared" si="0"/>
        <v>0</v>
      </c>
      <c r="I34" s="364">
        <v>43896</v>
      </c>
      <c r="J34" s="364">
        <v>44198</v>
      </c>
      <c r="K34" s="362" t="s">
        <v>688</v>
      </c>
      <c r="L34" s="362"/>
    </row>
    <row r="35" spans="2:12" x14ac:dyDescent="0.25">
      <c r="B35" s="362"/>
      <c r="C35" s="362" t="s">
        <v>6106</v>
      </c>
      <c r="D35" s="560">
        <v>2500000000</v>
      </c>
      <c r="E35" s="560">
        <v>26319444</v>
      </c>
      <c r="F35" s="362"/>
      <c r="G35" s="560">
        <v>100000</v>
      </c>
      <c r="H35" s="560">
        <f t="shared" si="0"/>
        <v>26419444</v>
      </c>
      <c r="I35" s="364">
        <v>44322</v>
      </c>
      <c r="J35" s="364">
        <v>44322</v>
      </c>
      <c r="K35" s="362" t="s">
        <v>6029</v>
      </c>
      <c r="L35" s="609">
        <v>44326</v>
      </c>
    </row>
    <row r="36" spans="2:12" x14ac:dyDescent="0.25">
      <c r="B36" s="362">
        <v>15</v>
      </c>
      <c r="C36" s="362" t="s">
        <v>6032</v>
      </c>
      <c r="D36" s="560">
        <v>3500000000</v>
      </c>
      <c r="E36" s="560"/>
      <c r="F36" s="560"/>
      <c r="G36" s="560"/>
      <c r="H36" s="560">
        <f t="shared" si="0"/>
        <v>0</v>
      </c>
      <c r="I36" s="364">
        <v>43760</v>
      </c>
      <c r="J36" s="364">
        <v>43816</v>
      </c>
      <c r="K36" s="362" t="s">
        <v>688</v>
      </c>
      <c r="L36" s="362"/>
    </row>
    <row r="37" spans="2:12" x14ac:dyDescent="0.25">
      <c r="B37" s="362"/>
      <c r="C37" s="362" t="s">
        <v>6032</v>
      </c>
      <c r="D37" s="560">
        <v>7500000000</v>
      </c>
      <c r="E37" s="560"/>
      <c r="F37" s="560"/>
      <c r="G37" s="560"/>
      <c r="H37" s="560">
        <f t="shared" si="0"/>
        <v>0</v>
      </c>
      <c r="I37" s="364">
        <v>43760</v>
      </c>
      <c r="J37" s="364">
        <v>43816</v>
      </c>
      <c r="K37" s="362" t="s">
        <v>688</v>
      </c>
      <c r="L37" s="362"/>
    </row>
    <row r="38" spans="2:12" x14ac:dyDescent="0.25">
      <c r="B38" s="362"/>
      <c r="C38" s="362" t="s">
        <v>6032</v>
      </c>
      <c r="D38" s="560">
        <v>10000000000</v>
      </c>
      <c r="E38" s="560">
        <v>100555556</v>
      </c>
      <c r="F38" s="560">
        <v>12000</v>
      </c>
      <c r="G38" s="560"/>
      <c r="H38" s="560">
        <f t="shared" si="0"/>
        <v>100567556</v>
      </c>
      <c r="I38" s="364">
        <v>44267</v>
      </c>
      <c r="J38" s="364">
        <v>44614</v>
      </c>
      <c r="K38" s="362" t="s">
        <v>688</v>
      </c>
      <c r="L38" s="609">
        <v>44280</v>
      </c>
    </row>
    <row r="39" spans="2:12" x14ac:dyDescent="0.25">
      <c r="B39" s="362"/>
      <c r="C39" s="362" t="s">
        <v>6032</v>
      </c>
      <c r="D39" s="560">
        <v>10000000000</v>
      </c>
      <c r="E39" s="560">
        <v>70000000</v>
      </c>
      <c r="F39" s="560"/>
      <c r="G39" s="560">
        <v>10000</v>
      </c>
      <c r="H39" s="560">
        <f t="shared" si="0"/>
        <v>70010000</v>
      </c>
      <c r="I39" s="364">
        <v>44614</v>
      </c>
      <c r="J39" s="364">
        <v>44866</v>
      </c>
      <c r="K39" s="362" t="s">
        <v>688</v>
      </c>
      <c r="L39" s="609">
        <v>44587</v>
      </c>
    </row>
    <row r="40" spans="2:12" x14ac:dyDescent="0.25">
      <c r="B40" s="362"/>
      <c r="C40" s="362" t="s">
        <v>6285</v>
      </c>
      <c r="D40" s="560">
        <v>1500000000</v>
      </c>
      <c r="E40" s="560">
        <v>11666667</v>
      </c>
      <c r="F40" s="560"/>
      <c r="G40" s="560">
        <v>100000</v>
      </c>
      <c r="H40" s="560">
        <f t="shared" si="0"/>
        <v>11766667</v>
      </c>
      <c r="I40" s="364">
        <v>44705</v>
      </c>
      <c r="J40" s="364">
        <v>44971</v>
      </c>
      <c r="K40" s="362" t="s">
        <v>153</v>
      </c>
      <c r="L40" s="609">
        <v>44726</v>
      </c>
    </row>
    <row r="41" spans="2:12" x14ac:dyDescent="0.25">
      <c r="B41" s="362"/>
      <c r="C41" s="362"/>
      <c r="D41" s="560"/>
      <c r="E41" s="560"/>
      <c r="F41" s="560"/>
      <c r="G41" s="560"/>
      <c r="H41" s="362"/>
      <c r="I41" s="364"/>
      <c r="J41" s="364"/>
      <c r="K41" s="362"/>
      <c r="L41" s="362"/>
    </row>
    <row r="42" spans="2:12" x14ac:dyDescent="0.25">
      <c r="D42" s="463"/>
      <c r="E42" s="463"/>
      <c r="F42" s="463"/>
      <c r="G42" s="463"/>
      <c r="I42" s="366"/>
      <c r="J42" s="366"/>
    </row>
    <row r="43" spans="2:12" x14ac:dyDescent="0.25">
      <c r="D43" s="463"/>
      <c r="E43" s="463"/>
      <c r="F43" s="463"/>
      <c r="G43" s="463"/>
    </row>
    <row r="44" spans="2:12" x14ac:dyDescent="0.25">
      <c r="D44" s="463"/>
      <c r="E44" s="463"/>
      <c r="F44" s="463"/>
      <c r="G44" s="463"/>
    </row>
  </sheetData>
  <sortState ref="B3:L22">
    <sortCondition ref="C3:C22"/>
  </sortState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75"/>
  <sheetViews>
    <sheetView zoomScale="91" zoomScaleNormal="91" workbookViewId="0">
      <pane xSplit="2" ySplit="3" topLeftCell="R25" activePane="bottomRight" state="frozen"/>
      <selection pane="topRight" activeCell="C1" sqref="C1"/>
      <selection pane="bottomLeft" activeCell="A4" sqref="A4"/>
      <selection pane="bottomRight" activeCell="B81" sqref="B81"/>
    </sheetView>
  </sheetViews>
  <sheetFormatPr defaultColWidth="9.140625" defaultRowHeight="15" x14ac:dyDescent="0.25"/>
  <cols>
    <col min="1" max="1" width="15.7109375" style="254" customWidth="1"/>
    <col min="2" max="2" width="27" style="254" customWidth="1"/>
    <col min="3" max="3" width="10.7109375" style="254" customWidth="1"/>
    <col min="4" max="4" width="17.7109375" style="254" customWidth="1"/>
    <col min="5" max="5" width="12.7109375" style="254" customWidth="1"/>
    <col min="6" max="6" width="15.7109375" style="254" customWidth="1"/>
    <col min="7" max="7" width="10.7109375" style="254" customWidth="1"/>
    <col min="8" max="8" width="16.140625" style="254" customWidth="1"/>
    <col min="9" max="9" width="12.85546875" style="254" customWidth="1"/>
    <col min="10" max="10" width="13.28515625" style="254" customWidth="1"/>
    <col min="11" max="11" width="10.7109375" style="254" bestFit="1" customWidth="1"/>
    <col min="12" max="12" width="16.28515625" style="254" customWidth="1"/>
    <col min="13" max="13" width="15.85546875" style="254" customWidth="1"/>
    <col min="14" max="14" width="17.140625" style="254" customWidth="1"/>
    <col min="15" max="15" width="15.85546875" style="254" customWidth="1"/>
    <col min="16" max="16" width="17" style="254" customWidth="1"/>
    <col min="17" max="17" width="14.42578125" style="254" customWidth="1"/>
    <col min="18" max="18" width="12.7109375" style="254" customWidth="1"/>
    <col min="19" max="19" width="13.5703125" style="254" customWidth="1"/>
    <col min="20" max="20" width="15.85546875" style="254" customWidth="1"/>
    <col min="21" max="21" width="15.7109375" style="254" customWidth="1"/>
    <col min="22" max="22" width="14.42578125" style="254" customWidth="1"/>
    <col min="23" max="23" width="15.5703125" style="254" customWidth="1"/>
    <col min="24" max="24" width="14.5703125" style="254" customWidth="1"/>
    <col min="25" max="25" width="18.7109375" style="254" customWidth="1"/>
    <col min="26" max="26" width="13.85546875" style="254" customWidth="1"/>
    <col min="27" max="27" width="20.28515625" style="254" customWidth="1"/>
    <col min="28" max="28" width="11.28515625" style="254" customWidth="1"/>
    <col min="29" max="29" width="9.140625" style="254"/>
    <col min="30" max="30" width="11.7109375" style="254" customWidth="1"/>
    <col min="31" max="31" width="9.140625" style="254"/>
    <col min="32" max="32" width="11.42578125" style="254" bestFit="1" customWidth="1"/>
    <col min="33" max="39" width="9.140625" style="254"/>
    <col min="40" max="40" width="16.7109375" style="254" customWidth="1"/>
    <col min="41" max="53" width="9.140625" style="254"/>
    <col min="54" max="54" width="15.28515625" style="254" customWidth="1"/>
    <col min="55" max="58" width="9.140625" style="254"/>
    <col min="59" max="59" width="9.42578125" style="254" bestFit="1" customWidth="1"/>
    <col min="60" max="60" width="12.5703125" style="254" customWidth="1"/>
    <col min="61" max="61" width="11.42578125" style="254" bestFit="1" customWidth="1"/>
    <col min="62" max="62" width="14.42578125" style="254" customWidth="1"/>
    <col min="63" max="63" width="9.140625" style="254"/>
    <col min="64" max="64" width="14.5703125" style="254" customWidth="1"/>
    <col min="65" max="65" width="9.42578125" style="254" bestFit="1" customWidth="1"/>
    <col min="66" max="66" width="9.140625" style="254"/>
    <col min="67" max="67" width="12.5703125" style="254" customWidth="1"/>
    <col min="68" max="68" width="9.140625" style="254"/>
    <col min="69" max="69" width="12.7109375" style="254" customWidth="1"/>
    <col min="70" max="70" width="14" style="254" customWidth="1"/>
    <col min="71" max="72" width="9.140625" style="254"/>
    <col min="73" max="73" width="9.42578125" style="254" bestFit="1" customWidth="1"/>
    <col min="74" max="74" width="9.140625" style="254"/>
    <col min="75" max="75" width="11.7109375" style="254" customWidth="1"/>
    <col min="76" max="76" width="9.140625" style="254"/>
    <col min="77" max="77" width="12.42578125" style="254" customWidth="1"/>
    <col min="78" max="16384" width="9.140625" style="254"/>
  </cols>
  <sheetData>
    <row r="1" spans="1:27" ht="23.25" customHeight="1" x14ac:dyDescent="0.35">
      <c r="A1" s="242" t="s">
        <v>3955</v>
      </c>
      <c r="E1" s="254" t="s">
        <v>5468</v>
      </c>
    </row>
    <row r="2" spans="1:27" s="1" customFormat="1" x14ac:dyDescent="0.25">
      <c r="A2" s="1597" t="s">
        <v>131</v>
      </c>
      <c r="B2" s="1597" t="s">
        <v>3436</v>
      </c>
      <c r="C2" s="1598" t="s">
        <v>3443</v>
      </c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  <c r="O2" s="1598"/>
      <c r="P2" s="1598"/>
      <c r="Q2" s="1598"/>
      <c r="R2" s="1598"/>
      <c r="S2" s="1598"/>
      <c r="T2" s="1598"/>
      <c r="U2" s="1598"/>
      <c r="V2" s="1598"/>
      <c r="W2" s="1598"/>
      <c r="X2" s="1598"/>
      <c r="Y2" s="1598"/>
      <c r="Z2" s="1598"/>
      <c r="AA2" s="1599" t="s">
        <v>24</v>
      </c>
    </row>
    <row r="3" spans="1:27" s="1" customFormat="1" x14ac:dyDescent="0.25">
      <c r="A3" s="1661"/>
      <c r="B3" s="1661"/>
      <c r="C3" s="606" t="s">
        <v>3456</v>
      </c>
      <c r="D3" s="606" t="s">
        <v>3444</v>
      </c>
      <c r="E3" s="606" t="s">
        <v>3445</v>
      </c>
      <c r="F3" s="606" t="s">
        <v>3444</v>
      </c>
      <c r="G3" s="606" t="s">
        <v>3446</v>
      </c>
      <c r="H3" s="606" t="s">
        <v>3444</v>
      </c>
      <c r="I3" s="606" t="s">
        <v>3447</v>
      </c>
      <c r="J3" s="606" t="s">
        <v>3444</v>
      </c>
      <c r="K3" s="606" t="s">
        <v>3448</v>
      </c>
      <c r="L3" s="606" t="s">
        <v>3444</v>
      </c>
      <c r="M3" s="606" t="s">
        <v>3449</v>
      </c>
      <c r="N3" s="606" t="s">
        <v>3444</v>
      </c>
      <c r="O3" s="606" t="s">
        <v>3450</v>
      </c>
      <c r="P3" s="606" t="s">
        <v>3444</v>
      </c>
      <c r="Q3" s="606" t="s">
        <v>3451</v>
      </c>
      <c r="R3" s="606" t="s">
        <v>3444</v>
      </c>
      <c r="S3" s="606" t="s">
        <v>3452</v>
      </c>
      <c r="T3" s="606" t="s">
        <v>3444</v>
      </c>
      <c r="U3" s="606" t="s">
        <v>3453</v>
      </c>
      <c r="V3" s="606" t="s">
        <v>3444</v>
      </c>
      <c r="W3" s="606" t="s">
        <v>3454</v>
      </c>
      <c r="X3" s="606" t="s">
        <v>3444</v>
      </c>
      <c r="Y3" s="606" t="s">
        <v>3455</v>
      </c>
      <c r="Z3" s="606" t="s">
        <v>3444</v>
      </c>
      <c r="AA3" s="1599"/>
    </row>
    <row r="4" spans="1:27" x14ac:dyDescent="0.25">
      <c r="A4" s="362"/>
      <c r="B4" s="362" t="s">
        <v>3437</v>
      </c>
      <c r="C4" s="371">
        <v>43859</v>
      </c>
      <c r="D4" s="372">
        <v>142048300</v>
      </c>
      <c r="E4" s="371">
        <v>43889</v>
      </c>
      <c r="F4" s="372">
        <v>142048300</v>
      </c>
      <c r="G4" s="371">
        <v>43917</v>
      </c>
      <c r="H4" s="372">
        <v>142048300</v>
      </c>
      <c r="I4" s="371">
        <v>43950</v>
      </c>
      <c r="J4" s="560">
        <v>142048300</v>
      </c>
      <c r="K4" s="364">
        <v>43979</v>
      </c>
      <c r="L4" s="560">
        <v>142048300</v>
      </c>
      <c r="M4" s="364">
        <v>44011</v>
      </c>
      <c r="N4" s="560">
        <v>142048300</v>
      </c>
      <c r="O4" s="609">
        <v>44041</v>
      </c>
      <c r="P4" s="560">
        <v>142048300</v>
      </c>
      <c r="Q4" s="609">
        <v>44071</v>
      </c>
      <c r="R4" s="560">
        <v>142048300</v>
      </c>
      <c r="S4" s="609">
        <v>44103</v>
      </c>
      <c r="T4" s="560">
        <v>142048300</v>
      </c>
      <c r="U4" s="609">
        <v>44131</v>
      </c>
      <c r="V4" s="560">
        <v>142048300</v>
      </c>
      <c r="W4" s="609">
        <v>44162</v>
      </c>
      <c r="X4" s="560">
        <v>142048300</v>
      </c>
      <c r="Y4" s="609">
        <v>44193</v>
      </c>
      <c r="Z4" s="692">
        <f>70661200+12601000+58786100</f>
        <v>142048300</v>
      </c>
      <c r="AA4" s="560">
        <f>Z4+X4+V4+T4+R4+P4+N4+L4+J4+H4+F4+C4</f>
        <v>1562575159</v>
      </c>
    </row>
    <row r="5" spans="1:27" x14ac:dyDescent="0.25">
      <c r="A5" s="362"/>
      <c r="B5" s="362" t="s">
        <v>3438</v>
      </c>
      <c r="C5" s="371">
        <v>43864</v>
      </c>
      <c r="D5" s="372">
        <v>17070000</v>
      </c>
      <c r="E5" s="371">
        <v>43892</v>
      </c>
      <c r="F5" s="372">
        <v>17070000</v>
      </c>
      <c r="G5" s="371">
        <v>43922</v>
      </c>
      <c r="H5" s="372">
        <v>17070000</v>
      </c>
      <c r="I5" s="371">
        <v>43951</v>
      </c>
      <c r="J5" s="560">
        <v>17070000</v>
      </c>
      <c r="K5" s="364">
        <v>43953</v>
      </c>
      <c r="L5" s="560">
        <v>17070000</v>
      </c>
      <c r="M5" s="364">
        <v>44013</v>
      </c>
      <c r="N5" s="560">
        <v>17070000</v>
      </c>
      <c r="O5" s="609">
        <v>44042</v>
      </c>
      <c r="P5" s="560">
        <v>17070000</v>
      </c>
      <c r="Q5" s="609">
        <v>44071</v>
      </c>
      <c r="R5" s="560">
        <v>17070000</v>
      </c>
      <c r="S5" s="609">
        <v>44104</v>
      </c>
      <c r="T5" s="560">
        <v>17070000</v>
      </c>
      <c r="U5" s="609">
        <v>44137</v>
      </c>
      <c r="V5" s="560">
        <v>17070000</v>
      </c>
      <c r="W5" s="609">
        <v>44166</v>
      </c>
      <c r="X5" s="560">
        <v>17070000</v>
      </c>
      <c r="Y5" s="609">
        <v>44194</v>
      </c>
      <c r="Z5" s="560">
        <v>17070000</v>
      </c>
      <c r="AA5" s="560">
        <f t="shared" ref="AA5:AA70" si="0">Z5+X5+V5+T5+R5+P5+N5+L5+J5+H5+F5+C5</f>
        <v>187813864</v>
      </c>
    </row>
    <row r="6" spans="1:27" x14ac:dyDescent="0.25">
      <c r="A6" s="362"/>
      <c r="B6" s="362" t="s">
        <v>3439</v>
      </c>
      <c r="C6" s="371">
        <v>43850</v>
      </c>
      <c r="D6" s="372">
        <v>3000000</v>
      </c>
      <c r="E6" s="371">
        <v>43880</v>
      </c>
      <c r="F6" s="372">
        <v>3000000</v>
      </c>
      <c r="G6" s="371">
        <v>43906</v>
      </c>
      <c r="H6" s="372">
        <v>3000000</v>
      </c>
      <c r="I6" s="371">
        <v>43937</v>
      </c>
      <c r="J6" s="560">
        <v>3000000</v>
      </c>
      <c r="K6" s="364">
        <v>43966</v>
      </c>
      <c r="L6" s="560">
        <v>3000000</v>
      </c>
      <c r="M6" s="364">
        <v>43998</v>
      </c>
      <c r="N6" s="560">
        <v>3000000</v>
      </c>
      <c r="O6" s="609">
        <v>44027</v>
      </c>
      <c r="P6" s="560">
        <v>3000000</v>
      </c>
      <c r="Q6" s="609">
        <v>44057</v>
      </c>
      <c r="R6" s="560">
        <v>3000000</v>
      </c>
      <c r="S6" s="609">
        <v>44089</v>
      </c>
      <c r="T6" s="560">
        <v>3000000</v>
      </c>
      <c r="U6" s="362"/>
      <c r="V6" s="362"/>
      <c r="W6" s="362"/>
      <c r="X6" s="362"/>
      <c r="Y6" s="609">
        <v>44180</v>
      </c>
      <c r="Z6" s="560">
        <v>3000000</v>
      </c>
      <c r="AA6" s="560">
        <f t="shared" si="0"/>
        <v>27043850</v>
      </c>
    </row>
    <row r="7" spans="1:27" x14ac:dyDescent="0.25">
      <c r="A7" s="362"/>
      <c r="B7" s="362" t="s">
        <v>3440</v>
      </c>
      <c r="C7" s="371"/>
      <c r="D7" s="372"/>
      <c r="E7" s="371"/>
      <c r="F7" s="372"/>
      <c r="G7" s="371">
        <v>43916</v>
      </c>
      <c r="H7" s="372">
        <v>4250000</v>
      </c>
      <c r="I7" s="371">
        <v>43945</v>
      </c>
      <c r="J7" s="560">
        <v>4250000</v>
      </c>
      <c r="K7" s="364"/>
      <c r="L7" s="560"/>
      <c r="M7" s="364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560">
        <f t="shared" si="0"/>
        <v>8500000</v>
      </c>
    </row>
    <row r="8" spans="1:27" ht="15" customHeight="1" x14ac:dyDescent="0.25">
      <c r="A8" s="362"/>
      <c r="B8" s="362" t="s">
        <v>3442</v>
      </c>
      <c r="C8" s="371">
        <v>43859</v>
      </c>
      <c r="D8" s="372">
        <v>130752146</v>
      </c>
      <c r="E8" s="371">
        <v>43888</v>
      </c>
      <c r="F8" s="372">
        <v>129197225</v>
      </c>
      <c r="G8" s="371">
        <v>43916</v>
      </c>
      <c r="H8" s="372">
        <v>126898914</v>
      </c>
      <c r="I8" s="371">
        <v>43949</v>
      </c>
      <c r="J8" s="560">
        <v>125933023</v>
      </c>
      <c r="K8" s="364">
        <v>43978</v>
      </c>
      <c r="L8" s="560">
        <v>135087671</v>
      </c>
      <c r="M8" s="364">
        <v>44011</v>
      </c>
      <c r="N8" s="560">
        <v>132493067</v>
      </c>
      <c r="O8" s="609">
        <v>44022</v>
      </c>
      <c r="P8" s="560">
        <v>67917053</v>
      </c>
      <c r="Q8" s="609">
        <v>44071</v>
      </c>
      <c r="R8" s="560">
        <v>137510096</v>
      </c>
      <c r="S8" s="609">
        <v>44102</v>
      </c>
      <c r="T8" s="560">
        <v>116156512</v>
      </c>
      <c r="U8" s="609">
        <v>44131</v>
      </c>
      <c r="V8" s="560">
        <v>122092933</v>
      </c>
      <c r="W8" s="609">
        <v>44161</v>
      </c>
      <c r="X8" s="560">
        <v>119604477</v>
      </c>
      <c r="Y8" s="609">
        <v>44194</v>
      </c>
      <c r="Z8" s="560">
        <v>119143533</v>
      </c>
      <c r="AA8" s="560">
        <f t="shared" si="0"/>
        <v>1332078363</v>
      </c>
    </row>
    <row r="9" spans="1:27" x14ac:dyDescent="0.25">
      <c r="A9" s="362"/>
      <c r="B9" s="362" t="s">
        <v>813</v>
      </c>
      <c r="C9" s="371">
        <v>43840</v>
      </c>
      <c r="D9" s="372">
        <v>64774663</v>
      </c>
      <c r="E9" s="371">
        <v>43871</v>
      </c>
      <c r="F9" s="372">
        <v>64276507</v>
      </c>
      <c r="G9" s="371">
        <v>43900</v>
      </c>
      <c r="H9" s="372">
        <v>61687047</v>
      </c>
      <c r="I9" s="371">
        <v>43930</v>
      </c>
      <c r="J9" s="560">
        <v>61183035</v>
      </c>
      <c r="K9" s="364">
        <v>43959</v>
      </c>
      <c r="L9" s="560">
        <v>63288380</v>
      </c>
      <c r="M9" s="364">
        <v>43992</v>
      </c>
      <c r="N9" s="560">
        <v>66946731</v>
      </c>
      <c r="O9" s="609">
        <v>44028</v>
      </c>
      <c r="P9" s="560">
        <v>67917053</v>
      </c>
      <c r="Q9" s="609">
        <v>44053</v>
      </c>
      <c r="R9" s="560">
        <v>5620826</v>
      </c>
      <c r="S9" s="609">
        <v>44084</v>
      </c>
      <c r="T9" s="560">
        <v>64656537</v>
      </c>
      <c r="U9" s="609">
        <v>44113</v>
      </c>
      <c r="V9" s="560">
        <v>5888926</v>
      </c>
      <c r="W9" s="609">
        <v>44145</v>
      </c>
      <c r="X9" s="560">
        <v>5583136</v>
      </c>
      <c r="Y9" s="609">
        <v>44175</v>
      </c>
      <c r="Z9" s="560">
        <v>5672661</v>
      </c>
      <c r="AA9" s="560">
        <f t="shared" si="0"/>
        <v>472764679</v>
      </c>
    </row>
    <row r="10" spans="1:27" x14ac:dyDescent="0.25">
      <c r="A10" s="362"/>
      <c r="B10" s="362"/>
      <c r="C10" s="371"/>
      <c r="D10" s="372"/>
      <c r="E10" s="371"/>
      <c r="F10" s="372"/>
      <c r="G10" s="371"/>
      <c r="H10" s="372"/>
      <c r="I10" s="371"/>
      <c r="J10" s="560"/>
      <c r="K10" s="364"/>
      <c r="L10" s="560"/>
      <c r="M10" s="364"/>
      <c r="N10" s="560"/>
      <c r="O10" s="609"/>
      <c r="P10" s="560"/>
      <c r="Q10" s="609"/>
      <c r="R10" s="560"/>
      <c r="S10" s="609"/>
      <c r="T10" s="560"/>
      <c r="U10" s="609">
        <v>44113</v>
      </c>
      <c r="V10" s="560">
        <v>62399573</v>
      </c>
      <c r="W10" s="609">
        <v>44145</v>
      </c>
      <c r="X10" s="560">
        <v>61658903</v>
      </c>
      <c r="Y10" s="609">
        <v>44175</v>
      </c>
      <c r="Z10" s="560">
        <v>60621282</v>
      </c>
      <c r="AA10" s="560">
        <f t="shared" si="0"/>
        <v>184679758</v>
      </c>
    </row>
    <row r="11" spans="1:27" x14ac:dyDescent="0.25">
      <c r="A11" s="362"/>
      <c r="B11" s="362" t="s">
        <v>3441</v>
      </c>
      <c r="C11" s="371">
        <v>43862</v>
      </c>
      <c r="D11" s="372">
        <v>10344827</v>
      </c>
      <c r="E11" s="371">
        <v>43889</v>
      </c>
      <c r="F11" s="372">
        <v>10344827</v>
      </c>
      <c r="G11" s="371">
        <v>43930</v>
      </c>
      <c r="H11" s="372">
        <v>10420914</v>
      </c>
      <c r="I11" s="371">
        <v>43962</v>
      </c>
      <c r="J11" s="560">
        <v>7743503</v>
      </c>
      <c r="K11" s="364">
        <v>43992</v>
      </c>
      <c r="L11" s="560">
        <v>7743503</v>
      </c>
      <c r="M11" s="364">
        <v>44022</v>
      </c>
      <c r="N11" s="560">
        <v>9679379</v>
      </c>
      <c r="O11" s="609">
        <v>44053</v>
      </c>
      <c r="P11" s="362"/>
      <c r="Q11" s="609">
        <v>44053</v>
      </c>
      <c r="R11" s="864">
        <f>9729074</f>
        <v>9729074</v>
      </c>
      <c r="S11" s="609">
        <v>44113</v>
      </c>
      <c r="T11" s="560">
        <v>8387132</v>
      </c>
      <c r="U11" s="362"/>
      <c r="V11" s="362"/>
      <c r="W11" s="362"/>
      <c r="X11" s="362"/>
      <c r="Y11" s="362"/>
      <c r="Z11" s="362"/>
      <c r="AA11" s="560">
        <f t="shared" si="0"/>
        <v>64092194</v>
      </c>
    </row>
    <row r="12" spans="1:27" x14ac:dyDescent="0.25">
      <c r="A12" s="362"/>
      <c r="B12" s="362" t="s">
        <v>215</v>
      </c>
      <c r="C12" s="371">
        <v>43889</v>
      </c>
      <c r="D12" s="372">
        <v>167534117</v>
      </c>
      <c r="E12" s="371">
        <v>43920</v>
      </c>
      <c r="F12" s="372">
        <v>637441110</v>
      </c>
      <c r="G12" s="364">
        <v>43951</v>
      </c>
      <c r="H12" s="560">
        <v>710738159</v>
      </c>
      <c r="I12" s="371">
        <v>43980</v>
      </c>
      <c r="J12" s="560">
        <v>757752124</v>
      </c>
      <c r="K12" s="364">
        <v>44012</v>
      </c>
      <c r="L12" s="560">
        <v>1131860548</v>
      </c>
      <c r="M12" s="364">
        <v>44042</v>
      </c>
      <c r="N12" s="560">
        <v>594010877</v>
      </c>
      <c r="O12" s="847" t="s">
        <v>5939</v>
      </c>
      <c r="P12" s="847"/>
      <c r="Q12" s="609">
        <v>44102</v>
      </c>
      <c r="R12" s="560">
        <v>325042760</v>
      </c>
      <c r="S12" s="362"/>
      <c r="T12" s="362"/>
      <c r="U12" s="362"/>
      <c r="V12" s="362"/>
      <c r="W12" s="362"/>
      <c r="X12" s="362"/>
      <c r="Y12" s="362"/>
      <c r="Z12" s="362"/>
      <c r="AA12" s="560">
        <f t="shared" si="0"/>
        <v>4156889467</v>
      </c>
    </row>
    <row r="13" spans="1:27" x14ac:dyDescent="0.25">
      <c r="A13" s="362"/>
      <c r="B13" s="362" t="s">
        <v>5355</v>
      </c>
      <c r="C13" s="577">
        <v>43906</v>
      </c>
      <c r="D13" s="671">
        <v>9014816</v>
      </c>
      <c r="E13" s="577"/>
      <c r="F13" s="671"/>
      <c r="G13" s="672"/>
      <c r="H13" s="673"/>
      <c r="I13" s="577"/>
      <c r="J13" s="673"/>
      <c r="K13" s="672"/>
      <c r="L13" s="673"/>
      <c r="M13" s="672"/>
      <c r="N13" s="628"/>
      <c r="O13" s="628"/>
      <c r="P13" s="628"/>
      <c r="Q13" s="628"/>
      <c r="R13" s="628"/>
      <c r="S13" s="628"/>
      <c r="T13" s="628"/>
      <c r="U13" s="628"/>
      <c r="V13" s="628"/>
      <c r="W13" s="628"/>
      <c r="X13" s="628"/>
      <c r="Y13" s="628"/>
      <c r="Z13" s="628"/>
      <c r="AA13" s="560">
        <f t="shared" si="0"/>
        <v>43906</v>
      </c>
    </row>
    <row r="14" spans="1:27" x14ac:dyDescent="0.25">
      <c r="A14" s="362"/>
      <c r="B14" s="362" t="s">
        <v>5356</v>
      </c>
      <c r="C14" s="577">
        <v>44006</v>
      </c>
      <c r="D14" s="671">
        <v>17448704</v>
      </c>
      <c r="E14" s="577"/>
      <c r="F14" s="671"/>
      <c r="G14" s="672"/>
      <c r="H14" s="673"/>
      <c r="I14" s="577"/>
      <c r="J14" s="673"/>
      <c r="K14" s="672"/>
      <c r="L14" s="673"/>
      <c r="M14" s="672"/>
      <c r="N14" s="628"/>
      <c r="O14" s="628"/>
      <c r="P14" s="628"/>
      <c r="Q14" s="628"/>
      <c r="R14" s="628"/>
      <c r="S14" s="628"/>
      <c r="T14" s="628"/>
      <c r="U14" s="628"/>
      <c r="V14" s="628"/>
      <c r="W14" s="628"/>
      <c r="X14" s="628"/>
      <c r="Y14" s="628"/>
      <c r="Z14" s="628"/>
      <c r="AA14" s="560">
        <f t="shared" si="0"/>
        <v>44006</v>
      </c>
    </row>
    <row r="15" spans="1:27" x14ac:dyDescent="0.25">
      <c r="A15" s="362"/>
      <c r="B15" s="362" t="s">
        <v>5357</v>
      </c>
      <c r="C15" s="577">
        <v>44057</v>
      </c>
      <c r="D15" s="671">
        <v>1885743</v>
      </c>
      <c r="E15" s="577"/>
      <c r="F15" s="671"/>
      <c r="G15" s="672"/>
      <c r="H15" s="673"/>
      <c r="I15" s="577"/>
      <c r="J15" s="673"/>
      <c r="K15" s="672"/>
      <c r="L15" s="673"/>
      <c r="M15" s="672"/>
      <c r="N15" s="628"/>
      <c r="O15" s="628"/>
      <c r="P15" s="628"/>
      <c r="Q15" s="628"/>
      <c r="R15" s="628"/>
      <c r="S15" s="628"/>
      <c r="T15" s="628"/>
      <c r="U15" s="628"/>
      <c r="V15" s="628"/>
      <c r="W15" s="628"/>
      <c r="X15" s="628"/>
      <c r="Y15" s="628"/>
      <c r="Z15" s="628"/>
      <c r="AA15" s="560">
        <f t="shared" si="0"/>
        <v>44057</v>
      </c>
    </row>
    <row r="16" spans="1:27" x14ac:dyDescent="0.25">
      <c r="A16" s="362"/>
      <c r="B16" s="362" t="s">
        <v>2074</v>
      </c>
      <c r="C16" s="371">
        <v>43979</v>
      </c>
      <c r="D16" s="372">
        <v>550000</v>
      </c>
      <c r="E16" s="364">
        <v>43979</v>
      </c>
      <c r="F16" s="607">
        <v>550000</v>
      </c>
      <c r="G16" s="371">
        <v>43979</v>
      </c>
      <c r="H16" s="372">
        <v>549999</v>
      </c>
      <c r="I16" s="371">
        <v>43979</v>
      </c>
      <c r="J16" s="560">
        <v>549999</v>
      </c>
      <c r="K16" s="364">
        <v>44014</v>
      </c>
      <c r="L16" s="610">
        <f>J16+K16</f>
        <v>594013</v>
      </c>
      <c r="M16" s="364">
        <v>44036</v>
      </c>
      <c r="N16" s="560">
        <f>368332+368332</f>
        <v>736664</v>
      </c>
      <c r="O16" s="609">
        <v>44071</v>
      </c>
      <c r="P16" s="560">
        <f>368332+368332</f>
        <v>736664</v>
      </c>
      <c r="Q16" s="362"/>
      <c r="R16" s="362"/>
      <c r="S16" s="362"/>
      <c r="T16" s="362"/>
      <c r="U16" s="362"/>
      <c r="V16" s="362"/>
      <c r="W16" s="362"/>
      <c r="X16" s="362"/>
      <c r="Y16" s="362"/>
      <c r="Z16" s="362"/>
      <c r="AA16" s="560">
        <f t="shared" si="0"/>
        <v>3761318</v>
      </c>
    </row>
    <row r="17" spans="1:27" x14ac:dyDescent="0.25">
      <c r="A17" s="362"/>
      <c r="B17" s="362"/>
      <c r="C17" s="371">
        <v>43979</v>
      </c>
      <c r="D17" s="372">
        <v>368332</v>
      </c>
      <c r="E17" s="364">
        <v>43979</v>
      </c>
      <c r="F17" s="607">
        <v>368332</v>
      </c>
      <c r="G17" s="371">
        <v>43979</v>
      </c>
      <c r="H17" s="372">
        <v>368332</v>
      </c>
      <c r="I17" s="371">
        <v>43979</v>
      </c>
      <c r="J17" s="560">
        <v>350000</v>
      </c>
      <c r="K17" s="364">
        <v>44014</v>
      </c>
      <c r="L17" s="560">
        <f>K17+J17</f>
        <v>394014</v>
      </c>
      <c r="M17" s="364">
        <v>44062</v>
      </c>
      <c r="N17" s="560">
        <v>1284999</v>
      </c>
      <c r="O17" s="609">
        <v>44085</v>
      </c>
      <c r="P17" s="560">
        <v>350000</v>
      </c>
      <c r="Q17" s="362"/>
      <c r="R17" s="362"/>
      <c r="S17" s="362"/>
      <c r="T17" s="362"/>
      <c r="U17" s="362"/>
      <c r="V17" s="362"/>
      <c r="W17" s="362"/>
      <c r="X17" s="362"/>
      <c r="Y17" s="362"/>
      <c r="Z17" s="362"/>
      <c r="AA17" s="560">
        <f t="shared" si="0"/>
        <v>3159656</v>
      </c>
    </row>
    <row r="18" spans="1:27" x14ac:dyDescent="0.25">
      <c r="A18" s="362"/>
      <c r="B18" s="362"/>
      <c r="C18" s="371">
        <v>43979</v>
      </c>
      <c r="D18" s="372">
        <v>368332</v>
      </c>
      <c r="E18" s="364">
        <v>43979</v>
      </c>
      <c r="F18" s="607">
        <v>368332</v>
      </c>
      <c r="G18" s="371">
        <v>44085</v>
      </c>
      <c r="H18" s="372">
        <v>350000</v>
      </c>
      <c r="I18" s="371">
        <v>44085</v>
      </c>
      <c r="J18" s="560">
        <v>350000</v>
      </c>
      <c r="K18" s="364"/>
      <c r="L18" s="560"/>
      <c r="M18" s="364">
        <v>44085</v>
      </c>
      <c r="N18" s="560">
        <v>350000</v>
      </c>
      <c r="O18" s="609"/>
      <c r="P18" s="362"/>
      <c r="Q18" s="362"/>
      <c r="R18" s="362"/>
      <c r="S18" s="362"/>
      <c r="T18" s="362"/>
      <c r="U18" s="362"/>
      <c r="V18" s="362"/>
      <c r="W18" s="362"/>
      <c r="X18" s="362"/>
      <c r="Y18" s="362"/>
      <c r="Z18" s="362"/>
      <c r="AA18" s="560">
        <f t="shared" si="0"/>
        <v>1462311</v>
      </c>
    </row>
    <row r="19" spans="1:27" x14ac:dyDescent="0.25">
      <c r="A19" s="362"/>
      <c r="B19" s="362"/>
      <c r="C19" s="371">
        <v>44085</v>
      </c>
      <c r="D19" s="372">
        <v>350000</v>
      </c>
      <c r="E19" s="364"/>
      <c r="F19" s="607"/>
      <c r="G19" s="371">
        <v>44085</v>
      </c>
      <c r="H19" s="560">
        <f>159091+15909</f>
        <v>175000</v>
      </c>
      <c r="I19" s="371"/>
      <c r="J19" s="560"/>
      <c r="K19" s="364"/>
      <c r="L19" s="560"/>
      <c r="M19" s="364"/>
      <c r="N19" s="362"/>
      <c r="O19" s="362"/>
      <c r="P19" s="362"/>
      <c r="Q19" s="362"/>
      <c r="R19" s="362"/>
      <c r="S19" s="362"/>
      <c r="T19" s="362"/>
      <c r="U19" s="362"/>
      <c r="V19" s="362"/>
      <c r="W19" s="362"/>
      <c r="X19" s="362"/>
      <c r="Y19" s="362"/>
      <c r="Z19" s="362"/>
      <c r="AA19" s="560">
        <f t="shared" si="0"/>
        <v>219085</v>
      </c>
    </row>
    <row r="20" spans="1:27" x14ac:dyDescent="0.25">
      <c r="A20" s="362"/>
      <c r="B20" s="362"/>
      <c r="C20" s="371"/>
      <c r="D20" s="372"/>
      <c r="E20" s="364"/>
      <c r="F20" s="607"/>
      <c r="G20" s="371"/>
      <c r="H20" s="372"/>
      <c r="I20" s="371"/>
      <c r="J20" s="560"/>
      <c r="K20" s="364"/>
      <c r="L20" s="560"/>
      <c r="M20" s="364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  <c r="Z20" s="362"/>
      <c r="AA20" s="560">
        <f t="shared" si="0"/>
        <v>0</v>
      </c>
    </row>
    <row r="21" spans="1:27" x14ac:dyDescent="0.25">
      <c r="A21" s="362"/>
      <c r="B21" s="362"/>
      <c r="C21" s="371"/>
      <c r="D21" s="372"/>
      <c r="E21" s="364"/>
      <c r="F21" s="607"/>
      <c r="G21" s="371"/>
      <c r="H21" s="372"/>
      <c r="I21" s="371"/>
      <c r="J21" s="560"/>
      <c r="K21" s="364"/>
      <c r="L21" s="560"/>
      <c r="M21" s="364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560">
        <f t="shared" si="0"/>
        <v>0</v>
      </c>
    </row>
    <row r="22" spans="1:27" x14ac:dyDescent="0.25">
      <c r="A22" s="362"/>
      <c r="B22" s="362" t="s">
        <v>5943</v>
      </c>
      <c r="C22" s="371"/>
      <c r="D22" s="372"/>
      <c r="E22" s="364"/>
      <c r="F22" s="607"/>
      <c r="G22" s="371"/>
      <c r="H22" s="372"/>
      <c r="I22" s="371"/>
      <c r="J22" s="560"/>
      <c r="K22" s="364"/>
      <c r="L22" s="560"/>
      <c r="M22" s="364"/>
      <c r="N22" s="362"/>
      <c r="O22" s="362"/>
      <c r="P22" s="362"/>
      <c r="Q22" s="362"/>
      <c r="R22" s="362"/>
      <c r="S22" s="609">
        <v>44096</v>
      </c>
      <c r="T22" s="560">
        <v>12075800</v>
      </c>
      <c r="U22" s="609">
        <v>44139</v>
      </c>
      <c r="V22" s="560">
        <f>507000+238300+3893000+2320700</f>
        <v>6959000</v>
      </c>
      <c r="W22" s="609">
        <v>44162</v>
      </c>
      <c r="X22" s="560">
        <f>421000+2375250+3825200</f>
        <v>6621450</v>
      </c>
      <c r="Y22" s="609">
        <v>44188</v>
      </c>
      <c r="Z22" s="560">
        <f>352500+2415100+2475300</f>
        <v>5242900</v>
      </c>
      <c r="AA22" s="560">
        <f t="shared" si="0"/>
        <v>30899150</v>
      </c>
    </row>
    <row r="23" spans="1:27" x14ac:dyDescent="0.25">
      <c r="A23" s="362"/>
      <c r="B23" s="362"/>
      <c r="C23" s="371"/>
      <c r="D23" s="372"/>
      <c r="E23" s="364"/>
      <c r="F23" s="607"/>
      <c r="G23" s="371"/>
      <c r="H23" s="372"/>
      <c r="I23" s="371"/>
      <c r="J23" s="560"/>
      <c r="K23" s="364"/>
      <c r="L23" s="560"/>
      <c r="M23" s="364"/>
      <c r="N23" s="362"/>
      <c r="O23" s="362"/>
      <c r="P23" s="362"/>
      <c r="Q23" s="362"/>
      <c r="R23" s="362"/>
      <c r="S23" s="609"/>
      <c r="T23" s="560"/>
      <c r="U23" s="609"/>
      <c r="V23" s="560"/>
      <c r="W23" s="609">
        <v>44175</v>
      </c>
      <c r="X23" s="560">
        <v>454400</v>
      </c>
      <c r="Y23" s="609">
        <v>44202</v>
      </c>
      <c r="Z23" s="560">
        <v>196100</v>
      </c>
      <c r="AA23" s="560">
        <f t="shared" si="0"/>
        <v>650500</v>
      </c>
    </row>
    <row r="24" spans="1:27" x14ac:dyDescent="0.25">
      <c r="A24" s="362"/>
      <c r="B24" s="362"/>
      <c r="C24" s="371"/>
      <c r="D24" s="372"/>
      <c r="E24" s="364"/>
      <c r="F24" s="607"/>
      <c r="G24" s="371"/>
      <c r="H24" s="372"/>
      <c r="I24" s="371"/>
      <c r="J24" s="560"/>
      <c r="K24" s="364"/>
      <c r="L24" s="560"/>
      <c r="M24" s="364"/>
      <c r="N24" s="362"/>
      <c r="O24" s="362"/>
      <c r="P24" s="362"/>
      <c r="Q24" s="362"/>
      <c r="R24" s="362"/>
      <c r="S24" s="609"/>
      <c r="T24" s="560"/>
      <c r="U24" s="609"/>
      <c r="V24" s="560"/>
      <c r="W24" s="609"/>
      <c r="X24" s="560"/>
      <c r="Y24" s="609">
        <v>44202</v>
      </c>
      <c r="Z24" s="560">
        <v>955225</v>
      </c>
      <c r="AA24" s="560"/>
    </row>
    <row r="25" spans="1:27" x14ac:dyDescent="0.25">
      <c r="A25" s="362"/>
      <c r="B25" s="362" t="s">
        <v>3457</v>
      </c>
      <c r="C25" s="371">
        <v>43876</v>
      </c>
      <c r="D25" s="372">
        <v>2429900</v>
      </c>
      <c r="E25" s="371">
        <v>43896</v>
      </c>
      <c r="F25" s="372">
        <v>2765900</v>
      </c>
      <c r="G25" s="371">
        <v>43928</v>
      </c>
      <c r="H25" s="372">
        <v>2449800</v>
      </c>
      <c r="I25" s="371">
        <v>43959</v>
      </c>
      <c r="J25" s="560">
        <v>2253300</v>
      </c>
      <c r="K25" s="364">
        <v>43999</v>
      </c>
      <c r="L25" s="560">
        <v>3097100</v>
      </c>
      <c r="M25" s="364">
        <v>44022</v>
      </c>
      <c r="N25" s="560">
        <v>1365900</v>
      </c>
      <c r="O25" s="609">
        <v>44048</v>
      </c>
      <c r="P25" s="560">
        <v>7765700</v>
      </c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560">
        <f t="shared" si="0"/>
        <v>19741576</v>
      </c>
    </row>
    <row r="26" spans="1:27" x14ac:dyDescent="0.25">
      <c r="A26" s="362"/>
      <c r="B26" s="362" t="s">
        <v>3458</v>
      </c>
      <c r="C26" s="371">
        <v>43846</v>
      </c>
      <c r="D26" s="372">
        <v>35364000</v>
      </c>
      <c r="E26" s="371">
        <v>43875</v>
      </c>
      <c r="F26" s="372">
        <v>33520182</v>
      </c>
      <c r="G26" s="371">
        <v>43902</v>
      </c>
      <c r="H26" s="372">
        <v>32588591</v>
      </c>
      <c r="I26" s="371">
        <v>43927</v>
      </c>
      <c r="J26" s="560">
        <v>32580632</v>
      </c>
      <c r="K26" s="364">
        <v>43964</v>
      </c>
      <c r="L26" s="560">
        <v>29543000</v>
      </c>
      <c r="M26" s="364">
        <v>43997</v>
      </c>
      <c r="N26" s="560">
        <v>25903500</v>
      </c>
      <c r="O26" s="609">
        <v>44025</v>
      </c>
      <c r="P26" s="560">
        <v>25365500</v>
      </c>
      <c r="Q26" s="609">
        <v>44067</v>
      </c>
      <c r="R26" s="560">
        <v>23038000</v>
      </c>
      <c r="S26" s="609"/>
      <c r="T26" s="362"/>
      <c r="U26" s="362"/>
      <c r="V26" s="362"/>
      <c r="W26" s="362"/>
      <c r="X26" s="362"/>
      <c r="Y26" s="362"/>
      <c r="Z26" s="362"/>
      <c r="AA26" s="560">
        <f t="shared" si="0"/>
        <v>202583251</v>
      </c>
    </row>
    <row r="27" spans="1:27" x14ac:dyDescent="0.25">
      <c r="A27" s="362"/>
      <c r="B27" s="362"/>
      <c r="C27" s="371"/>
      <c r="D27" s="372"/>
      <c r="E27" s="371"/>
      <c r="F27" s="372"/>
      <c r="G27" s="851"/>
      <c r="H27" s="372"/>
      <c r="I27" s="371"/>
      <c r="J27" s="560"/>
      <c r="K27" s="364"/>
      <c r="L27" s="560"/>
      <c r="M27" s="364"/>
      <c r="N27" s="560"/>
      <c r="O27" s="609"/>
      <c r="P27" s="560"/>
      <c r="Q27" s="609">
        <v>44085</v>
      </c>
      <c r="R27" s="560">
        <f>12787450</f>
        <v>12787450</v>
      </c>
      <c r="S27" s="609"/>
      <c r="T27" s="362"/>
      <c r="U27" s="362"/>
      <c r="V27" s="362"/>
      <c r="W27" s="362"/>
      <c r="X27" s="362"/>
      <c r="Y27" s="362"/>
      <c r="Z27" s="362"/>
      <c r="AA27" s="560">
        <f t="shared" si="0"/>
        <v>12787450</v>
      </c>
    </row>
    <row r="28" spans="1:27" x14ac:dyDescent="0.25">
      <c r="A28" s="362"/>
      <c r="B28" s="362"/>
      <c r="C28" s="371"/>
      <c r="D28" s="372"/>
      <c r="E28" s="371"/>
      <c r="F28" s="372"/>
      <c r="G28" s="851"/>
      <c r="H28" s="372"/>
      <c r="I28" s="371"/>
      <c r="J28" s="560"/>
      <c r="K28" s="364"/>
      <c r="L28" s="560"/>
      <c r="M28" s="364"/>
      <c r="N28" s="560"/>
      <c r="O28" s="609"/>
      <c r="P28" s="560"/>
      <c r="Q28" s="609">
        <v>44090</v>
      </c>
      <c r="R28" s="560">
        <v>4064650</v>
      </c>
      <c r="S28" s="609"/>
      <c r="T28" s="362"/>
      <c r="U28" s="362"/>
      <c r="V28" s="362"/>
      <c r="W28" s="362"/>
      <c r="X28" s="362"/>
      <c r="Y28" s="362"/>
      <c r="Z28" s="362"/>
      <c r="AA28" s="560">
        <f t="shared" si="0"/>
        <v>4064650</v>
      </c>
    </row>
    <row r="29" spans="1:27" x14ac:dyDescent="0.25">
      <c r="A29" s="362"/>
      <c r="B29" s="370" t="s">
        <v>4291</v>
      </c>
      <c r="C29" s="371">
        <v>43875</v>
      </c>
      <c r="D29" s="372">
        <v>4874250</v>
      </c>
      <c r="E29" s="371">
        <v>43908</v>
      </c>
      <c r="F29" s="372">
        <v>4983550</v>
      </c>
      <c r="G29" s="366">
        <v>43945</v>
      </c>
      <c r="H29" s="365">
        <v>4721750</v>
      </c>
      <c r="I29" s="371">
        <v>43959</v>
      </c>
      <c r="J29" s="560">
        <v>4693000</v>
      </c>
      <c r="K29" s="364">
        <v>43986</v>
      </c>
      <c r="L29" s="560">
        <v>4366050</v>
      </c>
      <c r="M29" s="364">
        <v>44020</v>
      </c>
      <c r="N29" s="560">
        <v>3810750</v>
      </c>
      <c r="O29" s="609">
        <v>44025</v>
      </c>
      <c r="P29" s="560">
        <v>1536000</v>
      </c>
      <c r="Q29" s="609">
        <v>44090</v>
      </c>
      <c r="R29" s="560">
        <v>4064650</v>
      </c>
      <c r="S29" s="609">
        <v>44120</v>
      </c>
      <c r="T29" s="560">
        <v>4079200</v>
      </c>
      <c r="U29" s="609">
        <v>44147</v>
      </c>
      <c r="V29" s="560">
        <v>3476250</v>
      </c>
      <c r="W29" s="609">
        <v>44169</v>
      </c>
      <c r="X29" s="560">
        <v>3772850</v>
      </c>
      <c r="Y29" s="609">
        <v>44200</v>
      </c>
      <c r="Z29" s="560">
        <v>4373550</v>
      </c>
      <c r="AA29" s="560">
        <f t="shared" si="0"/>
        <v>43921475</v>
      </c>
    </row>
    <row r="30" spans="1:27" x14ac:dyDescent="0.25">
      <c r="A30" s="362"/>
      <c r="B30" s="370"/>
      <c r="C30" s="371"/>
      <c r="D30" s="372"/>
      <c r="E30" s="371"/>
      <c r="F30" s="372"/>
      <c r="G30" s="366"/>
      <c r="H30" s="365"/>
      <c r="I30" s="371"/>
      <c r="J30" s="560"/>
      <c r="K30" s="364"/>
      <c r="L30" s="560"/>
      <c r="M30" s="364"/>
      <c r="N30" s="560"/>
      <c r="O30" s="609">
        <v>44055</v>
      </c>
      <c r="P30" s="560">
        <v>3566850</v>
      </c>
      <c r="Q30" s="609"/>
      <c r="R30" s="560"/>
      <c r="S30" s="609"/>
      <c r="T30" s="362"/>
      <c r="U30" s="362"/>
      <c r="V30" s="362"/>
      <c r="W30" s="362"/>
      <c r="X30" s="362"/>
      <c r="Y30" s="362"/>
      <c r="Z30" s="362"/>
      <c r="AA30" s="560">
        <f t="shared" si="0"/>
        <v>3566850</v>
      </c>
    </row>
    <row r="31" spans="1:27" x14ac:dyDescent="0.25">
      <c r="A31" s="362"/>
      <c r="B31" s="370" t="s">
        <v>3460</v>
      </c>
      <c r="C31" s="371">
        <v>43852</v>
      </c>
      <c r="D31" s="372">
        <f>480000+16770000+13050000+8790000+3070000+6250000</f>
        <v>48410000</v>
      </c>
      <c r="E31" s="371">
        <v>43881</v>
      </c>
      <c r="F31" s="372">
        <f>8780000+4860000+5195000+6980000</f>
        <v>25815000</v>
      </c>
      <c r="G31" s="371">
        <v>43913</v>
      </c>
      <c r="H31" s="372">
        <f>4520000+9540000+7155000+15625000+4670000</f>
        <v>41510000</v>
      </c>
      <c r="I31" s="371">
        <v>43941</v>
      </c>
      <c r="J31" s="560">
        <v>48740000</v>
      </c>
      <c r="K31" s="364">
        <v>43971</v>
      </c>
      <c r="L31" s="560">
        <v>64365000</v>
      </c>
      <c r="M31" s="364">
        <v>44007</v>
      </c>
      <c r="N31" s="560">
        <v>46238168</v>
      </c>
      <c r="O31" s="609">
        <v>44040</v>
      </c>
      <c r="P31" s="560">
        <v>33892091</v>
      </c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560">
        <f t="shared" si="0"/>
        <v>260604111</v>
      </c>
    </row>
    <row r="32" spans="1:27" x14ac:dyDescent="0.25">
      <c r="A32" s="370"/>
      <c r="B32" s="370"/>
      <c r="C32" s="371">
        <v>43853</v>
      </c>
      <c r="D32" s="372">
        <f>14040000+3600000+8540000+5635000+6530000</f>
        <v>38345000</v>
      </c>
      <c r="E32" s="371">
        <v>43882</v>
      </c>
      <c r="F32" s="372">
        <f>9420000+9335000+15940000+7200000+17310000</f>
        <v>59205000</v>
      </c>
      <c r="G32" s="371">
        <v>43914</v>
      </c>
      <c r="H32" s="372">
        <f>6705000+16955000+9200000+18650000+9390000</f>
        <v>60900000</v>
      </c>
      <c r="I32" s="371"/>
      <c r="J32" s="560"/>
      <c r="K32" s="364"/>
      <c r="L32" s="560"/>
      <c r="M32" s="364">
        <v>44008</v>
      </c>
      <c r="N32" s="560">
        <v>36657984</v>
      </c>
      <c r="O32" s="609">
        <v>44041</v>
      </c>
      <c r="P32" s="560">
        <v>14819903</v>
      </c>
      <c r="Q32" s="362"/>
      <c r="R32" s="362"/>
      <c r="S32" s="362"/>
      <c r="T32" s="362"/>
      <c r="U32" s="362"/>
      <c r="V32" s="362"/>
      <c r="W32" s="362"/>
      <c r="X32" s="362"/>
      <c r="Y32" s="362"/>
      <c r="Z32" s="362"/>
      <c r="AA32" s="560">
        <f t="shared" si="0"/>
        <v>171626740</v>
      </c>
    </row>
    <row r="33" spans="1:27" x14ac:dyDescent="0.25">
      <c r="A33" s="370"/>
      <c r="B33" s="370"/>
      <c r="C33" s="371"/>
      <c r="D33" s="372"/>
      <c r="E33" s="371"/>
      <c r="F33" s="372"/>
      <c r="G33" s="371"/>
      <c r="H33" s="372"/>
      <c r="I33" s="371"/>
      <c r="J33" s="560"/>
      <c r="K33" s="364"/>
      <c r="L33" s="560"/>
      <c r="M33" s="364"/>
      <c r="N33" s="560"/>
      <c r="O33" s="609">
        <v>44061</v>
      </c>
      <c r="P33" s="560">
        <v>15856837</v>
      </c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560">
        <f t="shared" si="0"/>
        <v>15856837</v>
      </c>
    </row>
    <row r="34" spans="1:27" x14ac:dyDescent="0.25">
      <c r="A34" s="370"/>
      <c r="B34" s="370" t="s">
        <v>4927</v>
      </c>
      <c r="C34" s="371">
        <v>43853</v>
      </c>
      <c r="D34" s="372">
        <f>5750000+5690000</f>
        <v>11440000</v>
      </c>
      <c r="E34" s="371">
        <v>43885</v>
      </c>
      <c r="F34" s="372">
        <f>5130000+6750000</f>
        <v>11880000</v>
      </c>
      <c r="G34" s="371">
        <v>43909</v>
      </c>
      <c r="H34" s="372">
        <v>38520000</v>
      </c>
      <c r="I34" s="371">
        <v>43942</v>
      </c>
      <c r="J34" s="560">
        <v>37960000</v>
      </c>
      <c r="K34" s="364">
        <v>43971</v>
      </c>
      <c r="L34" s="560">
        <v>37380000</v>
      </c>
      <c r="M34" s="364">
        <v>44006</v>
      </c>
      <c r="N34" s="560">
        <v>10560000</v>
      </c>
      <c r="O34" s="609">
        <v>44039</v>
      </c>
      <c r="P34" s="560">
        <v>10880000</v>
      </c>
      <c r="Q34" s="609">
        <v>44067</v>
      </c>
      <c r="R34" s="560">
        <v>6550000</v>
      </c>
      <c r="S34" s="609">
        <v>44102</v>
      </c>
      <c r="T34" s="560">
        <v>9560000</v>
      </c>
      <c r="U34" s="609">
        <v>44131</v>
      </c>
      <c r="V34" s="560">
        <v>40240000</v>
      </c>
      <c r="W34" s="609">
        <v>44161</v>
      </c>
      <c r="X34" s="560">
        <v>41790000</v>
      </c>
      <c r="Y34" s="362" t="s">
        <v>5977</v>
      </c>
      <c r="Z34" s="560">
        <v>37140000</v>
      </c>
      <c r="AA34" s="560">
        <f t="shared" si="0"/>
        <v>282503853</v>
      </c>
    </row>
    <row r="35" spans="1:27" x14ac:dyDescent="0.25">
      <c r="A35" s="370"/>
      <c r="B35" s="370"/>
      <c r="C35" s="371">
        <v>43854</v>
      </c>
      <c r="D35" s="372">
        <f>6000000+8510000</f>
        <v>14510000</v>
      </c>
      <c r="E35" s="371">
        <v>43886</v>
      </c>
      <c r="F35" s="372">
        <f>6500000+6440000</f>
        <v>12940000</v>
      </c>
      <c r="G35" s="371"/>
      <c r="H35" s="372"/>
      <c r="I35" s="371"/>
      <c r="J35" s="560"/>
      <c r="K35" s="364"/>
      <c r="L35" s="560"/>
      <c r="M35" s="364">
        <v>44007</v>
      </c>
      <c r="N35" s="560">
        <v>24880000</v>
      </c>
      <c r="O35" s="609">
        <v>44040</v>
      </c>
      <c r="P35" s="560">
        <v>26500000</v>
      </c>
      <c r="Q35" s="609">
        <v>44068</v>
      </c>
      <c r="R35" s="560">
        <f>6550000+6180000+6250000+9250000</f>
        <v>28230000</v>
      </c>
      <c r="S35" s="609">
        <v>44103</v>
      </c>
      <c r="T35" s="560">
        <v>30620000</v>
      </c>
      <c r="U35" s="362"/>
      <c r="V35" s="362"/>
      <c r="W35" s="609"/>
      <c r="X35" s="362"/>
      <c r="Y35" s="362"/>
      <c r="Z35" s="362"/>
      <c r="AA35" s="560">
        <f t="shared" si="0"/>
        <v>123213854</v>
      </c>
    </row>
    <row r="36" spans="1:27" x14ac:dyDescent="0.25">
      <c r="A36" s="370"/>
      <c r="B36" s="370" t="s">
        <v>3462</v>
      </c>
      <c r="C36" s="371">
        <v>43853</v>
      </c>
      <c r="D36" s="372">
        <f>3627000+2910000</f>
        <v>6537000</v>
      </c>
      <c r="E36" s="371">
        <v>43887</v>
      </c>
      <c r="F36" s="372">
        <f>3404700</f>
        <v>3404700</v>
      </c>
      <c r="G36" s="371">
        <v>43914</v>
      </c>
      <c r="H36" s="372">
        <v>7673125</v>
      </c>
      <c r="I36" s="371">
        <v>43943</v>
      </c>
      <c r="J36" s="560">
        <v>13490975</v>
      </c>
      <c r="K36" s="364">
        <v>43971</v>
      </c>
      <c r="L36" s="560">
        <v>14621800</v>
      </c>
      <c r="M36" s="364">
        <v>44006</v>
      </c>
      <c r="N36" s="560">
        <v>3259200</v>
      </c>
      <c r="O36" s="609">
        <v>44039</v>
      </c>
      <c r="P36" s="560">
        <v>6438900</v>
      </c>
      <c r="Q36" s="609">
        <v>44067</v>
      </c>
      <c r="R36" s="560">
        <f>3412500+3026400</f>
        <v>6438900</v>
      </c>
      <c r="S36" s="609">
        <v>44102</v>
      </c>
      <c r="T36" s="560">
        <v>8874125</v>
      </c>
      <c r="U36" s="609">
        <v>44131</v>
      </c>
      <c r="V36" s="560">
        <v>17316975</v>
      </c>
      <c r="W36" s="609">
        <v>44162</v>
      </c>
      <c r="X36" s="560">
        <v>15080600</v>
      </c>
      <c r="Y36" s="609" t="s">
        <v>5977</v>
      </c>
      <c r="Z36" s="560">
        <v>13504900</v>
      </c>
      <c r="AA36" s="560">
        <f t="shared" si="0"/>
        <v>110148053</v>
      </c>
    </row>
    <row r="37" spans="1:27" x14ac:dyDescent="0.25">
      <c r="A37" s="370"/>
      <c r="B37" s="370"/>
      <c r="C37" s="371">
        <v>43854</v>
      </c>
      <c r="D37" s="372">
        <f>3026400+3259200+873000</f>
        <v>7158600</v>
      </c>
      <c r="E37" s="371">
        <v>43886</v>
      </c>
      <c r="F37" s="372">
        <f>3929250+1170000</f>
        <v>5099250</v>
      </c>
      <c r="G37" s="371">
        <v>43913</v>
      </c>
      <c r="H37" s="372">
        <f>3152500+3395000</f>
        <v>6547500</v>
      </c>
      <c r="I37" s="371"/>
      <c r="J37" s="560"/>
      <c r="K37" s="364"/>
      <c r="L37" s="560"/>
      <c r="M37" s="364">
        <v>44007</v>
      </c>
      <c r="N37" s="560">
        <v>10296800</v>
      </c>
      <c r="O37" s="609">
        <v>44040</v>
      </c>
      <c r="P37" s="560">
        <v>8013875</v>
      </c>
      <c r="Q37" s="609">
        <v>44068</v>
      </c>
      <c r="R37" s="560">
        <f>3778125+3168750+649900</f>
        <v>7596775</v>
      </c>
      <c r="S37" s="609">
        <v>44103</v>
      </c>
      <c r="T37" s="560">
        <v>7990400</v>
      </c>
      <c r="U37" s="362"/>
      <c r="V37" s="362"/>
      <c r="W37" s="362"/>
      <c r="X37" s="362"/>
      <c r="Y37" s="362"/>
      <c r="Z37" s="362"/>
      <c r="AA37" s="560">
        <f t="shared" si="0"/>
        <v>45588454</v>
      </c>
    </row>
    <row r="38" spans="1:27" x14ac:dyDescent="0.25">
      <c r="A38" s="370"/>
      <c r="B38" s="370" t="s">
        <v>3463</v>
      </c>
      <c r="C38" s="371"/>
      <c r="D38" s="372"/>
      <c r="E38" s="371">
        <v>43914</v>
      </c>
      <c r="F38" s="372">
        <f>2864244</f>
        <v>2864244</v>
      </c>
      <c r="G38" s="371"/>
      <c r="H38" s="372"/>
      <c r="I38" s="371">
        <v>43943</v>
      </c>
      <c r="J38" s="560">
        <f>535000+721875</f>
        <v>1256875</v>
      </c>
      <c r="K38" s="364">
        <v>43971</v>
      </c>
      <c r="L38" s="560">
        <v>4882500</v>
      </c>
      <c r="M38" s="364">
        <v>44007</v>
      </c>
      <c r="N38" s="560">
        <v>11130000</v>
      </c>
      <c r="O38" s="609">
        <v>44039</v>
      </c>
      <c r="P38" s="560">
        <v>8820000</v>
      </c>
      <c r="Q38" s="609">
        <v>44067</v>
      </c>
      <c r="R38" s="560">
        <f>2570000+3020000+3020000</f>
        <v>8610000</v>
      </c>
      <c r="S38" s="609">
        <v>44103</v>
      </c>
      <c r="T38" s="560">
        <v>22394160</v>
      </c>
      <c r="U38" s="609">
        <v>44131</v>
      </c>
      <c r="V38" s="560">
        <v>16520000</v>
      </c>
      <c r="W38" s="609">
        <v>44162</v>
      </c>
      <c r="X38" s="560">
        <v>24046654</v>
      </c>
      <c r="Y38" s="362" t="s">
        <v>5977</v>
      </c>
      <c r="Z38" s="560">
        <v>23756654</v>
      </c>
      <c r="AA38" s="560">
        <f t="shared" si="0"/>
        <v>124281087</v>
      </c>
    </row>
    <row r="39" spans="1:27" x14ac:dyDescent="0.25">
      <c r="A39" s="370"/>
      <c r="B39" s="370"/>
      <c r="C39" s="371"/>
      <c r="D39" s="372"/>
      <c r="E39" s="371"/>
      <c r="F39" s="372"/>
      <c r="G39" s="371"/>
      <c r="H39" s="372"/>
      <c r="I39" s="371"/>
      <c r="J39" s="560"/>
      <c r="K39" s="364">
        <v>43978</v>
      </c>
      <c r="L39" s="560">
        <f>2754000+3459000+2401520</f>
        <v>8614520</v>
      </c>
      <c r="M39" s="364">
        <v>44008</v>
      </c>
      <c r="N39" s="560">
        <v>7630000</v>
      </c>
      <c r="O39" s="609">
        <v>44040</v>
      </c>
      <c r="P39" s="560">
        <v>9975000</v>
      </c>
      <c r="Q39" s="609">
        <v>44068</v>
      </c>
      <c r="R39" s="560">
        <f>2310000+2520000+2520000+2870000+765000</f>
        <v>10985000</v>
      </c>
      <c r="S39" s="362"/>
      <c r="T39" s="560"/>
      <c r="U39" s="362"/>
      <c r="V39" s="362"/>
      <c r="W39" s="362"/>
      <c r="X39" s="362"/>
      <c r="Y39" s="609" t="s">
        <v>6009</v>
      </c>
      <c r="Z39" s="560">
        <v>6054329</v>
      </c>
      <c r="AA39" s="560">
        <f t="shared" si="0"/>
        <v>43258849</v>
      </c>
    </row>
    <row r="40" spans="1:27" x14ac:dyDescent="0.25">
      <c r="A40" s="370"/>
      <c r="B40" s="370"/>
      <c r="C40" s="371"/>
      <c r="D40" s="372"/>
      <c r="E40" s="371"/>
      <c r="F40" s="372"/>
      <c r="G40" s="371"/>
      <c r="H40" s="372"/>
      <c r="I40" s="371"/>
      <c r="J40" s="560"/>
      <c r="K40" s="364">
        <v>43985</v>
      </c>
      <c r="L40" s="560"/>
      <c r="M40" s="364"/>
      <c r="N40" s="362"/>
      <c r="O40" s="362"/>
      <c r="P40" s="362"/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560">
        <f t="shared" si="0"/>
        <v>0</v>
      </c>
    </row>
    <row r="41" spans="1:27" x14ac:dyDescent="0.25">
      <c r="A41" s="370"/>
      <c r="B41" s="370" t="s">
        <v>5388</v>
      </c>
      <c r="C41" s="371"/>
      <c r="D41" s="372"/>
      <c r="E41" s="371"/>
      <c r="F41" s="372"/>
      <c r="G41" s="371"/>
      <c r="H41" s="372"/>
      <c r="I41" s="371"/>
      <c r="J41" s="560"/>
      <c r="K41" s="364">
        <v>43993</v>
      </c>
      <c r="L41" s="560">
        <v>13200000</v>
      </c>
      <c r="M41" s="364"/>
      <c r="N41" s="362"/>
      <c r="O41" s="362"/>
      <c r="P41" s="362"/>
      <c r="Q41" s="362"/>
      <c r="R41" s="362"/>
      <c r="S41" s="362"/>
      <c r="T41" s="362"/>
      <c r="U41" s="362"/>
      <c r="V41" s="362"/>
      <c r="W41" s="362"/>
      <c r="X41" s="362"/>
      <c r="Y41" s="362"/>
      <c r="Z41" s="362"/>
      <c r="AA41" s="560">
        <f t="shared" si="0"/>
        <v>13200000</v>
      </c>
    </row>
    <row r="42" spans="1:27" x14ac:dyDescent="0.25">
      <c r="A42" s="370"/>
      <c r="B42" s="370" t="s">
        <v>3464</v>
      </c>
      <c r="C42" s="371"/>
      <c r="D42" s="372"/>
      <c r="E42" s="371"/>
      <c r="F42" s="372"/>
      <c r="G42" s="371"/>
      <c r="H42" s="372"/>
      <c r="I42" s="371"/>
      <c r="J42" s="560"/>
      <c r="K42" s="362"/>
      <c r="L42" s="362"/>
      <c r="M42" s="364"/>
      <c r="N42" s="362"/>
      <c r="O42" s="362"/>
      <c r="P42" s="362"/>
      <c r="Q42" s="362"/>
      <c r="R42" s="362"/>
      <c r="S42" s="362"/>
      <c r="T42" s="362"/>
      <c r="U42" s="362"/>
      <c r="V42" s="362"/>
      <c r="W42" s="362"/>
      <c r="X42" s="362"/>
      <c r="Y42" s="362"/>
      <c r="Z42" s="362"/>
      <c r="AA42" s="560">
        <f t="shared" si="0"/>
        <v>0</v>
      </c>
    </row>
    <row r="43" spans="1:27" x14ac:dyDescent="0.25">
      <c r="A43" s="370"/>
      <c r="B43" s="370" t="s">
        <v>3465</v>
      </c>
      <c r="C43" s="371"/>
      <c r="D43" s="372"/>
      <c r="E43" s="371"/>
      <c r="F43" s="372"/>
      <c r="G43" s="371"/>
      <c r="H43" s="372"/>
      <c r="I43" s="371"/>
      <c r="J43" s="560"/>
      <c r="K43" s="364"/>
      <c r="L43" s="560"/>
      <c r="M43" s="364"/>
      <c r="N43" s="362"/>
      <c r="O43" s="362"/>
      <c r="P43" s="362"/>
      <c r="Q43" s="362"/>
      <c r="R43" s="362"/>
      <c r="S43" s="362"/>
      <c r="T43" s="362"/>
      <c r="U43" s="362"/>
      <c r="V43" s="362"/>
      <c r="W43" s="362"/>
      <c r="X43" s="362"/>
      <c r="Y43" s="362"/>
      <c r="Z43" s="362"/>
      <c r="AA43" s="560">
        <f t="shared" si="0"/>
        <v>0</v>
      </c>
    </row>
    <row r="44" spans="1:27" x14ac:dyDescent="0.25">
      <c r="A44" s="370"/>
      <c r="B44" s="370" t="s">
        <v>3949</v>
      </c>
      <c r="C44" s="371">
        <v>43836</v>
      </c>
      <c r="D44" s="372">
        <v>682259</v>
      </c>
      <c r="E44" s="371">
        <v>43887</v>
      </c>
      <c r="F44" s="372">
        <v>4316500</v>
      </c>
      <c r="G44" s="371">
        <v>43921</v>
      </c>
      <c r="H44" s="372">
        <v>12107077</v>
      </c>
      <c r="I44" s="371">
        <v>43943</v>
      </c>
      <c r="J44" s="560">
        <v>11366777</v>
      </c>
      <c r="K44" s="364">
        <v>43971</v>
      </c>
      <c r="L44" s="560">
        <v>10331013</v>
      </c>
      <c r="M44" s="364">
        <v>44007</v>
      </c>
      <c r="N44" s="560">
        <v>2384577</v>
      </c>
      <c r="O44" s="609">
        <v>44039</v>
      </c>
      <c r="P44" s="560">
        <v>4297100</v>
      </c>
      <c r="Q44" s="609">
        <v>44068</v>
      </c>
      <c r="R44" s="560">
        <v>6691377</v>
      </c>
      <c r="S44" s="609">
        <v>44102</v>
      </c>
      <c r="T44" s="560">
        <v>4326200</v>
      </c>
      <c r="U44" s="609">
        <v>44131</v>
      </c>
      <c r="V44" s="560">
        <v>6640433</v>
      </c>
      <c r="W44" s="609">
        <v>44161</v>
      </c>
      <c r="X44" s="560">
        <v>6730177</v>
      </c>
      <c r="Y44" s="362" t="s">
        <v>5977</v>
      </c>
      <c r="Z44" s="560">
        <v>6701077</v>
      </c>
      <c r="AA44" s="560">
        <f t="shared" si="0"/>
        <v>75936144</v>
      </c>
    </row>
    <row r="45" spans="1:27" x14ac:dyDescent="0.25">
      <c r="A45" s="370"/>
      <c r="B45" s="370"/>
      <c r="C45" s="371">
        <v>43854</v>
      </c>
      <c r="D45" s="372">
        <f>2730000+9242813+4147720+833200</f>
        <v>16953733</v>
      </c>
      <c r="E45" s="371">
        <v>43886</v>
      </c>
      <c r="F45" s="372">
        <f>4638327+2670000</f>
        <v>7308327</v>
      </c>
      <c r="G45" s="371"/>
      <c r="H45" s="372"/>
      <c r="I45" s="371"/>
      <c r="J45" s="560"/>
      <c r="K45" s="364"/>
      <c r="L45" s="560"/>
      <c r="M45" s="364">
        <v>44008</v>
      </c>
      <c r="N45" s="560">
        <v>4268000</v>
      </c>
      <c r="O45" s="609">
        <v>44040</v>
      </c>
      <c r="P45" s="560">
        <v>1637032</v>
      </c>
      <c r="Q45" s="362"/>
      <c r="R45" s="362"/>
      <c r="S45" s="609">
        <v>44103</v>
      </c>
      <c r="T45" s="560">
        <v>2403977</v>
      </c>
      <c r="U45" s="362"/>
      <c r="V45" s="362"/>
      <c r="W45" s="362"/>
      <c r="X45" s="362"/>
      <c r="Y45" s="362"/>
      <c r="Z45" s="362"/>
      <c r="AA45" s="560">
        <f t="shared" si="0"/>
        <v>15661190</v>
      </c>
    </row>
    <row r="46" spans="1:27" x14ac:dyDescent="0.25">
      <c r="A46" s="370"/>
      <c r="B46" s="370"/>
      <c r="C46" s="371">
        <v>43853</v>
      </c>
      <c r="D46" s="372">
        <f>4668327+2730000</f>
        <v>7398327</v>
      </c>
      <c r="E46" s="371"/>
      <c r="F46" s="372"/>
      <c r="G46" s="371"/>
      <c r="H46" s="372"/>
      <c r="I46" s="371"/>
      <c r="J46" s="560"/>
      <c r="K46" s="364"/>
      <c r="L46" s="560"/>
      <c r="M46" s="364"/>
      <c r="N46" s="362"/>
      <c r="O46" s="362"/>
      <c r="P46" s="362"/>
      <c r="Q46" s="362"/>
      <c r="R46" s="362"/>
      <c r="S46" s="362"/>
      <c r="T46" s="362"/>
      <c r="U46" s="362"/>
      <c r="V46" s="362"/>
      <c r="W46" s="362"/>
      <c r="X46" s="362"/>
      <c r="Y46" s="362"/>
      <c r="Z46" s="362"/>
      <c r="AA46" s="560">
        <f t="shared" si="0"/>
        <v>43853</v>
      </c>
    </row>
    <row r="47" spans="1:27" x14ac:dyDescent="0.25">
      <c r="A47" s="370"/>
      <c r="B47" s="370"/>
      <c r="C47" s="371">
        <v>43857</v>
      </c>
      <c r="D47" s="372">
        <v>775750</v>
      </c>
      <c r="E47" s="371"/>
      <c r="F47" s="372"/>
      <c r="G47" s="371"/>
      <c r="H47" s="372"/>
      <c r="I47" s="371"/>
      <c r="J47" s="560"/>
      <c r="K47" s="364"/>
      <c r="L47" s="560"/>
      <c r="M47" s="364"/>
      <c r="N47" s="362"/>
      <c r="O47" s="362"/>
      <c r="P47" s="362"/>
      <c r="Q47" s="362"/>
      <c r="R47" s="362"/>
      <c r="S47" s="362"/>
      <c r="T47" s="362"/>
      <c r="U47" s="362"/>
      <c r="V47" s="362"/>
      <c r="W47" s="362"/>
      <c r="X47" s="362"/>
      <c r="Y47" s="362"/>
      <c r="Z47" s="362"/>
      <c r="AA47" s="560">
        <f t="shared" si="0"/>
        <v>43857</v>
      </c>
    </row>
    <row r="48" spans="1:27" x14ac:dyDescent="0.25">
      <c r="A48" s="370"/>
      <c r="B48" s="370"/>
      <c r="C48" s="371">
        <v>43865</v>
      </c>
      <c r="D48" s="372">
        <v>1316000</v>
      </c>
      <c r="E48" s="371"/>
      <c r="F48" s="372"/>
      <c r="G48" s="371"/>
      <c r="H48" s="372"/>
      <c r="I48" s="371"/>
      <c r="J48" s="560"/>
      <c r="K48" s="364"/>
      <c r="L48" s="560"/>
      <c r="M48" s="364"/>
      <c r="N48" s="362"/>
      <c r="O48" s="362"/>
      <c r="P48" s="362"/>
      <c r="Q48" s="362"/>
      <c r="R48" s="362"/>
      <c r="S48" s="362"/>
      <c r="T48" s="362"/>
      <c r="U48" s="362"/>
      <c r="V48" s="362"/>
      <c r="W48" s="362"/>
      <c r="X48" s="362"/>
      <c r="Y48" s="362"/>
      <c r="Z48" s="362"/>
      <c r="AA48" s="560">
        <f t="shared" si="0"/>
        <v>43865</v>
      </c>
    </row>
    <row r="49" spans="1:27" x14ac:dyDescent="0.25">
      <c r="A49" s="370"/>
      <c r="B49" s="370" t="s">
        <v>5984</v>
      </c>
      <c r="C49" s="371"/>
      <c r="D49" s="372"/>
      <c r="E49" s="371"/>
      <c r="F49" s="372"/>
      <c r="G49" s="371"/>
      <c r="H49" s="372"/>
      <c r="I49" s="371"/>
      <c r="J49" s="560"/>
      <c r="K49" s="364"/>
      <c r="L49" s="560"/>
      <c r="M49" s="364"/>
      <c r="N49" s="362"/>
      <c r="O49" s="362"/>
      <c r="P49" s="362"/>
      <c r="Q49" s="362"/>
      <c r="R49" s="362"/>
      <c r="S49" s="362"/>
      <c r="T49" s="362"/>
      <c r="U49" s="362"/>
      <c r="V49" s="362"/>
      <c r="W49" s="362"/>
      <c r="X49" s="362"/>
      <c r="Y49" s="609">
        <v>44201</v>
      </c>
      <c r="Z49" s="560">
        <f>2914080+6305064</f>
        <v>9219144</v>
      </c>
      <c r="AA49" s="560"/>
    </row>
    <row r="50" spans="1:27" x14ac:dyDescent="0.25">
      <c r="A50" s="370"/>
      <c r="B50" s="370" t="s">
        <v>5946</v>
      </c>
      <c r="C50" s="371"/>
      <c r="D50" s="372"/>
      <c r="E50" s="371"/>
      <c r="F50" s="372"/>
      <c r="G50" s="371"/>
      <c r="H50" s="372"/>
      <c r="I50" s="371"/>
      <c r="J50" s="560"/>
      <c r="K50" s="364"/>
      <c r="L50" s="560"/>
      <c r="M50" s="364"/>
      <c r="N50" s="362"/>
      <c r="O50" s="362"/>
      <c r="P50" s="362"/>
      <c r="Q50" s="362"/>
      <c r="R50" s="362"/>
      <c r="S50" s="609">
        <v>44102</v>
      </c>
      <c r="T50" s="560">
        <v>13950000</v>
      </c>
      <c r="U50" s="609">
        <v>44131</v>
      </c>
      <c r="V50" s="560">
        <v>62888107</v>
      </c>
      <c r="W50" s="609">
        <v>44165</v>
      </c>
      <c r="X50" s="560">
        <v>95176400</v>
      </c>
      <c r="Y50" s="609">
        <v>44193</v>
      </c>
      <c r="Z50" s="560">
        <f>18271000+16651000+20837500+14454000+15945600</f>
        <v>86159100</v>
      </c>
      <c r="AA50" s="560">
        <f t="shared" si="0"/>
        <v>258173607</v>
      </c>
    </row>
    <row r="51" spans="1:27" x14ac:dyDescent="0.25">
      <c r="A51" s="370"/>
      <c r="B51" s="370"/>
      <c r="C51" s="371"/>
      <c r="D51" s="372"/>
      <c r="E51" s="371"/>
      <c r="F51" s="372"/>
      <c r="G51" s="371"/>
      <c r="H51" s="372"/>
      <c r="I51" s="371"/>
      <c r="J51" s="560"/>
      <c r="K51" s="364"/>
      <c r="L51" s="560"/>
      <c r="M51" s="364"/>
      <c r="N51" s="362"/>
      <c r="O51" s="362"/>
      <c r="P51" s="362"/>
      <c r="Q51" s="362"/>
      <c r="R51" s="362"/>
      <c r="S51" s="609">
        <v>44105</v>
      </c>
      <c r="T51" s="560">
        <v>52800000</v>
      </c>
      <c r="U51" s="609">
        <v>44132</v>
      </c>
      <c r="V51" s="560">
        <v>14585793</v>
      </c>
      <c r="W51" s="362"/>
      <c r="X51" s="362"/>
      <c r="Y51" s="609">
        <v>44223</v>
      </c>
      <c r="Z51" s="560">
        <v>25312150</v>
      </c>
      <c r="AA51" s="560">
        <f t="shared" si="0"/>
        <v>92697943</v>
      </c>
    </row>
    <row r="52" spans="1:27" x14ac:dyDescent="0.25">
      <c r="A52" s="370"/>
      <c r="B52" s="370" t="s">
        <v>3466</v>
      </c>
      <c r="C52" s="371">
        <v>43881</v>
      </c>
      <c r="D52" s="372">
        <f>9253982+4078304+5916303+2010033+9040436+8278790</f>
        <v>38577848</v>
      </c>
      <c r="E52" s="371">
        <v>43906</v>
      </c>
      <c r="F52" s="372">
        <f>6982147+19955064+13748022+8536270+3911185+13163605</f>
        <v>66296293</v>
      </c>
      <c r="G52" s="371">
        <v>43934</v>
      </c>
      <c r="H52" s="372">
        <v>40879383</v>
      </c>
      <c r="I52" s="371">
        <v>43969</v>
      </c>
      <c r="J52" s="560">
        <v>27301379</v>
      </c>
      <c r="K52" s="364">
        <v>43997</v>
      </c>
      <c r="L52" s="560">
        <v>8432951</v>
      </c>
      <c r="M52" s="364">
        <v>44025</v>
      </c>
      <c r="N52" s="560">
        <f>300000+4554606</f>
        <v>4854606</v>
      </c>
      <c r="O52" s="609">
        <v>44067</v>
      </c>
      <c r="P52" s="362"/>
      <c r="Q52" s="609">
        <v>44095</v>
      </c>
      <c r="R52" s="560">
        <v>59383944</v>
      </c>
      <c r="S52" s="609">
        <v>44123</v>
      </c>
      <c r="T52" s="560">
        <v>61131858</v>
      </c>
      <c r="U52" s="609">
        <v>44158</v>
      </c>
      <c r="V52" s="560">
        <v>58213858</v>
      </c>
      <c r="W52" s="609">
        <v>44186</v>
      </c>
      <c r="X52" s="560">
        <v>150648577</v>
      </c>
      <c r="Y52" s="609">
        <v>44221</v>
      </c>
      <c r="Z52" s="560">
        <v>186925629</v>
      </c>
      <c r="AA52" s="560">
        <f t="shared" si="0"/>
        <v>664112359</v>
      </c>
    </row>
    <row r="53" spans="1:27" x14ac:dyDescent="0.25">
      <c r="A53" s="370"/>
      <c r="B53" s="370"/>
      <c r="C53" s="371">
        <v>43882</v>
      </c>
      <c r="D53" s="372">
        <f>1482690+7473686+3065304+8101967+11005498+8861170+7698951</f>
        <v>47689266</v>
      </c>
      <c r="E53" s="371">
        <v>43907</v>
      </c>
      <c r="F53" s="372">
        <f>8267361+21365787+1344191+15692417+10498078+22875372+4745901</f>
        <v>84789107</v>
      </c>
      <c r="G53" s="371">
        <v>43935</v>
      </c>
      <c r="H53" s="372">
        <v>57879950</v>
      </c>
      <c r="I53" s="371">
        <v>43970</v>
      </c>
      <c r="J53" s="560">
        <v>36304406</v>
      </c>
      <c r="K53" s="364">
        <v>43998</v>
      </c>
      <c r="L53" s="560">
        <v>37763282</v>
      </c>
      <c r="M53" s="364">
        <v>44026</v>
      </c>
      <c r="N53" s="560">
        <f>12673281+6730776+5535031+10356129</f>
        <v>35295217</v>
      </c>
      <c r="O53" s="609">
        <v>44068</v>
      </c>
      <c r="P53" s="362"/>
      <c r="Q53" s="609">
        <v>44096</v>
      </c>
      <c r="R53" s="560">
        <v>42846982</v>
      </c>
      <c r="S53" s="609">
        <v>44124</v>
      </c>
      <c r="T53" s="560">
        <v>58179915</v>
      </c>
      <c r="U53" s="609">
        <v>44159</v>
      </c>
      <c r="V53" s="560">
        <v>72798015</v>
      </c>
      <c r="W53" s="609">
        <v>44187</v>
      </c>
      <c r="X53" s="362"/>
      <c r="Y53" s="362"/>
      <c r="Z53" s="362"/>
      <c r="AA53" s="560">
        <f t="shared" si="0"/>
        <v>425900756</v>
      </c>
    </row>
    <row r="54" spans="1:27" x14ac:dyDescent="0.25">
      <c r="A54" s="370"/>
      <c r="B54" s="370"/>
      <c r="C54" s="371"/>
      <c r="D54" s="372"/>
      <c r="E54" s="371"/>
      <c r="F54" s="372"/>
      <c r="G54" s="371"/>
      <c r="H54" s="372"/>
      <c r="I54" s="371"/>
      <c r="J54" s="560"/>
      <c r="K54" s="364">
        <v>44004</v>
      </c>
      <c r="L54" s="560">
        <f>1555000+6910136+11498111</f>
        <v>19963247</v>
      </c>
      <c r="M54" s="364">
        <v>44032</v>
      </c>
      <c r="N54" s="560">
        <f>2236208+13280603+24308678+10884889</f>
        <v>50710378</v>
      </c>
      <c r="O54" s="609">
        <v>44074</v>
      </c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560">
        <f t="shared" si="0"/>
        <v>70673625</v>
      </c>
    </row>
    <row r="55" spans="1:27" x14ac:dyDescent="0.25">
      <c r="A55" s="370"/>
      <c r="B55" s="370"/>
      <c r="C55" s="371"/>
      <c r="D55" s="372"/>
      <c r="E55" s="371"/>
      <c r="F55" s="372"/>
      <c r="G55" s="371"/>
      <c r="H55" s="372"/>
      <c r="I55" s="371"/>
      <c r="J55" s="560"/>
      <c r="K55" s="364"/>
      <c r="L55" s="560"/>
      <c r="M55" s="364">
        <v>44033</v>
      </c>
      <c r="N55" s="560">
        <f>13363070+1060000+22343108</f>
        <v>36766178</v>
      </c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560">
        <f t="shared" si="0"/>
        <v>36766178</v>
      </c>
    </row>
    <row r="56" spans="1:27" x14ac:dyDescent="0.25">
      <c r="A56" s="370"/>
      <c r="B56" s="370" t="s">
        <v>4882</v>
      </c>
      <c r="C56" s="371">
        <v>43881</v>
      </c>
      <c r="D56" s="372">
        <f>750000+415000</f>
        <v>1165000</v>
      </c>
      <c r="E56" s="371">
        <v>43906</v>
      </c>
      <c r="F56" s="372">
        <f>750000</f>
        <v>750000</v>
      </c>
      <c r="G56" s="371">
        <v>43934</v>
      </c>
      <c r="H56" s="372">
        <v>1125000</v>
      </c>
      <c r="I56" s="371">
        <v>43969</v>
      </c>
      <c r="J56" s="560">
        <v>750000</v>
      </c>
      <c r="K56" s="364">
        <v>44004</v>
      </c>
      <c r="L56" s="560">
        <v>1590000</v>
      </c>
      <c r="M56" s="364">
        <v>44032</v>
      </c>
      <c r="N56" s="560">
        <v>1330000</v>
      </c>
      <c r="O56" s="850">
        <v>44039</v>
      </c>
      <c r="P56" s="563">
        <v>10880000</v>
      </c>
      <c r="Q56" s="609">
        <v>44095</v>
      </c>
      <c r="R56" s="560">
        <v>1125000</v>
      </c>
      <c r="S56" s="362" t="s">
        <v>5953</v>
      </c>
      <c r="T56" s="560">
        <v>11850000</v>
      </c>
      <c r="U56" s="609">
        <v>44162</v>
      </c>
      <c r="V56" s="560">
        <v>12545000</v>
      </c>
      <c r="W56" s="609">
        <v>44186</v>
      </c>
      <c r="X56" s="560">
        <v>13895000</v>
      </c>
      <c r="Y56" s="362" t="s">
        <v>6010</v>
      </c>
      <c r="Z56" s="560">
        <v>14320000</v>
      </c>
      <c r="AA56" s="560">
        <f t="shared" si="0"/>
        <v>70203881</v>
      </c>
    </row>
    <row r="57" spans="1:27" x14ac:dyDescent="0.25">
      <c r="A57" s="370"/>
      <c r="B57" s="370"/>
      <c r="C57" s="371"/>
      <c r="D57" s="372"/>
      <c r="E57" s="371">
        <v>43907</v>
      </c>
      <c r="F57" s="372">
        <f>3685000+1590000+1590000+3995000</f>
        <v>10860000</v>
      </c>
      <c r="G57" s="371">
        <v>43935</v>
      </c>
      <c r="H57" s="372">
        <v>12085000</v>
      </c>
      <c r="I57" s="371">
        <v>43970</v>
      </c>
      <c r="J57" s="560">
        <v>9700000</v>
      </c>
      <c r="K57" s="364">
        <v>44005</v>
      </c>
      <c r="L57" s="560">
        <v>13000000</v>
      </c>
      <c r="M57" s="364">
        <v>44033</v>
      </c>
      <c r="N57" s="560">
        <v>12480000</v>
      </c>
      <c r="O57" s="609">
        <v>44067</v>
      </c>
      <c r="P57" s="560">
        <f>375000</f>
        <v>375000</v>
      </c>
      <c r="Q57" s="609">
        <v>44096</v>
      </c>
      <c r="R57" s="560">
        <v>11845000</v>
      </c>
      <c r="S57" s="362"/>
      <c r="T57" s="362"/>
      <c r="U57" s="362"/>
      <c r="V57" s="362"/>
      <c r="W57" s="609">
        <v>44187</v>
      </c>
      <c r="X57" s="362"/>
      <c r="Y57" s="362"/>
      <c r="Z57" s="362"/>
      <c r="AA57" s="560">
        <f t="shared" si="0"/>
        <v>70345000</v>
      </c>
    </row>
    <row r="58" spans="1:27" x14ac:dyDescent="0.25">
      <c r="A58" s="370"/>
      <c r="B58" s="370" t="s">
        <v>4911</v>
      </c>
      <c r="C58" s="371">
        <v>43969</v>
      </c>
      <c r="D58" s="372">
        <v>11500000</v>
      </c>
      <c r="E58" s="371">
        <v>43969</v>
      </c>
      <c r="F58" s="372">
        <v>5600000</v>
      </c>
      <c r="G58" s="371">
        <v>43969</v>
      </c>
      <c r="H58" s="372">
        <v>1375000</v>
      </c>
      <c r="I58" s="371">
        <v>44039</v>
      </c>
      <c r="J58" s="560">
        <v>3425000</v>
      </c>
      <c r="K58" s="364">
        <v>44039</v>
      </c>
      <c r="L58" s="560">
        <v>7050000</v>
      </c>
      <c r="M58" s="364">
        <v>44039</v>
      </c>
      <c r="N58" s="560">
        <v>15525000</v>
      </c>
      <c r="O58" s="609">
        <v>44068</v>
      </c>
      <c r="P58" s="560">
        <f>1175000+1175000+5790000+3180000</f>
        <v>11320000</v>
      </c>
      <c r="Q58" s="362" t="s">
        <v>5953</v>
      </c>
      <c r="R58" s="560">
        <v>33875000</v>
      </c>
      <c r="S58" s="362" t="s">
        <v>5955</v>
      </c>
      <c r="T58" s="560">
        <v>25550000</v>
      </c>
      <c r="U58" s="362" t="s">
        <v>5975</v>
      </c>
      <c r="V58" s="560">
        <v>31750000</v>
      </c>
      <c r="W58" s="362" t="s">
        <v>5976</v>
      </c>
      <c r="X58" s="560">
        <v>37475000</v>
      </c>
      <c r="Y58" s="362" t="s">
        <v>6010</v>
      </c>
      <c r="Z58" s="560">
        <v>39975000</v>
      </c>
      <c r="AA58" s="560">
        <f t="shared" si="0"/>
        <v>212963969</v>
      </c>
    </row>
    <row r="59" spans="1:27" x14ac:dyDescent="0.25">
      <c r="A59" s="370"/>
      <c r="B59" s="370"/>
      <c r="C59" s="371">
        <v>43970</v>
      </c>
      <c r="D59" s="372">
        <v>17750000</v>
      </c>
      <c r="E59" s="371">
        <v>43970</v>
      </c>
      <c r="F59" s="372">
        <v>7850000</v>
      </c>
      <c r="G59" s="371">
        <v>43970</v>
      </c>
      <c r="H59" s="372">
        <v>3350000</v>
      </c>
      <c r="I59" s="371">
        <v>44040</v>
      </c>
      <c r="J59" s="560">
        <v>3475000</v>
      </c>
      <c r="K59" s="364">
        <v>44040</v>
      </c>
      <c r="L59" s="560">
        <v>7025000</v>
      </c>
      <c r="M59" s="364">
        <v>44040</v>
      </c>
      <c r="N59" s="560">
        <v>18400000</v>
      </c>
      <c r="O59" s="362" t="s">
        <v>5953</v>
      </c>
      <c r="P59" s="560">
        <v>23200000</v>
      </c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560">
        <f t="shared" si="0"/>
        <v>63343970</v>
      </c>
    </row>
    <row r="60" spans="1:27" x14ac:dyDescent="0.25">
      <c r="A60" s="370"/>
      <c r="B60" s="370"/>
      <c r="C60" s="577">
        <v>43969</v>
      </c>
      <c r="D60" s="581">
        <v>12575000</v>
      </c>
      <c r="E60" s="582"/>
      <c r="F60" s="582"/>
      <c r="G60" s="582"/>
      <c r="H60" s="583"/>
      <c r="I60" s="531">
        <v>44039</v>
      </c>
      <c r="J60" s="562">
        <v>22475000</v>
      </c>
      <c r="K60" s="589"/>
      <c r="L60" s="562"/>
      <c r="M60" s="589"/>
      <c r="N60" s="530"/>
      <c r="O60" s="628" t="s">
        <v>5956</v>
      </c>
      <c r="P60" s="673">
        <v>86500000</v>
      </c>
      <c r="Q60" s="628"/>
      <c r="R60" s="628"/>
      <c r="S60" s="628"/>
      <c r="T60" s="628"/>
      <c r="U60" s="585" t="s">
        <v>6009</v>
      </c>
      <c r="V60" s="562">
        <v>107600000</v>
      </c>
      <c r="W60" s="530"/>
      <c r="X60" s="530"/>
      <c r="Y60" s="362"/>
      <c r="Z60" s="362"/>
      <c r="AA60" s="560">
        <f t="shared" si="0"/>
        <v>216618969</v>
      </c>
    </row>
    <row r="61" spans="1:27" x14ac:dyDescent="0.25">
      <c r="A61" s="370"/>
      <c r="B61" s="370"/>
      <c r="C61" s="577">
        <v>43970</v>
      </c>
      <c r="D61" s="578">
        <v>23975000</v>
      </c>
      <c r="E61" s="579"/>
      <c r="F61" s="579"/>
      <c r="G61" s="579"/>
      <c r="H61" s="580"/>
      <c r="I61" s="531">
        <v>44040</v>
      </c>
      <c r="J61" s="562">
        <v>19850000</v>
      </c>
      <c r="K61" s="736"/>
      <c r="L61" s="562"/>
      <c r="M61" s="589"/>
      <c r="N61" s="530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560">
        <f t="shared" si="0"/>
        <v>19893970</v>
      </c>
    </row>
    <row r="62" spans="1:27" x14ac:dyDescent="0.25">
      <c r="A62" s="370"/>
      <c r="B62" s="370" t="s">
        <v>5864</v>
      </c>
      <c r="C62" s="731"/>
      <c r="D62" s="732"/>
      <c r="E62" s="732"/>
      <c r="F62" s="732"/>
      <c r="G62" s="732"/>
      <c r="H62" s="732"/>
      <c r="I62" s="371"/>
      <c r="J62" s="560"/>
      <c r="K62" s="364">
        <v>44025</v>
      </c>
      <c r="L62" s="560">
        <v>1275000</v>
      </c>
      <c r="M62" s="364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560">
        <f t="shared" si="0"/>
        <v>1275000</v>
      </c>
    </row>
    <row r="63" spans="1:27" x14ac:dyDescent="0.25">
      <c r="A63" s="370"/>
      <c r="B63" s="370"/>
      <c r="C63" s="731"/>
      <c r="D63" s="732"/>
      <c r="E63" s="732"/>
      <c r="F63" s="732"/>
      <c r="G63" s="732"/>
      <c r="H63" s="732"/>
      <c r="I63" s="371"/>
      <c r="J63" s="560"/>
      <c r="K63" s="364">
        <v>44026</v>
      </c>
      <c r="L63" s="560">
        <v>2682000</v>
      </c>
      <c r="M63" s="364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  <c r="Z63" s="362"/>
      <c r="AA63" s="560">
        <f t="shared" si="0"/>
        <v>2682000</v>
      </c>
    </row>
    <row r="64" spans="1:27" x14ac:dyDescent="0.25">
      <c r="A64" s="370"/>
      <c r="B64" s="370" t="s">
        <v>3468</v>
      </c>
      <c r="C64" s="371">
        <v>43913</v>
      </c>
      <c r="D64" s="372">
        <v>1345703</v>
      </c>
      <c r="E64" s="371">
        <v>43941</v>
      </c>
      <c r="F64" s="372">
        <f>600000+556536+527489+272108</f>
        <v>1956133</v>
      </c>
      <c r="G64" s="364">
        <v>43997</v>
      </c>
      <c r="H64" s="560">
        <v>1108825</v>
      </c>
      <c r="I64" s="371">
        <v>44007</v>
      </c>
      <c r="J64" s="560">
        <v>2205909</v>
      </c>
      <c r="K64" s="364">
        <v>44067</v>
      </c>
      <c r="L64" s="560">
        <v>891065</v>
      </c>
      <c r="M64" s="364">
        <v>44095</v>
      </c>
      <c r="N64" s="560">
        <v>1456949</v>
      </c>
      <c r="O64" s="609">
        <v>44109</v>
      </c>
      <c r="P64" s="560">
        <v>8395938</v>
      </c>
      <c r="Q64" s="609">
        <v>44137</v>
      </c>
      <c r="R64" s="560">
        <v>2352686</v>
      </c>
      <c r="S64" s="362" t="s">
        <v>6053</v>
      </c>
      <c r="T64" s="560">
        <f>2916125</f>
        <v>2916125</v>
      </c>
      <c r="U64" s="362" t="s">
        <v>6053</v>
      </c>
      <c r="V64" s="362"/>
      <c r="W64" s="362" t="s">
        <v>6053</v>
      </c>
      <c r="X64" s="560">
        <v>5643112</v>
      </c>
      <c r="Y64" s="362" t="s">
        <v>6053</v>
      </c>
      <c r="Z64" s="560">
        <v>7702037</v>
      </c>
      <c r="AA64" s="560">
        <f t="shared" si="0"/>
        <v>34672692</v>
      </c>
    </row>
    <row r="65" spans="1:27" x14ac:dyDescent="0.25">
      <c r="A65" s="370"/>
      <c r="B65" s="370"/>
      <c r="C65" s="371">
        <v>43914</v>
      </c>
      <c r="D65" s="372">
        <v>4047475</v>
      </c>
      <c r="E65" s="371"/>
      <c r="F65" s="372"/>
      <c r="G65" s="364">
        <v>43998</v>
      </c>
      <c r="H65" s="560">
        <v>2741646</v>
      </c>
      <c r="I65" s="371">
        <v>44008</v>
      </c>
      <c r="J65" s="560">
        <v>571846</v>
      </c>
      <c r="K65" s="364">
        <v>44068</v>
      </c>
      <c r="L65" s="560">
        <v>882563</v>
      </c>
      <c r="M65" s="364">
        <v>44096</v>
      </c>
      <c r="N65" s="560">
        <v>1128135</v>
      </c>
      <c r="O65" s="609">
        <v>44110</v>
      </c>
      <c r="P65" s="560">
        <v>4630937</v>
      </c>
      <c r="Q65" s="609">
        <v>44138</v>
      </c>
      <c r="R65" s="560">
        <v>2009313</v>
      </c>
      <c r="S65" s="362"/>
      <c r="T65" s="362"/>
      <c r="U65" s="362"/>
      <c r="V65" s="362"/>
      <c r="W65" s="362"/>
      <c r="X65" s="362"/>
      <c r="Y65" s="362"/>
      <c r="Z65" s="362"/>
      <c r="AA65" s="560">
        <f t="shared" si="0"/>
        <v>12008354</v>
      </c>
    </row>
    <row r="66" spans="1:27" x14ac:dyDescent="0.25">
      <c r="A66" s="370"/>
      <c r="B66" s="370" t="s">
        <v>3469</v>
      </c>
      <c r="C66" s="371">
        <v>43948</v>
      </c>
      <c r="D66" s="372">
        <v>31064750</v>
      </c>
      <c r="E66" s="371">
        <v>43969</v>
      </c>
      <c r="F66" s="372">
        <v>27568500</v>
      </c>
      <c r="G66" s="371">
        <v>43987</v>
      </c>
      <c r="H66" s="372">
        <v>53163500</v>
      </c>
      <c r="I66" s="371">
        <v>44039</v>
      </c>
      <c r="J66" s="560">
        <v>34186250</v>
      </c>
      <c r="K66" s="364">
        <v>44067</v>
      </c>
      <c r="L66" s="560">
        <f>5108500+8490500+8586250+6116500</f>
        <v>28301750</v>
      </c>
      <c r="M66" s="364">
        <v>44116</v>
      </c>
      <c r="N66" s="560">
        <v>39172500</v>
      </c>
      <c r="O66" s="609">
        <v>44141</v>
      </c>
      <c r="P66" s="560">
        <v>81553250</v>
      </c>
      <c r="Q66" s="609">
        <v>44161</v>
      </c>
      <c r="R66" s="560">
        <v>57530000</v>
      </c>
      <c r="S66" s="609">
        <v>44210</v>
      </c>
      <c r="T66" s="560">
        <v>71721250</v>
      </c>
      <c r="U66" s="609">
        <v>44223</v>
      </c>
      <c r="V66" s="560">
        <v>95457000</v>
      </c>
      <c r="W66" s="362" t="s">
        <v>6078</v>
      </c>
      <c r="X66" s="560">
        <v>85874000</v>
      </c>
      <c r="Y66" s="362"/>
      <c r="Z66" s="362"/>
      <c r="AA66" s="560">
        <f t="shared" si="0"/>
        <v>574571948</v>
      </c>
    </row>
    <row r="67" spans="1:27" x14ac:dyDescent="0.25">
      <c r="A67" s="370"/>
      <c r="B67" s="370"/>
      <c r="C67" s="371">
        <v>43949</v>
      </c>
      <c r="D67" s="372">
        <v>46227500</v>
      </c>
      <c r="E67" s="371">
        <v>43970</v>
      </c>
      <c r="F67" s="372">
        <v>52050000</v>
      </c>
      <c r="G67" s="371">
        <v>43991</v>
      </c>
      <c r="H67" s="372">
        <v>1443500</v>
      </c>
      <c r="I67" s="371">
        <v>44040</v>
      </c>
      <c r="J67" s="560">
        <v>39111500</v>
      </c>
      <c r="K67" s="364">
        <v>44068</v>
      </c>
      <c r="L67" s="560">
        <f>12847750+9630250+2081000+6577000+4744250+16719000</f>
        <v>52599250</v>
      </c>
      <c r="M67" s="364">
        <v>44117</v>
      </c>
      <c r="N67" s="560">
        <v>44429750</v>
      </c>
      <c r="O67" s="362"/>
      <c r="P67" s="362"/>
      <c r="Q67" s="362"/>
      <c r="R67" s="362"/>
      <c r="S67" s="362"/>
      <c r="T67" s="362"/>
      <c r="U67" s="609">
        <v>44256</v>
      </c>
      <c r="V67" s="560">
        <v>5054250</v>
      </c>
      <c r="W67" s="362"/>
      <c r="X67" s="362"/>
      <c r="Y67" s="362"/>
      <c r="Z67" s="362"/>
      <c r="AA67" s="560">
        <f t="shared" si="0"/>
        <v>194732199</v>
      </c>
    </row>
    <row r="68" spans="1:27" x14ac:dyDescent="0.25">
      <c r="A68" s="370"/>
      <c r="B68" s="370"/>
      <c r="C68" s="371"/>
      <c r="D68" s="372"/>
      <c r="E68" s="371"/>
      <c r="F68" s="372"/>
      <c r="G68" s="371">
        <v>43998</v>
      </c>
      <c r="H68" s="372">
        <v>10789500</v>
      </c>
      <c r="I68" s="371"/>
      <c r="J68" s="560"/>
      <c r="K68" s="364"/>
      <c r="L68" s="560"/>
      <c r="M68" s="364"/>
      <c r="N68" s="362"/>
      <c r="O68" s="362"/>
      <c r="P68" s="362"/>
      <c r="Q68" s="362"/>
      <c r="R68" s="362"/>
      <c r="S68" s="362"/>
      <c r="T68" s="362"/>
      <c r="U68" s="362"/>
      <c r="V68" s="362"/>
      <c r="W68" s="362"/>
      <c r="X68" s="362"/>
      <c r="Y68" s="362"/>
      <c r="Z68" s="362"/>
      <c r="AA68" s="560">
        <f t="shared" si="0"/>
        <v>10789500</v>
      </c>
    </row>
    <row r="69" spans="1:27" x14ac:dyDescent="0.25">
      <c r="A69" s="370"/>
      <c r="B69" s="370"/>
      <c r="C69" s="371"/>
      <c r="D69" s="372"/>
      <c r="E69" s="577">
        <v>44116</v>
      </c>
      <c r="F69" s="671">
        <v>10062500</v>
      </c>
      <c r="G69" s="577">
        <v>44117</v>
      </c>
      <c r="H69" s="671">
        <v>13875000</v>
      </c>
      <c r="I69" s="577"/>
      <c r="J69" s="673" t="s">
        <v>5949</v>
      </c>
      <c r="K69" s="589" t="s">
        <v>6078</v>
      </c>
      <c r="L69" s="562">
        <v>55900000</v>
      </c>
      <c r="M69" s="589"/>
      <c r="N69" s="530"/>
      <c r="O69" s="530"/>
      <c r="P69" s="530"/>
      <c r="Q69" s="678">
        <v>44368</v>
      </c>
      <c r="R69" s="673">
        <v>30500000</v>
      </c>
      <c r="S69" s="628"/>
      <c r="T69" s="628"/>
      <c r="U69" s="628"/>
      <c r="V69" s="628"/>
      <c r="W69" s="530"/>
      <c r="X69" s="530"/>
      <c r="Y69" s="530"/>
      <c r="Z69" s="530"/>
      <c r="AA69" s="560" t="e">
        <f t="shared" si="0"/>
        <v>#VALUE!</v>
      </c>
    </row>
    <row r="70" spans="1:27" x14ac:dyDescent="0.25">
      <c r="A70" s="370"/>
      <c r="B70" s="370"/>
      <c r="C70" s="531">
        <v>44007</v>
      </c>
      <c r="D70" s="681">
        <v>38625000</v>
      </c>
      <c r="E70" s="371"/>
      <c r="F70" s="372"/>
      <c r="G70" s="371"/>
      <c r="H70" s="372"/>
      <c r="I70" s="371"/>
      <c r="J70" s="560"/>
      <c r="K70" s="364"/>
      <c r="L70" s="560"/>
      <c r="M70" s="364"/>
      <c r="N70" s="362"/>
      <c r="O70" s="362"/>
      <c r="P70" s="362"/>
      <c r="Q70" s="362"/>
      <c r="R70" s="362"/>
      <c r="S70" s="362"/>
      <c r="T70" s="362"/>
      <c r="U70" s="362"/>
      <c r="V70" s="362"/>
      <c r="W70" s="362"/>
      <c r="X70" s="362"/>
      <c r="Y70" s="362"/>
      <c r="Z70" s="362"/>
      <c r="AA70" s="560">
        <f t="shared" si="0"/>
        <v>44007</v>
      </c>
    </row>
    <row r="71" spans="1:27" x14ac:dyDescent="0.25">
      <c r="A71" s="370"/>
      <c r="B71" s="370" t="s">
        <v>3470</v>
      </c>
      <c r="C71" s="371"/>
      <c r="D71" s="372"/>
      <c r="E71" s="371"/>
      <c r="F71" s="372"/>
      <c r="G71" s="371"/>
      <c r="H71" s="372"/>
      <c r="I71" s="371"/>
      <c r="J71" s="560"/>
      <c r="K71" s="364"/>
      <c r="L71" s="560"/>
      <c r="M71" s="364"/>
      <c r="N71" s="362"/>
      <c r="O71" s="362"/>
      <c r="P71" s="362"/>
      <c r="Q71" s="362"/>
      <c r="R71" s="362"/>
      <c r="S71" s="362"/>
      <c r="T71" s="362"/>
      <c r="U71" s="362"/>
      <c r="V71" s="362"/>
      <c r="W71" s="362"/>
      <c r="X71" s="609"/>
      <c r="Y71" s="609">
        <v>44210</v>
      </c>
      <c r="Z71" s="560">
        <v>3561160</v>
      </c>
      <c r="AA71" s="560">
        <f t="shared" ref="AA71:AA111" si="1">Z71+X71+V71+T71+R71+P71+N71+L71+J71+H71+F71+C71</f>
        <v>3561160</v>
      </c>
    </row>
    <row r="72" spans="1:27" x14ac:dyDescent="0.25">
      <c r="A72" s="370"/>
      <c r="B72" s="370" t="s">
        <v>3471</v>
      </c>
      <c r="C72" s="371">
        <v>43881</v>
      </c>
      <c r="D72" s="372">
        <f>386400+623200+110700</f>
        <v>1120300</v>
      </c>
      <c r="E72" s="371">
        <v>43906</v>
      </c>
      <c r="F72" s="372">
        <f>222500+688800+205000+635500+357300</f>
        <v>2109100</v>
      </c>
      <c r="G72" s="371">
        <v>43934</v>
      </c>
      <c r="H72" s="372">
        <v>1082500</v>
      </c>
      <c r="I72" s="371">
        <v>43969</v>
      </c>
      <c r="J72" s="560">
        <v>2659800</v>
      </c>
      <c r="K72" s="364">
        <v>43997</v>
      </c>
      <c r="L72" s="560">
        <v>2541000</v>
      </c>
      <c r="M72" s="364">
        <v>44039</v>
      </c>
      <c r="N72" s="560">
        <v>2083600</v>
      </c>
      <c r="O72" s="847" t="s">
        <v>5942</v>
      </c>
      <c r="P72" s="847"/>
      <c r="Q72" s="609">
        <v>44096</v>
      </c>
      <c r="R72" s="560">
        <v>1886000</v>
      </c>
      <c r="S72" s="609">
        <v>44123</v>
      </c>
      <c r="T72" s="560">
        <v>19860400</v>
      </c>
      <c r="U72" s="362" t="s">
        <v>5959</v>
      </c>
      <c r="V72" s="560">
        <v>14474310</v>
      </c>
      <c r="W72" s="609">
        <v>44186</v>
      </c>
      <c r="X72" s="560">
        <v>11057418</v>
      </c>
      <c r="Y72" s="609">
        <v>44223</v>
      </c>
      <c r="Z72" s="560">
        <v>8919344</v>
      </c>
      <c r="AA72" s="560">
        <f t="shared" si="1"/>
        <v>66717353</v>
      </c>
    </row>
    <row r="73" spans="1:27" x14ac:dyDescent="0.25">
      <c r="A73" s="370"/>
      <c r="B73" s="370"/>
      <c r="C73" s="371"/>
      <c r="D73" s="372"/>
      <c r="E73" s="371">
        <v>43907</v>
      </c>
      <c r="F73" s="372">
        <f>968000+2976600+807700+528900+2238600+578100+729800</f>
        <v>8827700</v>
      </c>
      <c r="G73" s="371">
        <v>43935</v>
      </c>
      <c r="H73" s="372">
        <v>8860600</v>
      </c>
      <c r="I73" s="371">
        <v>43970</v>
      </c>
      <c r="J73" s="560">
        <v>13130700</v>
      </c>
      <c r="K73" s="364">
        <v>43998</v>
      </c>
      <c r="L73" s="560">
        <v>13636200</v>
      </c>
      <c r="M73" s="364">
        <v>44040</v>
      </c>
      <c r="N73" s="560">
        <v>7479600</v>
      </c>
      <c r="O73" s="362"/>
      <c r="P73" s="362"/>
      <c r="Q73" s="609">
        <v>44095</v>
      </c>
      <c r="R73" s="560">
        <v>651900</v>
      </c>
      <c r="S73" s="609">
        <v>44124</v>
      </c>
      <c r="T73" s="362"/>
      <c r="U73" s="362"/>
      <c r="V73" s="362"/>
      <c r="W73" s="609">
        <v>44187</v>
      </c>
      <c r="X73" s="362"/>
      <c r="Y73" s="362"/>
      <c r="Z73" s="362"/>
      <c r="AA73" s="560">
        <f t="shared" si="1"/>
        <v>52586700</v>
      </c>
    </row>
    <row r="74" spans="1:27" x14ac:dyDescent="0.25">
      <c r="A74" s="370"/>
      <c r="B74" s="370" t="s">
        <v>3950</v>
      </c>
      <c r="C74" s="371">
        <v>43899</v>
      </c>
      <c r="D74" s="372">
        <f>875970+1072643+122058+612230+921472+1826958</f>
        <v>5431331</v>
      </c>
      <c r="E74" s="371">
        <v>43913</v>
      </c>
      <c r="F74" s="372">
        <v>4499537</v>
      </c>
      <c r="G74" s="364">
        <v>43948</v>
      </c>
      <c r="H74" s="560">
        <v>4269146</v>
      </c>
      <c r="I74" s="371">
        <v>44067</v>
      </c>
      <c r="J74" s="560">
        <f>261982+124778+70414+217973</f>
        <v>675147</v>
      </c>
      <c r="K74" s="364">
        <v>44068</v>
      </c>
      <c r="L74" s="560">
        <f>333949+223668+232470</f>
        <v>790087</v>
      </c>
      <c r="M74" s="364">
        <v>44067</v>
      </c>
      <c r="N74" s="560">
        <v>1435673</v>
      </c>
      <c r="O74" s="609">
        <v>44095</v>
      </c>
      <c r="P74" s="560">
        <v>8668940</v>
      </c>
      <c r="Q74" s="609">
        <v>44095</v>
      </c>
      <c r="R74" s="560">
        <v>6804737</v>
      </c>
      <c r="S74" s="362" t="s">
        <v>5958</v>
      </c>
      <c r="T74" s="560">
        <v>15423650</v>
      </c>
      <c r="U74" s="362" t="s">
        <v>5977</v>
      </c>
      <c r="V74" s="560">
        <v>11868461</v>
      </c>
      <c r="W74" s="362" t="s">
        <v>5977</v>
      </c>
      <c r="X74" s="560">
        <v>10241477</v>
      </c>
      <c r="Y74" s="362" t="s">
        <v>6053</v>
      </c>
      <c r="Z74" s="560">
        <v>12361907</v>
      </c>
      <c r="AA74" s="560">
        <f t="shared" si="1"/>
        <v>77082661</v>
      </c>
    </row>
    <row r="75" spans="1:27" x14ac:dyDescent="0.25">
      <c r="A75" s="370"/>
      <c r="B75" s="370"/>
      <c r="C75" s="371">
        <v>43900</v>
      </c>
      <c r="D75" s="372">
        <f>971719+1037473+754128+1283549+383641+942606+1192976</f>
        <v>6566092</v>
      </c>
      <c r="E75" s="371">
        <v>43914</v>
      </c>
      <c r="F75" s="372">
        <v>6177079</v>
      </c>
      <c r="G75" s="364">
        <v>43949</v>
      </c>
      <c r="H75" s="560">
        <v>3062210</v>
      </c>
      <c r="I75" s="371">
        <v>44068</v>
      </c>
      <c r="J75" s="560">
        <f>300813+130991+409023+138239+303402</f>
        <v>1282468</v>
      </c>
      <c r="K75" s="364"/>
      <c r="L75" s="560"/>
      <c r="M75" s="364">
        <v>44068</v>
      </c>
      <c r="N75" s="560">
        <v>1956804</v>
      </c>
      <c r="O75" s="609">
        <v>44096</v>
      </c>
      <c r="P75" s="560">
        <v>10244443</v>
      </c>
      <c r="Q75" s="609">
        <v>44096</v>
      </c>
      <c r="R75" s="560">
        <v>3313413</v>
      </c>
      <c r="S75" s="362"/>
      <c r="T75" s="560"/>
      <c r="U75" s="362"/>
      <c r="V75" s="362"/>
      <c r="W75" s="362"/>
      <c r="X75" s="362"/>
      <c r="Y75" s="362"/>
      <c r="Z75" s="362"/>
      <c r="AA75" s="560">
        <f t="shared" si="1"/>
        <v>26080317</v>
      </c>
    </row>
    <row r="76" spans="1:27" x14ac:dyDescent="0.25">
      <c r="A76" s="370"/>
      <c r="B76" s="370" t="s">
        <v>3951</v>
      </c>
      <c r="C76" s="371">
        <v>43838</v>
      </c>
      <c r="D76" s="372">
        <v>7591796</v>
      </c>
      <c r="E76" s="371"/>
      <c r="F76" s="372"/>
      <c r="G76" s="371"/>
      <c r="H76" s="372"/>
      <c r="I76" s="371"/>
      <c r="J76" s="560"/>
      <c r="K76" s="364"/>
      <c r="L76" s="560"/>
      <c r="M76" s="364"/>
      <c r="N76" s="362"/>
      <c r="O76" s="362"/>
      <c r="P76" s="362"/>
      <c r="Q76" s="362"/>
      <c r="R76" s="362"/>
      <c r="S76" s="362"/>
      <c r="T76" s="362"/>
      <c r="U76" s="362"/>
      <c r="V76" s="362"/>
      <c r="W76" s="362"/>
      <c r="X76" s="362"/>
      <c r="Y76" s="362"/>
      <c r="Z76" s="362"/>
      <c r="AA76" s="560">
        <f t="shared" si="1"/>
        <v>43838</v>
      </c>
    </row>
    <row r="77" spans="1:27" ht="16.5" customHeight="1" x14ac:dyDescent="0.25">
      <c r="A77" s="370"/>
      <c r="B77" s="370"/>
      <c r="C77" s="348">
        <v>43839</v>
      </c>
      <c r="D77" s="303">
        <f>10429019</f>
        <v>10429019</v>
      </c>
      <c r="E77" s="371"/>
      <c r="F77" s="372"/>
      <c r="G77" s="371"/>
      <c r="H77" s="372"/>
      <c r="I77" s="371"/>
      <c r="J77" s="560"/>
      <c r="K77" s="364"/>
      <c r="L77" s="560"/>
      <c r="M77" s="364"/>
      <c r="N77" s="362"/>
      <c r="O77" s="362"/>
      <c r="P77" s="362"/>
      <c r="Q77" s="362"/>
      <c r="R77" s="362"/>
      <c r="S77" s="362"/>
      <c r="T77" s="362"/>
      <c r="U77" s="362"/>
      <c r="V77" s="362"/>
      <c r="W77" s="362"/>
      <c r="X77" s="362"/>
      <c r="Y77" s="362"/>
      <c r="Z77" s="362"/>
      <c r="AA77" s="560">
        <f t="shared" si="1"/>
        <v>43839</v>
      </c>
    </row>
    <row r="78" spans="1:27" x14ac:dyDescent="0.25">
      <c r="A78" s="370"/>
      <c r="B78" s="370" t="s">
        <v>3952</v>
      </c>
      <c r="C78" s="371">
        <v>43913</v>
      </c>
      <c r="D78" s="372">
        <v>1800000</v>
      </c>
      <c r="E78" s="371">
        <v>43913</v>
      </c>
      <c r="F78" s="372">
        <v>8250000</v>
      </c>
      <c r="G78" s="371"/>
      <c r="H78" s="372"/>
      <c r="I78" s="371"/>
      <c r="J78" s="560"/>
      <c r="K78" s="364"/>
      <c r="L78" s="560"/>
      <c r="M78" s="364">
        <v>44025</v>
      </c>
      <c r="N78" s="560">
        <f>500000+1500000+500000+3500000+500000</f>
        <v>6500000</v>
      </c>
      <c r="O78" s="609">
        <v>44067</v>
      </c>
      <c r="P78" s="560">
        <v>13500000</v>
      </c>
      <c r="Q78" s="609">
        <v>44095</v>
      </c>
      <c r="R78" s="560">
        <v>13000000</v>
      </c>
      <c r="S78" s="609">
        <v>44123</v>
      </c>
      <c r="T78" s="560">
        <v>34700000</v>
      </c>
      <c r="U78" s="609">
        <v>44158</v>
      </c>
      <c r="V78" s="560">
        <v>20200000</v>
      </c>
      <c r="W78" s="609">
        <v>44186</v>
      </c>
      <c r="X78" s="560">
        <v>25300000</v>
      </c>
      <c r="Y78" s="609">
        <v>44214</v>
      </c>
      <c r="Z78" s="560">
        <v>34920000</v>
      </c>
      <c r="AA78" s="560">
        <f t="shared" si="1"/>
        <v>156413913</v>
      </c>
    </row>
    <row r="79" spans="1:27" x14ac:dyDescent="0.25">
      <c r="A79" s="370"/>
      <c r="B79" s="370"/>
      <c r="C79" s="371"/>
      <c r="D79" s="372"/>
      <c r="E79" s="371">
        <v>43913</v>
      </c>
      <c r="F79" s="372">
        <v>2200000</v>
      </c>
      <c r="G79" s="371"/>
      <c r="H79" s="372"/>
      <c r="I79" s="371"/>
      <c r="J79" s="560"/>
      <c r="K79" s="364"/>
      <c r="L79" s="560"/>
      <c r="M79" s="364"/>
      <c r="N79" s="362"/>
      <c r="O79" s="362"/>
      <c r="P79" s="362"/>
      <c r="Q79" s="362"/>
      <c r="R79" s="362"/>
      <c r="S79" s="362"/>
      <c r="T79" s="362"/>
      <c r="U79" s="362"/>
      <c r="V79" s="362"/>
      <c r="W79" s="362"/>
      <c r="X79" s="362"/>
      <c r="Y79" s="362"/>
      <c r="Z79" s="362"/>
      <c r="AA79" s="560">
        <f t="shared" si="1"/>
        <v>2200000</v>
      </c>
    </row>
    <row r="80" spans="1:27" x14ac:dyDescent="0.25">
      <c r="A80" s="370"/>
      <c r="B80" s="370"/>
      <c r="C80" s="371"/>
      <c r="D80" s="372"/>
      <c r="E80" s="371">
        <v>43978</v>
      </c>
      <c r="F80" s="372">
        <v>3850000</v>
      </c>
      <c r="G80" s="371">
        <v>43978</v>
      </c>
      <c r="H80" s="372">
        <v>2800000</v>
      </c>
      <c r="I80" s="371">
        <v>43978</v>
      </c>
      <c r="J80" s="560">
        <v>2800000</v>
      </c>
      <c r="K80" s="364"/>
      <c r="L80" s="560"/>
      <c r="M80" s="364"/>
      <c r="N80" s="362"/>
      <c r="O80" s="362"/>
      <c r="P80" s="362"/>
      <c r="Q80" s="362"/>
      <c r="R80" s="362"/>
      <c r="S80" s="362"/>
      <c r="T80" s="362"/>
      <c r="U80" s="362"/>
      <c r="V80" s="362"/>
      <c r="W80" s="362"/>
      <c r="X80" s="362"/>
      <c r="Y80" s="362"/>
      <c r="Z80" s="362"/>
      <c r="AA80" s="560">
        <f t="shared" si="1"/>
        <v>9450000</v>
      </c>
    </row>
    <row r="81" spans="1:27" x14ac:dyDescent="0.25">
      <c r="A81" s="370"/>
      <c r="B81" s="370"/>
      <c r="C81" s="371"/>
      <c r="D81" s="372"/>
      <c r="E81" s="371"/>
      <c r="F81" s="372"/>
      <c r="G81" s="371">
        <v>43978</v>
      </c>
      <c r="H81" s="372">
        <v>10200000</v>
      </c>
      <c r="I81" s="371"/>
      <c r="J81" s="560"/>
      <c r="K81" s="364"/>
      <c r="L81" s="560"/>
      <c r="M81" s="364"/>
      <c r="N81" s="362"/>
      <c r="O81" s="362"/>
      <c r="P81" s="362"/>
      <c r="Q81" s="362"/>
      <c r="R81" s="362"/>
      <c r="S81" s="362"/>
      <c r="T81" s="362"/>
      <c r="U81" s="362"/>
      <c r="V81" s="362"/>
      <c r="W81" s="362"/>
      <c r="X81" s="362"/>
      <c r="Y81" s="362"/>
      <c r="Z81" s="362"/>
      <c r="AA81" s="560">
        <f t="shared" si="1"/>
        <v>10200000</v>
      </c>
    </row>
    <row r="82" spans="1:27" x14ac:dyDescent="0.25">
      <c r="A82" s="370"/>
      <c r="B82" s="370"/>
      <c r="C82" s="371"/>
      <c r="D82" s="372"/>
      <c r="E82" s="1662">
        <v>2500000</v>
      </c>
      <c r="F82" s="1663"/>
      <c r="G82" s="1663"/>
      <c r="H82" s="1663"/>
      <c r="I82" s="1663"/>
      <c r="J82" s="1664"/>
      <c r="K82" s="364"/>
      <c r="L82" s="560"/>
      <c r="M82" s="672">
        <v>44095</v>
      </c>
      <c r="N82" s="673">
        <v>9000000</v>
      </c>
      <c r="O82" s="628"/>
      <c r="P82" s="628"/>
      <c r="Q82" s="628"/>
      <c r="R82" s="362"/>
      <c r="S82" s="362"/>
      <c r="T82" s="362"/>
      <c r="U82" s="362"/>
      <c r="V82" s="362"/>
      <c r="W82" s="362"/>
      <c r="X82" s="362"/>
      <c r="Y82" s="362"/>
      <c r="Z82" s="362"/>
      <c r="AA82" s="560">
        <f t="shared" si="1"/>
        <v>9000000</v>
      </c>
    </row>
    <row r="83" spans="1:27" x14ac:dyDescent="0.25">
      <c r="A83" s="370"/>
      <c r="B83" s="370"/>
      <c r="C83" s="371"/>
      <c r="D83" s="372"/>
      <c r="E83" s="669"/>
      <c r="F83" s="669"/>
      <c r="G83" s="670">
        <v>43997</v>
      </c>
      <c r="H83" s="669">
        <v>800000</v>
      </c>
      <c r="I83" s="670">
        <v>43997</v>
      </c>
      <c r="J83" s="669">
        <v>1800000</v>
      </c>
      <c r="K83" s="364">
        <v>43997</v>
      </c>
      <c r="L83" s="560">
        <v>1000000</v>
      </c>
      <c r="M83" s="364"/>
      <c r="N83" s="362"/>
      <c r="O83" s="362"/>
      <c r="P83" s="362"/>
      <c r="Q83" s="362"/>
      <c r="R83" s="362"/>
      <c r="S83" s="362"/>
      <c r="T83" s="362"/>
      <c r="U83" s="362"/>
      <c r="V83" s="362"/>
      <c r="W83" s="362"/>
      <c r="X83" s="362"/>
      <c r="Y83" s="362"/>
      <c r="Z83" s="362"/>
      <c r="AA83" s="560">
        <f t="shared" si="1"/>
        <v>3600000</v>
      </c>
    </row>
    <row r="84" spans="1:27" x14ac:dyDescent="0.25">
      <c r="A84" s="370"/>
      <c r="B84" s="370"/>
      <c r="C84" s="725"/>
      <c r="D84" s="726"/>
      <c r="E84" s="727"/>
      <c r="F84" s="727"/>
      <c r="G84" s="728"/>
      <c r="H84" s="727"/>
      <c r="I84" s="728"/>
      <c r="J84" s="727"/>
      <c r="K84" s="729"/>
      <c r="L84" s="730"/>
      <c r="M84" s="729">
        <v>44025</v>
      </c>
      <c r="N84" s="730">
        <f>1000000+800000+200000+400000+400000+400000</f>
        <v>3200000</v>
      </c>
      <c r="O84" s="362"/>
      <c r="P84" s="362"/>
      <c r="Q84" s="362"/>
      <c r="R84" s="362"/>
      <c r="S84" s="362"/>
      <c r="T84" s="362"/>
      <c r="U84" s="362"/>
      <c r="V84" s="362"/>
      <c r="W84" s="362"/>
      <c r="X84" s="362"/>
      <c r="Y84" s="362"/>
      <c r="Z84" s="362"/>
      <c r="AA84" s="560">
        <f t="shared" si="1"/>
        <v>3200000</v>
      </c>
    </row>
    <row r="85" spans="1:27" s="565" customFormat="1" x14ac:dyDescent="0.25">
      <c r="A85" s="370"/>
      <c r="B85" s="370" t="s">
        <v>5952</v>
      </c>
      <c r="C85" s="731"/>
      <c r="D85" s="607"/>
      <c r="E85" s="669"/>
      <c r="F85" s="669"/>
      <c r="G85" s="670"/>
      <c r="H85" s="669"/>
      <c r="I85" s="670"/>
      <c r="J85" s="669"/>
      <c r="K85" s="566"/>
      <c r="L85" s="563"/>
      <c r="M85" s="672">
        <v>44123</v>
      </c>
      <c r="N85" s="673">
        <v>7500000</v>
      </c>
      <c r="O85" s="628" t="s">
        <v>5954</v>
      </c>
      <c r="P85" s="628"/>
      <c r="Q85" s="628"/>
      <c r="R85" s="628"/>
      <c r="S85" s="370"/>
      <c r="T85" s="370"/>
      <c r="U85" s="370"/>
      <c r="V85" s="370"/>
      <c r="W85" s="370"/>
      <c r="X85" s="370"/>
      <c r="Y85" s="370"/>
      <c r="Z85" s="370"/>
      <c r="AA85" s="560">
        <f t="shared" si="1"/>
        <v>7500000</v>
      </c>
    </row>
    <row r="86" spans="1:27" x14ac:dyDescent="0.25">
      <c r="A86" s="370"/>
      <c r="B86" s="370" t="s">
        <v>4001</v>
      </c>
      <c r="C86" s="371"/>
      <c r="D86" s="372"/>
      <c r="E86" s="371"/>
      <c r="F86" s="372"/>
      <c r="G86" s="371"/>
      <c r="H86" s="372"/>
      <c r="I86" s="371"/>
      <c r="J86" s="560"/>
      <c r="K86" s="364"/>
      <c r="L86" s="560"/>
      <c r="M86" s="364"/>
      <c r="N86" s="362"/>
      <c r="O86" s="362"/>
      <c r="P86" s="362"/>
      <c r="Q86" s="362"/>
      <c r="R86" s="362"/>
      <c r="S86" s="362"/>
      <c r="T86" s="362"/>
      <c r="U86" s="362"/>
      <c r="V86" s="362"/>
      <c r="W86" s="609">
        <v>44210</v>
      </c>
      <c r="X86" s="560">
        <v>679000</v>
      </c>
      <c r="Y86" s="609">
        <v>44292</v>
      </c>
      <c r="Z86" s="560">
        <v>250000</v>
      </c>
      <c r="AA86" s="560">
        <f t="shared" si="1"/>
        <v>929000</v>
      </c>
    </row>
    <row r="87" spans="1:27" x14ac:dyDescent="0.25">
      <c r="A87" s="370"/>
      <c r="B87" s="362" t="s">
        <v>4002</v>
      </c>
      <c r="C87" s="371">
        <v>43840</v>
      </c>
      <c r="D87" s="372">
        <v>5600000</v>
      </c>
      <c r="E87" s="371">
        <v>43874</v>
      </c>
      <c r="F87" s="372">
        <v>5600000</v>
      </c>
      <c r="G87" s="371">
        <v>43902</v>
      </c>
      <c r="H87" s="372">
        <v>5900000</v>
      </c>
      <c r="I87" s="371">
        <v>43931</v>
      </c>
      <c r="J87" s="560">
        <v>5900000</v>
      </c>
      <c r="K87" s="364">
        <v>43962</v>
      </c>
      <c r="L87" s="560">
        <v>5900000</v>
      </c>
      <c r="M87" s="364">
        <v>43992</v>
      </c>
      <c r="N87" s="560">
        <v>5900000</v>
      </c>
      <c r="O87" s="362"/>
      <c r="P87" s="362"/>
      <c r="Q87" s="362"/>
      <c r="R87" s="362"/>
      <c r="S87" s="362"/>
      <c r="T87" s="362"/>
      <c r="U87" s="362"/>
      <c r="V87" s="362"/>
      <c r="W87" s="362"/>
      <c r="X87" s="362"/>
      <c r="Y87" s="362"/>
      <c r="Z87" s="362"/>
      <c r="AA87" s="560">
        <f t="shared" si="1"/>
        <v>29243840</v>
      </c>
    </row>
    <row r="88" spans="1:27" x14ac:dyDescent="0.25">
      <c r="A88" s="370"/>
      <c r="B88" s="362" t="s">
        <v>5957</v>
      </c>
      <c r="C88" s="531" t="s">
        <v>5863</v>
      </c>
      <c r="D88" s="530"/>
      <c r="E88" s="371">
        <v>43889</v>
      </c>
      <c r="F88" s="372">
        <v>1786867</v>
      </c>
      <c r="G88" s="531" t="s">
        <v>5863</v>
      </c>
      <c r="H88" s="681"/>
      <c r="I88" s="577">
        <v>44056</v>
      </c>
      <c r="J88" s="673">
        <v>4989105</v>
      </c>
      <c r="K88" s="672"/>
      <c r="L88" s="673"/>
      <c r="M88" s="672"/>
      <c r="N88" s="628"/>
      <c r="O88" s="628"/>
      <c r="P88" s="362"/>
      <c r="Q88" s="678">
        <v>44120</v>
      </c>
      <c r="R88" s="673">
        <v>2988565</v>
      </c>
      <c r="S88" s="628"/>
      <c r="T88" s="628"/>
      <c r="U88" s="678">
        <v>44148</v>
      </c>
      <c r="V88" s="673">
        <v>1059234</v>
      </c>
      <c r="W88" s="585">
        <v>44182</v>
      </c>
      <c r="X88" s="562">
        <v>859444</v>
      </c>
      <c r="Y88" s="609">
        <v>44218</v>
      </c>
      <c r="Z88" s="560">
        <v>1615959</v>
      </c>
      <c r="AA88" s="560" t="e">
        <f t="shared" si="1"/>
        <v>#VALUE!</v>
      </c>
    </row>
    <row r="89" spans="1:27" x14ac:dyDescent="0.25">
      <c r="A89" s="370"/>
      <c r="B89" s="362" t="s">
        <v>5950</v>
      </c>
      <c r="C89" s="371">
        <v>43843</v>
      </c>
      <c r="D89" s="372">
        <v>1655000</v>
      </c>
      <c r="E89" s="371">
        <v>43873</v>
      </c>
      <c r="F89" s="372">
        <v>1652000</v>
      </c>
      <c r="G89" s="371">
        <v>43903</v>
      </c>
      <c r="H89" s="372">
        <v>1652000</v>
      </c>
      <c r="I89" s="371">
        <v>43941</v>
      </c>
      <c r="J89" s="560">
        <v>1650000</v>
      </c>
      <c r="K89" s="364">
        <v>43966</v>
      </c>
      <c r="L89" s="560">
        <v>1650000</v>
      </c>
      <c r="M89" s="364">
        <v>43997</v>
      </c>
      <c r="N89" s="560">
        <v>1650000</v>
      </c>
      <c r="O89" s="609">
        <v>44027</v>
      </c>
      <c r="P89" s="560">
        <v>1650000</v>
      </c>
      <c r="Q89" s="609">
        <v>44057</v>
      </c>
      <c r="R89" s="560">
        <v>1650000</v>
      </c>
      <c r="S89" s="609">
        <v>44089</v>
      </c>
      <c r="T89" s="560">
        <v>1650000</v>
      </c>
      <c r="U89" s="609">
        <v>44119</v>
      </c>
      <c r="V89" s="560">
        <v>1650000</v>
      </c>
      <c r="W89" s="609">
        <v>44148</v>
      </c>
      <c r="X89" s="560">
        <v>1650000</v>
      </c>
      <c r="Y89" s="609">
        <v>44180</v>
      </c>
      <c r="Z89" s="560">
        <v>1950000</v>
      </c>
      <c r="AA89" s="560">
        <f t="shared" si="1"/>
        <v>18497843</v>
      </c>
    </row>
    <row r="90" spans="1:27" x14ac:dyDescent="0.25">
      <c r="A90" s="370"/>
      <c r="B90" s="370" t="s">
        <v>5941</v>
      </c>
      <c r="C90" s="371"/>
      <c r="D90" s="372"/>
      <c r="E90" s="371"/>
      <c r="F90" s="372"/>
      <c r="G90" s="371"/>
      <c r="H90" s="372"/>
      <c r="I90" s="371"/>
      <c r="J90" s="560"/>
      <c r="K90" s="364"/>
      <c r="L90" s="560"/>
      <c r="M90" s="362"/>
      <c r="N90" s="362"/>
      <c r="O90" s="364"/>
      <c r="P90" s="560"/>
      <c r="Q90" s="609">
        <v>44061</v>
      </c>
      <c r="R90" s="560">
        <v>1656000</v>
      </c>
      <c r="S90" s="609">
        <v>44091</v>
      </c>
      <c r="T90" s="560">
        <v>1656000</v>
      </c>
      <c r="U90" s="609">
        <v>44123</v>
      </c>
      <c r="V90" s="560">
        <v>1656000</v>
      </c>
      <c r="W90" s="609">
        <v>44154</v>
      </c>
      <c r="X90" s="560">
        <v>1656000</v>
      </c>
      <c r="Y90" s="609">
        <v>44182</v>
      </c>
      <c r="Z90" s="362">
        <v>1656000</v>
      </c>
      <c r="AA90" s="560">
        <f t="shared" si="1"/>
        <v>8280000</v>
      </c>
    </row>
    <row r="91" spans="1:27" x14ac:dyDescent="0.25">
      <c r="A91" s="370"/>
      <c r="B91" s="370" t="s">
        <v>683</v>
      </c>
      <c r="C91" s="371">
        <v>43880</v>
      </c>
      <c r="D91" s="372">
        <v>1853358</v>
      </c>
      <c r="E91" s="371">
        <v>43903</v>
      </c>
      <c r="F91" s="372">
        <v>2248000</v>
      </c>
      <c r="G91" s="371">
        <v>43938</v>
      </c>
      <c r="H91" s="560">
        <v>2442346</v>
      </c>
      <c r="I91" s="371">
        <v>43964</v>
      </c>
      <c r="J91" s="560">
        <v>2433834</v>
      </c>
      <c r="K91" s="364">
        <v>43999</v>
      </c>
      <c r="L91" s="560">
        <v>2957723</v>
      </c>
      <c r="M91" s="364">
        <v>44028</v>
      </c>
      <c r="N91" s="560">
        <v>3121440</v>
      </c>
      <c r="O91" s="609">
        <v>44062</v>
      </c>
      <c r="P91" s="560">
        <v>3303169</v>
      </c>
      <c r="Q91" s="852">
        <v>44097</v>
      </c>
      <c r="R91" s="463">
        <v>2520579</v>
      </c>
      <c r="S91" s="609">
        <v>44127</v>
      </c>
      <c r="T91" s="560">
        <v>2136341</v>
      </c>
      <c r="U91" s="609">
        <v>44148</v>
      </c>
      <c r="V91" s="560">
        <v>2405700</v>
      </c>
      <c r="W91" s="609">
        <v>44183</v>
      </c>
      <c r="X91" s="560">
        <v>2254651</v>
      </c>
      <c r="Y91" s="609">
        <v>44216</v>
      </c>
      <c r="Z91" s="560">
        <v>2804248</v>
      </c>
      <c r="AA91" s="560">
        <f t="shared" si="1"/>
        <v>28671911</v>
      </c>
    </row>
    <row r="92" spans="1:27" x14ac:dyDescent="0.25">
      <c r="A92" s="370"/>
      <c r="B92" s="370" t="s">
        <v>3948</v>
      </c>
      <c r="C92" s="371">
        <v>43860</v>
      </c>
      <c r="D92" s="372">
        <v>35000000</v>
      </c>
      <c r="E92" s="371">
        <v>43888</v>
      </c>
      <c r="F92" s="372">
        <v>35000000</v>
      </c>
      <c r="G92" s="371">
        <v>43917</v>
      </c>
      <c r="H92" s="372">
        <v>35000000</v>
      </c>
      <c r="I92" s="371">
        <v>43948</v>
      </c>
      <c r="J92" s="560">
        <v>35000000</v>
      </c>
      <c r="K92" s="364">
        <v>43977</v>
      </c>
      <c r="L92" s="560">
        <v>35000000</v>
      </c>
      <c r="M92" s="364">
        <v>44011</v>
      </c>
      <c r="N92" s="560">
        <v>35000000</v>
      </c>
      <c r="O92" s="609">
        <v>44039</v>
      </c>
      <c r="P92" s="560">
        <v>35000000</v>
      </c>
      <c r="Q92" s="609">
        <v>44071</v>
      </c>
      <c r="R92" s="560">
        <v>35000000</v>
      </c>
      <c r="S92" s="609">
        <v>44105</v>
      </c>
      <c r="T92" s="560">
        <v>35000000</v>
      </c>
      <c r="U92" s="609">
        <v>44131</v>
      </c>
      <c r="V92" s="560">
        <v>35000000</v>
      </c>
      <c r="W92" s="609">
        <v>44162</v>
      </c>
      <c r="X92" s="560">
        <v>35000000</v>
      </c>
      <c r="Y92" s="609">
        <v>44195</v>
      </c>
      <c r="Z92" s="560">
        <v>35000000</v>
      </c>
      <c r="AA92" s="560">
        <f t="shared" si="1"/>
        <v>385043860</v>
      </c>
    </row>
    <row r="93" spans="1:27" x14ac:dyDescent="0.25">
      <c r="A93" s="370"/>
      <c r="B93" s="370" t="s">
        <v>5927</v>
      </c>
      <c r="C93" s="371"/>
      <c r="D93" s="372"/>
      <c r="E93" s="371"/>
      <c r="F93" s="372"/>
      <c r="G93" s="371"/>
      <c r="H93" s="372"/>
      <c r="I93" s="371"/>
      <c r="J93" s="560"/>
      <c r="K93" s="364"/>
      <c r="L93" s="560"/>
      <c r="M93" s="364"/>
      <c r="N93" s="560"/>
      <c r="O93" s="609">
        <v>44029</v>
      </c>
      <c r="P93" s="560">
        <v>7265169</v>
      </c>
      <c r="Q93" s="609">
        <v>44061</v>
      </c>
      <c r="R93" s="560">
        <v>7306370</v>
      </c>
      <c r="S93" s="609">
        <v>44091</v>
      </c>
      <c r="T93" s="560">
        <v>6347819</v>
      </c>
      <c r="U93" s="609">
        <v>44123</v>
      </c>
      <c r="V93" s="560">
        <v>7458667</v>
      </c>
      <c r="W93" s="609">
        <v>44153</v>
      </c>
      <c r="X93" s="560">
        <v>8112984</v>
      </c>
      <c r="Y93" s="609">
        <v>44182</v>
      </c>
      <c r="Z93" s="560">
        <v>8058585</v>
      </c>
      <c r="AA93" s="560">
        <f t="shared" si="1"/>
        <v>44549594</v>
      </c>
    </row>
    <row r="94" spans="1:27" x14ac:dyDescent="0.25">
      <c r="A94" s="370"/>
      <c r="B94" s="370" t="s">
        <v>5928</v>
      </c>
      <c r="C94" s="371"/>
      <c r="D94" s="372"/>
      <c r="E94" s="371"/>
      <c r="F94" s="372"/>
      <c r="G94" s="371"/>
      <c r="H94" s="372"/>
      <c r="I94" s="371"/>
      <c r="J94" s="560"/>
      <c r="K94" s="364"/>
      <c r="L94" s="560"/>
      <c r="M94" s="362"/>
      <c r="N94" s="362"/>
      <c r="O94" s="364">
        <v>44033</v>
      </c>
      <c r="P94" s="560">
        <v>9604313</v>
      </c>
      <c r="Q94" s="609">
        <v>44061</v>
      </c>
      <c r="R94" s="560">
        <v>7181721</v>
      </c>
      <c r="S94" s="609">
        <v>44091</v>
      </c>
      <c r="T94" s="560">
        <v>7217691</v>
      </c>
      <c r="U94" s="609">
        <v>44123</v>
      </c>
      <c r="V94" s="560">
        <v>7569768</v>
      </c>
      <c r="W94" s="609">
        <v>44153</v>
      </c>
      <c r="X94" s="560">
        <v>7731859</v>
      </c>
      <c r="Y94" s="609">
        <v>44182</v>
      </c>
      <c r="Z94" s="560">
        <v>7131417</v>
      </c>
      <c r="AA94" s="560">
        <f t="shared" si="1"/>
        <v>46436769</v>
      </c>
    </row>
    <row r="95" spans="1:27" x14ac:dyDescent="0.25">
      <c r="A95" s="370"/>
      <c r="B95" s="370" t="s">
        <v>5929</v>
      </c>
      <c r="C95" s="371"/>
      <c r="D95" s="372"/>
      <c r="E95" s="371"/>
      <c r="F95" s="372"/>
      <c r="G95" s="371"/>
      <c r="H95" s="372"/>
      <c r="I95" s="371"/>
      <c r="J95" s="560"/>
      <c r="K95" s="364"/>
      <c r="L95" s="560"/>
      <c r="M95" s="609">
        <v>44033</v>
      </c>
      <c r="N95" s="560">
        <v>1502640</v>
      </c>
      <c r="O95" s="609">
        <v>44091</v>
      </c>
      <c r="P95" s="560">
        <v>1466556</v>
      </c>
      <c r="Q95" s="609">
        <v>44123</v>
      </c>
      <c r="R95" s="560">
        <v>677077</v>
      </c>
      <c r="S95" s="609">
        <v>44160</v>
      </c>
      <c r="T95" s="560">
        <v>940959</v>
      </c>
      <c r="U95" s="609">
        <v>44182</v>
      </c>
      <c r="V95" s="560">
        <v>890970</v>
      </c>
      <c r="W95" s="609">
        <v>44217</v>
      </c>
      <c r="X95" s="560">
        <v>996457</v>
      </c>
      <c r="Y95" s="609">
        <v>44218</v>
      </c>
      <c r="Z95" s="560">
        <v>947218</v>
      </c>
      <c r="AA95" s="560">
        <f t="shared" si="1"/>
        <v>7421877</v>
      </c>
    </row>
    <row r="96" spans="1:27" x14ac:dyDescent="0.25">
      <c r="A96" s="370"/>
      <c r="B96" s="370" t="s">
        <v>5940</v>
      </c>
      <c r="C96" s="371"/>
      <c r="D96" s="372"/>
      <c r="E96" s="371"/>
      <c r="F96" s="372"/>
      <c r="G96" s="371"/>
      <c r="H96" s="372"/>
      <c r="I96" s="371"/>
      <c r="J96" s="560"/>
      <c r="K96" s="364"/>
      <c r="L96" s="560"/>
      <c r="M96" s="364">
        <v>44035</v>
      </c>
      <c r="N96" s="560"/>
      <c r="O96" s="609">
        <v>44083</v>
      </c>
      <c r="P96" s="560">
        <v>1286328</v>
      </c>
      <c r="Q96" s="609">
        <v>44091</v>
      </c>
      <c r="R96" s="560">
        <v>1274410</v>
      </c>
      <c r="S96" s="609">
        <v>44127</v>
      </c>
      <c r="T96" s="560">
        <v>1236681</v>
      </c>
      <c r="U96" s="609">
        <v>44160</v>
      </c>
      <c r="V96" s="560">
        <v>1457827</v>
      </c>
      <c r="W96" s="609">
        <v>44188</v>
      </c>
      <c r="X96" s="560">
        <v>1632063</v>
      </c>
      <c r="Y96" s="609">
        <v>44217</v>
      </c>
      <c r="Z96" s="560">
        <v>1106108</v>
      </c>
      <c r="AA96" s="560">
        <f t="shared" si="1"/>
        <v>7993417</v>
      </c>
    </row>
    <row r="97" spans="1:27" x14ac:dyDescent="0.25">
      <c r="A97" s="370"/>
      <c r="B97" s="370" t="s">
        <v>5930</v>
      </c>
      <c r="C97" s="371"/>
      <c r="D97" s="372"/>
      <c r="E97" s="371"/>
      <c r="F97" s="372"/>
      <c r="G97" s="371"/>
      <c r="H97" s="372"/>
      <c r="I97" s="371"/>
      <c r="J97" s="560"/>
      <c r="K97" s="364"/>
      <c r="L97" s="560"/>
      <c r="M97" s="362"/>
      <c r="N97" s="362"/>
      <c r="O97" s="364">
        <v>44033</v>
      </c>
      <c r="P97" s="560">
        <v>3575850</v>
      </c>
      <c r="Q97" s="609">
        <v>44061</v>
      </c>
      <c r="R97" s="560">
        <v>3635350</v>
      </c>
      <c r="S97" s="609">
        <v>44091</v>
      </c>
      <c r="T97" s="560">
        <v>3605600</v>
      </c>
      <c r="U97" s="609">
        <v>44123</v>
      </c>
      <c r="V97" s="560">
        <v>3685800</v>
      </c>
      <c r="W97" s="609">
        <v>44160</v>
      </c>
      <c r="X97" s="560">
        <v>3569900</v>
      </c>
      <c r="Y97" s="609">
        <v>44188</v>
      </c>
      <c r="Z97" s="560">
        <v>3768600</v>
      </c>
      <c r="AA97" s="560">
        <f t="shared" si="1"/>
        <v>21841100</v>
      </c>
    </row>
    <row r="98" spans="1:27" x14ac:dyDescent="0.25">
      <c r="A98" s="370"/>
      <c r="B98" s="362" t="s">
        <v>3131</v>
      </c>
      <c r="C98" s="364">
        <v>44070</v>
      </c>
      <c r="D98" s="560">
        <v>400000000</v>
      </c>
      <c r="E98" s="609">
        <v>44144</v>
      </c>
      <c r="F98" s="560">
        <v>400000000</v>
      </c>
      <c r="G98" s="371">
        <v>44208</v>
      </c>
      <c r="H98" s="372">
        <v>200000000</v>
      </c>
      <c r="I98" s="371">
        <v>44284</v>
      </c>
      <c r="J98" s="560">
        <v>400000000</v>
      </c>
      <c r="K98" s="364">
        <v>44333</v>
      </c>
      <c r="L98" s="560">
        <v>200000000</v>
      </c>
      <c r="M98" s="364">
        <v>44335</v>
      </c>
      <c r="N98" s="560">
        <v>200000000</v>
      </c>
      <c r="O98" s="609">
        <v>44337</v>
      </c>
      <c r="P98" s="560">
        <v>200000000</v>
      </c>
      <c r="Q98" s="609">
        <v>44341</v>
      </c>
      <c r="R98" s="560">
        <v>200000000</v>
      </c>
      <c r="S98" s="609">
        <v>44344</v>
      </c>
      <c r="T98" s="560">
        <v>200000000</v>
      </c>
      <c r="U98" s="609">
        <v>44349</v>
      </c>
      <c r="V98" s="560">
        <v>200000000</v>
      </c>
      <c r="W98" s="609">
        <v>44356</v>
      </c>
      <c r="X98" s="560">
        <v>200000000</v>
      </c>
      <c r="Y98" s="609">
        <v>44358</v>
      </c>
      <c r="Z98" s="560">
        <v>200000000</v>
      </c>
      <c r="AA98" s="560">
        <f t="shared" si="1"/>
        <v>2600044070</v>
      </c>
    </row>
    <row r="99" spans="1:27" x14ac:dyDescent="0.25">
      <c r="A99" s="370"/>
      <c r="B99" s="362"/>
      <c r="C99" s="364">
        <v>44071</v>
      </c>
      <c r="D99" s="560">
        <v>64038919</v>
      </c>
      <c r="E99" s="609">
        <v>44145</v>
      </c>
      <c r="F99" s="560">
        <v>69169894</v>
      </c>
      <c r="G99" s="371">
        <v>44209</v>
      </c>
      <c r="H99" s="372">
        <v>239696423</v>
      </c>
      <c r="I99" s="371">
        <v>44285</v>
      </c>
      <c r="J99" s="560">
        <v>138666850</v>
      </c>
      <c r="K99" s="364">
        <v>44334</v>
      </c>
      <c r="L99" s="560">
        <v>201634768</v>
      </c>
      <c r="M99" s="364">
        <v>44336</v>
      </c>
      <c r="N99" s="560">
        <v>211419459</v>
      </c>
      <c r="O99" s="609">
        <v>44340</v>
      </c>
      <c r="P99" s="560">
        <v>305574537</v>
      </c>
      <c r="Q99" s="609">
        <v>44343</v>
      </c>
      <c r="R99" s="560">
        <v>225008135</v>
      </c>
      <c r="S99" s="609">
        <v>44347</v>
      </c>
      <c r="T99" s="560">
        <v>211968542</v>
      </c>
      <c r="U99" s="609">
        <v>44350</v>
      </c>
      <c r="V99" s="560">
        <v>298014347</v>
      </c>
      <c r="W99" s="609">
        <v>44357</v>
      </c>
      <c r="X99" s="560">
        <v>223859353</v>
      </c>
      <c r="Y99" s="609">
        <v>44361</v>
      </c>
      <c r="Z99" s="560">
        <v>310944619</v>
      </c>
      <c r="AA99" s="560">
        <f t="shared" si="1"/>
        <v>2436000998</v>
      </c>
    </row>
    <row r="100" spans="1:27" x14ac:dyDescent="0.25">
      <c r="A100" s="370"/>
      <c r="B100" s="362" t="s">
        <v>3953</v>
      </c>
      <c r="C100" s="371">
        <v>43859</v>
      </c>
      <c r="D100" s="372">
        <f>5180716+7087000</f>
        <v>12267716</v>
      </c>
      <c r="E100" s="371">
        <v>43887</v>
      </c>
      <c r="F100" s="372">
        <f>9394500</f>
        <v>9394500</v>
      </c>
      <c r="G100" s="371">
        <v>43914</v>
      </c>
      <c r="H100" s="372">
        <v>4693333</v>
      </c>
      <c r="I100" s="371">
        <v>43948</v>
      </c>
      <c r="J100" s="560">
        <v>7161500</v>
      </c>
      <c r="K100" s="364">
        <v>43978</v>
      </c>
      <c r="L100" s="560">
        <v>4963333</v>
      </c>
      <c r="M100" s="364"/>
      <c r="N100" s="362"/>
      <c r="O100" s="609">
        <v>44040</v>
      </c>
      <c r="P100" s="560">
        <v>4095000</v>
      </c>
      <c r="Q100" s="362"/>
      <c r="R100" s="362"/>
      <c r="S100" s="609">
        <v>44103</v>
      </c>
      <c r="T100" s="560">
        <v>3681000</v>
      </c>
      <c r="U100" s="609">
        <v>44131</v>
      </c>
      <c r="V100" s="560">
        <v>3070000</v>
      </c>
      <c r="W100" s="609">
        <v>44161</v>
      </c>
      <c r="X100" s="560">
        <v>3130000</v>
      </c>
      <c r="Y100" s="362"/>
      <c r="Z100" s="362"/>
      <c r="AA100" s="560">
        <f t="shared" si="1"/>
        <v>40232525</v>
      </c>
    </row>
    <row r="101" spans="1:27" x14ac:dyDescent="0.25">
      <c r="A101" s="362"/>
      <c r="B101" s="362"/>
      <c r="C101" s="362"/>
      <c r="D101" s="362"/>
      <c r="E101" s="371">
        <v>43886</v>
      </c>
      <c r="F101" s="372">
        <f>4893200</f>
        <v>4893200</v>
      </c>
      <c r="G101" s="371">
        <v>43916</v>
      </c>
      <c r="H101" s="372">
        <v>6897000</v>
      </c>
      <c r="I101" s="371">
        <v>43949</v>
      </c>
      <c r="J101" s="560">
        <v>4903333</v>
      </c>
      <c r="K101" s="364"/>
      <c r="L101" s="560"/>
      <c r="M101" s="364"/>
      <c r="N101" s="362" t="s">
        <v>18</v>
      </c>
      <c r="O101" s="362"/>
      <c r="P101" s="362"/>
      <c r="Q101" s="362"/>
      <c r="R101" s="362"/>
      <c r="S101" s="362"/>
      <c r="T101" s="362"/>
      <c r="U101" s="362"/>
      <c r="V101" s="362"/>
      <c r="W101" s="362"/>
      <c r="X101" s="362"/>
      <c r="Y101" s="362"/>
      <c r="Z101" s="362"/>
      <c r="AA101" s="560" t="e">
        <f t="shared" si="1"/>
        <v>#VALUE!</v>
      </c>
    </row>
    <row r="102" spans="1:27" x14ac:dyDescent="0.25">
      <c r="A102" s="362"/>
      <c r="B102" s="362" t="s">
        <v>3954</v>
      </c>
      <c r="C102" s="371">
        <v>43859</v>
      </c>
      <c r="D102" s="372">
        <f>6399200+2998304+2380000+1602640+405600</f>
        <v>13785744</v>
      </c>
      <c r="E102" s="371">
        <v>43885</v>
      </c>
      <c r="F102" s="372">
        <f>2378415+3897796</f>
        <v>6276211</v>
      </c>
      <c r="G102" s="371">
        <v>43914</v>
      </c>
      <c r="H102" s="372">
        <v>1826880</v>
      </c>
      <c r="I102" s="371">
        <v>43948</v>
      </c>
      <c r="J102" s="560"/>
      <c r="K102" s="364"/>
      <c r="L102" s="560"/>
      <c r="M102" s="364">
        <v>44008</v>
      </c>
      <c r="N102" s="560">
        <v>1649800</v>
      </c>
      <c r="O102" s="609">
        <v>44039</v>
      </c>
      <c r="P102" s="560">
        <v>3850000</v>
      </c>
      <c r="Q102" s="362"/>
      <c r="R102" s="362"/>
      <c r="S102" s="362"/>
      <c r="T102" s="362"/>
      <c r="U102" s="609">
        <v>44130</v>
      </c>
      <c r="V102" s="560">
        <f>1848000+1520400</f>
        <v>3368400</v>
      </c>
      <c r="W102" s="609">
        <v>44161</v>
      </c>
      <c r="X102" s="560">
        <v>1718880</v>
      </c>
      <c r="Y102" s="362"/>
      <c r="Z102" s="362"/>
      <c r="AA102" s="560">
        <f t="shared" si="1"/>
        <v>18734030</v>
      </c>
    </row>
    <row r="103" spans="1:27" x14ac:dyDescent="0.25">
      <c r="A103" s="362"/>
      <c r="B103" s="362"/>
      <c r="C103" s="362"/>
      <c r="D103" s="362"/>
      <c r="E103" s="371">
        <v>43886</v>
      </c>
      <c r="F103" s="372">
        <f>4893200+1826880</f>
        <v>6720080</v>
      </c>
      <c r="G103" s="371">
        <v>43916</v>
      </c>
      <c r="H103" s="372">
        <v>5118640</v>
      </c>
      <c r="I103" s="371">
        <v>43949</v>
      </c>
      <c r="J103" s="560">
        <v>3674362</v>
      </c>
      <c r="K103" s="364"/>
      <c r="L103" s="560"/>
      <c r="M103" s="364"/>
      <c r="N103" s="362"/>
      <c r="O103" s="362"/>
      <c r="P103" s="362"/>
      <c r="Q103" s="362"/>
      <c r="R103" s="362"/>
      <c r="S103" s="362"/>
      <c r="T103" s="362"/>
      <c r="U103" s="362"/>
      <c r="V103" s="362"/>
      <c r="W103" s="362"/>
      <c r="X103" s="362"/>
      <c r="Y103" s="362"/>
      <c r="Z103" s="362"/>
      <c r="AA103" s="560">
        <f t="shared" si="1"/>
        <v>15513082</v>
      </c>
    </row>
    <row r="104" spans="1:27" x14ac:dyDescent="0.25">
      <c r="A104" s="362"/>
      <c r="B104" s="362" t="s">
        <v>4312</v>
      </c>
      <c r="C104" s="371"/>
      <c r="D104" s="362"/>
      <c r="E104" s="362"/>
      <c r="F104" s="362"/>
      <c r="G104" s="371">
        <v>43928</v>
      </c>
      <c r="H104" s="560">
        <v>200000</v>
      </c>
      <c r="I104" s="371">
        <v>43928</v>
      </c>
      <c r="J104" s="560">
        <v>300000</v>
      </c>
      <c r="K104" s="364">
        <v>43966</v>
      </c>
      <c r="L104" s="560">
        <v>300000</v>
      </c>
      <c r="M104" s="364">
        <v>43988</v>
      </c>
      <c r="N104" s="560">
        <v>300000</v>
      </c>
      <c r="O104" s="609">
        <v>44015</v>
      </c>
      <c r="P104" s="560">
        <v>300000</v>
      </c>
      <c r="Q104" s="609">
        <v>44055</v>
      </c>
      <c r="R104" s="560">
        <v>200000</v>
      </c>
      <c r="S104" s="362"/>
      <c r="T104" s="362"/>
      <c r="U104" s="362"/>
      <c r="V104" s="362"/>
      <c r="W104" s="362"/>
      <c r="X104" s="362"/>
      <c r="Y104" s="362"/>
      <c r="Z104" s="362"/>
      <c r="AA104" s="560">
        <f t="shared" si="1"/>
        <v>1600000</v>
      </c>
    </row>
    <row r="105" spans="1:27" x14ac:dyDescent="0.25">
      <c r="A105" s="362"/>
      <c r="B105" s="362"/>
      <c r="C105" s="371"/>
      <c r="D105" s="362"/>
      <c r="E105" s="362"/>
      <c r="F105" s="362"/>
      <c r="G105" s="371"/>
      <c r="H105" s="560"/>
      <c r="I105" s="371">
        <v>43929</v>
      </c>
      <c r="J105" s="560">
        <v>200000</v>
      </c>
      <c r="K105" s="364">
        <v>43966</v>
      </c>
      <c r="L105" s="560">
        <v>200000</v>
      </c>
      <c r="M105" s="364">
        <v>43994</v>
      </c>
      <c r="N105" s="560">
        <v>300000</v>
      </c>
      <c r="O105" s="609">
        <v>44016</v>
      </c>
      <c r="P105" s="560">
        <v>300000</v>
      </c>
      <c r="Q105" s="609">
        <v>44055</v>
      </c>
      <c r="R105" s="560">
        <v>300000</v>
      </c>
      <c r="S105" s="362"/>
      <c r="T105" s="362"/>
      <c r="U105" s="362"/>
      <c r="V105" s="362"/>
      <c r="W105" s="362"/>
      <c r="X105" s="362"/>
      <c r="Y105" s="362"/>
      <c r="Z105" s="362"/>
      <c r="AA105" s="560">
        <f t="shared" si="1"/>
        <v>1300000</v>
      </c>
    </row>
    <row r="106" spans="1:27" x14ac:dyDescent="0.25">
      <c r="A106" s="362"/>
      <c r="B106" s="362"/>
      <c r="C106" s="371"/>
      <c r="D106" s="362"/>
      <c r="E106" s="362"/>
      <c r="F106" s="362"/>
      <c r="G106" s="371"/>
      <c r="H106" s="560"/>
      <c r="I106" s="371">
        <v>43938</v>
      </c>
      <c r="J106" s="560">
        <v>300000</v>
      </c>
      <c r="K106" s="364">
        <v>43970</v>
      </c>
      <c r="L106" s="560">
        <v>300000</v>
      </c>
      <c r="M106" s="364">
        <v>43999</v>
      </c>
      <c r="N106" s="560">
        <v>300000</v>
      </c>
      <c r="O106" s="609">
        <v>44022</v>
      </c>
      <c r="P106" s="560">
        <v>200000</v>
      </c>
      <c r="Q106" s="609">
        <v>44061</v>
      </c>
      <c r="R106" s="560">
        <v>300000</v>
      </c>
      <c r="S106" s="362"/>
      <c r="T106" s="362"/>
      <c r="U106" s="362"/>
      <c r="V106" s="362"/>
      <c r="W106" s="362"/>
      <c r="X106" s="362"/>
      <c r="Y106" s="362"/>
      <c r="Z106" s="362"/>
      <c r="AA106" s="560">
        <f t="shared" si="1"/>
        <v>1400000</v>
      </c>
    </row>
    <row r="107" spans="1:27" x14ac:dyDescent="0.25">
      <c r="A107" s="362"/>
      <c r="B107" s="362"/>
      <c r="C107" s="371"/>
      <c r="D107" s="362"/>
      <c r="E107" s="362"/>
      <c r="F107" s="362"/>
      <c r="G107" s="371"/>
      <c r="H107" s="560"/>
      <c r="I107" s="371"/>
      <c r="J107" s="560"/>
      <c r="K107" s="364">
        <v>43972</v>
      </c>
      <c r="L107" s="560">
        <v>300000</v>
      </c>
      <c r="M107" s="364">
        <v>44014</v>
      </c>
      <c r="N107" s="560">
        <v>200000</v>
      </c>
      <c r="O107" s="609">
        <v>44050</v>
      </c>
      <c r="P107" s="560">
        <v>50000</v>
      </c>
      <c r="Q107" s="609">
        <v>44084</v>
      </c>
      <c r="R107" s="560">
        <v>50000</v>
      </c>
      <c r="S107" s="362"/>
      <c r="T107" s="362"/>
      <c r="U107" s="362"/>
      <c r="V107" s="362"/>
      <c r="W107" s="362"/>
      <c r="X107" s="362"/>
      <c r="Y107" s="362"/>
      <c r="Z107" s="362"/>
      <c r="AA107" s="560">
        <f t="shared" si="1"/>
        <v>600000</v>
      </c>
    </row>
    <row r="108" spans="1:27" x14ac:dyDescent="0.25">
      <c r="A108" s="362"/>
      <c r="B108" s="362"/>
      <c r="C108" s="371"/>
      <c r="D108" s="362"/>
      <c r="E108" s="362"/>
      <c r="F108" s="362"/>
      <c r="G108" s="531">
        <v>43999</v>
      </c>
      <c r="H108" s="562">
        <v>150000</v>
      </c>
      <c r="I108" s="531"/>
      <c r="J108" s="562"/>
      <c r="K108" s="530"/>
      <c r="L108" s="530"/>
      <c r="M108" s="364">
        <v>44021</v>
      </c>
      <c r="N108" s="563">
        <v>50000</v>
      </c>
      <c r="O108" s="362"/>
      <c r="P108" s="560"/>
      <c r="Q108" s="362"/>
      <c r="R108" s="560"/>
      <c r="S108" s="362"/>
      <c r="T108" s="362"/>
      <c r="U108" s="362"/>
      <c r="V108" s="362"/>
      <c r="W108" s="362"/>
      <c r="X108" s="362"/>
      <c r="Y108" s="362"/>
      <c r="Z108" s="362"/>
      <c r="AA108" s="560">
        <f t="shared" si="1"/>
        <v>200000</v>
      </c>
    </row>
    <row r="109" spans="1:27" x14ac:dyDescent="0.25">
      <c r="A109" s="362"/>
      <c r="B109" s="362" t="s">
        <v>5951</v>
      </c>
      <c r="C109" s="371"/>
      <c r="D109" s="362"/>
      <c r="E109" s="362"/>
      <c r="F109" s="362"/>
      <c r="G109" s="731"/>
      <c r="H109" s="563"/>
      <c r="I109" s="731"/>
      <c r="J109" s="563"/>
      <c r="K109" s="370"/>
      <c r="L109" s="370"/>
      <c r="M109" s="364"/>
      <c r="N109" s="563"/>
      <c r="O109" s="362"/>
      <c r="P109" s="560"/>
      <c r="Q109" s="362"/>
      <c r="R109" s="560"/>
      <c r="S109" s="362"/>
      <c r="T109" s="362"/>
      <c r="U109" s="609">
        <v>44120</v>
      </c>
      <c r="V109" s="560">
        <v>4858750</v>
      </c>
      <c r="W109" s="609">
        <v>44154</v>
      </c>
      <c r="X109" s="560">
        <v>4887500</v>
      </c>
      <c r="Y109" s="609">
        <v>44180</v>
      </c>
      <c r="Z109" s="560">
        <f>25776000+4312500</f>
        <v>30088500</v>
      </c>
      <c r="AA109" s="560">
        <f t="shared" si="1"/>
        <v>39834750</v>
      </c>
    </row>
    <row r="110" spans="1:27" x14ac:dyDescent="0.25">
      <c r="A110" s="362"/>
      <c r="B110" s="362"/>
      <c r="C110" s="371"/>
      <c r="D110" s="362"/>
      <c r="E110" s="362"/>
      <c r="F110" s="362"/>
      <c r="G110" s="731"/>
      <c r="H110" s="563"/>
      <c r="I110" s="731"/>
      <c r="J110" s="563"/>
      <c r="K110" s="370"/>
      <c r="L110" s="370"/>
      <c r="M110" s="364"/>
      <c r="N110" s="563"/>
      <c r="O110" s="362"/>
      <c r="P110" s="560"/>
      <c r="Q110" s="362"/>
      <c r="R110" s="560"/>
      <c r="S110" s="362"/>
      <c r="T110" s="362"/>
      <c r="U110" s="609">
        <v>44120</v>
      </c>
      <c r="V110" s="560">
        <v>25513000</v>
      </c>
      <c r="W110" s="609">
        <v>44154</v>
      </c>
      <c r="X110" s="560">
        <v>25244000</v>
      </c>
      <c r="Y110" s="362"/>
      <c r="Z110" s="362"/>
      <c r="AA110" s="560">
        <f t="shared" si="1"/>
        <v>50757000</v>
      </c>
    </row>
    <row r="111" spans="1:27" x14ac:dyDescent="0.25">
      <c r="A111" s="362"/>
      <c r="B111" s="362"/>
      <c r="C111" s="371"/>
      <c r="D111" s="362"/>
      <c r="E111" s="362"/>
      <c r="F111" s="362"/>
      <c r="G111" s="731"/>
      <c r="H111" s="563"/>
      <c r="I111" s="731"/>
      <c r="J111" s="563"/>
      <c r="K111" s="370"/>
      <c r="L111" s="370"/>
      <c r="M111" s="364"/>
      <c r="N111" s="563"/>
      <c r="O111" s="362"/>
      <c r="P111" s="560"/>
      <c r="Q111" s="362"/>
      <c r="R111" s="560"/>
      <c r="S111" s="362"/>
      <c r="T111" s="362"/>
      <c r="U111" s="362"/>
      <c r="V111" s="362"/>
      <c r="W111" s="362"/>
      <c r="X111" s="362"/>
      <c r="Y111" s="362"/>
      <c r="Z111" s="362"/>
      <c r="AA111" s="560">
        <f t="shared" si="1"/>
        <v>0</v>
      </c>
    </row>
    <row r="112" spans="1:27" x14ac:dyDescent="0.25">
      <c r="A112" s="362"/>
      <c r="B112" s="362"/>
      <c r="C112" s="371"/>
      <c r="D112" s="362"/>
      <c r="E112" s="362"/>
      <c r="F112" s="362"/>
      <c r="G112" s="731"/>
      <c r="H112" s="563"/>
      <c r="I112" s="731"/>
      <c r="J112" s="563"/>
      <c r="K112" s="370"/>
      <c r="L112" s="370"/>
      <c r="M112" s="364"/>
      <c r="N112" s="563"/>
      <c r="O112" s="362"/>
      <c r="P112" s="560"/>
      <c r="Q112" s="362"/>
      <c r="R112" s="560"/>
      <c r="S112" s="362"/>
      <c r="T112" s="362"/>
      <c r="U112" s="362"/>
      <c r="V112" s="362"/>
      <c r="W112" s="362"/>
      <c r="X112" s="362"/>
      <c r="Y112" s="362"/>
      <c r="Z112" s="362"/>
      <c r="AA112" s="362"/>
    </row>
    <row r="113" spans="1:27" x14ac:dyDescent="0.25">
      <c r="A113" s="362"/>
      <c r="B113" s="362"/>
      <c r="C113" s="371"/>
      <c r="D113" s="362"/>
      <c r="E113" s="362"/>
      <c r="F113" s="362"/>
      <c r="G113" s="731"/>
      <c r="H113" s="563"/>
      <c r="I113" s="731"/>
      <c r="J113" s="563"/>
      <c r="K113" s="370"/>
      <c r="L113" s="370"/>
      <c r="M113" s="364"/>
      <c r="N113" s="563"/>
      <c r="O113" s="362"/>
      <c r="P113" s="560"/>
      <c r="Q113" s="362"/>
      <c r="R113" s="560"/>
      <c r="S113" s="362"/>
      <c r="T113" s="362"/>
      <c r="U113" s="362"/>
      <c r="V113" s="362"/>
      <c r="W113" s="362"/>
      <c r="X113" s="362"/>
      <c r="Y113" s="362"/>
      <c r="Z113" s="362"/>
      <c r="AA113" s="362"/>
    </row>
    <row r="114" spans="1:27" x14ac:dyDescent="0.25">
      <c r="A114" s="349"/>
      <c r="B114" s="349"/>
      <c r="C114" s="851"/>
      <c r="D114" s="349"/>
      <c r="E114" s="349"/>
      <c r="F114" s="349"/>
      <c r="G114" s="868"/>
      <c r="H114" s="866"/>
      <c r="I114" s="868"/>
      <c r="J114" s="866"/>
      <c r="K114" s="867"/>
      <c r="L114" s="867"/>
      <c r="M114" s="865"/>
      <c r="N114" s="866"/>
      <c r="O114" s="349"/>
      <c r="P114" s="350"/>
      <c r="Q114" s="349"/>
      <c r="R114" s="350"/>
      <c r="S114" s="349"/>
      <c r="T114" s="349"/>
      <c r="U114" s="349"/>
      <c r="V114" s="349"/>
      <c r="W114" s="349"/>
      <c r="X114" s="349"/>
      <c r="Y114" s="349"/>
      <c r="Z114" s="349"/>
      <c r="AA114" s="349"/>
    </row>
    <row r="115" spans="1:27" x14ac:dyDescent="0.25">
      <c r="C115" s="348"/>
      <c r="G115" s="348"/>
      <c r="P115" s="463"/>
      <c r="R115" s="463"/>
    </row>
    <row r="116" spans="1:27" x14ac:dyDescent="0.25">
      <c r="C116" s="348"/>
      <c r="G116" s="348"/>
    </row>
    <row r="117" spans="1:27" x14ac:dyDescent="0.25">
      <c r="A117" s="304" t="s">
        <v>4000</v>
      </c>
      <c r="B117" s="304"/>
      <c r="C117" s="304"/>
      <c r="D117" s="304"/>
    </row>
    <row r="119" spans="1:27" x14ac:dyDescent="0.25">
      <c r="A119" s="1597" t="s">
        <v>131</v>
      </c>
      <c r="B119" s="1597" t="s">
        <v>3436</v>
      </c>
      <c r="C119" s="1598" t="s">
        <v>3443</v>
      </c>
      <c r="D119" s="1598"/>
      <c r="E119" s="1598"/>
      <c r="F119" s="1598"/>
      <c r="G119" s="1598"/>
      <c r="H119" s="1598"/>
      <c r="I119" s="1598"/>
      <c r="J119" s="1598"/>
      <c r="K119" s="1598"/>
      <c r="L119" s="1598"/>
      <c r="M119" s="1598"/>
      <c r="N119" s="1598"/>
      <c r="O119" s="1598"/>
      <c r="P119" s="1598"/>
      <c r="Q119" s="1598"/>
      <c r="R119" s="1598"/>
      <c r="S119" s="1598"/>
      <c r="T119" s="1598"/>
      <c r="U119" s="1598"/>
      <c r="V119" s="1598"/>
      <c r="W119" s="1598"/>
      <c r="X119" s="1598"/>
      <c r="Y119" s="1598"/>
      <c r="Z119" s="1598"/>
      <c r="AA119" s="1599" t="s">
        <v>24</v>
      </c>
    </row>
    <row r="120" spans="1:27" x14ac:dyDescent="0.25">
      <c r="A120" s="1661"/>
      <c r="B120" s="1661"/>
      <c r="C120" s="606" t="s">
        <v>3456</v>
      </c>
      <c r="D120" s="606" t="s">
        <v>3444</v>
      </c>
      <c r="E120" s="606" t="s">
        <v>3445</v>
      </c>
      <c r="F120" s="606" t="s">
        <v>3444</v>
      </c>
      <c r="G120" s="606" t="s">
        <v>3446</v>
      </c>
      <c r="H120" s="606" t="s">
        <v>3444</v>
      </c>
      <c r="I120" s="606" t="s">
        <v>3447</v>
      </c>
      <c r="J120" s="606" t="s">
        <v>3444</v>
      </c>
      <c r="K120" s="606" t="s">
        <v>3448</v>
      </c>
      <c r="L120" s="606" t="s">
        <v>3444</v>
      </c>
      <c r="M120" s="606" t="s">
        <v>3449</v>
      </c>
      <c r="N120" s="606" t="s">
        <v>3444</v>
      </c>
      <c r="O120" s="606" t="s">
        <v>3450</v>
      </c>
      <c r="P120" s="606" t="s">
        <v>3444</v>
      </c>
      <c r="Q120" s="606" t="s">
        <v>3451</v>
      </c>
      <c r="R120" s="606" t="s">
        <v>3444</v>
      </c>
      <c r="S120" s="606" t="s">
        <v>3452</v>
      </c>
      <c r="T120" s="606" t="s">
        <v>3444</v>
      </c>
      <c r="U120" s="606" t="s">
        <v>3453</v>
      </c>
      <c r="V120" s="606" t="s">
        <v>3444</v>
      </c>
      <c r="W120" s="606" t="s">
        <v>3454</v>
      </c>
      <c r="X120" s="606" t="s">
        <v>3444</v>
      </c>
      <c r="Y120" s="606" t="s">
        <v>3455</v>
      </c>
      <c r="Z120" s="606" t="s">
        <v>3444</v>
      </c>
      <c r="AA120" s="1599"/>
    </row>
    <row r="121" spans="1:27" x14ac:dyDescent="0.25">
      <c r="A121" s="362">
        <v>1</v>
      </c>
      <c r="B121" s="362" t="s">
        <v>3437</v>
      </c>
      <c r="C121" s="371"/>
      <c r="D121" s="372"/>
      <c r="E121" s="371"/>
      <c r="F121" s="372"/>
      <c r="G121" s="371"/>
      <c r="H121" s="372"/>
      <c r="I121" s="362"/>
      <c r="J121" s="362"/>
      <c r="K121" s="362"/>
      <c r="L121" s="362"/>
      <c r="M121" s="362"/>
      <c r="N121" s="362"/>
      <c r="O121" s="362"/>
      <c r="P121" s="362"/>
      <c r="Q121" s="362"/>
      <c r="R121" s="362"/>
      <c r="S121" s="362"/>
      <c r="T121" s="362"/>
      <c r="U121" s="362"/>
      <c r="V121" s="362"/>
      <c r="W121" s="362"/>
      <c r="X121" s="362"/>
      <c r="Y121" s="362"/>
      <c r="Z121" s="362"/>
      <c r="AA121" s="362">
        <f t="shared" ref="AA121:AA143" si="2">Z121+X121+V121+T121+R121+P121+N121+L121+J121+H121+F121+C121</f>
        <v>0</v>
      </c>
    </row>
    <row r="122" spans="1:27" x14ac:dyDescent="0.25">
      <c r="A122" s="362">
        <v>2</v>
      </c>
      <c r="B122" s="362" t="s">
        <v>3438</v>
      </c>
      <c r="C122" s="371"/>
      <c r="D122" s="372"/>
      <c r="E122" s="371"/>
      <c r="F122" s="372"/>
      <c r="G122" s="371"/>
      <c r="H122" s="372"/>
      <c r="I122" s="362"/>
      <c r="J122" s="362"/>
      <c r="K122" s="362"/>
      <c r="L122" s="362"/>
      <c r="M122" s="362"/>
      <c r="N122" s="362"/>
      <c r="O122" s="362"/>
      <c r="P122" s="362"/>
      <c r="Q122" s="362"/>
      <c r="R122" s="362"/>
      <c r="S122" s="362"/>
      <c r="T122" s="362"/>
      <c r="U122" s="362"/>
      <c r="V122" s="362"/>
      <c r="W122" s="362"/>
      <c r="X122" s="362"/>
      <c r="Y122" s="362"/>
      <c r="Z122" s="362"/>
      <c r="AA122" s="362">
        <f t="shared" si="2"/>
        <v>0</v>
      </c>
    </row>
    <row r="123" spans="1:27" x14ac:dyDescent="0.25">
      <c r="A123" s="362">
        <v>3</v>
      </c>
      <c r="B123" s="362" t="s">
        <v>3439</v>
      </c>
      <c r="C123" s="371"/>
      <c r="D123" s="372"/>
      <c r="E123" s="371"/>
      <c r="F123" s="372"/>
      <c r="G123" s="371"/>
      <c r="H123" s="372"/>
      <c r="I123" s="362"/>
      <c r="J123" s="362"/>
      <c r="K123" s="362"/>
      <c r="L123" s="362"/>
      <c r="M123" s="362"/>
      <c r="N123" s="362"/>
      <c r="O123" s="362"/>
      <c r="P123" s="362"/>
      <c r="Q123" s="362"/>
      <c r="R123" s="362"/>
      <c r="S123" s="362"/>
      <c r="T123" s="362"/>
      <c r="U123" s="362"/>
      <c r="V123" s="362"/>
      <c r="W123" s="362"/>
      <c r="X123" s="362"/>
      <c r="Y123" s="362"/>
      <c r="Z123" s="362"/>
      <c r="AA123" s="362">
        <f t="shared" si="2"/>
        <v>0</v>
      </c>
    </row>
    <row r="124" spans="1:27" x14ac:dyDescent="0.25">
      <c r="A124" s="362">
        <v>4</v>
      </c>
      <c r="B124" s="362" t="s">
        <v>3440</v>
      </c>
      <c r="C124" s="371"/>
      <c r="D124" s="372"/>
      <c r="E124" s="371"/>
      <c r="F124" s="372"/>
      <c r="G124" s="371"/>
      <c r="H124" s="372"/>
      <c r="I124" s="362"/>
      <c r="J124" s="362"/>
      <c r="K124" s="362"/>
      <c r="L124" s="362"/>
      <c r="M124" s="362"/>
      <c r="N124" s="362"/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2"/>
      <c r="AA124" s="362">
        <f t="shared" si="2"/>
        <v>0</v>
      </c>
    </row>
    <row r="125" spans="1:27" x14ac:dyDescent="0.25">
      <c r="A125" s="362">
        <v>5</v>
      </c>
      <c r="B125" s="362" t="s">
        <v>3442</v>
      </c>
      <c r="C125" s="371"/>
      <c r="D125" s="372"/>
      <c r="E125" s="371"/>
      <c r="F125" s="372"/>
      <c r="G125" s="371"/>
      <c r="H125" s="372"/>
      <c r="I125" s="362"/>
      <c r="J125" s="362"/>
      <c r="K125" s="362"/>
      <c r="L125" s="362"/>
      <c r="M125" s="362"/>
      <c r="N125" s="362"/>
      <c r="O125" s="362"/>
      <c r="P125" s="362"/>
      <c r="Q125" s="362"/>
      <c r="R125" s="362"/>
      <c r="S125" s="362"/>
      <c r="T125" s="362"/>
      <c r="U125" s="362"/>
      <c r="V125" s="362"/>
      <c r="W125" s="362"/>
      <c r="X125" s="362"/>
      <c r="Y125" s="362"/>
      <c r="Z125" s="362"/>
      <c r="AA125" s="362">
        <f t="shared" si="2"/>
        <v>0</v>
      </c>
    </row>
    <row r="126" spans="1:27" x14ac:dyDescent="0.25">
      <c r="A126" s="362">
        <v>6</v>
      </c>
      <c r="B126" s="362" t="s">
        <v>813</v>
      </c>
      <c r="C126" s="371"/>
      <c r="D126" s="372"/>
      <c r="E126" s="371"/>
      <c r="F126" s="372"/>
      <c r="G126" s="371"/>
      <c r="H126" s="372"/>
      <c r="I126" s="362"/>
      <c r="J126" s="362"/>
      <c r="K126" s="362"/>
      <c r="L126" s="362"/>
      <c r="M126" s="362"/>
      <c r="N126" s="362"/>
      <c r="O126" s="362"/>
      <c r="P126" s="362"/>
      <c r="Q126" s="362"/>
      <c r="R126" s="362"/>
      <c r="S126" s="362"/>
      <c r="T126" s="362"/>
      <c r="U126" s="362"/>
      <c r="V126" s="362"/>
      <c r="W126" s="362"/>
      <c r="X126" s="362"/>
      <c r="Y126" s="362"/>
      <c r="Z126" s="362"/>
      <c r="AA126" s="362">
        <f t="shared" si="2"/>
        <v>0</v>
      </c>
    </row>
    <row r="127" spans="1:27" x14ac:dyDescent="0.25">
      <c r="A127" s="362">
        <v>7</v>
      </c>
      <c r="B127" s="362" t="s">
        <v>3441</v>
      </c>
      <c r="C127" s="371"/>
      <c r="D127" s="372"/>
      <c r="E127" s="371"/>
      <c r="F127" s="372"/>
      <c r="G127" s="371"/>
      <c r="H127" s="372"/>
      <c r="I127" s="362"/>
      <c r="J127" s="362"/>
      <c r="K127" s="362"/>
      <c r="L127" s="362"/>
      <c r="M127" s="362"/>
      <c r="N127" s="362"/>
      <c r="O127" s="362"/>
      <c r="P127" s="362"/>
      <c r="Q127" s="362"/>
      <c r="R127" s="362"/>
      <c r="S127" s="362"/>
      <c r="T127" s="362"/>
      <c r="U127" s="362"/>
      <c r="V127" s="362"/>
      <c r="W127" s="362"/>
      <c r="X127" s="362"/>
      <c r="Y127" s="362"/>
      <c r="Z127" s="362"/>
      <c r="AA127" s="362">
        <f t="shared" si="2"/>
        <v>0</v>
      </c>
    </row>
    <row r="128" spans="1:27" x14ac:dyDescent="0.25">
      <c r="A128" s="362">
        <v>8</v>
      </c>
      <c r="B128" s="362" t="s">
        <v>215</v>
      </c>
      <c r="C128" s="371"/>
      <c r="D128" s="372"/>
      <c r="E128" s="371"/>
      <c r="F128" s="372"/>
      <c r="G128" s="371"/>
      <c r="H128" s="372"/>
      <c r="I128" s="362"/>
      <c r="J128" s="362"/>
      <c r="K128" s="362"/>
      <c r="L128" s="362"/>
      <c r="M128" s="362"/>
      <c r="N128" s="362"/>
      <c r="O128" s="362"/>
      <c r="P128" s="362"/>
      <c r="Q128" s="362"/>
      <c r="R128" s="362"/>
      <c r="S128" s="362"/>
      <c r="T128" s="362"/>
      <c r="U128" s="362"/>
      <c r="V128" s="362"/>
      <c r="W128" s="362"/>
      <c r="X128" s="362"/>
      <c r="Y128" s="371">
        <v>43861</v>
      </c>
      <c r="Z128" s="372">
        <v>804961135</v>
      </c>
      <c r="AA128" s="362">
        <f t="shared" si="2"/>
        <v>804961135</v>
      </c>
    </row>
    <row r="129" spans="1:27" x14ac:dyDescent="0.25">
      <c r="A129" s="362">
        <v>9</v>
      </c>
      <c r="B129" s="362" t="s">
        <v>2074</v>
      </c>
      <c r="C129" s="371"/>
      <c r="D129" s="372"/>
      <c r="E129" s="371"/>
      <c r="F129" s="372"/>
      <c r="G129" s="371"/>
      <c r="H129" s="372"/>
      <c r="I129" s="362"/>
      <c r="J129" s="362"/>
      <c r="K129" s="362"/>
      <c r="L129" s="362"/>
      <c r="M129" s="362"/>
      <c r="N129" s="362"/>
      <c r="O129" s="362"/>
      <c r="P129" s="362"/>
      <c r="Q129" s="609">
        <v>44085</v>
      </c>
      <c r="R129" s="560">
        <v>550000</v>
      </c>
      <c r="S129" s="609">
        <v>44085</v>
      </c>
      <c r="T129" s="560">
        <v>550000</v>
      </c>
      <c r="U129" s="362"/>
      <c r="V129" s="362"/>
      <c r="W129" s="362"/>
      <c r="X129" s="362"/>
      <c r="Y129" s="371">
        <v>43866</v>
      </c>
      <c r="Z129" s="372">
        <v>370332</v>
      </c>
      <c r="AA129" s="362">
        <f t="shared" si="2"/>
        <v>1470332</v>
      </c>
    </row>
    <row r="130" spans="1:27" x14ac:dyDescent="0.25">
      <c r="A130" s="362">
        <v>10</v>
      </c>
      <c r="B130" s="362" t="s">
        <v>3457</v>
      </c>
      <c r="C130" s="371"/>
      <c r="D130" s="372"/>
      <c r="E130" s="371"/>
      <c r="F130" s="372"/>
      <c r="G130" s="371"/>
      <c r="H130" s="372"/>
      <c r="I130" s="362"/>
      <c r="J130" s="362"/>
      <c r="K130" s="362"/>
      <c r="L130" s="362"/>
      <c r="M130" s="362"/>
      <c r="N130" s="362"/>
      <c r="O130" s="362"/>
      <c r="P130" s="362"/>
      <c r="Q130" s="362"/>
      <c r="R130" s="362"/>
      <c r="S130" s="362"/>
      <c r="T130" s="362"/>
      <c r="U130" s="362"/>
      <c r="V130" s="362"/>
      <c r="W130" s="362"/>
      <c r="X130" s="362"/>
      <c r="Y130" s="362"/>
      <c r="Z130" s="362"/>
      <c r="AA130" s="362">
        <f t="shared" si="2"/>
        <v>0</v>
      </c>
    </row>
    <row r="131" spans="1:27" x14ac:dyDescent="0.25">
      <c r="A131" s="362">
        <v>11</v>
      </c>
      <c r="B131" s="362" t="s">
        <v>3458</v>
      </c>
      <c r="C131" s="371"/>
      <c r="D131" s="372"/>
      <c r="E131" s="371"/>
      <c r="F131" s="372"/>
      <c r="G131" s="371"/>
      <c r="H131" s="372"/>
      <c r="I131" s="362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2"/>
      <c r="AA131" s="362">
        <f t="shared" si="2"/>
        <v>0</v>
      </c>
    </row>
    <row r="132" spans="1:27" x14ac:dyDescent="0.25">
      <c r="A132" s="370">
        <v>12</v>
      </c>
      <c r="B132" s="370" t="s">
        <v>3459</v>
      </c>
      <c r="C132" s="371"/>
      <c r="D132" s="372"/>
      <c r="E132" s="371"/>
      <c r="F132" s="372"/>
      <c r="G132" s="371"/>
      <c r="H132" s="372"/>
      <c r="I132" s="362"/>
      <c r="J132" s="362"/>
      <c r="K132" s="362"/>
      <c r="L132" s="362"/>
      <c r="M132" s="362"/>
      <c r="N132" s="362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71">
        <v>43838</v>
      </c>
      <c r="Z132" s="372">
        <v>4628800</v>
      </c>
      <c r="AA132" s="362">
        <f t="shared" si="2"/>
        <v>4628800</v>
      </c>
    </row>
    <row r="133" spans="1:27" x14ac:dyDescent="0.25">
      <c r="A133" s="370">
        <v>13</v>
      </c>
      <c r="B133" s="370" t="s">
        <v>3460</v>
      </c>
      <c r="C133" s="371"/>
      <c r="D133" s="372"/>
      <c r="E133" s="371"/>
      <c r="F133" s="372"/>
      <c r="G133" s="371"/>
      <c r="H133" s="372"/>
      <c r="I133" s="362"/>
      <c r="J133" s="362"/>
      <c r="K133" s="362"/>
      <c r="L133" s="362"/>
      <c r="M133" s="362"/>
      <c r="N133" s="362"/>
      <c r="O133" s="362"/>
      <c r="P133" s="362"/>
      <c r="Q133" s="362"/>
      <c r="R133" s="362"/>
      <c r="S133" s="362"/>
      <c r="T133" s="362"/>
      <c r="U133" s="362"/>
      <c r="V133" s="362"/>
      <c r="W133" s="371">
        <v>43840</v>
      </c>
      <c r="X133" s="372">
        <f>93643+200238</f>
        <v>293881</v>
      </c>
      <c r="Y133" s="362"/>
      <c r="Z133" s="362"/>
      <c r="AA133" s="362">
        <f t="shared" si="2"/>
        <v>293881</v>
      </c>
    </row>
    <row r="134" spans="1:27" x14ac:dyDescent="0.25">
      <c r="A134" s="370"/>
      <c r="B134" s="370"/>
      <c r="C134" s="371"/>
      <c r="D134" s="372"/>
      <c r="E134" s="371"/>
      <c r="F134" s="372"/>
      <c r="G134" s="371"/>
      <c r="H134" s="372"/>
      <c r="I134" s="362"/>
      <c r="J134" s="362"/>
      <c r="K134" s="362"/>
      <c r="L134" s="362"/>
      <c r="M134" s="362"/>
      <c r="N134" s="362"/>
      <c r="O134" s="362"/>
      <c r="P134" s="362"/>
      <c r="Q134" s="362"/>
      <c r="R134" s="362"/>
      <c r="S134" s="362"/>
      <c r="T134" s="362"/>
      <c r="U134" s="362"/>
      <c r="V134" s="362"/>
      <c r="W134" s="362"/>
      <c r="X134" s="362"/>
      <c r="Y134" s="362"/>
      <c r="Z134" s="362"/>
      <c r="AA134" s="362">
        <f t="shared" si="2"/>
        <v>0</v>
      </c>
    </row>
    <row r="135" spans="1:27" x14ac:dyDescent="0.25">
      <c r="A135" s="370">
        <v>14</v>
      </c>
      <c r="B135" s="370" t="s">
        <v>3461</v>
      </c>
      <c r="C135" s="371"/>
      <c r="D135" s="372"/>
      <c r="E135" s="371"/>
      <c r="F135" s="372"/>
      <c r="G135" s="371"/>
      <c r="H135" s="372"/>
      <c r="I135" s="362"/>
      <c r="J135" s="362"/>
      <c r="K135" s="362"/>
      <c r="L135" s="362"/>
      <c r="M135" s="362"/>
      <c r="N135" s="362"/>
      <c r="O135" s="362"/>
      <c r="P135" s="362"/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>
        <f t="shared" si="2"/>
        <v>0</v>
      </c>
    </row>
    <row r="136" spans="1:27" x14ac:dyDescent="0.25">
      <c r="A136" s="370">
        <v>15</v>
      </c>
      <c r="B136" s="370" t="s">
        <v>3462</v>
      </c>
      <c r="C136" s="371"/>
      <c r="D136" s="372"/>
      <c r="E136" s="371"/>
      <c r="F136" s="608"/>
      <c r="G136" s="371"/>
      <c r="H136" s="372"/>
      <c r="I136" s="362"/>
      <c r="J136" s="362"/>
      <c r="K136" s="362"/>
      <c r="L136" s="362"/>
      <c r="M136" s="362"/>
      <c r="N136" s="362"/>
      <c r="O136" s="362"/>
      <c r="P136" s="362"/>
      <c r="Q136" s="362"/>
      <c r="R136" s="362"/>
      <c r="S136" s="362"/>
      <c r="T136" s="362"/>
      <c r="U136" s="362"/>
      <c r="V136" s="362"/>
      <c r="W136" s="362"/>
      <c r="X136" s="362"/>
      <c r="Y136" s="362"/>
      <c r="Z136" s="362"/>
      <c r="AA136" s="362">
        <f t="shared" si="2"/>
        <v>0</v>
      </c>
    </row>
    <row r="137" spans="1:27" x14ac:dyDescent="0.25">
      <c r="A137" s="370"/>
      <c r="B137" s="370"/>
      <c r="C137" s="371"/>
      <c r="D137" s="372"/>
      <c r="E137" s="371"/>
      <c r="F137" s="372"/>
      <c r="G137" s="371"/>
      <c r="H137" s="372"/>
      <c r="I137" s="362"/>
      <c r="J137" s="362"/>
      <c r="K137" s="362"/>
      <c r="L137" s="362"/>
      <c r="M137" s="362"/>
      <c r="N137" s="362"/>
      <c r="O137" s="362"/>
      <c r="P137" s="362"/>
      <c r="Q137" s="362"/>
      <c r="R137" s="362"/>
      <c r="S137" s="362"/>
      <c r="T137" s="362"/>
      <c r="U137" s="362"/>
      <c r="V137" s="362"/>
      <c r="W137" s="362"/>
      <c r="X137" s="362"/>
      <c r="Y137" s="362"/>
      <c r="Z137" s="362"/>
      <c r="AA137" s="362">
        <f t="shared" si="2"/>
        <v>0</v>
      </c>
    </row>
    <row r="138" spans="1:27" x14ac:dyDescent="0.25">
      <c r="A138" s="370">
        <v>16</v>
      </c>
      <c r="B138" s="370" t="s">
        <v>3463</v>
      </c>
      <c r="C138" s="371"/>
      <c r="D138" s="372"/>
      <c r="E138" s="371"/>
      <c r="F138" s="372"/>
      <c r="G138" s="371"/>
      <c r="H138" s="372"/>
      <c r="I138" s="362"/>
      <c r="J138" s="362"/>
      <c r="K138" s="362"/>
      <c r="L138" s="362"/>
      <c r="M138" s="362"/>
      <c r="N138" s="362"/>
      <c r="O138" s="362"/>
      <c r="P138" s="362"/>
      <c r="Q138" s="362"/>
      <c r="R138" s="362"/>
      <c r="S138" s="362"/>
      <c r="T138" s="362"/>
      <c r="U138" s="362"/>
      <c r="V138" s="362"/>
      <c r="W138" s="362"/>
      <c r="X138" s="362"/>
      <c r="Y138" s="362"/>
      <c r="Z138" s="362"/>
      <c r="AA138" s="362">
        <f t="shared" si="2"/>
        <v>0</v>
      </c>
    </row>
    <row r="139" spans="1:27" x14ac:dyDescent="0.25">
      <c r="A139" s="370">
        <v>17</v>
      </c>
      <c r="B139" s="370" t="s">
        <v>3464</v>
      </c>
      <c r="C139" s="371"/>
      <c r="D139" s="372"/>
      <c r="E139" s="371"/>
      <c r="F139" s="372"/>
      <c r="G139" s="371"/>
      <c r="H139" s="372"/>
      <c r="I139" s="362"/>
      <c r="J139" s="362"/>
      <c r="K139" s="362"/>
      <c r="L139" s="362"/>
      <c r="M139" s="362"/>
      <c r="N139" s="362"/>
      <c r="O139" s="362"/>
      <c r="P139" s="362"/>
      <c r="Q139" s="362"/>
      <c r="R139" s="362"/>
      <c r="S139" s="362"/>
      <c r="T139" s="362"/>
      <c r="U139" s="362"/>
      <c r="V139" s="362"/>
      <c r="W139" s="362"/>
      <c r="X139" s="362"/>
      <c r="Y139" s="362"/>
      <c r="Z139" s="362"/>
      <c r="AA139" s="362">
        <f t="shared" si="2"/>
        <v>0</v>
      </c>
    </row>
    <row r="140" spans="1:27" x14ac:dyDescent="0.25">
      <c r="A140" s="370">
        <v>18</v>
      </c>
      <c r="B140" s="370" t="s">
        <v>3465</v>
      </c>
      <c r="C140" s="371"/>
      <c r="D140" s="372"/>
      <c r="E140" s="371"/>
      <c r="F140" s="372"/>
      <c r="G140" s="371"/>
      <c r="H140" s="372"/>
      <c r="I140" s="362"/>
      <c r="J140" s="362"/>
      <c r="K140" s="362"/>
      <c r="L140" s="362"/>
      <c r="M140" s="362"/>
      <c r="N140" s="362"/>
      <c r="O140" s="362"/>
      <c r="P140" s="362"/>
      <c r="Q140" s="362"/>
      <c r="R140" s="362"/>
      <c r="S140" s="362"/>
      <c r="T140" s="362"/>
      <c r="U140" s="362"/>
      <c r="V140" s="362"/>
      <c r="W140" s="362"/>
      <c r="X140" s="362"/>
      <c r="Y140" s="362"/>
      <c r="Z140" s="362"/>
      <c r="AA140" s="362">
        <f t="shared" si="2"/>
        <v>0</v>
      </c>
    </row>
    <row r="141" spans="1:27" x14ac:dyDescent="0.25">
      <c r="A141" s="370">
        <v>19</v>
      </c>
      <c r="B141" s="370" t="s">
        <v>3949</v>
      </c>
      <c r="C141" s="371"/>
      <c r="D141" s="372"/>
      <c r="E141" s="371"/>
      <c r="F141" s="372"/>
      <c r="G141" s="371"/>
      <c r="H141" s="37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2"/>
      <c r="W141" s="362"/>
      <c r="X141" s="362"/>
      <c r="Y141" s="362"/>
      <c r="Z141" s="362"/>
      <c r="AA141" s="362">
        <f t="shared" si="2"/>
        <v>0</v>
      </c>
    </row>
    <row r="142" spans="1:27" x14ac:dyDescent="0.25">
      <c r="A142" s="370"/>
      <c r="B142" s="370"/>
      <c r="C142" s="371"/>
      <c r="D142" s="372"/>
      <c r="E142" s="371"/>
      <c r="F142" s="372"/>
      <c r="G142" s="371"/>
      <c r="H142" s="37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>
        <f t="shared" si="2"/>
        <v>0</v>
      </c>
    </row>
    <row r="143" spans="1:27" x14ac:dyDescent="0.25">
      <c r="A143" s="370">
        <v>20</v>
      </c>
      <c r="B143" s="370" t="s">
        <v>3466</v>
      </c>
      <c r="C143" s="371"/>
      <c r="D143" s="372"/>
      <c r="E143" s="371"/>
      <c r="F143" s="372"/>
      <c r="G143" s="371"/>
      <c r="H143" s="37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2"/>
      <c r="W143" s="362"/>
      <c r="X143" s="362"/>
      <c r="Y143" s="371">
        <v>43852</v>
      </c>
      <c r="Z143" s="372">
        <f>6469075+6876411+1526880+16828546+9051041+12193012+4452321</f>
        <v>57397286</v>
      </c>
      <c r="AA143" s="362">
        <f t="shared" si="2"/>
        <v>57397286</v>
      </c>
    </row>
    <row r="144" spans="1:27" x14ac:dyDescent="0.25">
      <c r="A144" s="370"/>
      <c r="B144" s="370"/>
      <c r="C144" s="371"/>
      <c r="D144" s="372"/>
      <c r="E144" s="371"/>
      <c r="F144" s="372"/>
      <c r="G144" s="371"/>
      <c r="H144" s="37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2"/>
      <c r="W144" s="362"/>
      <c r="X144" s="362"/>
      <c r="Y144" s="371">
        <v>43853</v>
      </c>
      <c r="Z144" s="372">
        <f>9386865+2751744+9096025+5260892+8926663</f>
        <v>35422189</v>
      </c>
      <c r="AA144" s="362"/>
    </row>
    <row r="145" spans="1:27" x14ac:dyDescent="0.25">
      <c r="A145" s="370">
        <v>21</v>
      </c>
      <c r="B145" s="370" t="s">
        <v>3467</v>
      </c>
      <c r="C145" s="371"/>
      <c r="D145" s="372"/>
      <c r="E145" s="371"/>
      <c r="F145" s="372"/>
      <c r="G145" s="371"/>
      <c r="H145" s="37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362"/>
      <c r="W145" s="362"/>
      <c r="X145" s="362"/>
      <c r="Y145" s="371">
        <v>43852</v>
      </c>
      <c r="Z145" s="372">
        <f>2670000+925000+750000+4195000</f>
        <v>8540000</v>
      </c>
      <c r="AA145" s="362">
        <f>Z145+X145+V145+T145+R145+P145+N145+L145+J145+H145+F145+C145</f>
        <v>8540000</v>
      </c>
    </row>
    <row r="146" spans="1:27" x14ac:dyDescent="0.25">
      <c r="A146" s="370"/>
      <c r="B146" s="370"/>
      <c r="C146" s="371"/>
      <c r="D146" s="372"/>
      <c r="E146" s="371"/>
      <c r="F146" s="372"/>
      <c r="G146" s="371"/>
      <c r="H146" s="372"/>
      <c r="I146" s="362"/>
      <c r="J146" s="362"/>
      <c r="K146" s="362"/>
      <c r="L146" s="362"/>
      <c r="M146" s="362"/>
      <c r="N146" s="362"/>
      <c r="O146" s="362"/>
      <c r="P146" s="362"/>
      <c r="Q146" s="362"/>
      <c r="R146" s="362"/>
      <c r="S146" s="362"/>
      <c r="T146" s="362"/>
      <c r="U146" s="362"/>
      <c r="V146" s="362"/>
      <c r="W146" s="362"/>
      <c r="X146" s="362"/>
      <c r="Y146" s="371">
        <v>43853</v>
      </c>
      <c r="Z146" s="372">
        <f>375000+4250000</f>
        <v>4625000</v>
      </c>
      <c r="AA146" s="362"/>
    </row>
    <row r="147" spans="1:27" x14ac:dyDescent="0.25">
      <c r="A147" s="370">
        <v>22</v>
      </c>
      <c r="B147" s="370" t="s">
        <v>3468</v>
      </c>
      <c r="C147" s="371"/>
      <c r="D147" s="372"/>
      <c r="E147" s="371"/>
      <c r="F147" s="372"/>
      <c r="G147" s="362"/>
      <c r="H147" s="362"/>
      <c r="I147" s="362"/>
      <c r="J147" s="362"/>
      <c r="K147" s="362"/>
      <c r="L147" s="362"/>
      <c r="M147" s="362"/>
      <c r="N147" s="362"/>
      <c r="O147" s="362"/>
      <c r="P147" s="362"/>
      <c r="Q147" s="362"/>
      <c r="R147" s="362"/>
      <c r="S147" s="362"/>
      <c r="T147" s="362"/>
      <c r="U147" s="362"/>
      <c r="V147" s="362"/>
      <c r="W147" s="609">
        <v>43864</v>
      </c>
      <c r="X147" s="362">
        <f>2120676+1612214+371205</f>
        <v>4104095</v>
      </c>
      <c r="Y147" s="371">
        <v>43892</v>
      </c>
      <c r="Z147" s="372">
        <f>658859+1446499</f>
        <v>2105358</v>
      </c>
      <c r="AA147" s="362">
        <f>Z147+X147+V147+T147+R147+P147+N147+L147+J147+H147+F147+C147</f>
        <v>6209453</v>
      </c>
    </row>
    <row r="148" spans="1:27" x14ac:dyDescent="0.25">
      <c r="A148" s="370"/>
      <c r="B148" s="370"/>
      <c r="C148" s="371"/>
      <c r="D148" s="372"/>
      <c r="E148" s="371"/>
      <c r="F148" s="372"/>
      <c r="G148" s="362"/>
      <c r="H148" s="362"/>
      <c r="I148" s="362"/>
      <c r="J148" s="362"/>
      <c r="K148" s="362"/>
      <c r="L148" s="362"/>
      <c r="M148" s="362"/>
      <c r="N148" s="362"/>
      <c r="O148" s="362"/>
      <c r="P148" s="362"/>
      <c r="Q148" s="362"/>
      <c r="R148" s="362"/>
      <c r="S148" s="362"/>
      <c r="T148" s="362"/>
      <c r="U148" s="362"/>
      <c r="V148" s="362"/>
      <c r="W148" s="609">
        <v>43865</v>
      </c>
      <c r="X148" s="362">
        <f>3576853+206117+1041991+868134</f>
        <v>5693095</v>
      </c>
      <c r="Y148" s="362"/>
      <c r="Z148" s="362"/>
      <c r="AA148" s="362">
        <f>Z148+X148+V148+T148+R148+P148+N148+L148+J148+H148+F148+C148</f>
        <v>5693095</v>
      </c>
    </row>
    <row r="149" spans="1:27" x14ac:dyDescent="0.25">
      <c r="A149" s="370">
        <v>23</v>
      </c>
      <c r="B149" s="370" t="s">
        <v>3469</v>
      </c>
      <c r="C149" s="371"/>
      <c r="D149" s="372"/>
      <c r="E149" s="371"/>
      <c r="F149" s="372"/>
      <c r="G149" s="371"/>
      <c r="H149" s="372"/>
      <c r="I149" s="362"/>
      <c r="J149" s="362"/>
      <c r="K149" s="362"/>
      <c r="L149" s="362"/>
      <c r="M149" s="362"/>
      <c r="N149" s="362"/>
      <c r="O149" s="362"/>
      <c r="P149" s="362"/>
      <c r="Q149" s="362"/>
      <c r="R149" s="362"/>
      <c r="S149" s="371">
        <v>43836</v>
      </c>
      <c r="T149" s="372">
        <f>27974750</f>
        <v>27974750</v>
      </c>
      <c r="U149" s="371">
        <v>43836</v>
      </c>
      <c r="V149" s="372">
        <v>34171750</v>
      </c>
      <c r="W149" s="371">
        <v>43892</v>
      </c>
      <c r="X149" s="372">
        <v>28951750</v>
      </c>
      <c r="Y149" s="371">
        <v>43920</v>
      </c>
      <c r="Z149" s="372">
        <v>31013000</v>
      </c>
      <c r="AA149" s="362">
        <f>Z149+X149+V149+T149+R149+P149+N149+L149+J149+H149+F149+C149</f>
        <v>122111250</v>
      </c>
    </row>
    <row r="150" spans="1:27" x14ac:dyDescent="0.25">
      <c r="A150" s="370"/>
      <c r="B150" s="370"/>
      <c r="C150" s="371"/>
      <c r="D150" s="372"/>
      <c r="E150" s="371"/>
      <c r="F150" s="372"/>
      <c r="G150" s="371"/>
      <c r="H150" s="372"/>
      <c r="I150" s="362"/>
      <c r="J150" s="362"/>
      <c r="K150" s="362"/>
      <c r="L150" s="362"/>
      <c r="M150" s="362"/>
      <c r="N150" s="362"/>
      <c r="O150" s="362"/>
      <c r="P150" s="362"/>
      <c r="Q150" s="362"/>
      <c r="R150" s="362"/>
      <c r="S150" s="371">
        <v>43837</v>
      </c>
      <c r="T150" s="372">
        <f>48178000</f>
        <v>48178000</v>
      </c>
      <c r="U150" s="371">
        <v>43837</v>
      </c>
      <c r="V150" s="372">
        <v>36418000</v>
      </c>
      <c r="W150" s="371">
        <v>43893</v>
      </c>
      <c r="X150" s="372">
        <v>59544250</v>
      </c>
      <c r="Y150" s="371">
        <v>43921</v>
      </c>
      <c r="Z150" s="372">
        <v>46023750</v>
      </c>
      <c r="AA150" s="362">
        <f>Z150+X150+V150+T150+R150+P150+N150+L150+J150+H150+F150+C150</f>
        <v>190164000</v>
      </c>
    </row>
    <row r="151" spans="1:27" x14ac:dyDescent="0.25">
      <c r="A151" s="370"/>
      <c r="B151" s="370"/>
      <c r="C151" s="371"/>
      <c r="D151" s="372"/>
      <c r="E151" s="371"/>
      <c r="F151" s="372"/>
      <c r="G151" s="371"/>
      <c r="H151" s="372"/>
      <c r="I151" s="362"/>
      <c r="J151" s="362"/>
      <c r="K151" s="362"/>
      <c r="L151" s="362"/>
      <c r="M151" s="362"/>
      <c r="N151" s="362"/>
      <c r="O151" s="362"/>
      <c r="P151" s="362"/>
      <c r="Q151" s="678">
        <v>43878</v>
      </c>
      <c r="R151" s="628" t="s">
        <v>5664</v>
      </c>
      <c r="S151" s="577"/>
      <c r="T151" s="671"/>
      <c r="U151" s="577"/>
      <c r="V151" s="671"/>
      <c r="W151" s="531">
        <v>44006</v>
      </c>
      <c r="X151" s="681" t="s">
        <v>5665</v>
      </c>
      <c r="Y151" s="531"/>
      <c r="Z151" s="681">
        <v>11050000</v>
      </c>
      <c r="AA151" s="362"/>
    </row>
    <row r="152" spans="1:27" x14ac:dyDescent="0.25">
      <c r="A152" s="370">
        <v>24</v>
      </c>
      <c r="B152" s="370" t="s">
        <v>3470</v>
      </c>
      <c r="C152" s="371"/>
      <c r="D152" s="372"/>
      <c r="E152" s="371"/>
      <c r="F152" s="372"/>
      <c r="G152" s="371"/>
      <c r="H152" s="372"/>
      <c r="I152" s="362"/>
      <c r="J152" s="362"/>
      <c r="K152" s="362"/>
      <c r="L152" s="362"/>
      <c r="M152" s="362"/>
      <c r="N152" s="362"/>
      <c r="O152" s="362"/>
      <c r="P152" s="362"/>
      <c r="Q152" s="362"/>
      <c r="R152" s="362"/>
      <c r="S152" s="362"/>
      <c r="T152" s="362"/>
      <c r="U152" s="371"/>
      <c r="V152" s="362"/>
      <c r="W152" s="362"/>
      <c r="X152" s="362"/>
      <c r="Y152" s="371"/>
      <c r="Z152" s="362"/>
      <c r="AA152" s="362">
        <f>Z152+X152+V152+T152+R152+P152+N152+L152+J152+H152+F152+C152</f>
        <v>0</v>
      </c>
    </row>
    <row r="153" spans="1:27" x14ac:dyDescent="0.25">
      <c r="A153" s="370">
        <v>25</v>
      </c>
      <c r="B153" s="370" t="s">
        <v>3471</v>
      </c>
      <c r="C153" s="371"/>
      <c r="D153" s="372"/>
      <c r="E153" s="371"/>
      <c r="F153" s="372"/>
      <c r="G153" s="371"/>
      <c r="H153" s="372"/>
      <c r="I153" s="362"/>
      <c r="J153" s="362"/>
      <c r="K153" s="362"/>
      <c r="L153" s="362"/>
      <c r="M153" s="362"/>
      <c r="N153" s="362"/>
      <c r="O153" s="362"/>
      <c r="P153" s="362"/>
      <c r="Q153" s="362"/>
      <c r="R153" s="362"/>
      <c r="S153" s="362"/>
      <c r="T153" s="362"/>
      <c r="U153" s="371"/>
      <c r="V153" s="362"/>
      <c r="W153" s="362"/>
      <c r="X153" s="362"/>
      <c r="Y153" s="371">
        <v>43852</v>
      </c>
      <c r="Z153" s="372">
        <f>748000+816000+939250+2418250+544000+4020500</f>
        <v>9486000</v>
      </c>
      <c r="AA153" s="362">
        <f>Z153+X153+V153+T153+R153+P153+N153+L153+J153+H153+F153+C153</f>
        <v>9486000</v>
      </c>
    </row>
    <row r="154" spans="1:27" x14ac:dyDescent="0.25">
      <c r="A154" s="370"/>
      <c r="B154" s="370"/>
      <c r="C154" s="371"/>
      <c r="D154" s="372"/>
      <c r="E154" s="371"/>
      <c r="F154" s="372"/>
      <c r="G154" s="371"/>
      <c r="H154" s="372"/>
      <c r="I154" s="362"/>
      <c r="J154" s="362"/>
      <c r="K154" s="362"/>
      <c r="L154" s="362"/>
      <c r="M154" s="362"/>
      <c r="N154" s="362"/>
      <c r="O154" s="362"/>
      <c r="P154" s="362"/>
      <c r="Q154" s="362"/>
      <c r="R154" s="362"/>
      <c r="S154" s="362"/>
      <c r="T154" s="362"/>
      <c r="U154" s="371"/>
      <c r="V154" s="362"/>
      <c r="W154" s="362"/>
      <c r="X154" s="362"/>
      <c r="Y154" s="371">
        <v>43853</v>
      </c>
      <c r="Z154" s="372">
        <f>1054000+136000+280500+255000+654500</f>
        <v>2380000</v>
      </c>
      <c r="AA154" s="362"/>
    </row>
    <row r="155" spans="1:27" x14ac:dyDescent="0.25">
      <c r="A155" s="370">
        <v>26</v>
      </c>
      <c r="B155" s="370" t="s">
        <v>3950</v>
      </c>
      <c r="C155" s="371"/>
      <c r="D155" s="372"/>
      <c r="E155" s="371"/>
      <c r="F155" s="372"/>
      <c r="G155" s="362"/>
      <c r="H155" s="362"/>
      <c r="I155" s="362"/>
      <c r="J155" s="362"/>
      <c r="K155" s="362"/>
      <c r="L155" s="362"/>
      <c r="M155" s="362"/>
      <c r="N155" s="362"/>
      <c r="O155" s="362"/>
      <c r="P155" s="362"/>
      <c r="Q155" s="362"/>
      <c r="R155" s="362"/>
      <c r="S155" s="362"/>
      <c r="T155" s="362"/>
      <c r="U155" s="371"/>
      <c r="V155" s="362"/>
      <c r="W155" s="362"/>
      <c r="X155" s="362"/>
      <c r="Y155" s="371">
        <v>43852</v>
      </c>
      <c r="Z155" s="372">
        <v>5643609</v>
      </c>
      <c r="AA155" s="362"/>
    </row>
    <row r="156" spans="1:27" x14ac:dyDescent="0.25">
      <c r="A156" s="370"/>
      <c r="B156" s="370"/>
      <c r="C156" s="371"/>
      <c r="D156" s="372"/>
      <c r="E156" s="371"/>
      <c r="F156" s="372"/>
      <c r="G156" s="362"/>
      <c r="H156" s="362"/>
      <c r="I156" s="362"/>
      <c r="J156" s="362"/>
      <c r="K156" s="362"/>
      <c r="L156" s="362"/>
      <c r="M156" s="362"/>
      <c r="N156" s="362"/>
      <c r="O156" s="362"/>
      <c r="P156" s="362"/>
      <c r="Q156" s="362"/>
      <c r="R156" s="362"/>
      <c r="S156" s="362"/>
      <c r="T156" s="362"/>
      <c r="U156" s="362"/>
      <c r="V156" s="362"/>
      <c r="W156" s="362"/>
      <c r="X156" s="362"/>
      <c r="Y156" s="371">
        <v>43853</v>
      </c>
      <c r="Z156" s="372">
        <v>3767087</v>
      </c>
      <c r="AA156" s="362"/>
    </row>
    <row r="157" spans="1:27" x14ac:dyDescent="0.25">
      <c r="A157" s="370">
        <v>27</v>
      </c>
      <c r="B157" s="370" t="s">
        <v>3951</v>
      </c>
      <c r="C157" s="371"/>
      <c r="D157" s="372"/>
      <c r="E157" s="371"/>
      <c r="F157" s="372"/>
      <c r="G157" s="371"/>
      <c r="H157" s="37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</row>
    <row r="158" spans="1:27" x14ac:dyDescent="0.25">
      <c r="A158" s="370">
        <v>28</v>
      </c>
      <c r="B158" s="370" t="s">
        <v>3952</v>
      </c>
      <c r="C158" s="371"/>
      <c r="D158" s="372"/>
      <c r="E158" s="371"/>
      <c r="F158" s="372"/>
      <c r="G158" s="371"/>
      <c r="H158" s="372"/>
      <c r="I158" s="362"/>
      <c r="J158" s="362"/>
      <c r="K158" s="362"/>
      <c r="L158" s="362"/>
      <c r="M158" s="362"/>
      <c r="N158" s="362"/>
      <c r="O158" s="362"/>
      <c r="P158" s="362"/>
      <c r="Q158" s="362"/>
      <c r="R158" s="362"/>
      <c r="S158" s="362"/>
      <c r="T158" s="362"/>
      <c r="U158" s="362"/>
      <c r="V158" s="362"/>
      <c r="W158" s="362"/>
      <c r="X158" s="362"/>
      <c r="Y158" s="371">
        <v>43853</v>
      </c>
      <c r="Z158" s="372">
        <f>3850000+2700000</f>
        <v>6550000</v>
      </c>
      <c r="AA158" s="362"/>
    </row>
    <row r="159" spans="1:27" x14ac:dyDescent="0.25">
      <c r="A159" s="370"/>
      <c r="B159" s="370"/>
      <c r="C159" s="371"/>
      <c r="D159" s="372"/>
      <c r="E159" s="371"/>
      <c r="F159" s="372"/>
      <c r="G159" s="371"/>
      <c r="H159" s="372"/>
      <c r="I159" s="362"/>
      <c r="J159" s="362"/>
      <c r="K159" s="362"/>
      <c r="L159" s="362"/>
      <c r="M159" s="362"/>
      <c r="N159" s="362"/>
      <c r="O159" s="362"/>
      <c r="P159" s="362"/>
      <c r="Q159" s="362"/>
      <c r="R159" s="362"/>
      <c r="S159" s="362"/>
      <c r="T159" s="362"/>
      <c r="U159" s="362"/>
      <c r="V159" s="362"/>
      <c r="W159" s="362"/>
      <c r="X159" s="362"/>
      <c r="Y159" s="371">
        <v>43853</v>
      </c>
      <c r="Z159" s="372">
        <f>4600000+2700000</f>
        <v>7300000</v>
      </c>
      <c r="AA159" s="362"/>
    </row>
    <row r="160" spans="1:27" x14ac:dyDescent="0.25">
      <c r="A160" s="370">
        <v>29</v>
      </c>
      <c r="B160" s="370" t="s">
        <v>4001</v>
      </c>
      <c r="C160" s="371">
        <v>43887</v>
      </c>
      <c r="D160" s="372">
        <v>1500000</v>
      </c>
      <c r="E160" s="371"/>
      <c r="F160" s="372"/>
      <c r="G160" s="371"/>
      <c r="H160" s="372"/>
      <c r="I160" s="362"/>
      <c r="J160" s="362"/>
      <c r="K160" s="362"/>
      <c r="L160" s="362"/>
      <c r="M160" s="362"/>
      <c r="N160" s="362"/>
      <c r="O160" s="362"/>
      <c r="P160" s="362"/>
      <c r="Q160" s="362"/>
      <c r="R160" s="362"/>
      <c r="S160" s="362"/>
      <c r="T160" s="362"/>
      <c r="U160" s="362"/>
      <c r="V160" s="362"/>
      <c r="W160" s="362"/>
      <c r="X160" s="362"/>
      <c r="Y160" s="362"/>
      <c r="Z160" s="362"/>
      <c r="AA160" s="372"/>
    </row>
    <row r="161" spans="1:27" x14ac:dyDescent="0.25">
      <c r="A161" s="370">
        <v>29</v>
      </c>
      <c r="B161" s="362" t="s">
        <v>3481</v>
      </c>
      <c r="C161" s="371"/>
      <c r="D161" s="372"/>
      <c r="E161" s="371"/>
      <c r="F161" s="372"/>
      <c r="G161" s="371"/>
      <c r="H161" s="372"/>
      <c r="I161" s="362"/>
      <c r="J161" s="362"/>
      <c r="K161" s="362"/>
      <c r="L161" s="362"/>
      <c r="M161" s="362"/>
      <c r="N161" s="362"/>
      <c r="O161" s="362"/>
      <c r="P161" s="362"/>
      <c r="Q161" s="362"/>
      <c r="R161" s="362"/>
      <c r="S161" s="362"/>
      <c r="T161" s="362"/>
      <c r="U161" s="362"/>
      <c r="V161" s="362"/>
      <c r="W161" s="362"/>
      <c r="X161" s="362"/>
      <c r="Y161" s="371"/>
      <c r="Z161" s="362"/>
      <c r="AA161" s="362"/>
    </row>
    <row r="162" spans="1:27" x14ac:dyDescent="0.25">
      <c r="A162" s="370">
        <v>30</v>
      </c>
      <c r="B162" s="362" t="s">
        <v>3947</v>
      </c>
      <c r="C162" s="371"/>
      <c r="D162" s="372"/>
      <c r="E162" s="371"/>
      <c r="F162" s="372"/>
      <c r="G162" s="371"/>
      <c r="H162" s="372"/>
      <c r="I162" s="362"/>
      <c r="J162" s="362"/>
      <c r="K162" s="362"/>
      <c r="L162" s="362"/>
      <c r="M162" s="362"/>
      <c r="N162" s="362"/>
      <c r="O162" s="362"/>
      <c r="P162" s="362"/>
      <c r="Q162" s="362"/>
      <c r="R162" s="362"/>
      <c r="S162" s="362"/>
      <c r="T162" s="362"/>
      <c r="U162" s="362"/>
      <c r="V162" s="362"/>
      <c r="W162" s="362"/>
      <c r="X162" s="362"/>
      <c r="Y162" s="371">
        <v>43837</v>
      </c>
      <c r="Z162" s="372">
        <v>1093034</v>
      </c>
      <c r="AA162" s="362"/>
    </row>
    <row r="163" spans="1:27" x14ac:dyDescent="0.25">
      <c r="A163" s="370">
        <v>31</v>
      </c>
      <c r="B163" s="362" t="s">
        <v>3420</v>
      </c>
      <c r="C163" s="371"/>
      <c r="D163" s="372"/>
      <c r="E163" s="371"/>
      <c r="F163" s="372"/>
      <c r="G163" s="371"/>
      <c r="H163" s="372"/>
      <c r="I163" s="362"/>
      <c r="J163" s="362"/>
      <c r="K163" s="362"/>
      <c r="L163" s="362"/>
      <c r="M163" s="362"/>
      <c r="N163" s="362"/>
      <c r="O163" s="362"/>
      <c r="P163" s="362"/>
      <c r="Q163" s="362"/>
      <c r="R163" s="362"/>
      <c r="S163" s="362"/>
      <c r="T163" s="362"/>
      <c r="U163" s="362"/>
      <c r="V163" s="362"/>
      <c r="W163" s="362"/>
      <c r="X163" s="362"/>
      <c r="Y163" s="371"/>
      <c r="Z163" s="362"/>
      <c r="AA163" s="362"/>
    </row>
    <row r="164" spans="1:27" x14ac:dyDescent="0.25">
      <c r="A164" s="370">
        <v>32</v>
      </c>
      <c r="B164" s="370" t="s">
        <v>683</v>
      </c>
      <c r="C164" s="371"/>
      <c r="D164" s="372"/>
      <c r="E164" s="371"/>
      <c r="F164" s="372"/>
      <c r="G164" s="371"/>
      <c r="H164" s="372"/>
      <c r="I164" s="362"/>
      <c r="J164" s="362"/>
      <c r="K164" s="362"/>
      <c r="L164" s="362"/>
      <c r="M164" s="362"/>
      <c r="N164" s="362"/>
      <c r="O164" s="362"/>
      <c r="P164" s="362"/>
      <c r="Q164" s="362"/>
      <c r="R164" s="362"/>
      <c r="S164" s="362"/>
      <c r="T164" s="362"/>
      <c r="U164" s="362"/>
      <c r="V164" s="362"/>
      <c r="W164" s="362"/>
      <c r="X164" s="362"/>
      <c r="Y164" s="371">
        <v>43843</v>
      </c>
      <c r="Z164" s="372">
        <v>1888742</v>
      </c>
      <c r="AA164" s="362"/>
    </row>
    <row r="165" spans="1:27" x14ac:dyDescent="0.25">
      <c r="A165" s="370">
        <v>33</v>
      </c>
      <c r="B165" s="370" t="s">
        <v>3948</v>
      </c>
      <c r="C165" s="371"/>
      <c r="D165" s="372"/>
      <c r="E165" s="371"/>
      <c r="F165" s="372"/>
      <c r="G165" s="371"/>
      <c r="H165" s="372"/>
      <c r="I165" s="362"/>
      <c r="J165" s="362"/>
      <c r="K165" s="362"/>
      <c r="L165" s="362"/>
      <c r="M165" s="362"/>
      <c r="N165" s="362"/>
      <c r="O165" s="362"/>
      <c r="P165" s="362"/>
      <c r="Q165" s="362"/>
      <c r="R165" s="362"/>
      <c r="S165" s="362"/>
      <c r="T165" s="362"/>
      <c r="U165" s="362"/>
      <c r="V165" s="362"/>
      <c r="W165" s="362"/>
      <c r="X165" s="362"/>
      <c r="Y165" s="362"/>
      <c r="Z165" s="362"/>
      <c r="AA165" s="362"/>
    </row>
    <row r="166" spans="1:27" x14ac:dyDescent="0.25">
      <c r="A166" s="370">
        <v>34</v>
      </c>
      <c r="B166" s="362" t="s">
        <v>3131</v>
      </c>
      <c r="C166" s="371"/>
      <c r="D166" s="372"/>
      <c r="E166" s="371"/>
      <c r="F166" s="372"/>
      <c r="G166" s="371"/>
      <c r="H166" s="372"/>
      <c r="I166" s="362"/>
      <c r="J166" s="362"/>
      <c r="K166" s="371">
        <v>43854</v>
      </c>
      <c r="L166" s="372">
        <v>400002000</v>
      </c>
      <c r="M166" s="371">
        <v>43878</v>
      </c>
      <c r="N166" s="372">
        <v>316695548</v>
      </c>
      <c r="O166" s="371">
        <v>43885</v>
      </c>
      <c r="P166" s="372">
        <v>379353190</v>
      </c>
      <c r="Q166" s="371">
        <v>43886</v>
      </c>
      <c r="R166" s="372">
        <v>400000000</v>
      </c>
      <c r="S166" s="371">
        <v>43887</v>
      </c>
      <c r="T166" s="372">
        <v>451731274</v>
      </c>
      <c r="U166" s="371">
        <v>43888</v>
      </c>
      <c r="V166" s="372">
        <v>395868947</v>
      </c>
      <c r="W166" s="362"/>
      <c r="X166" s="362"/>
      <c r="Y166" s="362"/>
      <c r="Z166" s="362"/>
      <c r="AA166" s="362"/>
    </row>
    <row r="167" spans="1:27" x14ac:dyDescent="0.25">
      <c r="A167" s="370"/>
      <c r="B167" s="362"/>
      <c r="C167" s="371"/>
      <c r="D167" s="372"/>
      <c r="E167" s="371"/>
      <c r="F167" s="372"/>
      <c r="G167" s="371"/>
      <c r="H167" s="372"/>
      <c r="I167" s="362"/>
      <c r="J167" s="362"/>
      <c r="K167" s="362"/>
      <c r="L167" s="362"/>
      <c r="M167" s="362"/>
      <c r="N167" s="362"/>
      <c r="O167" s="362"/>
      <c r="P167" s="362"/>
      <c r="Q167" s="362"/>
      <c r="R167" s="362"/>
      <c r="S167" s="362"/>
      <c r="T167" s="362"/>
      <c r="U167" s="362"/>
      <c r="V167" s="362"/>
      <c r="W167" s="362"/>
      <c r="X167" s="362"/>
      <c r="Y167" s="362"/>
      <c r="Z167" s="362"/>
      <c r="AA167" s="362"/>
    </row>
    <row r="168" spans="1:27" x14ac:dyDescent="0.25">
      <c r="A168" s="370"/>
      <c r="B168" s="362"/>
      <c r="C168" s="371"/>
      <c r="D168" s="372"/>
      <c r="E168" s="371"/>
      <c r="F168" s="372"/>
      <c r="G168" s="371"/>
      <c r="H168" s="372"/>
      <c r="I168" s="362"/>
      <c r="J168" s="362"/>
      <c r="K168" s="362"/>
      <c r="L168" s="362"/>
      <c r="M168" s="362"/>
      <c r="N168" s="362"/>
      <c r="O168" s="362"/>
      <c r="P168" s="362"/>
      <c r="Q168" s="362"/>
      <c r="R168" s="362"/>
      <c r="S168" s="362"/>
      <c r="T168" s="362"/>
      <c r="U168" s="362"/>
      <c r="V168" s="362"/>
      <c r="W168" s="362"/>
      <c r="X168" s="362"/>
      <c r="Y168" s="362"/>
      <c r="Z168" s="362"/>
      <c r="AA168" s="362"/>
    </row>
    <row r="169" spans="1:27" x14ac:dyDescent="0.25">
      <c r="A169" s="370"/>
      <c r="B169" s="362"/>
      <c r="C169" s="371"/>
      <c r="D169" s="362"/>
      <c r="E169" s="371"/>
      <c r="F169" s="372"/>
      <c r="G169" s="371"/>
      <c r="H169" s="372"/>
      <c r="I169" s="362"/>
      <c r="J169" s="362"/>
      <c r="K169" s="362"/>
      <c r="L169" s="362"/>
      <c r="M169" s="362"/>
      <c r="N169" s="362"/>
      <c r="O169" s="362"/>
      <c r="P169" s="362"/>
      <c r="Q169" s="362"/>
      <c r="R169" s="362"/>
      <c r="S169" s="362"/>
      <c r="T169" s="362"/>
      <c r="U169" s="362"/>
      <c r="V169" s="362"/>
      <c r="W169" s="362"/>
      <c r="X169" s="362"/>
      <c r="Y169" s="362"/>
      <c r="Z169" s="362"/>
      <c r="AA169" s="362"/>
    </row>
    <row r="170" spans="1:27" x14ac:dyDescent="0.25">
      <c r="A170" s="370"/>
      <c r="B170" s="362"/>
      <c r="C170" s="371"/>
      <c r="D170" s="362"/>
      <c r="E170" s="371"/>
      <c r="F170" s="372"/>
      <c r="G170" s="371"/>
      <c r="H170" s="37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2"/>
      <c r="W170" s="362"/>
      <c r="X170" s="362"/>
      <c r="Y170" s="362"/>
      <c r="Z170" s="362"/>
      <c r="AA170" s="362"/>
    </row>
    <row r="171" spans="1:27" x14ac:dyDescent="0.25">
      <c r="A171" s="362">
        <v>35</v>
      </c>
      <c r="B171" s="362" t="s">
        <v>3953</v>
      </c>
      <c r="C171" s="371"/>
      <c r="D171" s="362"/>
      <c r="E171" s="371"/>
      <c r="F171" s="372"/>
      <c r="G171" s="371"/>
      <c r="H171" s="37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2"/>
      <c r="W171" s="362"/>
      <c r="X171" s="362"/>
      <c r="Y171" s="362"/>
      <c r="Z171" s="362"/>
      <c r="AA171" s="362"/>
    </row>
    <row r="172" spans="1:27" x14ac:dyDescent="0.25">
      <c r="A172" s="362"/>
      <c r="B172" s="362"/>
      <c r="C172" s="371"/>
      <c r="D172" s="362"/>
      <c r="E172" s="371"/>
      <c r="F172" s="372"/>
      <c r="G172" s="371"/>
      <c r="H172" s="37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2"/>
      <c r="W172" s="362"/>
      <c r="X172" s="362"/>
      <c r="Y172" s="362"/>
      <c r="Z172" s="362"/>
      <c r="AA172" s="362"/>
    </row>
    <row r="173" spans="1:27" x14ac:dyDescent="0.25">
      <c r="A173" s="362">
        <v>36</v>
      </c>
      <c r="B173" s="362" t="s">
        <v>3954</v>
      </c>
      <c r="C173" s="371"/>
      <c r="D173" s="362"/>
      <c r="E173" s="362"/>
      <c r="F173" s="372"/>
      <c r="G173" s="371"/>
      <c r="H173" s="37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2"/>
      <c r="W173" s="362"/>
      <c r="X173" s="362"/>
      <c r="Y173" s="362"/>
      <c r="Z173" s="362"/>
      <c r="AA173" s="362"/>
    </row>
    <row r="174" spans="1:27" x14ac:dyDescent="0.25">
      <c r="A174" s="362"/>
      <c r="B174" s="362"/>
      <c r="C174" s="371"/>
      <c r="D174" s="362"/>
      <c r="E174" s="362"/>
      <c r="F174" s="372"/>
      <c r="G174" s="371"/>
      <c r="H174" s="37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362"/>
      <c r="W174" s="362"/>
      <c r="X174" s="362"/>
      <c r="Y174" s="362"/>
      <c r="Z174" s="362"/>
      <c r="AA174" s="362"/>
    </row>
    <row r="175" spans="1:27" x14ac:dyDescent="0.25">
      <c r="A175" s="362"/>
      <c r="B175" s="362"/>
      <c r="C175" s="371"/>
      <c r="D175" s="362"/>
      <c r="E175" s="362"/>
      <c r="F175" s="362"/>
      <c r="G175" s="371"/>
      <c r="H175" s="362"/>
      <c r="I175" s="362"/>
      <c r="J175" s="362"/>
      <c r="K175" s="362"/>
      <c r="L175" s="362"/>
      <c r="M175" s="362"/>
      <c r="N175" s="362"/>
      <c r="O175" s="362"/>
      <c r="P175" s="362"/>
      <c r="Q175" s="362"/>
      <c r="R175" s="362"/>
      <c r="S175" s="362"/>
      <c r="T175" s="362"/>
      <c r="U175" s="362"/>
      <c r="V175" s="362"/>
      <c r="W175" s="362"/>
      <c r="X175" s="362"/>
      <c r="Y175" s="362"/>
      <c r="Z175" s="362"/>
      <c r="AA175" s="362"/>
    </row>
  </sheetData>
  <mergeCells count="9">
    <mergeCell ref="A119:A120"/>
    <mergeCell ref="B119:B120"/>
    <mergeCell ref="C119:Z119"/>
    <mergeCell ref="AA119:AA120"/>
    <mergeCell ref="C2:Z2"/>
    <mergeCell ref="A2:A3"/>
    <mergeCell ref="B2:B3"/>
    <mergeCell ref="AA2:AA3"/>
    <mergeCell ref="E82:J82"/>
  </mergeCells>
  <pageMargins left="0.37" right="0.34" top="0.75" bottom="0.75" header="0.3" footer="0.3"/>
  <pageSetup scale="24" orientation="portrait" horizontalDpi="360" verticalDpi="360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40"/>
  <sheetViews>
    <sheetView workbookViewId="0">
      <selection activeCell="K2" sqref="K2"/>
    </sheetView>
  </sheetViews>
  <sheetFormatPr defaultRowHeight="15" x14ac:dyDescent="0.25"/>
  <cols>
    <col min="2" max="2" width="22.7109375" customWidth="1"/>
    <col min="3" max="3" width="13.85546875" customWidth="1"/>
    <col min="4" max="5" width="10.7109375" bestFit="1" customWidth="1"/>
    <col min="6" max="6" width="18.28515625" style="254" customWidth="1"/>
    <col min="7" max="7" width="24.7109375" customWidth="1"/>
    <col min="8" max="8" width="25.140625" customWidth="1"/>
    <col min="9" max="9" width="10" bestFit="1" customWidth="1"/>
  </cols>
  <sheetData>
    <row r="1" spans="2:8" x14ac:dyDescent="0.25">
      <c r="B1" s="1607" t="s">
        <v>6063</v>
      </c>
      <c r="C1" s="1607"/>
      <c r="D1" s="1607"/>
      <c r="E1" s="1607"/>
      <c r="F1" s="1607"/>
      <c r="G1" s="1607"/>
      <c r="H1" s="1607"/>
    </row>
    <row r="2" spans="2:8" s="254" customFormat="1" x14ac:dyDescent="0.25"/>
    <row r="3" spans="2:8" x14ac:dyDescent="0.25">
      <c r="B3" s="933" t="s">
        <v>6055</v>
      </c>
      <c r="C3" s="933" t="s">
        <v>6056</v>
      </c>
      <c r="D3" s="933" t="s">
        <v>6058</v>
      </c>
      <c r="E3" s="933" t="s">
        <v>6059</v>
      </c>
      <c r="F3" s="933" t="s">
        <v>6070</v>
      </c>
      <c r="G3" s="933" t="s">
        <v>6060</v>
      </c>
      <c r="H3" s="933" t="s">
        <v>6069</v>
      </c>
    </row>
    <row r="4" spans="2:8" x14ac:dyDescent="0.25">
      <c r="B4" s="362" t="s">
        <v>288</v>
      </c>
      <c r="C4" s="362" t="s">
        <v>6057</v>
      </c>
      <c r="D4" s="364">
        <v>43738</v>
      </c>
      <c r="E4" s="364">
        <v>44803</v>
      </c>
      <c r="F4" s="560">
        <f>SUM(F7:F9)</f>
        <v>4971690500</v>
      </c>
      <c r="G4" s="560">
        <v>142048300</v>
      </c>
      <c r="H4" s="560">
        <f>SUM(H7:H9)</f>
        <v>2840966000</v>
      </c>
    </row>
    <row r="5" spans="2:8" x14ac:dyDescent="0.25">
      <c r="B5" s="362" t="s">
        <v>6061</v>
      </c>
      <c r="C5" s="362" t="s">
        <v>6062</v>
      </c>
      <c r="D5" s="364">
        <v>43649</v>
      </c>
      <c r="E5" s="364">
        <v>44715</v>
      </c>
      <c r="F5" s="560">
        <f>SUM(F11:F12)</f>
        <v>513616526</v>
      </c>
      <c r="G5" s="560">
        <v>17070000</v>
      </c>
      <c r="H5" s="560">
        <f>SUM(H11:H12)</f>
        <v>265567089</v>
      </c>
    </row>
    <row r="6" spans="2:8" x14ac:dyDescent="0.25">
      <c r="B6" s="254"/>
      <c r="C6" s="254"/>
      <c r="D6" s="254"/>
      <c r="E6" s="254"/>
      <c r="G6" s="254"/>
    </row>
    <row r="7" spans="2:8" x14ac:dyDescent="0.25">
      <c r="B7" s="254" t="s">
        <v>288</v>
      </c>
      <c r="C7" s="254" t="s">
        <v>6064</v>
      </c>
      <c r="D7" s="254"/>
      <c r="E7" s="254"/>
      <c r="F7" s="463">
        <f>2096118800+377023200</f>
        <v>2473142000</v>
      </c>
      <c r="G7" s="934">
        <v>70661200</v>
      </c>
      <c r="H7" s="463">
        <f>1281743377+131480623</f>
        <v>1413224000</v>
      </c>
    </row>
    <row r="8" spans="2:8" x14ac:dyDescent="0.25">
      <c r="B8" s="254"/>
      <c r="C8" s="254" t="s">
        <v>6065</v>
      </c>
      <c r="D8" s="254"/>
      <c r="E8" s="254"/>
      <c r="F8" s="463">
        <f>1743853900+313659600</f>
        <v>2057513500</v>
      </c>
      <c r="G8" s="934">
        <v>58786100</v>
      </c>
      <c r="H8" s="463">
        <f>1066338425+109383575</f>
        <v>1175722000</v>
      </c>
    </row>
    <row r="9" spans="2:8" x14ac:dyDescent="0.25">
      <c r="B9" s="254"/>
      <c r="C9" s="254" t="s">
        <v>6066</v>
      </c>
      <c r="D9" s="254"/>
      <c r="E9" s="254"/>
      <c r="F9" s="463">
        <f>373799000+67236000</f>
        <v>441035000</v>
      </c>
      <c r="G9" s="934">
        <v>12601000</v>
      </c>
      <c r="H9" s="463">
        <f>228572528+23447472</f>
        <v>252020000</v>
      </c>
    </row>
    <row r="10" spans="2:8" x14ac:dyDescent="0.25">
      <c r="B10" s="254"/>
      <c r="C10" s="254"/>
      <c r="D10" s="254"/>
      <c r="E10" s="254"/>
      <c r="F10" s="463"/>
      <c r="G10" s="254"/>
      <c r="H10" s="463"/>
    </row>
    <row r="11" spans="2:8" x14ac:dyDescent="0.25">
      <c r="B11" s="254" t="s">
        <v>6061</v>
      </c>
      <c r="C11" s="254" t="s">
        <v>6067</v>
      </c>
      <c r="D11" s="254"/>
      <c r="E11" s="254"/>
      <c r="F11" s="463">
        <v>169112016</v>
      </c>
      <c r="G11" s="463">
        <v>5640000</v>
      </c>
      <c r="H11" s="463">
        <f>87590421</f>
        <v>87590421</v>
      </c>
    </row>
    <row r="12" spans="2:8" x14ac:dyDescent="0.25">
      <c r="B12" s="254"/>
      <c r="C12" s="254" t="s">
        <v>6068</v>
      </c>
      <c r="D12" s="254"/>
      <c r="E12" s="254"/>
      <c r="F12" s="463">
        <f>114838170+114833170+114833170</f>
        <v>344504510</v>
      </c>
      <c r="G12" s="463">
        <v>11430000</v>
      </c>
      <c r="H12" s="463">
        <f>59325556+59325556+59325556</f>
        <v>177976668</v>
      </c>
    </row>
    <row r="13" spans="2:8" x14ac:dyDescent="0.25">
      <c r="D13" s="366"/>
      <c r="F13" s="463"/>
      <c r="H13" s="463"/>
    </row>
    <row r="14" spans="2:8" x14ac:dyDescent="0.25">
      <c r="D14" s="366"/>
      <c r="H14" s="463"/>
    </row>
    <row r="15" spans="2:8" x14ac:dyDescent="0.25">
      <c r="D15" s="366"/>
    </row>
    <row r="16" spans="2:8" x14ac:dyDescent="0.25">
      <c r="D16" s="366"/>
    </row>
    <row r="17" spans="4:8" x14ac:dyDescent="0.25">
      <c r="D17" s="366"/>
    </row>
    <row r="18" spans="4:8" x14ac:dyDescent="0.25">
      <c r="D18" s="366"/>
    </row>
    <row r="19" spans="4:8" x14ac:dyDescent="0.25">
      <c r="D19" s="366"/>
    </row>
    <row r="20" spans="4:8" x14ac:dyDescent="0.25">
      <c r="D20" s="366"/>
      <c r="G20" t="s">
        <v>6203</v>
      </c>
      <c r="H20" t="s">
        <v>6204</v>
      </c>
    </row>
    <row r="21" spans="4:8" x14ac:dyDescent="0.25">
      <c r="D21" s="366"/>
    </row>
    <row r="22" spans="4:8" x14ac:dyDescent="0.25">
      <c r="D22" s="366"/>
      <c r="H22" t="s">
        <v>6110</v>
      </c>
    </row>
    <row r="23" spans="4:8" x14ac:dyDescent="0.25">
      <c r="D23" s="366"/>
    </row>
    <row r="24" spans="4:8" x14ac:dyDescent="0.25">
      <c r="D24" s="366"/>
    </row>
    <row r="25" spans="4:8" x14ac:dyDescent="0.25">
      <c r="D25" s="366"/>
    </row>
    <row r="26" spans="4:8" x14ac:dyDescent="0.25">
      <c r="D26" s="366"/>
    </row>
    <row r="27" spans="4:8" x14ac:dyDescent="0.25">
      <c r="D27" s="366"/>
    </row>
    <row r="28" spans="4:8" x14ac:dyDescent="0.25">
      <c r="D28" s="366"/>
    </row>
    <row r="29" spans="4:8" x14ac:dyDescent="0.25">
      <c r="D29" s="366"/>
    </row>
    <row r="30" spans="4:8" x14ac:dyDescent="0.25">
      <c r="D30" s="366"/>
    </row>
    <row r="31" spans="4:8" x14ac:dyDescent="0.25">
      <c r="D31" s="366"/>
    </row>
    <row r="32" spans="4:8" x14ac:dyDescent="0.25">
      <c r="D32" s="366"/>
    </row>
    <row r="33" spans="4:4" x14ac:dyDescent="0.25">
      <c r="D33" s="366"/>
    </row>
    <row r="34" spans="4:4" x14ac:dyDescent="0.25">
      <c r="D34" s="366"/>
    </row>
    <row r="35" spans="4:4" x14ac:dyDescent="0.25">
      <c r="D35" s="366"/>
    </row>
    <row r="36" spans="4:4" x14ac:dyDescent="0.25">
      <c r="D36" s="366"/>
    </row>
    <row r="37" spans="4:4" x14ac:dyDescent="0.25">
      <c r="D37" s="366"/>
    </row>
    <row r="38" spans="4:4" x14ac:dyDescent="0.25">
      <c r="D38" s="366"/>
    </row>
    <row r="39" spans="4:4" x14ac:dyDescent="0.25">
      <c r="D39" s="366"/>
    </row>
    <row r="40" spans="4:4" x14ac:dyDescent="0.25">
      <c r="D40" s="366"/>
    </row>
  </sheetData>
  <mergeCells count="1">
    <mergeCell ref="B1:H1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topLeftCell="A4" workbookViewId="0">
      <selection activeCell="C19" sqref="C19"/>
    </sheetView>
  </sheetViews>
  <sheetFormatPr defaultColWidth="9.140625" defaultRowHeight="15" x14ac:dyDescent="0.25"/>
  <cols>
    <col min="1" max="1" width="9.140625" style="254"/>
    <col min="2" max="2" width="13.28515625" style="254" customWidth="1"/>
    <col min="3" max="3" width="66" style="254" customWidth="1"/>
    <col min="4" max="4" width="11.28515625" style="254" customWidth="1"/>
    <col min="5" max="6" width="14.5703125" style="254" customWidth="1"/>
    <col min="7" max="7" width="10.7109375" style="254" bestFit="1" customWidth="1"/>
    <col min="8" max="16384" width="9.140625" style="254"/>
  </cols>
  <sheetData>
    <row r="1" spans="1:8" x14ac:dyDescent="0.25">
      <c r="A1" s="1607" t="s">
        <v>6136</v>
      </c>
      <c r="B1" s="1607"/>
      <c r="C1" s="1607"/>
      <c r="D1" s="1607"/>
      <c r="E1" s="1607"/>
      <c r="F1" s="1607"/>
      <c r="G1" s="1607"/>
    </row>
    <row r="3" spans="1:8" x14ac:dyDescent="0.25">
      <c r="A3" s="1665" t="s">
        <v>3119</v>
      </c>
      <c r="B3" s="1665" t="s">
        <v>6129</v>
      </c>
      <c r="C3" s="1667" t="s">
        <v>5961</v>
      </c>
      <c r="D3" s="1665" t="s">
        <v>6117</v>
      </c>
      <c r="E3" s="1668" t="s">
        <v>5341</v>
      </c>
      <c r="F3" s="1668"/>
      <c r="G3" s="1668" t="s">
        <v>6049</v>
      </c>
      <c r="H3" s="1665" t="s">
        <v>6137</v>
      </c>
    </row>
    <row r="4" spans="1:8" x14ac:dyDescent="0.25">
      <c r="A4" s="1666"/>
      <c r="B4" s="1666"/>
      <c r="C4" s="1667"/>
      <c r="D4" s="1666"/>
      <c r="E4" s="1401" t="s">
        <v>6134</v>
      </c>
      <c r="F4" s="1401" t="s">
        <v>6135</v>
      </c>
      <c r="G4" s="1668"/>
      <c r="H4" s="1666"/>
    </row>
    <row r="5" spans="1:8" x14ac:dyDescent="0.25">
      <c r="A5" s="362">
        <v>1</v>
      </c>
      <c r="B5" s="362" t="s">
        <v>6130</v>
      </c>
      <c r="C5" s="362" t="s">
        <v>6131</v>
      </c>
      <c r="D5" s="560">
        <v>18099932</v>
      </c>
      <c r="E5" s="364">
        <v>44409</v>
      </c>
      <c r="F5" s="364">
        <v>44719</v>
      </c>
      <c r="G5" s="609">
        <v>44431</v>
      </c>
      <c r="H5" s="362" t="s">
        <v>6138</v>
      </c>
    </row>
    <row r="6" spans="1:8" x14ac:dyDescent="0.25">
      <c r="A6" s="362">
        <v>2</v>
      </c>
      <c r="B6" s="362" t="s">
        <v>6130</v>
      </c>
      <c r="C6" s="362" t="s">
        <v>6132</v>
      </c>
      <c r="D6" s="560">
        <v>15390192</v>
      </c>
      <c r="E6" s="364">
        <v>44409</v>
      </c>
      <c r="F6" s="364">
        <v>44719</v>
      </c>
      <c r="G6" s="609">
        <v>44431</v>
      </c>
      <c r="H6" s="362" t="s">
        <v>6138</v>
      </c>
    </row>
    <row r="7" spans="1:8" x14ac:dyDescent="0.25">
      <c r="A7" s="362">
        <v>3</v>
      </c>
      <c r="B7" s="362" t="s">
        <v>6130</v>
      </c>
      <c r="C7" s="362" t="s">
        <v>6133</v>
      </c>
      <c r="D7" s="560">
        <v>11777205</v>
      </c>
      <c r="E7" s="364">
        <v>44409</v>
      </c>
      <c r="F7" s="364">
        <v>44719</v>
      </c>
      <c r="G7" s="609">
        <v>44431</v>
      </c>
      <c r="H7" s="362" t="s">
        <v>6138</v>
      </c>
    </row>
    <row r="8" spans="1:8" x14ac:dyDescent="0.25">
      <c r="A8" s="362">
        <v>4</v>
      </c>
      <c r="B8" s="362" t="s">
        <v>6130</v>
      </c>
      <c r="C8" s="362" t="s">
        <v>6139</v>
      </c>
      <c r="D8" s="560">
        <v>2462000</v>
      </c>
      <c r="E8" s="364">
        <v>44409</v>
      </c>
      <c r="F8" s="364">
        <v>44774</v>
      </c>
      <c r="G8" s="609">
        <v>44431</v>
      </c>
      <c r="H8" s="362" t="s">
        <v>6138</v>
      </c>
    </row>
    <row r="9" spans="1:8" x14ac:dyDescent="0.25">
      <c r="A9" s="362">
        <v>5</v>
      </c>
      <c r="B9" s="362" t="s">
        <v>6130</v>
      </c>
      <c r="C9" s="362" t="s">
        <v>6140</v>
      </c>
      <c r="D9" s="560">
        <v>2570790</v>
      </c>
      <c r="E9" s="364">
        <v>44409</v>
      </c>
      <c r="F9" s="364">
        <v>44774</v>
      </c>
      <c r="G9" s="609">
        <v>44431</v>
      </c>
      <c r="H9" s="362" t="s">
        <v>6138</v>
      </c>
    </row>
    <row r="10" spans="1:8" x14ac:dyDescent="0.25">
      <c r="A10" s="362">
        <v>6</v>
      </c>
      <c r="B10" s="362" t="s">
        <v>6130</v>
      </c>
      <c r="C10" s="362" t="s">
        <v>6141</v>
      </c>
      <c r="D10" s="560">
        <v>2570790</v>
      </c>
      <c r="E10" s="364">
        <v>44409</v>
      </c>
      <c r="F10" s="364">
        <v>44774</v>
      </c>
      <c r="G10" s="609">
        <v>44431</v>
      </c>
      <c r="H10" s="362" t="s">
        <v>6138</v>
      </c>
    </row>
    <row r="11" spans="1:8" x14ac:dyDescent="0.25">
      <c r="A11" s="362">
        <v>7</v>
      </c>
      <c r="B11" s="362" t="s">
        <v>6130</v>
      </c>
      <c r="C11" s="362" t="s">
        <v>6142</v>
      </c>
      <c r="D11" s="560">
        <v>2570790</v>
      </c>
      <c r="E11" s="364">
        <v>44409</v>
      </c>
      <c r="F11" s="364">
        <v>44774</v>
      </c>
      <c r="G11" s="609">
        <v>44431</v>
      </c>
      <c r="H11" s="362" t="s">
        <v>6138</v>
      </c>
    </row>
    <row r="12" spans="1:8" x14ac:dyDescent="0.25">
      <c r="A12" s="362">
        <v>8</v>
      </c>
      <c r="B12" s="362" t="s">
        <v>6130</v>
      </c>
      <c r="C12" s="362" t="s">
        <v>6143</v>
      </c>
      <c r="D12" s="560">
        <v>2570790</v>
      </c>
      <c r="E12" s="364">
        <v>44409</v>
      </c>
      <c r="F12" s="364">
        <v>44774</v>
      </c>
      <c r="G12" s="609">
        <v>44431</v>
      </c>
      <c r="H12" s="362" t="s">
        <v>6138</v>
      </c>
    </row>
    <row r="13" spans="1:8" x14ac:dyDescent="0.25">
      <c r="A13" s="362">
        <v>9</v>
      </c>
      <c r="B13" s="362" t="s">
        <v>6130</v>
      </c>
      <c r="C13" s="362" t="s">
        <v>6144</v>
      </c>
      <c r="D13" s="560">
        <v>2570790</v>
      </c>
      <c r="E13" s="364">
        <v>44409</v>
      </c>
      <c r="F13" s="364">
        <v>44774</v>
      </c>
      <c r="G13" s="609">
        <v>44431</v>
      </c>
      <c r="H13" s="362" t="s">
        <v>6138</v>
      </c>
    </row>
    <row r="14" spans="1:8" x14ac:dyDescent="0.25">
      <c r="A14" s="362">
        <v>10</v>
      </c>
      <c r="B14" s="362" t="s">
        <v>6130</v>
      </c>
      <c r="C14" s="362" t="s">
        <v>6297</v>
      </c>
      <c r="D14" s="560">
        <v>285781</v>
      </c>
      <c r="E14" s="364">
        <v>44320</v>
      </c>
      <c r="F14" s="364">
        <v>44808</v>
      </c>
      <c r="G14" s="609">
        <v>44455</v>
      </c>
      <c r="H14" s="362" t="s">
        <v>6156</v>
      </c>
    </row>
    <row r="15" spans="1:8" x14ac:dyDescent="0.25">
      <c r="A15" s="362">
        <v>11</v>
      </c>
      <c r="B15" s="362" t="s">
        <v>6130</v>
      </c>
      <c r="C15" s="362" t="s">
        <v>6298</v>
      </c>
      <c r="D15" s="560">
        <v>510423</v>
      </c>
      <c r="E15" s="364">
        <v>44211</v>
      </c>
      <c r="F15" s="364">
        <v>44808</v>
      </c>
      <c r="G15" s="609">
        <v>44455</v>
      </c>
      <c r="H15" s="362" t="s">
        <v>6156</v>
      </c>
    </row>
    <row r="16" spans="1:8" x14ac:dyDescent="0.25">
      <c r="A16" s="362">
        <v>12</v>
      </c>
      <c r="B16" s="362" t="s">
        <v>6130</v>
      </c>
      <c r="C16" s="362" t="s">
        <v>6296</v>
      </c>
      <c r="D16" s="560">
        <v>1140000</v>
      </c>
      <c r="E16" s="364">
        <v>44443</v>
      </c>
      <c r="F16" s="364">
        <v>44808</v>
      </c>
      <c r="G16" s="609">
        <v>44455</v>
      </c>
      <c r="H16" s="362" t="s">
        <v>6156</v>
      </c>
    </row>
    <row r="17" spans="1:8" x14ac:dyDescent="0.25">
      <c r="A17" s="362">
        <v>13</v>
      </c>
      <c r="B17" s="362" t="s">
        <v>6130</v>
      </c>
      <c r="C17" s="362" t="s">
        <v>6157</v>
      </c>
      <c r="D17" s="560">
        <v>855000</v>
      </c>
      <c r="E17" s="364">
        <v>44443</v>
      </c>
      <c r="F17" s="364">
        <v>44808</v>
      </c>
      <c r="G17" s="609">
        <v>44455</v>
      </c>
      <c r="H17" s="362" t="s">
        <v>6156</v>
      </c>
    </row>
    <row r="18" spans="1:8" x14ac:dyDescent="0.25">
      <c r="A18" s="362">
        <v>14</v>
      </c>
      <c r="B18" s="362" t="s">
        <v>6130</v>
      </c>
      <c r="C18" s="362" t="s">
        <v>6158</v>
      </c>
      <c r="D18" s="560">
        <v>570000</v>
      </c>
      <c r="E18" s="364">
        <v>44443</v>
      </c>
      <c r="F18" s="364">
        <v>44808</v>
      </c>
      <c r="G18" s="609">
        <v>44455</v>
      </c>
      <c r="H18" s="362" t="s">
        <v>6156</v>
      </c>
    </row>
    <row r="19" spans="1:8" x14ac:dyDescent="0.25">
      <c r="A19" s="362">
        <v>15</v>
      </c>
      <c r="B19" s="362" t="s">
        <v>6130</v>
      </c>
      <c r="C19" s="362" t="s">
        <v>6159</v>
      </c>
      <c r="D19" s="560">
        <v>1425000</v>
      </c>
      <c r="E19" s="364">
        <v>44443</v>
      </c>
      <c r="F19" s="364">
        <v>44808</v>
      </c>
      <c r="G19" s="609">
        <v>44455</v>
      </c>
      <c r="H19" s="362" t="s">
        <v>6156</v>
      </c>
    </row>
    <row r="20" spans="1:8" x14ac:dyDescent="0.25">
      <c r="A20" s="362">
        <v>16</v>
      </c>
      <c r="B20" s="362" t="s">
        <v>6130</v>
      </c>
      <c r="C20" s="362" t="s">
        <v>6160</v>
      </c>
      <c r="D20" s="560">
        <v>1567500</v>
      </c>
      <c r="E20" s="364">
        <v>44443</v>
      </c>
      <c r="F20" s="364">
        <v>44808</v>
      </c>
      <c r="G20" s="609">
        <v>44455</v>
      </c>
      <c r="H20" s="362" t="s">
        <v>6156</v>
      </c>
    </row>
    <row r="21" spans="1:8" x14ac:dyDescent="0.25">
      <c r="A21" s="362">
        <v>17</v>
      </c>
      <c r="B21" s="362" t="s">
        <v>6130</v>
      </c>
      <c r="C21" s="362" t="s">
        <v>6161</v>
      </c>
      <c r="D21" s="560">
        <v>1995000</v>
      </c>
      <c r="E21" s="364">
        <v>44443</v>
      </c>
      <c r="F21" s="364">
        <v>44808</v>
      </c>
      <c r="G21" s="609">
        <v>44455</v>
      </c>
      <c r="H21" s="362" t="s">
        <v>6156</v>
      </c>
    </row>
    <row r="22" spans="1:8" x14ac:dyDescent="0.25">
      <c r="A22" s="362">
        <v>18</v>
      </c>
      <c r="B22" s="362" t="s">
        <v>6130</v>
      </c>
      <c r="C22" s="362" t="s">
        <v>6162</v>
      </c>
      <c r="D22" s="560">
        <v>855000</v>
      </c>
      <c r="E22" s="364">
        <v>44443</v>
      </c>
      <c r="F22" s="364">
        <v>44808</v>
      </c>
      <c r="G22" s="609">
        <v>44455</v>
      </c>
      <c r="H22" s="362" t="s">
        <v>6156</v>
      </c>
    </row>
    <row r="23" spans="1:8" x14ac:dyDescent="0.25">
      <c r="A23" s="362">
        <v>19</v>
      </c>
      <c r="B23" s="362" t="s">
        <v>6130</v>
      </c>
      <c r="C23" s="362" t="s">
        <v>6163</v>
      </c>
      <c r="D23" s="560">
        <v>1140000</v>
      </c>
      <c r="E23" s="364">
        <v>44443</v>
      </c>
      <c r="F23" s="364">
        <v>44808</v>
      </c>
      <c r="G23" s="609">
        <v>44455</v>
      </c>
      <c r="H23" s="362" t="s">
        <v>6156</v>
      </c>
    </row>
    <row r="24" spans="1:8" x14ac:dyDescent="0.25">
      <c r="A24" s="362">
        <v>20</v>
      </c>
      <c r="B24" s="362" t="s">
        <v>6130</v>
      </c>
      <c r="C24" s="362" t="s">
        <v>6164</v>
      </c>
      <c r="D24" s="560">
        <v>1710000</v>
      </c>
      <c r="E24" s="364">
        <v>44443</v>
      </c>
      <c r="F24" s="364">
        <v>44808</v>
      </c>
      <c r="G24" s="609">
        <v>44455</v>
      </c>
      <c r="H24" s="362" t="s">
        <v>6156</v>
      </c>
    </row>
    <row r="25" spans="1:8" x14ac:dyDescent="0.25">
      <c r="A25" s="362">
        <v>21</v>
      </c>
      <c r="B25" s="362" t="s">
        <v>6130</v>
      </c>
      <c r="C25" s="362" t="s">
        <v>6165</v>
      </c>
      <c r="D25" s="560">
        <v>1995000</v>
      </c>
      <c r="E25" s="364">
        <v>44443</v>
      </c>
      <c r="F25" s="364">
        <v>44808</v>
      </c>
      <c r="G25" s="609">
        <v>44455</v>
      </c>
      <c r="H25" s="362" t="s">
        <v>6156</v>
      </c>
    </row>
    <row r="26" spans="1:8" x14ac:dyDescent="0.25">
      <c r="A26" s="362">
        <v>22</v>
      </c>
      <c r="B26" s="362" t="s">
        <v>6130</v>
      </c>
      <c r="C26" s="362" t="s">
        <v>6166</v>
      </c>
      <c r="D26" s="563">
        <v>1995000</v>
      </c>
      <c r="E26" s="364">
        <v>44443</v>
      </c>
      <c r="F26" s="364">
        <v>44808</v>
      </c>
      <c r="G26" s="609">
        <v>44455</v>
      </c>
      <c r="H26" s="362" t="s">
        <v>6156</v>
      </c>
    </row>
    <row r="27" spans="1:8" x14ac:dyDescent="0.25">
      <c r="A27" s="362">
        <v>23</v>
      </c>
      <c r="B27" s="362" t="s">
        <v>6130</v>
      </c>
      <c r="C27" s="362" t="s">
        <v>6167</v>
      </c>
      <c r="D27" s="563">
        <v>285000</v>
      </c>
      <c r="E27" s="364">
        <v>44443</v>
      </c>
      <c r="F27" s="364">
        <v>44808</v>
      </c>
      <c r="G27" s="609">
        <v>44455</v>
      </c>
      <c r="H27" s="362" t="s">
        <v>6156</v>
      </c>
    </row>
    <row r="28" spans="1:8" x14ac:dyDescent="0.25">
      <c r="A28" s="362">
        <v>24</v>
      </c>
      <c r="B28" s="362" t="s">
        <v>6130</v>
      </c>
      <c r="C28" s="362" t="s">
        <v>6168</v>
      </c>
      <c r="D28" s="563">
        <v>1425000</v>
      </c>
      <c r="E28" s="364">
        <v>44443</v>
      </c>
      <c r="F28" s="364">
        <v>44808</v>
      </c>
      <c r="G28" s="609">
        <v>44455</v>
      </c>
      <c r="H28" s="362" t="s">
        <v>6156</v>
      </c>
    </row>
    <row r="29" spans="1:8" x14ac:dyDescent="0.25">
      <c r="A29" s="362"/>
      <c r="B29" s="362"/>
      <c r="C29" s="362" t="s">
        <v>6169</v>
      </c>
      <c r="D29" s="563">
        <v>35000</v>
      </c>
      <c r="E29" s="364">
        <v>44443</v>
      </c>
      <c r="F29" s="364">
        <v>44808</v>
      </c>
      <c r="G29" s="609">
        <v>44455</v>
      </c>
      <c r="H29" s="362" t="s">
        <v>6156</v>
      </c>
    </row>
    <row r="30" spans="1:8" x14ac:dyDescent="0.25">
      <c r="A30" s="362">
        <v>25</v>
      </c>
      <c r="B30" s="362" t="s">
        <v>6228</v>
      </c>
      <c r="C30" s="362" t="s">
        <v>6229</v>
      </c>
      <c r="D30" s="563"/>
      <c r="E30" s="362"/>
      <c r="F30" s="362"/>
      <c r="G30" s="609">
        <v>44554</v>
      </c>
      <c r="H30" s="362" t="s">
        <v>6138</v>
      </c>
    </row>
    <row r="31" spans="1:8" x14ac:dyDescent="0.25">
      <c r="A31" s="362"/>
      <c r="B31" s="362"/>
      <c r="C31" s="362" t="s">
        <v>6230</v>
      </c>
      <c r="D31" s="362"/>
      <c r="E31" s="362"/>
      <c r="F31" s="362"/>
      <c r="G31" s="609">
        <v>44554</v>
      </c>
      <c r="H31" s="362" t="s">
        <v>6138</v>
      </c>
    </row>
    <row r="32" spans="1:8" x14ac:dyDescent="0.25">
      <c r="A32" s="362"/>
      <c r="B32" s="362"/>
      <c r="C32" s="362" t="s">
        <v>6231</v>
      </c>
      <c r="D32" s="362"/>
      <c r="E32" s="362"/>
      <c r="F32" s="362"/>
      <c r="G32" s="609">
        <v>44554</v>
      </c>
      <c r="H32" s="362" t="s">
        <v>6138</v>
      </c>
    </row>
    <row r="33" spans="1:8" x14ac:dyDescent="0.25">
      <c r="A33" s="362"/>
      <c r="B33" s="362"/>
      <c r="C33" s="362" t="s">
        <v>6232</v>
      </c>
      <c r="D33" s="362"/>
      <c r="E33" s="362"/>
      <c r="F33" s="362"/>
      <c r="G33" s="609">
        <v>44554</v>
      </c>
      <c r="H33" s="362" t="s">
        <v>6138</v>
      </c>
    </row>
    <row r="34" spans="1:8" x14ac:dyDescent="0.25">
      <c r="A34" s="362">
        <v>26</v>
      </c>
      <c r="B34" s="362" t="s">
        <v>6130</v>
      </c>
      <c r="C34" s="362" t="s">
        <v>6261</v>
      </c>
      <c r="D34" s="560">
        <v>323260</v>
      </c>
      <c r="E34" s="609">
        <v>44443</v>
      </c>
      <c r="F34" s="609">
        <v>44808</v>
      </c>
      <c r="G34" s="609">
        <v>44624</v>
      </c>
      <c r="H34" s="362" t="s">
        <v>6156</v>
      </c>
    </row>
    <row r="35" spans="1:8" x14ac:dyDescent="0.25">
      <c r="A35" s="362">
        <v>27</v>
      </c>
      <c r="B35" s="362" t="s">
        <v>6130</v>
      </c>
      <c r="C35" s="362" t="s">
        <v>6286</v>
      </c>
      <c r="D35" s="560">
        <v>7868160</v>
      </c>
      <c r="E35" s="612">
        <v>44652</v>
      </c>
      <c r="F35" s="612">
        <v>45017</v>
      </c>
      <c r="G35" s="609">
        <v>44663</v>
      </c>
      <c r="H35" s="362" t="s">
        <v>6138</v>
      </c>
    </row>
    <row r="36" spans="1:8" x14ac:dyDescent="0.25">
      <c r="A36" s="362"/>
      <c r="B36" s="362" t="s">
        <v>6130</v>
      </c>
      <c r="C36" s="362" t="s">
        <v>6287</v>
      </c>
      <c r="D36" s="560">
        <f>2386100+3385450</f>
        <v>5771550</v>
      </c>
      <c r="E36" s="612">
        <v>44682</v>
      </c>
      <c r="F36" s="612">
        <v>45047</v>
      </c>
      <c r="G36" s="609">
        <v>44699</v>
      </c>
      <c r="H36" s="362" t="s">
        <v>6138</v>
      </c>
    </row>
    <row r="37" spans="1:8" x14ac:dyDescent="0.25">
      <c r="A37" s="362"/>
      <c r="B37" s="362" t="s">
        <v>6130</v>
      </c>
      <c r="C37" s="362" t="s">
        <v>6288</v>
      </c>
      <c r="D37" s="560">
        <v>4704200</v>
      </c>
      <c r="E37" s="612">
        <v>44682</v>
      </c>
      <c r="F37" s="612">
        <v>45047</v>
      </c>
      <c r="G37" s="609">
        <v>44708</v>
      </c>
      <c r="H37" s="362" t="s">
        <v>6138</v>
      </c>
    </row>
    <row r="38" spans="1:8" x14ac:dyDescent="0.25">
      <c r="A38" s="362"/>
      <c r="B38" s="362" t="s">
        <v>6289</v>
      </c>
      <c r="C38" s="362" t="s">
        <v>6290</v>
      </c>
      <c r="D38" s="560">
        <v>35893000</v>
      </c>
      <c r="E38" s="609">
        <v>44681</v>
      </c>
      <c r="F38" s="609">
        <v>45046</v>
      </c>
      <c r="G38" s="609">
        <v>44715</v>
      </c>
      <c r="H38" s="362" t="s">
        <v>6138</v>
      </c>
    </row>
    <row r="39" spans="1:8" x14ac:dyDescent="0.25">
      <c r="A39" s="362"/>
      <c r="B39" s="362" t="s">
        <v>6289</v>
      </c>
      <c r="C39" s="362" t="s">
        <v>6291</v>
      </c>
      <c r="D39" s="560">
        <v>13087000</v>
      </c>
      <c r="E39" s="609">
        <v>44681</v>
      </c>
      <c r="F39" s="609">
        <v>45046</v>
      </c>
      <c r="G39" s="609">
        <v>44715</v>
      </c>
      <c r="H39" s="362" t="s">
        <v>6138</v>
      </c>
    </row>
    <row r="40" spans="1:8" x14ac:dyDescent="0.25">
      <c r="A40" s="362"/>
      <c r="B40" s="362" t="s">
        <v>6130</v>
      </c>
      <c r="C40" s="362" t="s">
        <v>6292</v>
      </c>
      <c r="D40" s="560">
        <v>15664000</v>
      </c>
      <c r="E40" s="609">
        <v>44714</v>
      </c>
      <c r="F40" s="609">
        <v>45079</v>
      </c>
      <c r="G40" s="609">
        <v>44728</v>
      </c>
      <c r="H40" s="362" t="s">
        <v>6138</v>
      </c>
    </row>
    <row r="41" spans="1:8" x14ac:dyDescent="0.25">
      <c r="A41" s="362"/>
      <c r="B41" s="362" t="s">
        <v>6293</v>
      </c>
      <c r="C41" s="362" t="s">
        <v>6294</v>
      </c>
      <c r="D41" s="560">
        <v>58116906</v>
      </c>
      <c r="E41" s="609">
        <v>44739</v>
      </c>
      <c r="F41" s="609">
        <v>45104</v>
      </c>
      <c r="G41" s="609">
        <v>44736</v>
      </c>
      <c r="H41" s="362" t="s">
        <v>6138</v>
      </c>
    </row>
  </sheetData>
  <mergeCells count="8">
    <mergeCell ref="A1:G1"/>
    <mergeCell ref="D3:D4"/>
    <mergeCell ref="H3:H4"/>
    <mergeCell ref="A3:A4"/>
    <mergeCell ref="B3:B4"/>
    <mergeCell ref="C3:C4"/>
    <mergeCell ref="E3:F3"/>
    <mergeCell ref="G3:G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X100"/>
  <sheetViews>
    <sheetView zoomScaleSheetLayoutView="100" workbookViewId="0">
      <pane xSplit="1" ySplit="5" topLeftCell="B33" activePane="bottomRight" state="frozen"/>
      <selection pane="topRight" activeCell="B1" sqref="B1"/>
      <selection pane="bottomLeft" activeCell="A6" sqref="A6"/>
      <selection pane="bottomRight" activeCell="I42" sqref="I42"/>
    </sheetView>
  </sheetViews>
  <sheetFormatPr defaultColWidth="9.140625" defaultRowHeight="16.5" x14ac:dyDescent="0.25"/>
  <cols>
    <col min="1" max="1" width="35.85546875" style="125" customWidth="1"/>
    <col min="2" max="2" width="22" style="125" customWidth="1"/>
    <col min="3" max="3" width="16.5703125" style="125" customWidth="1"/>
    <col min="4" max="4" width="16.28515625" style="125" customWidth="1"/>
    <col min="5" max="5" width="13.140625" style="125" customWidth="1"/>
    <col min="6" max="6" width="12.85546875" style="125" customWidth="1"/>
    <col min="7" max="7" width="13.140625" style="125" customWidth="1"/>
    <col min="8" max="8" width="12.5703125" style="125" customWidth="1"/>
    <col min="9" max="9" width="13" style="125" customWidth="1"/>
    <col min="10" max="10" width="14.42578125" style="125" customWidth="1"/>
    <col min="11" max="11" width="14" style="125" customWidth="1"/>
    <col min="12" max="12" width="14.5703125" style="125" customWidth="1"/>
    <col min="13" max="13" width="13" style="125" customWidth="1"/>
    <col min="14" max="14" width="13.5703125" style="125" customWidth="1"/>
    <col min="15" max="16" width="12.85546875" style="125" bestFit="1" customWidth="1"/>
    <col min="17" max="17" width="14.5703125" style="125" customWidth="1"/>
    <col min="18" max="18" width="14.28515625" style="125" customWidth="1"/>
    <col min="19" max="19" width="14.5703125" style="125" customWidth="1"/>
    <col min="20" max="20" width="14" style="125" customWidth="1"/>
    <col min="21" max="21" width="13.28515625" style="125" customWidth="1"/>
    <col min="22" max="22" width="12.85546875" style="125" bestFit="1" customWidth="1"/>
    <col min="23" max="23" width="14.5703125" style="125" customWidth="1"/>
    <col min="24" max="24" width="13.85546875" style="125" customWidth="1"/>
    <col min="25" max="25" width="13.5703125" style="125" customWidth="1"/>
    <col min="26" max="26" width="13.7109375" style="125" customWidth="1"/>
    <col min="27" max="27" width="13.140625" style="125" customWidth="1"/>
    <col min="28" max="28" width="13.42578125" style="125" customWidth="1"/>
    <col min="29" max="29" width="14.5703125" style="125" customWidth="1"/>
    <col min="30" max="37" width="13.5703125" style="125" customWidth="1"/>
    <col min="38" max="38" width="13.7109375" style="125" bestFit="1" customWidth="1"/>
    <col min="39" max="39" width="3.42578125" style="125" customWidth="1"/>
    <col min="40" max="40" width="14" style="125" customWidth="1"/>
    <col min="41" max="41" width="2.85546875" style="125" customWidth="1"/>
    <col min="42" max="42" width="13.42578125" style="125" customWidth="1"/>
    <col min="43" max="43" width="2.85546875" style="125" customWidth="1"/>
    <col min="44" max="44" width="13" style="125" customWidth="1"/>
    <col min="45" max="45" width="3" style="125" customWidth="1"/>
    <col min="46" max="46" width="13" style="125" customWidth="1"/>
    <col min="47" max="47" width="2.85546875" style="125" customWidth="1"/>
    <col min="48" max="48" width="13.140625" style="125" customWidth="1"/>
    <col min="49" max="49" width="3.42578125" style="125" customWidth="1"/>
    <col min="50" max="50" width="14.42578125" style="125" customWidth="1"/>
    <col min="51" max="16384" width="9.140625" style="125"/>
  </cols>
  <sheetData>
    <row r="1" spans="1:50" ht="20.25" x14ac:dyDescent="0.25">
      <c r="A1" s="161" t="s">
        <v>202</v>
      </c>
    </row>
    <row r="2" spans="1:50" x14ac:dyDescent="0.25">
      <c r="A2" s="160" t="s">
        <v>201</v>
      </c>
      <c r="B2" s="159"/>
      <c r="C2" s="159"/>
      <c r="D2" s="159"/>
    </row>
    <row r="3" spans="1:50" x14ac:dyDescent="0.25">
      <c r="A3" s="160" t="s">
        <v>6334</v>
      </c>
      <c r="B3" s="159"/>
      <c r="C3" s="159"/>
      <c r="D3" s="159"/>
    </row>
    <row r="4" spans="1:50" x14ac:dyDescent="0.25">
      <c r="A4" s="1469" t="s">
        <v>132</v>
      </c>
      <c r="B4" s="1469" t="s">
        <v>200</v>
      </c>
      <c r="C4" s="322"/>
      <c r="D4" s="322"/>
      <c r="E4" s="1467" t="s">
        <v>109</v>
      </c>
      <c r="F4" s="1468"/>
      <c r="G4" s="1468"/>
      <c r="H4" s="1468"/>
      <c r="I4" s="1468"/>
      <c r="J4" s="1468"/>
      <c r="K4" s="1468"/>
      <c r="L4" s="1468"/>
      <c r="M4" s="1468"/>
      <c r="N4" s="1468"/>
      <c r="O4" s="1468"/>
      <c r="P4" s="1468"/>
      <c r="Q4" s="1468"/>
      <c r="R4" s="1468"/>
      <c r="S4" s="1468"/>
      <c r="T4" s="1468"/>
      <c r="U4" s="1468"/>
      <c r="V4" s="1468"/>
      <c r="W4" s="1468"/>
      <c r="X4" s="1468"/>
      <c r="Y4" s="1468"/>
      <c r="Z4" s="1468"/>
      <c r="AA4" s="1468"/>
      <c r="AB4" s="1468"/>
      <c r="AC4" s="1468"/>
      <c r="AD4" s="1468"/>
      <c r="AE4" s="946"/>
      <c r="AF4" s="946"/>
      <c r="AG4" s="946"/>
      <c r="AH4" s="946"/>
      <c r="AI4" s="946"/>
      <c r="AJ4" s="946"/>
      <c r="AK4" s="946"/>
      <c r="AL4" s="1470" t="s">
        <v>24</v>
      </c>
      <c r="AN4" s="1465" t="s">
        <v>4308</v>
      </c>
      <c r="AP4" s="1465" t="s">
        <v>4309</v>
      </c>
      <c r="AR4" s="1465" t="s">
        <v>4310</v>
      </c>
      <c r="AT4" s="1465" t="s">
        <v>4311</v>
      </c>
      <c r="AV4" s="1465" t="s">
        <v>4307</v>
      </c>
      <c r="AX4" s="1465" t="s">
        <v>9</v>
      </c>
    </row>
    <row r="5" spans="1:50" x14ac:dyDescent="0.25">
      <c r="A5" s="1469"/>
      <c r="B5" s="1469"/>
      <c r="C5" s="323">
        <v>1</v>
      </c>
      <c r="D5" s="323">
        <v>2</v>
      </c>
      <c r="E5" s="323">
        <v>3</v>
      </c>
      <c r="F5" s="323">
        <v>4</v>
      </c>
      <c r="G5" s="323">
        <v>5</v>
      </c>
      <c r="H5" s="323">
        <v>6</v>
      </c>
      <c r="I5" s="323">
        <v>7</v>
      </c>
      <c r="J5" s="323">
        <v>8</v>
      </c>
      <c r="K5" s="323">
        <v>9</v>
      </c>
      <c r="L5" s="323">
        <v>10</v>
      </c>
      <c r="M5" s="323">
        <v>11</v>
      </c>
      <c r="N5" s="323">
        <v>12</v>
      </c>
      <c r="O5" s="323">
        <v>13</v>
      </c>
      <c r="P5" s="323">
        <v>14</v>
      </c>
      <c r="Q5" s="323">
        <v>15</v>
      </c>
      <c r="R5" s="323">
        <v>16</v>
      </c>
      <c r="S5" s="323">
        <v>17</v>
      </c>
      <c r="T5" s="323">
        <v>18</v>
      </c>
      <c r="U5" s="323">
        <v>19</v>
      </c>
      <c r="V5" s="323">
        <v>20</v>
      </c>
      <c r="W5" s="323">
        <v>21</v>
      </c>
      <c r="X5" s="323">
        <v>22</v>
      </c>
      <c r="Y5" s="323">
        <v>23</v>
      </c>
      <c r="Z5" s="323">
        <v>24</v>
      </c>
      <c r="AA5" s="323">
        <v>25</v>
      </c>
      <c r="AB5" s="323">
        <v>26</v>
      </c>
      <c r="AC5" s="323">
        <v>27</v>
      </c>
      <c r="AD5" s="323">
        <v>28</v>
      </c>
      <c r="AE5" s="323">
        <v>29</v>
      </c>
      <c r="AF5" s="323">
        <v>30</v>
      </c>
      <c r="AG5" s="323">
        <v>31</v>
      </c>
      <c r="AH5" s="323">
        <v>32</v>
      </c>
      <c r="AI5" s="323">
        <v>33</v>
      </c>
      <c r="AJ5" s="323">
        <v>34</v>
      </c>
      <c r="AK5" s="323">
        <v>35</v>
      </c>
      <c r="AL5" s="1470"/>
      <c r="AN5" s="1466"/>
      <c r="AP5" s="1466"/>
      <c r="AR5" s="1466"/>
      <c r="AT5" s="1466"/>
      <c r="AV5" s="1466"/>
      <c r="AX5" s="1466"/>
    </row>
    <row r="6" spans="1:50" ht="7.5" customHeight="1" x14ac:dyDescent="0.25"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N6" s="151"/>
      <c r="AP6" s="151"/>
      <c r="AR6" s="151"/>
      <c r="AT6" s="151"/>
      <c r="AV6" s="151"/>
      <c r="AX6" s="151"/>
    </row>
    <row r="7" spans="1:50" x14ac:dyDescent="0.25">
      <c r="A7" s="152" t="s">
        <v>11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N7" s="151"/>
      <c r="AP7" s="151"/>
      <c r="AR7" s="151"/>
      <c r="AT7" s="151"/>
      <c r="AV7" s="151"/>
      <c r="AX7" s="151"/>
    </row>
    <row r="8" spans="1:50" ht="7.5" customHeight="1" x14ac:dyDescent="0.25"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N8" s="151"/>
      <c r="AP8" s="151"/>
      <c r="AR8" s="151"/>
      <c r="AT8" s="151"/>
      <c r="AV8" s="151"/>
      <c r="AX8" s="151"/>
    </row>
    <row r="9" spans="1:50" x14ac:dyDescent="0.25">
      <c r="A9" s="137" t="s">
        <v>190</v>
      </c>
      <c r="B9" s="137" t="s">
        <v>189</v>
      </c>
      <c r="C9" s="922">
        <v>52670566418.010002</v>
      </c>
      <c r="D9" s="329">
        <f t="shared" ref="D9:I9" si="0">C36</f>
        <v>57811297912.019997</v>
      </c>
      <c r="E9" s="135">
        <f t="shared" si="0"/>
        <v>57811297912.019997</v>
      </c>
      <c r="F9" s="134">
        <f t="shared" si="0"/>
        <v>38395471201.019997</v>
      </c>
      <c r="G9" s="134">
        <f t="shared" si="0"/>
        <v>37444322168.019997</v>
      </c>
      <c r="H9" s="134">
        <f t="shared" si="0"/>
        <v>31373065229.740002</v>
      </c>
      <c r="I9" s="134">
        <f t="shared" si="0"/>
        <v>29894485291.990002</v>
      </c>
      <c r="J9" s="134">
        <f t="shared" ref="J9:M17" si="1">I36</f>
        <v>0</v>
      </c>
      <c r="K9" s="134">
        <f t="shared" si="1"/>
        <v>0</v>
      </c>
      <c r="L9" s="134">
        <f t="shared" si="1"/>
        <v>0</v>
      </c>
      <c r="M9" s="134">
        <f t="shared" si="1"/>
        <v>0</v>
      </c>
      <c r="N9" s="134">
        <f t="shared" ref="N9:N17" si="2">M36</f>
        <v>0</v>
      </c>
      <c r="O9" s="134">
        <f t="shared" ref="O9:O17" si="3">N36</f>
        <v>0</v>
      </c>
      <c r="P9" s="134">
        <f t="shared" ref="P9:P17" si="4">O36</f>
        <v>0</v>
      </c>
      <c r="Q9" s="134">
        <f t="shared" ref="Q9:Q17" si="5">P36</f>
        <v>0</v>
      </c>
      <c r="R9" s="134">
        <f t="shared" ref="R9:T17" si="6">Q36</f>
        <v>0</v>
      </c>
      <c r="S9" s="134">
        <f t="shared" si="6"/>
        <v>0</v>
      </c>
      <c r="T9" s="134">
        <f t="shared" si="6"/>
        <v>0</v>
      </c>
      <c r="U9" s="134">
        <f t="shared" ref="U9:AC9" si="7">T36</f>
        <v>0</v>
      </c>
      <c r="V9" s="134">
        <f t="shared" si="7"/>
        <v>0</v>
      </c>
      <c r="W9" s="134">
        <f t="shared" ref="W9:X17" si="8">V36</f>
        <v>0</v>
      </c>
      <c r="X9" s="134">
        <f t="shared" si="8"/>
        <v>0</v>
      </c>
      <c r="Y9" s="134">
        <f t="shared" si="7"/>
        <v>0</v>
      </c>
      <c r="Z9" s="134">
        <f t="shared" si="7"/>
        <v>0</v>
      </c>
      <c r="AA9" s="134">
        <f t="shared" si="7"/>
        <v>0</v>
      </c>
      <c r="AB9" s="134">
        <f t="shared" si="7"/>
        <v>0</v>
      </c>
      <c r="AC9" s="134">
        <f t="shared" si="7"/>
        <v>0</v>
      </c>
      <c r="AD9" s="134">
        <f>AC36</f>
        <v>0</v>
      </c>
      <c r="AE9" s="134">
        <f t="shared" ref="AE9:AK17" si="9">AD36</f>
        <v>0</v>
      </c>
      <c r="AF9" s="134">
        <f t="shared" si="9"/>
        <v>0</v>
      </c>
      <c r="AG9" s="134">
        <f t="shared" si="9"/>
        <v>0</v>
      </c>
      <c r="AH9" s="134">
        <f t="shared" si="9"/>
        <v>0</v>
      </c>
      <c r="AI9" s="134">
        <f t="shared" si="9"/>
        <v>0</v>
      </c>
      <c r="AJ9" s="134">
        <f t="shared" si="9"/>
        <v>0</v>
      </c>
      <c r="AK9" s="134">
        <f t="shared" si="9"/>
        <v>0</v>
      </c>
      <c r="AL9" s="134">
        <f t="shared" ref="AL9:AL17" si="10">SUM(C9:AD9)</f>
        <v>305400506132.81995</v>
      </c>
      <c r="AN9" s="134"/>
      <c r="AP9" s="134"/>
      <c r="AR9" s="134"/>
      <c r="AT9" s="134"/>
      <c r="AV9" s="134"/>
      <c r="AX9" s="134">
        <f>AN9+AP9+AR9+AT9+AV9</f>
        <v>0</v>
      </c>
    </row>
    <row r="10" spans="1:50" x14ac:dyDescent="0.25">
      <c r="A10" s="137" t="s">
        <v>188</v>
      </c>
      <c r="B10" s="137" t="s">
        <v>187</v>
      </c>
      <c r="C10" s="927">
        <v>591592340.44000006</v>
      </c>
      <c r="D10" s="329">
        <f t="shared" ref="D10:D17" si="11">C37</f>
        <v>591592340.44000006</v>
      </c>
      <c r="E10" s="135">
        <f t="shared" ref="E10:E17" si="12">D37</f>
        <v>591592340.44000006</v>
      </c>
      <c r="F10" s="134">
        <f t="shared" ref="F10:F17" si="13">E37</f>
        <v>1385614181.4400001</v>
      </c>
      <c r="G10" s="134">
        <f t="shared" ref="G10:G17" si="14">F37</f>
        <v>1386594431.4400001</v>
      </c>
      <c r="H10" s="134">
        <f t="shared" ref="H10:H17" si="15">G37</f>
        <v>1285050028.4400001</v>
      </c>
      <c r="I10" s="134">
        <f t="shared" ref="I10:I17" si="16">H37</f>
        <v>1066022955.4400001</v>
      </c>
      <c r="J10" s="134">
        <f t="shared" si="1"/>
        <v>0</v>
      </c>
      <c r="K10" s="134">
        <f t="shared" si="1"/>
        <v>0</v>
      </c>
      <c r="L10" s="134">
        <f t="shared" si="1"/>
        <v>0</v>
      </c>
      <c r="M10" s="134">
        <f t="shared" si="1"/>
        <v>0</v>
      </c>
      <c r="N10" s="134">
        <f t="shared" si="2"/>
        <v>0</v>
      </c>
      <c r="O10" s="134">
        <f t="shared" si="3"/>
        <v>0</v>
      </c>
      <c r="P10" s="134">
        <f t="shared" si="4"/>
        <v>0</v>
      </c>
      <c r="Q10" s="134">
        <f t="shared" si="5"/>
        <v>0</v>
      </c>
      <c r="R10" s="134">
        <f t="shared" si="6"/>
        <v>0</v>
      </c>
      <c r="S10" s="134">
        <f t="shared" si="6"/>
        <v>0</v>
      </c>
      <c r="T10" s="134">
        <f t="shared" si="6"/>
        <v>0</v>
      </c>
      <c r="U10" s="134">
        <f t="shared" ref="U10:AC10" si="17">T37</f>
        <v>0</v>
      </c>
      <c r="V10" s="134">
        <f t="shared" si="17"/>
        <v>0</v>
      </c>
      <c r="W10" s="134">
        <f t="shared" si="8"/>
        <v>0</v>
      </c>
      <c r="X10" s="134">
        <f t="shared" si="8"/>
        <v>0</v>
      </c>
      <c r="Y10" s="134">
        <f t="shared" ref="Y10:Y17" si="18">X37</f>
        <v>0</v>
      </c>
      <c r="Z10" s="134">
        <f t="shared" si="17"/>
        <v>0</v>
      </c>
      <c r="AA10" s="134">
        <f t="shared" si="17"/>
        <v>0</v>
      </c>
      <c r="AB10" s="134">
        <f t="shared" si="17"/>
        <v>0</v>
      </c>
      <c r="AC10" s="134">
        <f t="shared" si="17"/>
        <v>0</v>
      </c>
      <c r="AD10" s="134">
        <f t="shared" ref="AD10:AD17" si="19">AC37</f>
        <v>0</v>
      </c>
      <c r="AE10" s="134">
        <f t="shared" si="9"/>
        <v>0</v>
      </c>
      <c r="AF10" s="134">
        <f t="shared" si="9"/>
        <v>0</v>
      </c>
      <c r="AG10" s="134">
        <f t="shared" si="9"/>
        <v>0</v>
      </c>
      <c r="AH10" s="134">
        <f t="shared" si="9"/>
        <v>0</v>
      </c>
      <c r="AI10" s="134">
        <f t="shared" si="9"/>
        <v>0</v>
      </c>
      <c r="AJ10" s="134">
        <f t="shared" si="9"/>
        <v>0</v>
      </c>
      <c r="AK10" s="134">
        <f t="shared" si="9"/>
        <v>0</v>
      </c>
      <c r="AL10" s="134">
        <f t="shared" si="10"/>
        <v>6898058618.0800018</v>
      </c>
      <c r="AN10" s="134"/>
      <c r="AP10" s="134"/>
      <c r="AR10" s="134"/>
      <c r="AT10" s="134"/>
      <c r="AV10" s="134"/>
      <c r="AX10" s="134">
        <f t="shared" ref="AX10:AX17" si="20">AN10+AP10+AR10+AT10+AV10</f>
        <v>0</v>
      </c>
    </row>
    <row r="11" spans="1:50" x14ac:dyDescent="0.25">
      <c r="A11" s="137" t="s">
        <v>186</v>
      </c>
      <c r="B11" s="137" t="s">
        <v>185</v>
      </c>
      <c r="C11" s="937">
        <v>0</v>
      </c>
      <c r="D11" s="329">
        <f t="shared" si="11"/>
        <v>0</v>
      </c>
      <c r="E11" s="135">
        <f t="shared" si="12"/>
        <v>0</v>
      </c>
      <c r="F11" s="134">
        <f>E38</f>
        <v>0</v>
      </c>
      <c r="G11" s="134">
        <f t="shared" si="14"/>
        <v>0</v>
      </c>
      <c r="H11" s="134">
        <f t="shared" si="15"/>
        <v>0</v>
      </c>
      <c r="I11" s="134">
        <f t="shared" si="16"/>
        <v>0</v>
      </c>
      <c r="J11" s="134">
        <f t="shared" si="1"/>
        <v>0</v>
      </c>
      <c r="K11" s="134">
        <f t="shared" si="1"/>
        <v>0</v>
      </c>
      <c r="L11" s="134">
        <f t="shared" si="1"/>
        <v>0</v>
      </c>
      <c r="M11" s="134">
        <f t="shared" si="1"/>
        <v>0</v>
      </c>
      <c r="N11" s="134">
        <f t="shared" si="2"/>
        <v>0</v>
      </c>
      <c r="O11" s="134">
        <f t="shared" si="3"/>
        <v>0</v>
      </c>
      <c r="P11" s="134">
        <f t="shared" si="4"/>
        <v>0</v>
      </c>
      <c r="Q11" s="134">
        <f t="shared" si="5"/>
        <v>0</v>
      </c>
      <c r="R11" s="134">
        <f t="shared" si="6"/>
        <v>0</v>
      </c>
      <c r="S11" s="134">
        <f t="shared" si="6"/>
        <v>0</v>
      </c>
      <c r="T11" s="134">
        <f t="shared" si="6"/>
        <v>0</v>
      </c>
      <c r="U11" s="134">
        <f t="shared" ref="U11:AC11" si="21">T38</f>
        <v>0</v>
      </c>
      <c r="V11" s="134">
        <f t="shared" si="21"/>
        <v>0</v>
      </c>
      <c r="W11" s="134">
        <f t="shared" si="8"/>
        <v>0</v>
      </c>
      <c r="X11" s="134">
        <f t="shared" si="8"/>
        <v>0</v>
      </c>
      <c r="Y11" s="134">
        <f t="shared" si="18"/>
        <v>0</v>
      </c>
      <c r="Z11" s="134">
        <f t="shared" si="21"/>
        <v>0</v>
      </c>
      <c r="AA11" s="134">
        <f t="shared" si="21"/>
        <v>0</v>
      </c>
      <c r="AB11" s="134">
        <f t="shared" si="21"/>
        <v>0</v>
      </c>
      <c r="AC11" s="134">
        <f t="shared" si="21"/>
        <v>0</v>
      </c>
      <c r="AD11" s="134">
        <f t="shared" si="19"/>
        <v>0</v>
      </c>
      <c r="AE11" s="134">
        <f t="shared" si="9"/>
        <v>0</v>
      </c>
      <c r="AF11" s="134">
        <f t="shared" si="9"/>
        <v>0</v>
      </c>
      <c r="AG11" s="134">
        <f t="shared" si="9"/>
        <v>0</v>
      </c>
      <c r="AH11" s="134">
        <f t="shared" si="9"/>
        <v>0</v>
      </c>
      <c r="AI11" s="134">
        <f t="shared" si="9"/>
        <v>0</v>
      </c>
      <c r="AJ11" s="134">
        <f t="shared" si="9"/>
        <v>0</v>
      </c>
      <c r="AK11" s="134">
        <f t="shared" si="9"/>
        <v>0</v>
      </c>
      <c r="AL11" s="134">
        <f t="shared" si="10"/>
        <v>0</v>
      </c>
      <c r="AN11" s="134"/>
      <c r="AP11" s="134"/>
      <c r="AR11" s="134"/>
      <c r="AT11" s="134"/>
      <c r="AV11" s="134"/>
      <c r="AX11" s="134">
        <f t="shared" si="20"/>
        <v>0</v>
      </c>
    </row>
    <row r="12" spans="1:50" x14ac:dyDescent="0.25">
      <c r="A12" s="137" t="s">
        <v>184</v>
      </c>
      <c r="B12" s="137" t="s">
        <v>183</v>
      </c>
      <c r="C12" s="937">
        <v>10067446</v>
      </c>
      <c r="D12" s="329">
        <f t="shared" si="11"/>
        <v>10067446</v>
      </c>
      <c r="E12" s="135">
        <f t="shared" si="12"/>
        <v>10067446</v>
      </c>
      <c r="F12" s="134">
        <f t="shared" si="13"/>
        <v>10067446</v>
      </c>
      <c r="G12" s="134">
        <f t="shared" si="14"/>
        <v>10067446</v>
      </c>
      <c r="H12" s="134">
        <f t="shared" si="15"/>
        <v>10067446</v>
      </c>
      <c r="I12" s="134">
        <f t="shared" si="16"/>
        <v>10067446</v>
      </c>
      <c r="J12" s="134">
        <f t="shared" si="1"/>
        <v>0</v>
      </c>
      <c r="K12" s="134">
        <f t="shared" si="1"/>
        <v>0</v>
      </c>
      <c r="L12" s="134">
        <f t="shared" si="1"/>
        <v>0</v>
      </c>
      <c r="M12" s="134">
        <f t="shared" si="1"/>
        <v>0</v>
      </c>
      <c r="N12" s="134">
        <f t="shared" si="2"/>
        <v>0</v>
      </c>
      <c r="O12" s="134">
        <f t="shared" si="3"/>
        <v>0</v>
      </c>
      <c r="P12" s="134">
        <f t="shared" si="4"/>
        <v>0</v>
      </c>
      <c r="Q12" s="134">
        <f t="shared" si="5"/>
        <v>0</v>
      </c>
      <c r="R12" s="134">
        <f t="shared" si="6"/>
        <v>0</v>
      </c>
      <c r="S12" s="134">
        <f t="shared" si="6"/>
        <v>0</v>
      </c>
      <c r="T12" s="134">
        <f t="shared" si="6"/>
        <v>0</v>
      </c>
      <c r="U12" s="134">
        <f t="shared" ref="U12:AC12" si="22">T39</f>
        <v>0</v>
      </c>
      <c r="V12" s="134">
        <f t="shared" si="22"/>
        <v>0</v>
      </c>
      <c r="W12" s="134">
        <f t="shared" si="8"/>
        <v>0</v>
      </c>
      <c r="X12" s="134">
        <f t="shared" si="8"/>
        <v>0</v>
      </c>
      <c r="Y12" s="134">
        <f t="shared" si="18"/>
        <v>0</v>
      </c>
      <c r="Z12" s="134">
        <f t="shared" si="22"/>
        <v>0</v>
      </c>
      <c r="AA12" s="134">
        <f t="shared" si="22"/>
        <v>0</v>
      </c>
      <c r="AB12" s="134">
        <f t="shared" si="22"/>
        <v>0</v>
      </c>
      <c r="AC12" s="134">
        <f t="shared" si="22"/>
        <v>0</v>
      </c>
      <c r="AD12" s="134">
        <f t="shared" si="19"/>
        <v>0</v>
      </c>
      <c r="AE12" s="134">
        <f t="shared" si="9"/>
        <v>0</v>
      </c>
      <c r="AF12" s="134">
        <f t="shared" si="9"/>
        <v>0</v>
      </c>
      <c r="AG12" s="134">
        <f t="shared" si="9"/>
        <v>0</v>
      </c>
      <c r="AH12" s="134">
        <f t="shared" si="9"/>
        <v>0</v>
      </c>
      <c r="AI12" s="134">
        <f t="shared" si="9"/>
        <v>0</v>
      </c>
      <c r="AJ12" s="134">
        <f t="shared" si="9"/>
        <v>0</v>
      </c>
      <c r="AK12" s="134">
        <f t="shared" si="9"/>
        <v>0</v>
      </c>
      <c r="AL12" s="134">
        <f t="shared" si="10"/>
        <v>70472122</v>
      </c>
      <c r="AN12" s="134"/>
      <c r="AP12" s="134"/>
      <c r="AR12" s="134"/>
      <c r="AT12" s="134"/>
      <c r="AV12" s="134"/>
      <c r="AX12" s="134">
        <f t="shared" si="20"/>
        <v>0</v>
      </c>
    </row>
    <row r="13" spans="1:50" x14ac:dyDescent="0.25">
      <c r="A13" s="137" t="s">
        <v>182</v>
      </c>
      <c r="B13" s="137" t="s">
        <v>181</v>
      </c>
      <c r="C13" s="937">
        <v>0</v>
      </c>
      <c r="D13" s="329">
        <f t="shared" si="11"/>
        <v>0</v>
      </c>
      <c r="E13" s="135">
        <f t="shared" si="12"/>
        <v>0</v>
      </c>
      <c r="F13" s="134">
        <f t="shared" si="13"/>
        <v>0</v>
      </c>
      <c r="G13" s="134">
        <f t="shared" si="14"/>
        <v>0</v>
      </c>
      <c r="H13" s="134">
        <f t="shared" si="15"/>
        <v>0</v>
      </c>
      <c r="I13" s="134">
        <f t="shared" si="16"/>
        <v>0</v>
      </c>
      <c r="J13" s="134">
        <f t="shared" si="1"/>
        <v>0</v>
      </c>
      <c r="K13" s="134">
        <f t="shared" si="1"/>
        <v>0</v>
      </c>
      <c r="L13" s="134">
        <f t="shared" si="1"/>
        <v>0</v>
      </c>
      <c r="M13" s="134">
        <f t="shared" si="1"/>
        <v>0</v>
      </c>
      <c r="N13" s="134">
        <f t="shared" si="2"/>
        <v>0</v>
      </c>
      <c r="O13" s="134">
        <f t="shared" si="3"/>
        <v>0</v>
      </c>
      <c r="P13" s="134">
        <f t="shared" si="4"/>
        <v>0</v>
      </c>
      <c r="Q13" s="134">
        <f t="shared" si="5"/>
        <v>0</v>
      </c>
      <c r="R13" s="134">
        <f t="shared" si="6"/>
        <v>0</v>
      </c>
      <c r="S13" s="134">
        <f t="shared" si="6"/>
        <v>0</v>
      </c>
      <c r="T13" s="134">
        <f t="shared" si="6"/>
        <v>0</v>
      </c>
      <c r="U13" s="134">
        <f t="shared" ref="U13:AC13" si="23">T40</f>
        <v>0</v>
      </c>
      <c r="V13" s="134">
        <f t="shared" si="23"/>
        <v>0</v>
      </c>
      <c r="W13" s="134">
        <f t="shared" si="8"/>
        <v>0</v>
      </c>
      <c r="X13" s="134">
        <f t="shared" si="8"/>
        <v>0</v>
      </c>
      <c r="Y13" s="134">
        <f t="shared" si="18"/>
        <v>0</v>
      </c>
      <c r="Z13" s="134">
        <f t="shared" si="23"/>
        <v>0</v>
      </c>
      <c r="AA13" s="134">
        <f t="shared" si="23"/>
        <v>0</v>
      </c>
      <c r="AB13" s="134">
        <f t="shared" si="23"/>
        <v>0</v>
      </c>
      <c r="AC13" s="134">
        <f t="shared" si="23"/>
        <v>0</v>
      </c>
      <c r="AD13" s="134">
        <f t="shared" si="19"/>
        <v>0</v>
      </c>
      <c r="AE13" s="134">
        <f t="shared" si="9"/>
        <v>0</v>
      </c>
      <c r="AF13" s="134">
        <f t="shared" si="9"/>
        <v>0</v>
      </c>
      <c r="AG13" s="134">
        <f t="shared" si="9"/>
        <v>0</v>
      </c>
      <c r="AH13" s="134">
        <f t="shared" si="9"/>
        <v>0</v>
      </c>
      <c r="AI13" s="134">
        <f t="shared" si="9"/>
        <v>0</v>
      </c>
      <c r="AJ13" s="134">
        <f t="shared" si="9"/>
        <v>0</v>
      </c>
      <c r="AK13" s="134">
        <f t="shared" si="9"/>
        <v>0</v>
      </c>
      <c r="AL13" s="134">
        <f t="shared" si="10"/>
        <v>0</v>
      </c>
      <c r="AN13" s="134"/>
      <c r="AP13" s="134"/>
      <c r="AR13" s="134"/>
      <c r="AT13" s="134"/>
      <c r="AV13" s="134"/>
      <c r="AX13" s="134">
        <f t="shared" si="20"/>
        <v>0</v>
      </c>
    </row>
    <row r="14" spans="1:50" x14ac:dyDescent="0.25">
      <c r="A14" s="137" t="s">
        <v>180</v>
      </c>
      <c r="B14" s="137" t="s">
        <v>179</v>
      </c>
      <c r="C14" s="937">
        <v>64185986</v>
      </c>
      <c r="D14" s="329">
        <f t="shared" si="11"/>
        <v>64185986</v>
      </c>
      <c r="E14" s="135">
        <f t="shared" si="12"/>
        <v>64185986</v>
      </c>
      <c r="F14" s="134">
        <f t="shared" si="13"/>
        <v>64185986</v>
      </c>
      <c r="G14" s="134">
        <f t="shared" si="14"/>
        <v>64185986</v>
      </c>
      <c r="H14" s="134">
        <f t="shared" si="15"/>
        <v>64185986</v>
      </c>
      <c r="I14" s="134">
        <f t="shared" si="16"/>
        <v>64185986</v>
      </c>
      <c r="J14" s="134">
        <f t="shared" si="1"/>
        <v>0</v>
      </c>
      <c r="K14" s="134">
        <f t="shared" si="1"/>
        <v>0</v>
      </c>
      <c r="L14" s="134">
        <f t="shared" si="1"/>
        <v>0</v>
      </c>
      <c r="M14" s="134">
        <f t="shared" si="1"/>
        <v>0</v>
      </c>
      <c r="N14" s="134">
        <f t="shared" si="2"/>
        <v>0</v>
      </c>
      <c r="O14" s="134">
        <f t="shared" si="3"/>
        <v>0</v>
      </c>
      <c r="P14" s="134">
        <f t="shared" si="4"/>
        <v>0</v>
      </c>
      <c r="Q14" s="134">
        <f t="shared" si="5"/>
        <v>0</v>
      </c>
      <c r="R14" s="134">
        <f t="shared" si="6"/>
        <v>0</v>
      </c>
      <c r="S14" s="134">
        <f t="shared" si="6"/>
        <v>0</v>
      </c>
      <c r="T14" s="134">
        <f t="shared" si="6"/>
        <v>0</v>
      </c>
      <c r="U14" s="134">
        <f t="shared" ref="U14:AC14" si="24">T41</f>
        <v>0</v>
      </c>
      <c r="V14" s="134">
        <f t="shared" si="24"/>
        <v>0</v>
      </c>
      <c r="W14" s="134">
        <f t="shared" si="8"/>
        <v>0</v>
      </c>
      <c r="X14" s="134">
        <f t="shared" si="8"/>
        <v>0</v>
      </c>
      <c r="Y14" s="134">
        <f t="shared" si="18"/>
        <v>0</v>
      </c>
      <c r="Z14" s="134">
        <f t="shared" si="24"/>
        <v>0</v>
      </c>
      <c r="AA14" s="134">
        <f t="shared" si="24"/>
        <v>0</v>
      </c>
      <c r="AB14" s="134">
        <f t="shared" si="24"/>
        <v>0</v>
      </c>
      <c r="AC14" s="134">
        <f t="shared" si="24"/>
        <v>0</v>
      </c>
      <c r="AD14" s="134">
        <f t="shared" si="19"/>
        <v>0</v>
      </c>
      <c r="AE14" s="134">
        <f t="shared" si="9"/>
        <v>0</v>
      </c>
      <c r="AF14" s="134">
        <f t="shared" si="9"/>
        <v>0</v>
      </c>
      <c r="AG14" s="134">
        <f t="shared" si="9"/>
        <v>0</v>
      </c>
      <c r="AH14" s="134">
        <f t="shared" si="9"/>
        <v>0</v>
      </c>
      <c r="AI14" s="134">
        <f t="shared" si="9"/>
        <v>0</v>
      </c>
      <c r="AJ14" s="134">
        <f t="shared" si="9"/>
        <v>0</v>
      </c>
      <c r="AK14" s="134">
        <f t="shared" si="9"/>
        <v>0</v>
      </c>
      <c r="AL14" s="134">
        <f t="shared" si="10"/>
        <v>449301902</v>
      </c>
      <c r="AN14" s="134"/>
      <c r="AP14" s="134"/>
      <c r="AR14" s="134"/>
      <c r="AT14" s="134"/>
      <c r="AV14" s="134"/>
      <c r="AX14" s="134">
        <f t="shared" si="20"/>
        <v>0</v>
      </c>
    </row>
    <row r="15" spans="1:50" x14ac:dyDescent="0.25">
      <c r="A15" s="137" t="s">
        <v>178</v>
      </c>
      <c r="B15" s="137" t="s">
        <v>177</v>
      </c>
      <c r="C15" s="1317">
        <v>238202869</v>
      </c>
      <c r="D15" s="329">
        <f t="shared" si="11"/>
        <v>238202869</v>
      </c>
      <c r="E15" s="135">
        <f t="shared" si="12"/>
        <v>238202869</v>
      </c>
      <c r="F15" s="134">
        <f t="shared" si="13"/>
        <v>238202869</v>
      </c>
      <c r="G15" s="134">
        <f t="shared" si="14"/>
        <v>238202869</v>
      </c>
      <c r="H15" s="134">
        <f t="shared" si="15"/>
        <v>238202869</v>
      </c>
      <c r="I15" s="134">
        <f t="shared" si="16"/>
        <v>238202869</v>
      </c>
      <c r="J15" s="134">
        <f t="shared" si="1"/>
        <v>0</v>
      </c>
      <c r="K15" s="134">
        <f t="shared" si="1"/>
        <v>0</v>
      </c>
      <c r="L15" s="134">
        <f t="shared" si="1"/>
        <v>0</v>
      </c>
      <c r="M15" s="134">
        <f t="shared" si="1"/>
        <v>0</v>
      </c>
      <c r="N15" s="134">
        <f t="shared" si="2"/>
        <v>0</v>
      </c>
      <c r="O15" s="134">
        <f t="shared" si="3"/>
        <v>0</v>
      </c>
      <c r="P15" s="134">
        <f t="shared" si="4"/>
        <v>0</v>
      </c>
      <c r="Q15" s="134">
        <f t="shared" si="5"/>
        <v>0</v>
      </c>
      <c r="R15" s="134">
        <f t="shared" si="6"/>
        <v>0</v>
      </c>
      <c r="S15" s="134">
        <f t="shared" si="6"/>
        <v>0</v>
      </c>
      <c r="T15" s="134">
        <f t="shared" si="6"/>
        <v>0</v>
      </c>
      <c r="U15" s="134">
        <f t="shared" ref="U15:AC15" si="25">T42</f>
        <v>0</v>
      </c>
      <c r="V15" s="134">
        <f t="shared" si="25"/>
        <v>0</v>
      </c>
      <c r="W15" s="134">
        <f t="shared" si="8"/>
        <v>0</v>
      </c>
      <c r="X15" s="134">
        <f t="shared" si="8"/>
        <v>0</v>
      </c>
      <c r="Y15" s="134">
        <f t="shared" si="18"/>
        <v>0</v>
      </c>
      <c r="Z15" s="134">
        <f t="shared" si="25"/>
        <v>0</v>
      </c>
      <c r="AA15" s="134">
        <f t="shared" si="25"/>
        <v>0</v>
      </c>
      <c r="AB15" s="134">
        <f t="shared" si="25"/>
        <v>0</v>
      </c>
      <c r="AC15" s="134">
        <f t="shared" si="25"/>
        <v>0</v>
      </c>
      <c r="AD15" s="134">
        <f t="shared" si="19"/>
        <v>0</v>
      </c>
      <c r="AE15" s="134">
        <f t="shared" si="9"/>
        <v>0</v>
      </c>
      <c r="AF15" s="134">
        <f t="shared" si="9"/>
        <v>0</v>
      </c>
      <c r="AG15" s="134">
        <f t="shared" si="9"/>
        <v>0</v>
      </c>
      <c r="AH15" s="134">
        <f t="shared" si="9"/>
        <v>0</v>
      </c>
      <c r="AI15" s="134">
        <f t="shared" si="9"/>
        <v>0</v>
      </c>
      <c r="AJ15" s="134">
        <f t="shared" si="9"/>
        <v>0</v>
      </c>
      <c r="AK15" s="134">
        <f t="shared" si="9"/>
        <v>0</v>
      </c>
      <c r="AL15" s="134">
        <f t="shared" si="10"/>
        <v>1667420083</v>
      </c>
      <c r="AN15" s="134"/>
      <c r="AP15" s="134"/>
      <c r="AR15" s="134"/>
      <c r="AT15" s="134"/>
      <c r="AV15" s="134"/>
      <c r="AX15" s="134">
        <f t="shared" si="20"/>
        <v>0</v>
      </c>
    </row>
    <row r="16" spans="1:50" x14ac:dyDescent="0.25">
      <c r="A16" s="137" t="s">
        <v>176</v>
      </c>
      <c r="B16" s="136" t="s">
        <v>175</v>
      </c>
      <c r="C16" s="928">
        <v>447784171.04000002</v>
      </c>
      <c r="D16" s="329">
        <f t="shared" si="11"/>
        <v>447784171.04000002</v>
      </c>
      <c r="E16" s="135">
        <f t="shared" si="12"/>
        <v>447784171.04000002</v>
      </c>
      <c r="F16" s="134">
        <f t="shared" si="13"/>
        <v>447784171.04000002</v>
      </c>
      <c r="G16" s="134">
        <f t="shared" si="14"/>
        <v>447784171.04000002</v>
      </c>
      <c r="H16" s="134">
        <f t="shared" si="15"/>
        <v>447784171.04000002</v>
      </c>
      <c r="I16" s="134">
        <f t="shared" si="16"/>
        <v>447784171.04000002</v>
      </c>
      <c r="J16" s="134">
        <f t="shared" si="1"/>
        <v>0</v>
      </c>
      <c r="K16" s="134">
        <f t="shared" si="1"/>
        <v>0</v>
      </c>
      <c r="L16" s="134">
        <f t="shared" si="1"/>
        <v>0</v>
      </c>
      <c r="M16" s="134">
        <f t="shared" si="1"/>
        <v>0</v>
      </c>
      <c r="N16" s="134">
        <f t="shared" si="2"/>
        <v>0</v>
      </c>
      <c r="O16" s="134">
        <f t="shared" si="3"/>
        <v>0</v>
      </c>
      <c r="P16" s="134">
        <f t="shared" si="4"/>
        <v>0</v>
      </c>
      <c r="Q16" s="134">
        <f t="shared" si="5"/>
        <v>0</v>
      </c>
      <c r="R16" s="134">
        <f t="shared" si="6"/>
        <v>0</v>
      </c>
      <c r="S16" s="134">
        <f t="shared" si="6"/>
        <v>0</v>
      </c>
      <c r="T16" s="134">
        <f t="shared" si="6"/>
        <v>0</v>
      </c>
      <c r="U16" s="134">
        <f t="shared" ref="U16:AC16" si="26">T43</f>
        <v>0</v>
      </c>
      <c r="V16" s="134">
        <f t="shared" si="26"/>
        <v>0</v>
      </c>
      <c r="W16" s="134">
        <f t="shared" si="8"/>
        <v>0</v>
      </c>
      <c r="X16" s="134">
        <f t="shared" si="8"/>
        <v>0</v>
      </c>
      <c r="Y16" s="134">
        <f t="shared" si="18"/>
        <v>0</v>
      </c>
      <c r="Z16" s="134">
        <f t="shared" si="26"/>
        <v>0</v>
      </c>
      <c r="AA16" s="134">
        <f t="shared" si="26"/>
        <v>0</v>
      </c>
      <c r="AB16" s="134">
        <f t="shared" si="26"/>
        <v>0</v>
      </c>
      <c r="AC16" s="134">
        <f t="shared" si="26"/>
        <v>0</v>
      </c>
      <c r="AD16" s="134">
        <f t="shared" si="19"/>
        <v>0</v>
      </c>
      <c r="AE16" s="134">
        <f t="shared" si="9"/>
        <v>0</v>
      </c>
      <c r="AF16" s="134">
        <f t="shared" si="9"/>
        <v>0</v>
      </c>
      <c r="AG16" s="134">
        <f t="shared" si="9"/>
        <v>0</v>
      </c>
      <c r="AH16" s="134">
        <f t="shared" si="9"/>
        <v>0</v>
      </c>
      <c r="AI16" s="134">
        <f t="shared" si="9"/>
        <v>0</v>
      </c>
      <c r="AJ16" s="134">
        <f t="shared" si="9"/>
        <v>0</v>
      </c>
      <c r="AK16" s="134">
        <f t="shared" si="9"/>
        <v>0</v>
      </c>
      <c r="AL16" s="134">
        <f t="shared" si="10"/>
        <v>3134489197.2800002</v>
      </c>
      <c r="AN16" s="134"/>
      <c r="AP16" s="134"/>
      <c r="AR16" s="134"/>
      <c r="AT16" s="134"/>
      <c r="AV16" s="134"/>
      <c r="AX16" s="134">
        <f t="shared" si="20"/>
        <v>0</v>
      </c>
    </row>
    <row r="17" spans="1:50" x14ac:dyDescent="0.25">
      <c r="A17" s="137" t="s">
        <v>174</v>
      </c>
      <c r="B17" s="136" t="s">
        <v>173</v>
      </c>
      <c r="C17" s="929">
        <v>94694091.709999993</v>
      </c>
      <c r="D17" s="329">
        <f t="shared" si="11"/>
        <v>94694091.709999993</v>
      </c>
      <c r="E17" s="135">
        <f t="shared" si="12"/>
        <v>94694091.709999993</v>
      </c>
      <c r="F17" s="134">
        <f t="shared" si="13"/>
        <v>94694091.709999993</v>
      </c>
      <c r="G17" s="134">
        <f t="shared" si="14"/>
        <v>94694091.709999993</v>
      </c>
      <c r="H17" s="134">
        <f t="shared" si="15"/>
        <v>94694091.709999993</v>
      </c>
      <c r="I17" s="134">
        <f t="shared" si="16"/>
        <v>94694091.709999993</v>
      </c>
      <c r="J17" s="134">
        <f t="shared" si="1"/>
        <v>0</v>
      </c>
      <c r="K17" s="134">
        <f t="shared" si="1"/>
        <v>0</v>
      </c>
      <c r="L17" s="134">
        <f t="shared" si="1"/>
        <v>0</v>
      </c>
      <c r="M17" s="134">
        <f t="shared" si="1"/>
        <v>0</v>
      </c>
      <c r="N17" s="134">
        <f t="shared" si="2"/>
        <v>0</v>
      </c>
      <c r="O17" s="134">
        <f t="shared" si="3"/>
        <v>0</v>
      </c>
      <c r="P17" s="134">
        <f t="shared" si="4"/>
        <v>0</v>
      </c>
      <c r="Q17" s="134">
        <f t="shared" si="5"/>
        <v>0</v>
      </c>
      <c r="R17" s="134">
        <f t="shared" si="6"/>
        <v>0</v>
      </c>
      <c r="S17" s="134">
        <f t="shared" si="6"/>
        <v>0</v>
      </c>
      <c r="T17" s="134">
        <f t="shared" si="6"/>
        <v>0</v>
      </c>
      <c r="U17" s="134">
        <f t="shared" ref="U17:AC17" si="27">T44</f>
        <v>0</v>
      </c>
      <c r="V17" s="134">
        <f t="shared" si="27"/>
        <v>0</v>
      </c>
      <c r="W17" s="134">
        <f t="shared" si="8"/>
        <v>0</v>
      </c>
      <c r="X17" s="134">
        <f t="shared" si="8"/>
        <v>0</v>
      </c>
      <c r="Y17" s="134">
        <f t="shared" si="18"/>
        <v>0</v>
      </c>
      <c r="Z17" s="134">
        <f t="shared" si="27"/>
        <v>0</v>
      </c>
      <c r="AA17" s="134">
        <f t="shared" si="27"/>
        <v>0</v>
      </c>
      <c r="AB17" s="134">
        <f t="shared" si="27"/>
        <v>0</v>
      </c>
      <c r="AC17" s="134">
        <f t="shared" si="27"/>
        <v>0</v>
      </c>
      <c r="AD17" s="134">
        <f t="shared" si="19"/>
        <v>0</v>
      </c>
      <c r="AE17" s="134">
        <f t="shared" si="9"/>
        <v>0</v>
      </c>
      <c r="AF17" s="134">
        <f t="shared" si="9"/>
        <v>0</v>
      </c>
      <c r="AG17" s="134">
        <f t="shared" si="9"/>
        <v>0</v>
      </c>
      <c r="AH17" s="134">
        <f t="shared" si="9"/>
        <v>0</v>
      </c>
      <c r="AI17" s="134">
        <f t="shared" si="9"/>
        <v>0</v>
      </c>
      <c r="AJ17" s="134">
        <f t="shared" si="9"/>
        <v>0</v>
      </c>
      <c r="AK17" s="134">
        <f t="shared" si="9"/>
        <v>0</v>
      </c>
      <c r="AL17" s="134">
        <f t="shared" si="10"/>
        <v>662858641.97000003</v>
      </c>
      <c r="AN17" s="134"/>
      <c r="AP17" s="134"/>
      <c r="AR17" s="134"/>
      <c r="AT17" s="134"/>
      <c r="AV17" s="134"/>
      <c r="AX17" s="134">
        <f t="shared" si="20"/>
        <v>0</v>
      </c>
    </row>
    <row r="18" spans="1:50" ht="17.25" thickBot="1" x14ac:dyDescent="0.3">
      <c r="A18" s="133" t="s">
        <v>199</v>
      </c>
      <c r="B18" s="132"/>
      <c r="C18" s="332">
        <f>SUM(C9:C17)</f>
        <v>54117093322.200005</v>
      </c>
      <c r="D18" s="332">
        <f>SUM(D9:D17)</f>
        <v>59257824816.209999</v>
      </c>
      <c r="E18" s="130">
        <f t="shared" ref="E18:AC18" si="28">SUM(E9:E17)</f>
        <v>59257824816.209999</v>
      </c>
      <c r="F18" s="130">
        <f t="shared" si="28"/>
        <v>40636019946.209999</v>
      </c>
      <c r="G18" s="130">
        <f t="shared" si="28"/>
        <v>39685851163.209999</v>
      </c>
      <c r="H18" s="130">
        <f t="shared" si="28"/>
        <v>33513049821.93</v>
      </c>
      <c r="I18" s="130">
        <f t="shared" si="28"/>
        <v>31815442811.18</v>
      </c>
      <c r="J18" s="130">
        <f t="shared" si="28"/>
        <v>0</v>
      </c>
      <c r="K18" s="130">
        <f t="shared" si="28"/>
        <v>0</v>
      </c>
      <c r="L18" s="130">
        <f t="shared" si="28"/>
        <v>0</v>
      </c>
      <c r="M18" s="130">
        <f t="shared" si="28"/>
        <v>0</v>
      </c>
      <c r="N18" s="131">
        <f t="shared" si="28"/>
        <v>0</v>
      </c>
      <c r="O18" s="131">
        <f t="shared" si="28"/>
        <v>0</v>
      </c>
      <c r="P18" s="131">
        <f t="shared" si="28"/>
        <v>0</v>
      </c>
      <c r="Q18" s="130">
        <f t="shared" si="28"/>
        <v>0</v>
      </c>
      <c r="R18" s="130">
        <f t="shared" si="28"/>
        <v>0</v>
      </c>
      <c r="S18" s="130">
        <f t="shared" si="28"/>
        <v>0</v>
      </c>
      <c r="T18" s="130">
        <f t="shared" si="28"/>
        <v>0</v>
      </c>
      <c r="U18" s="131">
        <f t="shared" si="28"/>
        <v>0</v>
      </c>
      <c r="V18" s="131">
        <f t="shared" si="28"/>
        <v>0</v>
      </c>
      <c r="W18" s="130">
        <f t="shared" si="28"/>
        <v>0</v>
      </c>
      <c r="X18" s="130">
        <f t="shared" si="28"/>
        <v>0</v>
      </c>
      <c r="Y18" s="130">
        <f t="shared" si="28"/>
        <v>0</v>
      </c>
      <c r="Z18" s="130">
        <f t="shared" si="28"/>
        <v>0</v>
      </c>
      <c r="AA18" s="130">
        <f t="shared" si="28"/>
        <v>0</v>
      </c>
      <c r="AB18" s="130">
        <f t="shared" si="28"/>
        <v>0</v>
      </c>
      <c r="AC18" s="131">
        <f t="shared" si="28"/>
        <v>0</v>
      </c>
      <c r="AD18" s="131">
        <f>SUM(AD9:AD17)</f>
        <v>0</v>
      </c>
      <c r="AE18" s="131">
        <f t="shared" ref="AE18:AK18" si="29">SUM(AE9:AE17)</f>
        <v>0</v>
      </c>
      <c r="AF18" s="131">
        <f t="shared" si="29"/>
        <v>0</v>
      </c>
      <c r="AG18" s="131">
        <f t="shared" si="29"/>
        <v>0</v>
      </c>
      <c r="AH18" s="131">
        <f t="shared" si="29"/>
        <v>0</v>
      </c>
      <c r="AI18" s="131">
        <f t="shared" si="29"/>
        <v>0</v>
      </c>
      <c r="AJ18" s="131">
        <f t="shared" si="29"/>
        <v>0</v>
      </c>
      <c r="AK18" s="131">
        <f t="shared" si="29"/>
        <v>0</v>
      </c>
      <c r="AL18" s="130">
        <f>SUM(AL9:AL17)</f>
        <v>318283106697.14996</v>
      </c>
      <c r="AN18" s="130">
        <f>E18</f>
        <v>59257824816.209999</v>
      </c>
      <c r="AP18" s="130">
        <f>AN45</f>
        <v>37175201378.190002</v>
      </c>
      <c r="AR18" s="130">
        <f>AP45</f>
        <v>37175201378.190002</v>
      </c>
      <c r="AT18" s="130">
        <f>AR45</f>
        <v>37419203144.190002</v>
      </c>
      <c r="AV18" s="130">
        <f>AT45</f>
        <v>38537347030.110001</v>
      </c>
      <c r="AX18" s="130">
        <f>AN18</f>
        <v>59257824816.209999</v>
      </c>
    </row>
    <row r="19" spans="1:50" ht="18" thickTop="1" thickBot="1" x14ac:dyDescent="0.3"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N19" s="126"/>
      <c r="AP19" s="126"/>
      <c r="AR19" s="126"/>
      <c r="AT19" s="126"/>
      <c r="AV19" s="126"/>
      <c r="AX19" s="126"/>
    </row>
    <row r="20" spans="1:50" ht="18" thickTop="1" thickBot="1" x14ac:dyDescent="0.3">
      <c r="A20" s="158" t="s">
        <v>198</v>
      </c>
      <c r="B20" s="157"/>
      <c r="C20" s="330">
        <f>RECEIPT!D108</f>
        <v>5140731494.0100002</v>
      </c>
      <c r="D20" s="330">
        <f>RECEIPT!E108</f>
        <v>0</v>
      </c>
      <c r="E20" s="330">
        <f>RECEIPT!F108</f>
        <v>2307042615</v>
      </c>
      <c r="F20" s="330">
        <f>RECEIPT!G108</f>
        <v>3183050633</v>
      </c>
      <c r="G20" s="330">
        <f>RECEIPT!H108</f>
        <v>6189506149.7200003</v>
      </c>
      <c r="H20" s="330">
        <f>RECEIPT!I108</f>
        <v>6559628509.25</v>
      </c>
      <c r="I20" s="330">
        <f>RECEIPT!J108</f>
        <v>0</v>
      </c>
      <c r="J20" s="330">
        <f>RECEIPT!K108</f>
        <v>0</v>
      </c>
      <c r="K20" s="330">
        <f>RECEIPT!L108</f>
        <v>0</v>
      </c>
      <c r="L20" s="330">
        <f>RECEIPT!M108</f>
        <v>0</v>
      </c>
      <c r="M20" s="330">
        <f>RECEIPT!N108</f>
        <v>0</v>
      </c>
      <c r="N20" s="330">
        <f>RECEIPT!O108</f>
        <v>0</v>
      </c>
      <c r="O20" s="330">
        <f>RECEIPT!P108</f>
        <v>0</v>
      </c>
      <c r="P20" s="330">
        <f>RECEIPT!Q108</f>
        <v>0</v>
      </c>
      <c r="Q20" s="330">
        <f>RECEIPT!R108</f>
        <v>80529444</v>
      </c>
      <c r="R20" s="330">
        <f>RECEIPT!S108</f>
        <v>57484445</v>
      </c>
      <c r="S20" s="330">
        <f>RECEIPT!T108</f>
        <v>16710401</v>
      </c>
      <c r="T20" s="330">
        <f>RECEIPT!U108</f>
        <v>49148294</v>
      </c>
      <c r="U20" s="330">
        <f>RECEIPT!V108</f>
        <v>40129182</v>
      </c>
      <c r="V20" s="330">
        <f>RECEIPT!W108</f>
        <v>0</v>
      </c>
      <c r="W20" s="330">
        <f>RECEIPT!X108</f>
        <v>0</v>
      </c>
      <c r="X20" s="330">
        <f>RECEIPT!Y108</f>
        <v>1118143885.9200001</v>
      </c>
      <c r="Y20" s="330">
        <f>RECEIPT!Z108</f>
        <v>0</v>
      </c>
      <c r="Z20" s="330">
        <f>RECEIPT!AA108</f>
        <v>0</v>
      </c>
      <c r="AA20" s="330">
        <f>RECEIPT!AB108</f>
        <v>0</v>
      </c>
      <c r="AB20" s="330">
        <f>RECEIPT!AC108</f>
        <v>0</v>
      </c>
      <c r="AC20" s="330">
        <f>RECEIPT!AD108</f>
        <v>0</v>
      </c>
      <c r="AD20" s="330">
        <f>RECEIPT!AE108</f>
        <v>0</v>
      </c>
      <c r="AE20" s="330">
        <f>RECEIPT!AF108</f>
        <v>0</v>
      </c>
      <c r="AF20" s="330">
        <f>RECEIPT!AG108</f>
        <v>0</v>
      </c>
      <c r="AG20" s="330">
        <f>RECEIPT!AH108</f>
        <v>0</v>
      </c>
      <c r="AH20" s="330">
        <f>RECEIPT!AI108</f>
        <v>0</v>
      </c>
      <c r="AI20" s="330">
        <f>RECEIPT!AJ108</f>
        <v>0</v>
      </c>
      <c r="AJ20" s="330">
        <f>RECEIPT!AK108</f>
        <v>0</v>
      </c>
      <c r="AK20" s="330">
        <f>RECEIPT!AL108</f>
        <v>0</v>
      </c>
      <c r="AL20" s="156">
        <f>RECEIPT!AM107</f>
        <v>0</v>
      </c>
      <c r="AN20" s="156">
        <f>C20+D20+E20+F20+G20+H20+I20</f>
        <v>23379959400.98</v>
      </c>
      <c r="AP20" s="156">
        <f>J20+K20+L20+M20+N20+O20+P20</f>
        <v>0</v>
      </c>
      <c r="AR20" s="156">
        <f>Q20+R20+S20+T20+U20+V20+W20</f>
        <v>244001766</v>
      </c>
      <c r="AS20" s="591"/>
      <c r="AT20" s="156">
        <f>X20+Y20+Z20+AA20+AB20+AC20+AD20</f>
        <v>1118143885.9200001</v>
      </c>
      <c r="AU20" s="590"/>
      <c r="AV20" s="156"/>
      <c r="AX20" s="156">
        <f>AN20+AP20+AR20+AT20+AV20</f>
        <v>24742105052.900002</v>
      </c>
    </row>
    <row r="21" spans="1:50" ht="18" thickTop="1" thickBot="1" x14ac:dyDescent="0.3"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>
        <f>+RECEIPT!AM107</f>
        <v>0</v>
      </c>
      <c r="AN21" s="126"/>
      <c r="AP21" s="126"/>
      <c r="AR21" s="126"/>
      <c r="AT21" s="126"/>
      <c r="AV21" s="126"/>
      <c r="AX21" s="126"/>
    </row>
    <row r="22" spans="1:50" ht="18" thickTop="1" thickBot="1" x14ac:dyDescent="0.3">
      <c r="A22" s="155" t="s">
        <v>197</v>
      </c>
      <c r="B22" s="154"/>
      <c r="C22" s="324">
        <f>C18+C20</f>
        <v>59257824816.210007</v>
      </c>
      <c r="D22" s="324">
        <f>D18+D20</f>
        <v>59257824816.209999</v>
      </c>
      <c r="E22" s="153">
        <f t="shared" ref="E22:AK22" si="30">E18+E20</f>
        <v>61564867431.209999</v>
      </c>
      <c r="F22" s="153">
        <f>F18+F20</f>
        <v>43819070579.209999</v>
      </c>
      <c r="G22" s="153">
        <f t="shared" si="30"/>
        <v>45875357312.93</v>
      </c>
      <c r="H22" s="153">
        <f t="shared" si="30"/>
        <v>40072678331.18</v>
      </c>
      <c r="I22" s="153">
        <f t="shared" si="30"/>
        <v>31815442811.18</v>
      </c>
      <c r="J22" s="153">
        <f t="shared" si="30"/>
        <v>0</v>
      </c>
      <c r="K22" s="153">
        <f t="shared" si="30"/>
        <v>0</v>
      </c>
      <c r="L22" s="153">
        <f t="shared" si="30"/>
        <v>0</v>
      </c>
      <c r="M22" s="153">
        <f t="shared" si="30"/>
        <v>0</v>
      </c>
      <c r="N22" s="153">
        <f t="shared" si="30"/>
        <v>0</v>
      </c>
      <c r="O22" s="153">
        <f t="shared" si="30"/>
        <v>0</v>
      </c>
      <c r="P22" s="153">
        <f t="shared" si="30"/>
        <v>0</v>
      </c>
      <c r="Q22" s="153">
        <f t="shared" si="30"/>
        <v>80529444</v>
      </c>
      <c r="R22" s="153">
        <f t="shared" si="30"/>
        <v>57484445</v>
      </c>
      <c r="S22" s="153">
        <f t="shared" si="30"/>
        <v>16710401</v>
      </c>
      <c r="T22" s="153">
        <f t="shared" si="30"/>
        <v>49148294</v>
      </c>
      <c r="U22" s="153">
        <f t="shared" si="30"/>
        <v>40129182</v>
      </c>
      <c r="V22" s="153">
        <f t="shared" si="30"/>
        <v>0</v>
      </c>
      <c r="W22" s="153">
        <f t="shared" si="30"/>
        <v>0</v>
      </c>
      <c r="X22" s="153">
        <f t="shared" si="30"/>
        <v>1118143885.9200001</v>
      </c>
      <c r="Y22" s="153">
        <f t="shared" si="30"/>
        <v>0</v>
      </c>
      <c r="Z22" s="153">
        <f t="shared" si="30"/>
        <v>0</v>
      </c>
      <c r="AA22" s="153">
        <f t="shared" si="30"/>
        <v>0</v>
      </c>
      <c r="AB22" s="153">
        <f t="shared" si="30"/>
        <v>0</v>
      </c>
      <c r="AC22" s="153">
        <f t="shared" si="30"/>
        <v>0</v>
      </c>
      <c r="AD22" s="153">
        <f t="shared" si="30"/>
        <v>0</v>
      </c>
      <c r="AE22" s="153">
        <f t="shared" si="30"/>
        <v>0</v>
      </c>
      <c r="AF22" s="153">
        <f t="shared" si="30"/>
        <v>0</v>
      </c>
      <c r="AG22" s="153">
        <f t="shared" si="30"/>
        <v>0</v>
      </c>
      <c r="AH22" s="153">
        <f t="shared" si="30"/>
        <v>0</v>
      </c>
      <c r="AI22" s="153">
        <f t="shared" si="30"/>
        <v>0</v>
      </c>
      <c r="AJ22" s="153">
        <f t="shared" si="30"/>
        <v>0</v>
      </c>
      <c r="AK22" s="153">
        <f t="shared" si="30"/>
        <v>0</v>
      </c>
      <c r="AL22" s="153">
        <f>AL18+AL20</f>
        <v>318283106697.14996</v>
      </c>
      <c r="AN22" s="153">
        <f>AN18+AN20</f>
        <v>82637784217.190002</v>
      </c>
      <c r="AP22" s="153">
        <f>AP18+AP20</f>
        <v>37175201378.190002</v>
      </c>
      <c r="AR22" s="153">
        <f>AR18+AR20</f>
        <v>37419203144.190002</v>
      </c>
      <c r="AT22" s="153">
        <f>AT18+AT20</f>
        <v>38537347030.110001</v>
      </c>
      <c r="AV22" s="153">
        <f>AV18+AV20</f>
        <v>38537347030.110001</v>
      </c>
      <c r="AX22" s="153">
        <f>AX18+AX20</f>
        <v>83999929869.110001</v>
      </c>
    </row>
    <row r="23" spans="1:50" ht="17.25" thickTop="1" x14ac:dyDescent="0.25">
      <c r="B23" s="151"/>
      <c r="C23" s="151"/>
      <c r="D23" s="151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N23" s="150"/>
      <c r="AP23" s="150"/>
      <c r="AR23" s="150"/>
      <c r="AT23" s="150"/>
      <c r="AV23" s="150"/>
      <c r="AX23" s="150"/>
    </row>
    <row r="24" spans="1:50" x14ac:dyDescent="0.25">
      <c r="A24" s="152" t="s">
        <v>196</v>
      </c>
      <c r="B24" s="151"/>
      <c r="C24" s="151"/>
      <c r="D24" s="151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N24" s="150"/>
      <c r="AP24" s="150"/>
      <c r="AR24" s="150"/>
      <c r="AT24" s="150"/>
      <c r="AV24" s="150"/>
      <c r="AX24" s="150"/>
    </row>
    <row r="25" spans="1:50" x14ac:dyDescent="0.25">
      <c r="B25" s="151"/>
      <c r="C25" s="151"/>
      <c r="D25" s="151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N25" s="150"/>
      <c r="AP25" s="150"/>
      <c r="AR25" s="150"/>
      <c r="AT25" s="150"/>
      <c r="AV25" s="150"/>
      <c r="AX25" s="150"/>
    </row>
    <row r="26" spans="1:50" x14ac:dyDescent="0.25">
      <c r="A26" s="149" t="s">
        <v>195</v>
      </c>
      <c r="B26" s="137"/>
      <c r="C26" s="325">
        <f>ATTACH!C11</f>
        <v>0</v>
      </c>
      <c r="D26" s="325">
        <f>ATTACH!D11</f>
        <v>0</v>
      </c>
      <c r="E26" s="325">
        <f>ATTACH!E11</f>
        <v>17235456013</v>
      </c>
      <c r="F26" s="325">
        <f>ATTACH!F11</f>
        <v>0</v>
      </c>
      <c r="G26" s="325">
        <f>ATTACH!G11</f>
        <v>0</v>
      </c>
      <c r="H26" s="325">
        <f>ATTACH!H11</f>
        <v>6952499322</v>
      </c>
      <c r="I26" s="325">
        <f>ATTACH!I11</f>
        <v>0</v>
      </c>
      <c r="J26" s="325">
        <f>ATTACH!J11</f>
        <v>0</v>
      </c>
      <c r="K26" s="325">
        <f>ATTACH!K11</f>
        <v>0</v>
      </c>
      <c r="L26" s="325">
        <f>ATTACH!L11</f>
        <v>0</v>
      </c>
      <c r="M26" s="325">
        <f>ATTACH!M11</f>
        <v>0</v>
      </c>
      <c r="N26" s="325">
        <f>ATTACH!N11</f>
        <v>0</v>
      </c>
      <c r="O26" s="325">
        <f>ATTACH!O11</f>
        <v>0</v>
      </c>
      <c r="P26" s="325">
        <f>ATTACH!P11</f>
        <v>0</v>
      </c>
      <c r="Q26" s="325">
        <f>ATTACH!Q11</f>
        <v>0</v>
      </c>
      <c r="R26" s="325">
        <f>ATTACH!R11</f>
        <v>0</v>
      </c>
      <c r="S26" s="325">
        <f>ATTACH!S11</f>
        <v>0</v>
      </c>
      <c r="T26" s="325">
        <f>ATTACH!T11</f>
        <v>0</v>
      </c>
      <c r="U26" s="325">
        <f>ATTACH!U11</f>
        <v>0</v>
      </c>
      <c r="V26" s="325">
        <f>ATTACH!V11</f>
        <v>0</v>
      </c>
      <c r="W26" s="325">
        <f>ATTACH!W11</f>
        <v>0</v>
      </c>
      <c r="X26" s="325">
        <f>ATTACH!X11</f>
        <v>0</v>
      </c>
      <c r="Y26" s="325">
        <f>ATTACH!Y11</f>
        <v>0</v>
      </c>
      <c r="Z26" s="325">
        <f>ATTACH!Z11</f>
        <v>0</v>
      </c>
      <c r="AA26" s="325">
        <f>ATTACH!AA11</f>
        <v>0</v>
      </c>
      <c r="AB26" s="325">
        <f>ATTACH!AB11</f>
        <v>0</v>
      </c>
      <c r="AC26" s="325">
        <f>ATTACH!AC11</f>
        <v>0</v>
      </c>
      <c r="AD26" s="325">
        <f>ATTACH!AD11</f>
        <v>0</v>
      </c>
      <c r="AE26" s="325">
        <f>ATTACH!AE11</f>
        <v>0</v>
      </c>
      <c r="AF26" s="325">
        <f>ATTACH!AF11</f>
        <v>0</v>
      </c>
      <c r="AG26" s="325">
        <f>ATTACH!AG11</f>
        <v>0</v>
      </c>
      <c r="AH26" s="325">
        <f>ATTACH!AH11</f>
        <v>0</v>
      </c>
      <c r="AI26" s="325">
        <f>ATTACH!AI11</f>
        <v>0</v>
      </c>
      <c r="AJ26" s="325">
        <f>ATTACH!AJ11</f>
        <v>0</v>
      </c>
      <c r="AK26" s="325">
        <f>ATTACH!AK11</f>
        <v>0</v>
      </c>
      <c r="AL26" s="138">
        <f>SUM(C26:AD26)</f>
        <v>24187955335</v>
      </c>
      <c r="AN26" s="148">
        <f>C26+D26+E26+F26+G26+H26+I26</f>
        <v>24187955335</v>
      </c>
      <c r="AP26" s="148">
        <f>J26+K26+L26+M26+N26+O26+P26</f>
        <v>0</v>
      </c>
      <c r="AR26" s="148">
        <f>Q26+R26+S26+T26+U26+V26+W26</f>
        <v>0</v>
      </c>
      <c r="AT26" s="148">
        <f>X26+Y26+Z26+AA26+AB26+AC26+AD26</f>
        <v>0</v>
      </c>
      <c r="AV26" s="148"/>
      <c r="AX26" s="148">
        <f>AN26+AP26+AR26+AT26+AV26</f>
        <v>24187955335</v>
      </c>
    </row>
    <row r="27" spans="1:50" x14ac:dyDescent="0.25">
      <c r="A27" s="149" t="s">
        <v>110</v>
      </c>
      <c r="B27" s="137"/>
      <c r="C27" s="325">
        <f>ATTACH!C24+ATTACH!C73</f>
        <v>0</v>
      </c>
      <c r="D27" s="325">
        <f>ATTACH!D24+ATTACH!D73</f>
        <v>0</v>
      </c>
      <c r="E27" s="325">
        <f>ATTACH!E24+ATTACH!E73</f>
        <v>3265349457</v>
      </c>
      <c r="F27" s="325">
        <f>ATTACH!F24+ATTACH!F73</f>
        <v>4133169416</v>
      </c>
      <c r="G27" s="325">
        <f>ATTACH!G24+ATTACH!G73</f>
        <v>11260763088</v>
      </c>
      <c r="H27" s="325">
        <f>ATTACH!H24+ATTACH!H73</f>
        <v>533326413</v>
      </c>
      <c r="I27" s="325">
        <f>ATTACH!I24+ATTACH!I73</f>
        <v>0</v>
      </c>
      <c r="J27" s="325">
        <f>ATTACH!J24+ATTACH!J73</f>
        <v>0</v>
      </c>
      <c r="K27" s="325">
        <f>ATTACH!K24+ATTACH!K73</f>
        <v>0</v>
      </c>
      <c r="L27" s="325">
        <f>ATTACH!L24+ATTACH!L73</f>
        <v>0</v>
      </c>
      <c r="M27" s="325">
        <f>ATTACH!M24+ATTACH!M73</f>
        <v>0</v>
      </c>
      <c r="N27" s="325">
        <f>ATTACH!N24+ATTACH!N73</f>
        <v>0</v>
      </c>
      <c r="O27" s="325">
        <f>ATTACH!O24+ATTACH!O73</f>
        <v>0</v>
      </c>
      <c r="P27" s="325">
        <f>ATTACH!P24+ATTACH!P73</f>
        <v>0</v>
      </c>
      <c r="Q27" s="325">
        <f>ATTACH!Q24+ATTACH!Q73</f>
        <v>0</v>
      </c>
      <c r="R27" s="325">
        <f>ATTACH!R24+ATTACH!R73</f>
        <v>0</v>
      </c>
      <c r="S27" s="325">
        <f>ATTACH!S24+ATTACH!S73</f>
        <v>0</v>
      </c>
      <c r="T27" s="325">
        <f>ATTACH!T24+ATTACH!T73</f>
        <v>0</v>
      </c>
      <c r="U27" s="325">
        <f>ATTACH!U24+ATTACH!U73</f>
        <v>0</v>
      </c>
      <c r="V27" s="325">
        <f>ATTACH!V24+ATTACH!V73</f>
        <v>0</v>
      </c>
      <c r="W27" s="325">
        <f>ATTACH!W24+ATTACH!W73</f>
        <v>0</v>
      </c>
      <c r="X27" s="325">
        <f>ATTACH!X24+ATTACH!X73</f>
        <v>0</v>
      </c>
      <c r="Y27" s="325">
        <f>ATTACH!Y24+ATTACH!Y73</f>
        <v>0</v>
      </c>
      <c r="Z27" s="325">
        <f>ATTACH!Z24+ATTACH!Z73</f>
        <v>0</v>
      </c>
      <c r="AA27" s="325">
        <f>ATTACH!AA24+ATTACH!AA73</f>
        <v>0</v>
      </c>
      <c r="AB27" s="325">
        <f>ATTACH!AB24+ATTACH!AB73</f>
        <v>0</v>
      </c>
      <c r="AC27" s="325">
        <f>ATTACH!AC24+ATTACH!AC73</f>
        <v>0</v>
      </c>
      <c r="AD27" s="325">
        <f>ATTACH!AD24+ATTACH!AD73</f>
        <v>0</v>
      </c>
      <c r="AE27" s="325">
        <f>ATTACH!AE24+ATTACH!AE73</f>
        <v>0</v>
      </c>
      <c r="AF27" s="325">
        <f>ATTACH!AF24+ATTACH!AF73</f>
        <v>0</v>
      </c>
      <c r="AG27" s="325">
        <f>ATTACH!AG24+ATTACH!AG73</f>
        <v>0</v>
      </c>
      <c r="AH27" s="325">
        <f>ATTACH!AH24+ATTACH!AH73</f>
        <v>0</v>
      </c>
      <c r="AI27" s="325">
        <f>ATTACH!AI24+ATTACH!AI73</f>
        <v>0</v>
      </c>
      <c r="AJ27" s="325">
        <f>ATTACH!AJ24+ATTACH!AJ73</f>
        <v>0</v>
      </c>
      <c r="AK27" s="325">
        <f>ATTACH!AK24+ATTACH!AK73</f>
        <v>0</v>
      </c>
      <c r="AL27" s="138">
        <f>SUM(C27:AD27)</f>
        <v>19192608374</v>
      </c>
      <c r="AN27" s="148">
        <f>C27+D27+E27+F27+G27+H27+I27</f>
        <v>19192608374</v>
      </c>
      <c r="AP27" s="148">
        <f>J27+K27+L27+M27+N27+O27+P27</f>
        <v>0</v>
      </c>
      <c r="AR27" s="148">
        <f>Q27+R27+S27+T27+U27+V27+W27</f>
        <v>0</v>
      </c>
      <c r="AT27" s="148">
        <f>X27+Y27+Z27+AA27+AB27+AC27+AD27</f>
        <v>0</v>
      </c>
      <c r="AV27" s="148"/>
      <c r="AX27" s="148">
        <f>AN27+AP27+AR27+AT27+AV27</f>
        <v>19192608374</v>
      </c>
    </row>
    <row r="28" spans="1:50" x14ac:dyDescent="0.25">
      <c r="A28" s="149" t="s">
        <v>194</v>
      </c>
      <c r="B28" s="137"/>
      <c r="C28" s="325">
        <f>ATTACH!C93</f>
        <v>0</v>
      </c>
      <c r="D28" s="325">
        <f>ATTACH!D93</f>
        <v>0</v>
      </c>
      <c r="E28" s="325">
        <f>ATTACH!E93</f>
        <v>181719355</v>
      </c>
      <c r="F28" s="325">
        <f>ATTACH!F93</f>
        <v>0</v>
      </c>
      <c r="G28" s="325">
        <f>ATTACH!G93</f>
        <v>100000</v>
      </c>
      <c r="H28" s="325">
        <f>ATTACH!H93</f>
        <v>0</v>
      </c>
      <c r="I28" s="325">
        <f>ATTACH!I93</f>
        <v>0</v>
      </c>
      <c r="J28" s="325">
        <f>ATTACH!J93</f>
        <v>0</v>
      </c>
      <c r="K28" s="325">
        <f>ATTACH!K93</f>
        <v>0</v>
      </c>
      <c r="L28" s="325">
        <f>ATTACH!L93</f>
        <v>0</v>
      </c>
      <c r="M28" s="325">
        <f>ATTACH!M93</f>
        <v>0</v>
      </c>
      <c r="N28" s="325">
        <f>ATTACH!N93</f>
        <v>0</v>
      </c>
      <c r="O28" s="325">
        <f>ATTACH!O93</f>
        <v>0</v>
      </c>
      <c r="P28" s="325">
        <f>ATTACH!P93</f>
        <v>0</v>
      </c>
      <c r="Q28" s="325">
        <f>ATTACH!Q93</f>
        <v>0</v>
      </c>
      <c r="R28" s="325">
        <f>ATTACH!R93</f>
        <v>0</v>
      </c>
      <c r="S28" s="325">
        <f>ATTACH!S93</f>
        <v>0</v>
      </c>
      <c r="T28" s="325">
        <f>ATTACH!T93</f>
        <v>0</v>
      </c>
      <c r="U28" s="325">
        <f>ATTACH!U93</f>
        <v>0</v>
      </c>
      <c r="V28" s="325">
        <f>ATTACH!V93</f>
        <v>0</v>
      </c>
      <c r="W28" s="325">
        <f>ATTACH!W93</f>
        <v>0</v>
      </c>
      <c r="X28" s="325">
        <f>ATTACH!X93</f>
        <v>0</v>
      </c>
      <c r="Y28" s="325">
        <f>ATTACH!Y93</f>
        <v>0</v>
      </c>
      <c r="Z28" s="325">
        <f>ATTACH!Z93</f>
        <v>0</v>
      </c>
      <c r="AA28" s="325">
        <f>ATTACH!AA93</f>
        <v>0</v>
      </c>
      <c r="AB28" s="325">
        <f>ATTACH!AB93</f>
        <v>0</v>
      </c>
      <c r="AC28" s="325">
        <f>ATTACH!AC93</f>
        <v>0</v>
      </c>
      <c r="AD28" s="325">
        <f>ATTACH!AD93</f>
        <v>0</v>
      </c>
      <c r="AE28" s="325">
        <f>ATTACH!AE93</f>
        <v>0</v>
      </c>
      <c r="AF28" s="325">
        <f>ATTACH!AF93</f>
        <v>0</v>
      </c>
      <c r="AG28" s="325">
        <f>ATTACH!AG93</f>
        <v>0</v>
      </c>
      <c r="AH28" s="325">
        <f>ATTACH!AH93</f>
        <v>0</v>
      </c>
      <c r="AI28" s="325">
        <f>ATTACH!AI93</f>
        <v>0</v>
      </c>
      <c r="AJ28" s="325">
        <f>ATTACH!AJ93</f>
        <v>0</v>
      </c>
      <c r="AK28" s="325">
        <f>ATTACH!AK93</f>
        <v>0</v>
      </c>
      <c r="AL28" s="138">
        <f>SUM(C28:AD28)</f>
        <v>181819355</v>
      </c>
      <c r="AN28" s="148">
        <f>C28+D28+E28+F28+G28+H28+I28</f>
        <v>181819355</v>
      </c>
      <c r="AP28" s="148">
        <f>J28+K28+L28+M28+N28+O28+P28</f>
        <v>0</v>
      </c>
      <c r="AR28" s="148">
        <f>Q28+R28+S28+T28+U28+V28+W28</f>
        <v>0</v>
      </c>
      <c r="AT28" s="148">
        <f>X28+Y28+Z28+AA28+AB28+AC28+AD28</f>
        <v>0</v>
      </c>
      <c r="AV28" s="148"/>
      <c r="AX28" s="148">
        <f>AN28+AP28+AR28+AT28+AV28</f>
        <v>181819355</v>
      </c>
    </row>
    <row r="29" spans="1:50" x14ac:dyDescent="0.25">
      <c r="A29" s="149" t="s">
        <v>193</v>
      </c>
      <c r="B29" s="137"/>
      <c r="C29" s="325">
        <f>ATTACH!C112</f>
        <v>0</v>
      </c>
      <c r="D29" s="325">
        <f>ATTACH!D112</f>
        <v>0</v>
      </c>
      <c r="E29" s="325">
        <f>ATTACH!E112</f>
        <v>0</v>
      </c>
      <c r="F29" s="325">
        <f>ATTACH!F112</f>
        <v>0</v>
      </c>
      <c r="G29" s="325">
        <f>ATTACH!G112</f>
        <v>0</v>
      </c>
      <c r="H29" s="325">
        <f>ATTACH!H112</f>
        <v>0</v>
      </c>
      <c r="I29" s="325">
        <f>ATTACH!I112</f>
        <v>0</v>
      </c>
      <c r="J29" s="325">
        <f>ATTACH!J112</f>
        <v>0</v>
      </c>
      <c r="K29" s="325">
        <f>ATTACH!K112</f>
        <v>0</v>
      </c>
      <c r="L29" s="325">
        <f>ATTACH!L112</f>
        <v>0</v>
      </c>
      <c r="M29" s="325">
        <f>ATTACH!M112</f>
        <v>0</v>
      </c>
      <c r="N29" s="325">
        <f>ATTACH!N112</f>
        <v>0</v>
      </c>
      <c r="O29" s="325">
        <f>ATTACH!O112</f>
        <v>0</v>
      </c>
      <c r="P29" s="325">
        <f>ATTACH!P112</f>
        <v>0</v>
      </c>
      <c r="Q29" s="325">
        <f>ATTACH!Q112</f>
        <v>0</v>
      </c>
      <c r="R29" s="325">
        <f>ATTACH!R112</f>
        <v>0</v>
      </c>
      <c r="S29" s="325">
        <f>ATTACH!S112</f>
        <v>0</v>
      </c>
      <c r="T29" s="325">
        <f>ATTACH!T112</f>
        <v>0</v>
      </c>
      <c r="U29" s="325">
        <f>ATTACH!U112</f>
        <v>0</v>
      </c>
      <c r="V29" s="325">
        <f>ATTACH!V112</f>
        <v>0</v>
      </c>
      <c r="W29" s="325">
        <f>ATTACH!W112</f>
        <v>0</v>
      </c>
      <c r="X29" s="325">
        <f>ATTACH!X112</f>
        <v>0</v>
      </c>
      <c r="Y29" s="325">
        <f>ATTACH!Y112</f>
        <v>0</v>
      </c>
      <c r="Z29" s="325">
        <f>ATTACH!Z112</f>
        <v>0</v>
      </c>
      <c r="AA29" s="325">
        <f>ATTACH!AA112</f>
        <v>0</v>
      </c>
      <c r="AB29" s="325">
        <f>ATTACH!AB112</f>
        <v>0</v>
      </c>
      <c r="AC29" s="325">
        <f>ATTACH!AC112</f>
        <v>0</v>
      </c>
      <c r="AD29" s="325">
        <f>ATTACH!AD112</f>
        <v>0</v>
      </c>
      <c r="AE29" s="325">
        <f>ATTACH!AE112</f>
        <v>0</v>
      </c>
      <c r="AF29" s="325">
        <f>ATTACH!AF112</f>
        <v>0</v>
      </c>
      <c r="AG29" s="325">
        <f>ATTACH!AG112</f>
        <v>0</v>
      </c>
      <c r="AH29" s="325">
        <f>ATTACH!AH112</f>
        <v>0</v>
      </c>
      <c r="AI29" s="325">
        <f>ATTACH!AI112</f>
        <v>0</v>
      </c>
      <c r="AJ29" s="325">
        <f>ATTACH!AJ112</f>
        <v>0</v>
      </c>
      <c r="AK29" s="325">
        <f>ATTACH!AK112</f>
        <v>0</v>
      </c>
      <c r="AL29" s="138">
        <f>SUM(C29:AD29)</f>
        <v>0</v>
      </c>
      <c r="AN29" s="148">
        <f>C29+D29+E29+F29+G29+H29+I29</f>
        <v>0</v>
      </c>
      <c r="AP29" s="148">
        <f>J29+K29+L29+M29+N29+O29+P29</f>
        <v>0</v>
      </c>
      <c r="AR29" s="148">
        <f>Q29+R29+S29+T29+U29+V29+W29</f>
        <v>0</v>
      </c>
      <c r="AT29" s="148">
        <f>X29+Y29+Z29+AA29+AB29+AC29+AD29</f>
        <v>0</v>
      </c>
      <c r="AV29" s="148"/>
      <c r="AX29" s="148">
        <f>AN29+AP29+AR29+AT29+AV29</f>
        <v>0</v>
      </c>
    </row>
    <row r="30" spans="1:50" x14ac:dyDescent="0.25">
      <c r="A30" s="149" t="s">
        <v>92</v>
      </c>
      <c r="B30" s="137"/>
      <c r="C30" s="325">
        <f>ATTACH!C168</f>
        <v>0</v>
      </c>
      <c r="D30" s="325">
        <f>ATTACH!D168</f>
        <v>0</v>
      </c>
      <c r="E30" s="325">
        <f>ATTACH!E168</f>
        <v>246322660</v>
      </c>
      <c r="F30" s="325">
        <f>ATTACH!F168</f>
        <v>50000</v>
      </c>
      <c r="G30" s="325">
        <f>ATTACH!G168</f>
        <v>1101444403</v>
      </c>
      <c r="H30" s="325">
        <f>ATTACH!H168</f>
        <v>552382712</v>
      </c>
      <c r="I30" s="325">
        <f>ATTACH!I168</f>
        <v>0</v>
      </c>
      <c r="J30" s="325">
        <f>ATTACH!J168</f>
        <v>0</v>
      </c>
      <c r="K30" s="325">
        <f>ATTACH!K168</f>
        <v>0</v>
      </c>
      <c r="L30" s="325">
        <f>ATTACH!L168</f>
        <v>0</v>
      </c>
      <c r="M30" s="325">
        <f>ATTACH!M168</f>
        <v>0</v>
      </c>
      <c r="N30" s="325">
        <f>ATTACH!N168</f>
        <v>0</v>
      </c>
      <c r="O30" s="325">
        <f>ATTACH!O168</f>
        <v>0</v>
      </c>
      <c r="P30" s="325">
        <f>ATTACH!P168</f>
        <v>0</v>
      </c>
      <c r="Q30" s="325">
        <f>ATTACH!Q168</f>
        <v>0</v>
      </c>
      <c r="R30" s="325">
        <f>ATTACH!R168</f>
        <v>0</v>
      </c>
      <c r="S30" s="325">
        <f>ATTACH!S168</f>
        <v>0</v>
      </c>
      <c r="T30" s="325">
        <f>ATTACH!T168</f>
        <v>0</v>
      </c>
      <c r="U30" s="325">
        <f>ATTACH!U168</f>
        <v>0</v>
      </c>
      <c r="V30" s="325">
        <f>ATTACH!V168</f>
        <v>0</v>
      </c>
      <c r="W30" s="325">
        <f>ATTACH!W168</f>
        <v>0</v>
      </c>
      <c r="X30" s="325">
        <f>ATTACH!X168</f>
        <v>0</v>
      </c>
      <c r="Y30" s="325">
        <f>ATTACH!Y168</f>
        <v>0</v>
      </c>
      <c r="Z30" s="325">
        <f>ATTACH!Z168</f>
        <v>0</v>
      </c>
      <c r="AA30" s="325">
        <f>ATTACH!AA168</f>
        <v>0</v>
      </c>
      <c r="AB30" s="325">
        <f>ATTACH!AB168</f>
        <v>0</v>
      </c>
      <c r="AC30" s="325">
        <f>ATTACH!AC168</f>
        <v>0</v>
      </c>
      <c r="AD30" s="325">
        <f>ATTACH!AD168</f>
        <v>0</v>
      </c>
      <c r="AE30" s="325">
        <f>ATTACH!AE168</f>
        <v>0</v>
      </c>
      <c r="AF30" s="325">
        <f>ATTACH!AF168</f>
        <v>0</v>
      </c>
      <c r="AG30" s="325">
        <f>ATTACH!AG168</f>
        <v>0</v>
      </c>
      <c r="AH30" s="325">
        <f>ATTACH!AH168</f>
        <v>0</v>
      </c>
      <c r="AI30" s="325">
        <f>ATTACH!AI168</f>
        <v>0</v>
      </c>
      <c r="AJ30" s="325">
        <f>ATTACH!AJ168</f>
        <v>0</v>
      </c>
      <c r="AK30" s="325">
        <f>ATTACH!AK168</f>
        <v>0</v>
      </c>
      <c r="AL30" s="138">
        <f>SUM(C30:AD30)</f>
        <v>1900199775</v>
      </c>
      <c r="AN30" s="148">
        <f>C30+D30+E30+F30+G30+H30+I30</f>
        <v>1900199775</v>
      </c>
      <c r="AP30" s="148">
        <f>J30+K30+L30+M30+N30+O30+P30</f>
        <v>0</v>
      </c>
      <c r="AR30" s="148">
        <f>Q30+R30+S30+T30+U30+V30+W30</f>
        <v>0</v>
      </c>
      <c r="AT30" s="148">
        <f>X30+Y30+Z30+AA30+AB30+AC30+AD30</f>
        <v>0</v>
      </c>
      <c r="AV30" s="148"/>
      <c r="AX30" s="148">
        <f>AN30+AP30+AR30+AT30+AV30</f>
        <v>1900199775</v>
      </c>
    </row>
    <row r="31" spans="1:50" s="143" customFormat="1" ht="17.25" thickBot="1" x14ac:dyDescent="0.3">
      <c r="A31" s="147" t="s">
        <v>192</v>
      </c>
      <c r="B31" s="146"/>
      <c r="C31" s="326">
        <f>SUM(C26:C30)</f>
        <v>0</v>
      </c>
      <c r="D31" s="326">
        <f>SUM(D26:D30)</f>
        <v>0</v>
      </c>
      <c r="E31" s="145">
        <f t="shared" ref="E31:AK31" si="31">SUM(E26:E30)</f>
        <v>20928847485</v>
      </c>
      <c r="F31" s="145">
        <f>SUM(F26:F30)</f>
        <v>4133219416</v>
      </c>
      <c r="G31" s="145">
        <f t="shared" si="31"/>
        <v>12362307491</v>
      </c>
      <c r="H31" s="145">
        <f t="shared" si="31"/>
        <v>8038208447</v>
      </c>
      <c r="I31" s="145">
        <f t="shared" si="31"/>
        <v>0</v>
      </c>
      <c r="J31" s="145">
        <f t="shared" si="31"/>
        <v>0</v>
      </c>
      <c r="K31" s="145">
        <f t="shared" si="31"/>
        <v>0</v>
      </c>
      <c r="L31" s="145">
        <f t="shared" si="31"/>
        <v>0</v>
      </c>
      <c r="M31" s="145">
        <f t="shared" si="31"/>
        <v>0</v>
      </c>
      <c r="N31" s="145">
        <f t="shared" si="31"/>
        <v>0</v>
      </c>
      <c r="O31" s="145">
        <f t="shared" si="31"/>
        <v>0</v>
      </c>
      <c r="P31" s="145">
        <f t="shared" si="31"/>
        <v>0</v>
      </c>
      <c r="Q31" s="145">
        <f t="shared" si="31"/>
        <v>0</v>
      </c>
      <c r="R31" s="145">
        <f t="shared" si="31"/>
        <v>0</v>
      </c>
      <c r="S31" s="145">
        <f t="shared" si="31"/>
        <v>0</v>
      </c>
      <c r="T31" s="145">
        <f t="shared" si="31"/>
        <v>0</v>
      </c>
      <c r="U31" s="145">
        <f t="shared" si="31"/>
        <v>0</v>
      </c>
      <c r="V31" s="145">
        <f t="shared" si="31"/>
        <v>0</v>
      </c>
      <c r="W31" s="145">
        <f t="shared" si="31"/>
        <v>0</v>
      </c>
      <c r="X31" s="145">
        <f t="shared" si="31"/>
        <v>0</v>
      </c>
      <c r="Y31" s="145">
        <f t="shared" si="31"/>
        <v>0</v>
      </c>
      <c r="Z31" s="145">
        <f t="shared" si="31"/>
        <v>0</v>
      </c>
      <c r="AA31" s="145">
        <f t="shared" si="31"/>
        <v>0</v>
      </c>
      <c r="AB31" s="145">
        <f t="shared" si="31"/>
        <v>0</v>
      </c>
      <c r="AC31" s="145">
        <f t="shared" si="31"/>
        <v>0</v>
      </c>
      <c r="AD31" s="145">
        <f t="shared" si="31"/>
        <v>0</v>
      </c>
      <c r="AE31" s="145">
        <f t="shared" si="31"/>
        <v>0</v>
      </c>
      <c r="AF31" s="145">
        <f t="shared" si="31"/>
        <v>0</v>
      </c>
      <c r="AG31" s="145">
        <f t="shared" si="31"/>
        <v>0</v>
      </c>
      <c r="AH31" s="145">
        <f t="shared" si="31"/>
        <v>0</v>
      </c>
      <c r="AI31" s="145">
        <f t="shared" si="31"/>
        <v>0</v>
      </c>
      <c r="AJ31" s="145">
        <f t="shared" si="31"/>
        <v>0</v>
      </c>
      <c r="AK31" s="145">
        <f t="shared" si="31"/>
        <v>0</v>
      </c>
      <c r="AL31" s="145">
        <f>SUM(AL26:AL30)</f>
        <v>45462582839</v>
      </c>
      <c r="AN31" s="144">
        <f>SUM(AN26:AN30)</f>
        <v>45462582839</v>
      </c>
      <c r="AP31" s="144">
        <f>SUM(AP26:AP30)</f>
        <v>0</v>
      </c>
      <c r="AR31" s="144">
        <f>SUM(AR26:AR30)</f>
        <v>0</v>
      </c>
      <c r="AT31" s="144">
        <f>SUM(AT26:AT30)</f>
        <v>0</v>
      </c>
      <c r="AV31" s="144">
        <f>SUM(AV26:AV30)</f>
        <v>0</v>
      </c>
      <c r="AX31" s="144">
        <f>SUM(AX26:AX30)</f>
        <v>45462582839</v>
      </c>
    </row>
    <row r="32" spans="1:50" ht="17.25" thickTop="1" x14ac:dyDescent="0.25"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>
        <f>+ATTACH!AL170</f>
        <v>42700025317</v>
      </c>
      <c r="AN32" s="126"/>
      <c r="AP32" s="126"/>
      <c r="AR32" s="126"/>
      <c r="AT32" s="126"/>
      <c r="AV32" s="126"/>
      <c r="AX32" s="126"/>
    </row>
    <row r="33" spans="1:50" s="140" customFormat="1" ht="17.25" thickBot="1" x14ac:dyDescent="0.3">
      <c r="A33" s="142" t="s">
        <v>191</v>
      </c>
      <c r="B33" s="142"/>
      <c r="C33" s="327">
        <f>C22-C31</f>
        <v>59257824816.210007</v>
      </c>
      <c r="D33" s="327">
        <f>D22-D31</f>
        <v>59257824816.209999</v>
      </c>
      <c r="E33" s="141">
        <f t="shared" ref="E33:AK33" si="32">E22-E31</f>
        <v>40636019946.209999</v>
      </c>
      <c r="F33" s="141">
        <f t="shared" si="32"/>
        <v>39685851163.209999</v>
      </c>
      <c r="G33" s="141">
        <f t="shared" si="32"/>
        <v>33513049821.93</v>
      </c>
      <c r="H33" s="141">
        <f t="shared" si="32"/>
        <v>32034469884.18</v>
      </c>
      <c r="I33" s="141">
        <f t="shared" si="32"/>
        <v>31815442811.18</v>
      </c>
      <c r="J33" s="141">
        <f t="shared" si="32"/>
        <v>0</v>
      </c>
      <c r="K33" s="141">
        <f t="shared" si="32"/>
        <v>0</v>
      </c>
      <c r="L33" s="141">
        <f t="shared" si="32"/>
        <v>0</v>
      </c>
      <c r="M33" s="141">
        <f t="shared" si="32"/>
        <v>0</v>
      </c>
      <c r="N33" s="141">
        <f t="shared" si="32"/>
        <v>0</v>
      </c>
      <c r="O33" s="141">
        <f t="shared" si="32"/>
        <v>0</v>
      </c>
      <c r="P33" s="141">
        <f t="shared" si="32"/>
        <v>0</v>
      </c>
      <c r="Q33" s="141">
        <f t="shared" si="32"/>
        <v>80529444</v>
      </c>
      <c r="R33" s="141">
        <f t="shared" si="32"/>
        <v>57484445</v>
      </c>
      <c r="S33" s="141">
        <f t="shared" si="32"/>
        <v>16710401</v>
      </c>
      <c r="T33" s="141">
        <f t="shared" si="32"/>
        <v>49148294</v>
      </c>
      <c r="U33" s="141">
        <f t="shared" si="32"/>
        <v>40129182</v>
      </c>
      <c r="V33" s="141">
        <f t="shared" si="32"/>
        <v>0</v>
      </c>
      <c r="W33" s="141">
        <f t="shared" si="32"/>
        <v>0</v>
      </c>
      <c r="X33" s="141">
        <f t="shared" si="32"/>
        <v>1118143885.9200001</v>
      </c>
      <c r="Y33" s="141">
        <f t="shared" si="32"/>
        <v>0</v>
      </c>
      <c r="Z33" s="141">
        <f t="shared" si="32"/>
        <v>0</v>
      </c>
      <c r="AA33" s="141">
        <f t="shared" si="32"/>
        <v>0</v>
      </c>
      <c r="AB33" s="141">
        <f t="shared" si="32"/>
        <v>0</v>
      </c>
      <c r="AC33" s="141">
        <f t="shared" si="32"/>
        <v>0</v>
      </c>
      <c r="AD33" s="141">
        <f t="shared" si="32"/>
        <v>0</v>
      </c>
      <c r="AE33" s="141">
        <f t="shared" si="32"/>
        <v>0</v>
      </c>
      <c r="AF33" s="141">
        <f t="shared" si="32"/>
        <v>0</v>
      </c>
      <c r="AG33" s="141">
        <f t="shared" si="32"/>
        <v>0</v>
      </c>
      <c r="AH33" s="141">
        <f t="shared" si="32"/>
        <v>0</v>
      </c>
      <c r="AI33" s="141">
        <f t="shared" si="32"/>
        <v>0</v>
      </c>
      <c r="AJ33" s="141">
        <f t="shared" si="32"/>
        <v>0</v>
      </c>
      <c r="AK33" s="141">
        <f t="shared" si="32"/>
        <v>0</v>
      </c>
      <c r="AL33" s="141">
        <f>AL22-AL31</f>
        <v>272820523858.14996</v>
      </c>
      <c r="AN33" s="141">
        <f>AN22-AN31</f>
        <v>37175201378.190002</v>
      </c>
      <c r="AP33" s="141">
        <f>AP22-AP31</f>
        <v>37175201378.190002</v>
      </c>
      <c r="AR33" s="141">
        <f>AR22-AR31</f>
        <v>37419203144.190002</v>
      </c>
      <c r="AT33" s="141">
        <f>AT22-AT31</f>
        <v>38537347030.110001</v>
      </c>
      <c r="AV33" s="141">
        <f>AV22-AV31</f>
        <v>38537347030.110001</v>
      </c>
      <c r="AX33" s="141">
        <f>AX22-AX31</f>
        <v>38537347030.110001</v>
      </c>
    </row>
    <row r="34" spans="1:50" ht="17.25" thickTop="1" x14ac:dyDescent="0.25"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N34" s="126"/>
      <c r="AP34" s="126"/>
      <c r="AR34" s="126"/>
      <c r="AT34" s="126"/>
      <c r="AV34" s="126"/>
      <c r="AX34" s="126"/>
    </row>
    <row r="35" spans="1:50" x14ac:dyDescent="0.25">
      <c r="A35" s="139" t="s">
        <v>191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N35" s="126"/>
      <c r="AP35" s="126"/>
      <c r="AR35" s="126"/>
      <c r="AT35" s="126"/>
      <c r="AV35" s="126"/>
      <c r="AX35" s="126"/>
    </row>
    <row r="36" spans="1:50" x14ac:dyDescent="0.25">
      <c r="A36" s="137" t="s">
        <v>190</v>
      </c>
      <c r="B36" s="137" t="s">
        <v>189</v>
      </c>
      <c r="C36" s="922">
        <v>57811297912.019997</v>
      </c>
      <c r="D36" s="922">
        <v>57811297912.019997</v>
      </c>
      <c r="E36" s="924">
        <v>38395471201.019997</v>
      </c>
      <c r="F36" s="924">
        <v>37444322168.019997</v>
      </c>
      <c r="G36" s="924">
        <v>31373065229.740002</v>
      </c>
      <c r="H36" s="924">
        <v>29894485291.990002</v>
      </c>
      <c r="I36" s="924"/>
      <c r="J36" s="924"/>
      <c r="K36" s="925"/>
      <c r="L36" s="925"/>
      <c r="M36" s="925"/>
      <c r="N36" s="925"/>
      <c r="O36" s="925"/>
      <c r="P36" s="925"/>
      <c r="Q36" s="925"/>
      <c r="R36" s="925"/>
      <c r="S36" s="925"/>
      <c r="T36" s="925"/>
      <c r="U36" s="925"/>
      <c r="V36" s="925"/>
      <c r="W36" s="925"/>
      <c r="X36" s="925"/>
      <c r="Y36" s="925"/>
      <c r="Z36" s="925"/>
      <c r="AA36" s="925"/>
      <c r="AB36" s="925"/>
      <c r="AC36" s="926"/>
      <c r="AD36" s="926"/>
      <c r="AE36" s="947"/>
      <c r="AF36" s="947"/>
      <c r="AG36" s="947"/>
      <c r="AH36" s="947"/>
      <c r="AI36" s="947"/>
      <c r="AJ36" s="947"/>
      <c r="AK36" s="947"/>
      <c r="AL36" s="135"/>
      <c r="AN36" s="134"/>
      <c r="AP36" s="134"/>
      <c r="AR36" s="134"/>
      <c r="AT36" s="134"/>
      <c r="AV36" s="134"/>
      <c r="AX36" s="134"/>
    </row>
    <row r="37" spans="1:50" x14ac:dyDescent="0.25">
      <c r="A37" s="137" t="s">
        <v>188</v>
      </c>
      <c r="B37" s="137" t="s">
        <v>187</v>
      </c>
      <c r="C37" s="927">
        <v>591592340.44000006</v>
      </c>
      <c r="D37" s="927">
        <v>591592340.44000006</v>
      </c>
      <c r="E37" s="927">
        <v>1385614181.4400001</v>
      </c>
      <c r="F37" s="923">
        <v>1386594431.4400001</v>
      </c>
      <c r="G37" s="924">
        <v>1285050028.4400001</v>
      </c>
      <c r="H37" s="924">
        <v>1066022955.4400001</v>
      </c>
      <c r="I37" s="924"/>
      <c r="J37" s="924"/>
      <c r="K37" s="924"/>
      <c r="L37" s="924"/>
      <c r="M37" s="924"/>
      <c r="N37" s="924"/>
      <c r="O37" s="924"/>
      <c r="P37" s="924"/>
      <c r="Q37" s="925"/>
      <c r="R37" s="925"/>
      <c r="S37" s="925"/>
      <c r="T37" s="925"/>
      <c r="U37" s="925"/>
      <c r="V37" s="925"/>
      <c r="W37" s="925"/>
      <c r="X37" s="925"/>
      <c r="Y37" s="925"/>
      <c r="Z37" s="925"/>
      <c r="AA37" s="925"/>
      <c r="AB37" s="925"/>
      <c r="AC37" s="925"/>
      <c r="AD37" s="925"/>
      <c r="AE37" s="948"/>
      <c r="AF37" s="948"/>
      <c r="AG37" s="948"/>
      <c r="AH37" s="948"/>
      <c r="AI37" s="948"/>
      <c r="AJ37" s="948"/>
      <c r="AK37" s="948"/>
      <c r="AL37" s="135"/>
      <c r="AN37" s="134"/>
      <c r="AP37" s="134"/>
      <c r="AR37" s="134"/>
      <c r="AT37" s="134"/>
      <c r="AV37" s="134"/>
      <c r="AX37" s="134"/>
    </row>
    <row r="38" spans="1:50" x14ac:dyDescent="0.25">
      <c r="A38" s="137" t="s">
        <v>186</v>
      </c>
      <c r="B38" s="137" t="s">
        <v>185</v>
      </c>
      <c r="C38" s="937">
        <v>0</v>
      </c>
      <c r="D38" s="937">
        <v>0</v>
      </c>
      <c r="E38" s="937">
        <v>0</v>
      </c>
      <c r="F38" s="937">
        <v>0</v>
      </c>
      <c r="G38" s="937">
        <v>0</v>
      </c>
      <c r="H38" s="937">
        <v>0</v>
      </c>
      <c r="I38" s="937"/>
      <c r="J38" s="937"/>
      <c r="K38" s="937"/>
      <c r="L38" s="937"/>
      <c r="M38" s="937"/>
      <c r="N38" s="937"/>
      <c r="O38" s="937"/>
      <c r="P38" s="937"/>
      <c r="Q38" s="937"/>
      <c r="R38" s="937"/>
      <c r="S38" s="937"/>
      <c r="T38" s="937"/>
      <c r="U38" s="937"/>
      <c r="V38" s="937"/>
      <c r="W38" s="937"/>
      <c r="X38" s="937"/>
      <c r="Y38" s="937"/>
      <c r="Z38" s="937"/>
      <c r="AA38" s="937"/>
      <c r="AB38" s="937"/>
      <c r="AC38" s="937"/>
      <c r="AD38" s="937"/>
      <c r="AE38" s="937"/>
      <c r="AF38" s="937"/>
      <c r="AG38" s="937"/>
      <c r="AH38" s="937"/>
      <c r="AI38" s="937"/>
      <c r="AJ38" s="937"/>
      <c r="AK38" s="937"/>
      <c r="AL38" s="135"/>
      <c r="AN38" s="134"/>
      <c r="AP38" s="134"/>
      <c r="AR38" s="134"/>
      <c r="AT38" s="134"/>
      <c r="AV38" s="134"/>
      <c r="AX38" s="134"/>
    </row>
    <row r="39" spans="1:50" x14ac:dyDescent="0.25">
      <c r="A39" s="137" t="s">
        <v>184</v>
      </c>
      <c r="B39" s="137" t="s">
        <v>183</v>
      </c>
      <c r="C39" s="937">
        <v>10067446</v>
      </c>
      <c r="D39" s="937">
        <v>10067446</v>
      </c>
      <c r="E39" s="937">
        <v>10067446</v>
      </c>
      <c r="F39" s="937">
        <v>10067446</v>
      </c>
      <c r="G39" s="937">
        <v>10067446</v>
      </c>
      <c r="H39" s="937">
        <v>10067446</v>
      </c>
      <c r="I39" s="937"/>
      <c r="J39" s="937"/>
      <c r="K39" s="937"/>
      <c r="L39" s="937"/>
      <c r="M39" s="937"/>
      <c r="N39" s="937"/>
      <c r="O39" s="937"/>
      <c r="P39" s="937"/>
      <c r="Q39" s="937"/>
      <c r="R39" s="937"/>
      <c r="S39" s="937"/>
      <c r="T39" s="937"/>
      <c r="U39" s="937"/>
      <c r="V39" s="937"/>
      <c r="W39" s="937"/>
      <c r="X39" s="937"/>
      <c r="Y39" s="937"/>
      <c r="Z39" s="937"/>
      <c r="AA39" s="937"/>
      <c r="AB39" s="937"/>
      <c r="AC39" s="937"/>
      <c r="AD39" s="937"/>
      <c r="AE39" s="937"/>
      <c r="AF39" s="937"/>
      <c r="AG39" s="937"/>
      <c r="AH39" s="937"/>
      <c r="AI39" s="937"/>
      <c r="AJ39" s="937"/>
      <c r="AK39" s="937"/>
      <c r="AL39" s="135"/>
      <c r="AN39" s="134"/>
      <c r="AP39" s="134"/>
      <c r="AR39" s="134"/>
      <c r="AT39" s="134"/>
      <c r="AV39" s="134"/>
      <c r="AX39" s="134"/>
    </row>
    <row r="40" spans="1:50" x14ac:dyDescent="0.25">
      <c r="A40" s="137" t="s">
        <v>182</v>
      </c>
      <c r="B40" s="137" t="s">
        <v>181</v>
      </c>
      <c r="C40" s="937">
        <v>0</v>
      </c>
      <c r="D40" s="937">
        <v>0</v>
      </c>
      <c r="E40" s="937">
        <v>0</v>
      </c>
      <c r="F40" s="937">
        <v>0</v>
      </c>
      <c r="G40" s="937">
        <v>0</v>
      </c>
      <c r="H40" s="937">
        <v>0</v>
      </c>
      <c r="I40" s="937"/>
      <c r="J40" s="937"/>
      <c r="K40" s="937"/>
      <c r="L40" s="937"/>
      <c r="M40" s="937"/>
      <c r="N40" s="937"/>
      <c r="O40" s="937"/>
      <c r="P40" s="937"/>
      <c r="Q40" s="937"/>
      <c r="R40" s="937"/>
      <c r="S40" s="937"/>
      <c r="T40" s="937"/>
      <c r="U40" s="937"/>
      <c r="V40" s="937"/>
      <c r="W40" s="937"/>
      <c r="X40" s="937"/>
      <c r="Y40" s="937"/>
      <c r="Z40" s="937"/>
      <c r="AA40" s="937"/>
      <c r="AB40" s="937"/>
      <c r="AC40" s="937"/>
      <c r="AD40" s="937"/>
      <c r="AE40" s="937"/>
      <c r="AF40" s="937"/>
      <c r="AG40" s="937"/>
      <c r="AH40" s="937"/>
      <c r="AI40" s="937"/>
      <c r="AJ40" s="937"/>
      <c r="AK40" s="937"/>
      <c r="AL40" s="135"/>
      <c r="AN40" s="134"/>
      <c r="AP40" s="134"/>
      <c r="AR40" s="134"/>
      <c r="AT40" s="134"/>
      <c r="AV40" s="134"/>
      <c r="AX40" s="134"/>
    </row>
    <row r="41" spans="1:50" x14ac:dyDescent="0.25">
      <c r="A41" s="137" t="s">
        <v>180</v>
      </c>
      <c r="B41" s="137" t="s">
        <v>5721</v>
      </c>
      <c r="C41" s="937">
        <v>64185986</v>
      </c>
      <c r="D41" s="937">
        <v>64185986</v>
      </c>
      <c r="E41" s="937">
        <v>64185986</v>
      </c>
      <c r="F41" s="937">
        <v>64185986</v>
      </c>
      <c r="G41" s="937">
        <v>64185986</v>
      </c>
      <c r="H41" s="937">
        <v>64185986</v>
      </c>
      <c r="I41" s="937"/>
      <c r="J41" s="937"/>
      <c r="K41" s="937"/>
      <c r="L41" s="937"/>
      <c r="M41" s="937"/>
      <c r="N41" s="937"/>
      <c r="O41" s="937"/>
      <c r="P41" s="937"/>
      <c r="Q41" s="937"/>
      <c r="R41" s="937"/>
      <c r="S41" s="937"/>
      <c r="T41" s="937"/>
      <c r="U41" s="937"/>
      <c r="V41" s="937"/>
      <c r="W41" s="937"/>
      <c r="X41" s="937"/>
      <c r="Y41" s="937"/>
      <c r="Z41" s="937"/>
      <c r="AA41" s="937"/>
      <c r="AB41" s="937"/>
      <c r="AC41" s="937"/>
      <c r="AD41" s="937"/>
      <c r="AE41" s="937"/>
      <c r="AF41" s="937"/>
      <c r="AG41" s="937"/>
      <c r="AH41" s="937"/>
      <c r="AI41" s="937"/>
      <c r="AJ41" s="937"/>
      <c r="AK41" s="937"/>
      <c r="AL41" s="135"/>
      <c r="AN41" s="134"/>
      <c r="AP41" s="134"/>
      <c r="AR41" s="134"/>
      <c r="AT41" s="134"/>
      <c r="AV41" s="134"/>
      <c r="AX41" s="134"/>
    </row>
    <row r="42" spans="1:50" x14ac:dyDescent="0.25">
      <c r="A42" s="137" t="s">
        <v>178</v>
      </c>
      <c r="B42" s="137" t="s">
        <v>177</v>
      </c>
      <c r="C42" s="1317">
        <v>238202869</v>
      </c>
      <c r="D42" s="1317">
        <v>238202869</v>
      </c>
      <c r="E42" s="1317">
        <v>238202869</v>
      </c>
      <c r="F42" s="1317">
        <v>238202869</v>
      </c>
      <c r="G42" s="1317">
        <v>238202869</v>
      </c>
      <c r="H42" s="1317">
        <v>238202869</v>
      </c>
      <c r="I42" s="1317"/>
      <c r="J42" s="1317"/>
      <c r="K42" s="1317"/>
      <c r="L42" s="1317"/>
      <c r="M42" s="1317"/>
      <c r="N42" s="1317"/>
      <c r="O42" s="1317"/>
      <c r="P42" s="1317"/>
      <c r="Q42" s="1317"/>
      <c r="R42" s="927"/>
      <c r="S42" s="927"/>
      <c r="T42" s="927"/>
      <c r="U42" s="927"/>
      <c r="V42" s="927"/>
      <c r="W42" s="927"/>
      <c r="X42" s="927"/>
      <c r="Y42" s="927"/>
      <c r="Z42" s="927"/>
      <c r="AA42" s="927"/>
      <c r="AB42" s="927"/>
      <c r="AC42" s="927"/>
      <c r="AD42" s="927"/>
      <c r="AE42" s="927"/>
      <c r="AF42" s="927"/>
      <c r="AG42" s="927"/>
      <c r="AH42" s="927"/>
      <c r="AI42" s="927"/>
      <c r="AJ42" s="927"/>
      <c r="AK42" s="927"/>
      <c r="AL42" s="135"/>
      <c r="AN42" s="134"/>
      <c r="AP42" s="134"/>
      <c r="AR42" s="134"/>
      <c r="AT42" s="134"/>
      <c r="AV42" s="134"/>
      <c r="AX42" s="134"/>
    </row>
    <row r="43" spans="1:50" x14ac:dyDescent="0.25">
      <c r="A43" s="137" t="s">
        <v>176</v>
      </c>
      <c r="B43" s="136" t="s">
        <v>175</v>
      </c>
      <c r="C43" s="928">
        <v>447784171.04000002</v>
      </c>
      <c r="D43" s="928">
        <v>447784171.04000002</v>
      </c>
      <c r="E43" s="928">
        <v>447784171.04000002</v>
      </c>
      <c r="F43" s="928">
        <v>447784171.04000002</v>
      </c>
      <c r="G43" s="928">
        <v>447784171.04000002</v>
      </c>
      <c r="H43" s="928">
        <v>447784171.04000002</v>
      </c>
      <c r="I43" s="928"/>
      <c r="J43" s="928"/>
      <c r="K43" s="928"/>
      <c r="L43" s="928"/>
      <c r="M43" s="928"/>
      <c r="N43" s="928"/>
      <c r="O43" s="928"/>
      <c r="P43" s="928"/>
      <c r="Q43" s="928"/>
      <c r="R43" s="928"/>
      <c r="S43" s="928"/>
      <c r="T43" s="928"/>
      <c r="U43" s="928"/>
      <c r="V43" s="928"/>
      <c r="W43" s="928"/>
      <c r="X43" s="928"/>
      <c r="Y43" s="928"/>
      <c r="Z43" s="928"/>
      <c r="AA43" s="928"/>
      <c r="AB43" s="928"/>
      <c r="AC43" s="928"/>
      <c r="AD43" s="928"/>
      <c r="AE43" s="928"/>
      <c r="AF43" s="928"/>
      <c r="AG43" s="928"/>
      <c r="AH43" s="928"/>
      <c r="AI43" s="928"/>
      <c r="AJ43" s="928"/>
      <c r="AK43" s="928"/>
      <c r="AL43" s="135"/>
      <c r="AN43" s="134"/>
      <c r="AP43" s="134"/>
      <c r="AR43" s="134"/>
      <c r="AT43" s="134"/>
      <c r="AV43" s="134"/>
      <c r="AX43" s="134"/>
    </row>
    <row r="44" spans="1:50" x14ac:dyDescent="0.25">
      <c r="A44" s="137" t="s">
        <v>174</v>
      </c>
      <c r="B44" s="136" t="s">
        <v>173</v>
      </c>
      <c r="C44" s="929">
        <v>94694091.709999993</v>
      </c>
      <c r="D44" s="929">
        <v>94694091.709999993</v>
      </c>
      <c r="E44" s="929">
        <v>94694091.709999993</v>
      </c>
      <c r="F44" s="929">
        <v>94694091.709999993</v>
      </c>
      <c r="G44" s="929">
        <v>94694091.709999993</v>
      </c>
      <c r="H44" s="929">
        <v>94694091.709999993</v>
      </c>
      <c r="I44" s="929"/>
      <c r="J44" s="929"/>
      <c r="K44" s="929"/>
      <c r="L44" s="929"/>
      <c r="M44" s="929"/>
      <c r="N44" s="929"/>
      <c r="O44" s="929"/>
      <c r="P44" s="929"/>
      <c r="Q44" s="929"/>
      <c r="R44" s="929"/>
      <c r="S44" s="929"/>
      <c r="T44" s="929"/>
      <c r="U44" s="929"/>
      <c r="V44" s="929"/>
      <c r="W44" s="929"/>
      <c r="X44" s="929"/>
      <c r="Y44" s="929"/>
      <c r="Z44" s="929"/>
      <c r="AA44" s="929"/>
      <c r="AB44" s="929"/>
      <c r="AC44" s="929"/>
      <c r="AD44" s="929"/>
      <c r="AE44" s="929"/>
      <c r="AF44" s="929"/>
      <c r="AG44" s="929"/>
      <c r="AH44" s="929"/>
      <c r="AI44" s="929"/>
      <c r="AJ44" s="929"/>
      <c r="AK44" s="929"/>
      <c r="AL44" s="135"/>
      <c r="AN44" s="134"/>
      <c r="AP44" s="134"/>
      <c r="AR44" s="134"/>
      <c r="AT44" s="134"/>
      <c r="AV44" s="134"/>
      <c r="AX44" s="134"/>
    </row>
    <row r="45" spans="1:50" ht="17.25" thickBot="1" x14ac:dyDescent="0.3">
      <c r="A45" s="133" t="s">
        <v>172</v>
      </c>
      <c r="B45" s="132"/>
      <c r="C45" s="930">
        <f>SUM(C36:C44)</f>
        <v>59257824816.209999</v>
      </c>
      <c r="D45" s="930">
        <f>SUM(D36:D44)</f>
        <v>59257824816.209999</v>
      </c>
      <c r="E45" s="931">
        <f t="shared" ref="E45:AK45" si="33">SUM(E36:E44)</f>
        <v>40636019946.209999</v>
      </c>
      <c r="F45" s="931">
        <f t="shared" si="33"/>
        <v>39685851163.209999</v>
      </c>
      <c r="G45" s="931">
        <f t="shared" si="33"/>
        <v>33513049821.93</v>
      </c>
      <c r="H45" s="931">
        <f t="shared" si="33"/>
        <v>31815442811.18</v>
      </c>
      <c r="I45" s="931">
        <f t="shared" si="33"/>
        <v>0</v>
      </c>
      <c r="J45" s="931">
        <f t="shared" si="33"/>
        <v>0</v>
      </c>
      <c r="K45" s="931">
        <f t="shared" si="33"/>
        <v>0</v>
      </c>
      <c r="L45" s="931">
        <f t="shared" si="33"/>
        <v>0</v>
      </c>
      <c r="M45" s="931">
        <f t="shared" si="33"/>
        <v>0</v>
      </c>
      <c r="N45" s="931">
        <f t="shared" si="33"/>
        <v>0</v>
      </c>
      <c r="O45" s="931">
        <f t="shared" si="33"/>
        <v>0</v>
      </c>
      <c r="P45" s="931">
        <f t="shared" si="33"/>
        <v>0</v>
      </c>
      <c r="Q45" s="931">
        <f t="shared" si="33"/>
        <v>0</v>
      </c>
      <c r="R45" s="931">
        <f t="shared" si="33"/>
        <v>0</v>
      </c>
      <c r="S45" s="931">
        <f t="shared" si="33"/>
        <v>0</v>
      </c>
      <c r="T45" s="931">
        <f t="shared" si="33"/>
        <v>0</v>
      </c>
      <c r="U45" s="932">
        <f t="shared" si="33"/>
        <v>0</v>
      </c>
      <c r="V45" s="932">
        <f>SUM(V36:V44)</f>
        <v>0</v>
      </c>
      <c r="W45" s="931">
        <f>SUM(W36:W44)</f>
        <v>0</v>
      </c>
      <c r="X45" s="931">
        <f t="shared" si="33"/>
        <v>0</v>
      </c>
      <c r="Y45" s="931">
        <f t="shared" si="33"/>
        <v>0</v>
      </c>
      <c r="Z45" s="931">
        <f t="shared" si="33"/>
        <v>0</v>
      </c>
      <c r="AA45" s="931">
        <f t="shared" si="33"/>
        <v>0</v>
      </c>
      <c r="AB45" s="932">
        <f t="shared" si="33"/>
        <v>0</v>
      </c>
      <c r="AC45" s="932">
        <f t="shared" si="33"/>
        <v>0</v>
      </c>
      <c r="AD45" s="932">
        <f t="shared" si="33"/>
        <v>0</v>
      </c>
      <c r="AE45" s="932">
        <f t="shared" si="33"/>
        <v>0</v>
      </c>
      <c r="AF45" s="932">
        <f t="shared" si="33"/>
        <v>0</v>
      </c>
      <c r="AG45" s="932">
        <f t="shared" si="33"/>
        <v>0</v>
      </c>
      <c r="AH45" s="932">
        <f t="shared" si="33"/>
        <v>0</v>
      </c>
      <c r="AI45" s="932">
        <f t="shared" si="33"/>
        <v>0</v>
      </c>
      <c r="AJ45" s="932">
        <f t="shared" si="33"/>
        <v>0</v>
      </c>
      <c r="AK45" s="932">
        <f t="shared" si="33"/>
        <v>0</v>
      </c>
      <c r="AL45" s="130">
        <f>SUM(AL36:AL44)</f>
        <v>0</v>
      </c>
      <c r="AN45" s="130">
        <f>AN18+AN20-AN31</f>
        <v>37175201378.190002</v>
      </c>
      <c r="AP45" s="130">
        <f>AP18+AP20-AP31</f>
        <v>37175201378.190002</v>
      </c>
      <c r="AR45" s="130">
        <f>AR18+AR20-AR31</f>
        <v>37419203144.190002</v>
      </c>
      <c r="AT45" s="130">
        <f>AT18+AT20-AT31</f>
        <v>38537347030.110001</v>
      </c>
      <c r="AV45" s="130">
        <f>AV18+AV20-AV31</f>
        <v>38537347030.110001</v>
      </c>
      <c r="AX45" s="130">
        <f>AX18+AX20-AX31</f>
        <v>38537347030.110001</v>
      </c>
    </row>
    <row r="46" spans="1:50" ht="17.25" thickTop="1" x14ac:dyDescent="0.25"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N46" s="126"/>
      <c r="AP46" s="126"/>
      <c r="AR46" s="126"/>
      <c r="AT46" s="126"/>
      <c r="AV46" s="126"/>
      <c r="AX46" s="126"/>
    </row>
    <row r="47" spans="1:50" s="127" customFormat="1" x14ac:dyDescent="0.25">
      <c r="A47" s="129" t="s">
        <v>171</v>
      </c>
      <c r="B47" s="129"/>
      <c r="C47" s="331">
        <f>C33-C45</f>
        <v>0</v>
      </c>
      <c r="D47" s="331">
        <f>D33-D45</f>
        <v>0</v>
      </c>
      <c r="E47" s="128">
        <f t="shared" ref="E47:AK47" si="34">E33-E45</f>
        <v>0</v>
      </c>
      <c r="F47" s="128">
        <f t="shared" si="34"/>
        <v>0</v>
      </c>
      <c r="G47" s="128">
        <f t="shared" si="34"/>
        <v>0</v>
      </c>
      <c r="H47" s="128">
        <f t="shared" si="34"/>
        <v>219027073</v>
      </c>
      <c r="I47" s="128">
        <f t="shared" si="34"/>
        <v>31815442811.18</v>
      </c>
      <c r="J47" s="128">
        <f t="shared" si="34"/>
        <v>0</v>
      </c>
      <c r="K47" s="128">
        <f t="shared" si="34"/>
        <v>0</v>
      </c>
      <c r="L47" s="128">
        <f t="shared" si="34"/>
        <v>0</v>
      </c>
      <c r="M47" s="128">
        <f t="shared" si="34"/>
        <v>0</v>
      </c>
      <c r="N47" s="128">
        <f t="shared" si="34"/>
        <v>0</v>
      </c>
      <c r="O47" s="128">
        <f t="shared" si="34"/>
        <v>0</v>
      </c>
      <c r="P47" s="128">
        <f t="shared" si="34"/>
        <v>0</v>
      </c>
      <c r="Q47" s="128">
        <f t="shared" si="34"/>
        <v>80529444</v>
      </c>
      <c r="R47" s="128">
        <f t="shared" si="34"/>
        <v>57484445</v>
      </c>
      <c r="S47" s="128">
        <f t="shared" si="34"/>
        <v>16710401</v>
      </c>
      <c r="T47" s="128">
        <f t="shared" si="34"/>
        <v>49148294</v>
      </c>
      <c r="U47" s="128">
        <f t="shared" si="34"/>
        <v>40129182</v>
      </c>
      <c r="V47" s="128">
        <f t="shared" si="34"/>
        <v>0</v>
      </c>
      <c r="W47" s="128">
        <f t="shared" si="34"/>
        <v>0</v>
      </c>
      <c r="X47" s="128">
        <f t="shared" si="34"/>
        <v>1118143885.9200001</v>
      </c>
      <c r="Y47" s="128">
        <f t="shared" si="34"/>
        <v>0</v>
      </c>
      <c r="Z47" s="128">
        <f t="shared" si="34"/>
        <v>0</v>
      </c>
      <c r="AA47" s="128">
        <f t="shared" si="34"/>
        <v>0</v>
      </c>
      <c r="AB47" s="128">
        <f t="shared" si="34"/>
        <v>0</v>
      </c>
      <c r="AC47" s="128">
        <f t="shared" si="34"/>
        <v>0</v>
      </c>
      <c r="AD47" s="128">
        <f t="shared" si="34"/>
        <v>0</v>
      </c>
      <c r="AE47" s="128">
        <f t="shared" si="34"/>
        <v>0</v>
      </c>
      <c r="AF47" s="128">
        <f t="shared" si="34"/>
        <v>0</v>
      </c>
      <c r="AG47" s="128">
        <f t="shared" si="34"/>
        <v>0</v>
      </c>
      <c r="AH47" s="128">
        <f t="shared" si="34"/>
        <v>0</v>
      </c>
      <c r="AI47" s="128">
        <f t="shared" si="34"/>
        <v>0</v>
      </c>
      <c r="AJ47" s="128">
        <f t="shared" si="34"/>
        <v>0</v>
      </c>
      <c r="AK47" s="128">
        <f t="shared" si="34"/>
        <v>0</v>
      </c>
      <c r="AL47" s="128">
        <f>AL33-AL45</f>
        <v>272820523858.14996</v>
      </c>
      <c r="AN47" s="128">
        <f>AN33-AN45</f>
        <v>0</v>
      </c>
      <c r="AP47" s="128">
        <f>AP33-AP45</f>
        <v>0</v>
      </c>
      <c r="AR47" s="128">
        <f>AR33-AR45</f>
        <v>0</v>
      </c>
      <c r="AT47" s="128">
        <f>AT33-AT45</f>
        <v>0</v>
      </c>
      <c r="AV47" s="128">
        <f>AV33-AV45</f>
        <v>0</v>
      </c>
      <c r="AX47" s="128">
        <f>AX33-AX45</f>
        <v>0</v>
      </c>
    </row>
    <row r="48" spans="1:50" x14ac:dyDescent="0.25"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</row>
    <row r="49" spans="1:38" x14ac:dyDescent="0.25">
      <c r="A49" s="435" t="s">
        <v>4606</v>
      </c>
      <c r="B49" s="430"/>
      <c r="C49" s="430"/>
      <c r="D49" s="430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  <c r="AA49" s="329"/>
      <c r="AB49" s="329"/>
      <c r="AC49" s="329"/>
      <c r="AD49" s="329"/>
      <c r="AE49" s="329"/>
      <c r="AF49" s="329"/>
      <c r="AG49" s="329"/>
      <c r="AH49" s="329"/>
      <c r="AI49" s="329"/>
      <c r="AJ49" s="329"/>
      <c r="AK49" s="329"/>
      <c r="AL49" s="329"/>
    </row>
    <row r="50" spans="1:38" x14ac:dyDescent="0.25">
      <c r="A50" s="436" t="s">
        <v>4608</v>
      </c>
      <c r="B50" s="430"/>
      <c r="C50" s="431"/>
      <c r="D50" s="431"/>
      <c r="E50" s="329">
        <v>1000000000</v>
      </c>
      <c r="F50" s="329"/>
      <c r="G50" s="329"/>
      <c r="H50" s="329"/>
      <c r="I50" s="329"/>
      <c r="J50" s="329"/>
      <c r="K50" s="329">
        <v>1000000000</v>
      </c>
      <c r="L50" s="329"/>
      <c r="M50" s="329"/>
      <c r="N50" s="329"/>
      <c r="O50" s="329"/>
      <c r="P50" s="329"/>
      <c r="Q50" s="329"/>
      <c r="R50" s="329"/>
      <c r="S50" s="329"/>
      <c r="T50" s="329"/>
      <c r="U50" s="329"/>
      <c r="V50" s="329"/>
      <c r="W50" s="329"/>
      <c r="X50" s="329"/>
      <c r="Y50" s="329"/>
      <c r="Z50" s="329"/>
      <c r="AA50" s="329"/>
      <c r="AB50" s="329"/>
      <c r="AC50" s="329"/>
      <c r="AD50" s="329"/>
      <c r="AE50" s="329"/>
      <c r="AF50" s="329"/>
      <c r="AG50" s="329"/>
      <c r="AH50" s="329"/>
      <c r="AI50" s="329"/>
      <c r="AJ50" s="329"/>
      <c r="AK50" s="329"/>
      <c r="AL50" s="329"/>
    </row>
    <row r="51" spans="1:38" x14ac:dyDescent="0.25">
      <c r="A51" s="436" t="s">
        <v>4607</v>
      </c>
      <c r="B51" s="430"/>
      <c r="C51" s="430"/>
      <c r="D51" s="431"/>
      <c r="E51" s="329"/>
      <c r="F51" s="329"/>
      <c r="G51" s="329"/>
      <c r="H51" s="329"/>
      <c r="I51" s="329"/>
      <c r="J51" s="329"/>
      <c r="K51" s="329"/>
      <c r="L51" s="329"/>
      <c r="M51" s="329"/>
      <c r="N51" s="329"/>
      <c r="O51" s="329"/>
      <c r="P51" s="329"/>
      <c r="Q51" s="329"/>
      <c r="R51" s="329"/>
      <c r="S51" s="329"/>
      <c r="T51" s="329"/>
      <c r="U51" s="329"/>
      <c r="V51" s="329"/>
      <c r="W51" s="329"/>
      <c r="X51" s="329"/>
      <c r="Y51" s="329"/>
      <c r="Z51" s="329"/>
      <c r="AA51" s="329"/>
      <c r="AB51" s="329"/>
      <c r="AC51" s="329"/>
      <c r="AD51" s="329"/>
      <c r="AE51" s="329"/>
      <c r="AF51" s="329"/>
      <c r="AG51" s="329"/>
      <c r="AH51" s="329"/>
      <c r="AI51" s="329"/>
      <c r="AJ51" s="329"/>
      <c r="AK51" s="329"/>
      <c r="AL51" s="329"/>
    </row>
    <row r="52" spans="1:38" x14ac:dyDescent="0.25"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</row>
    <row r="53" spans="1:38" x14ac:dyDescent="0.25">
      <c r="E53" s="126"/>
      <c r="F53" s="126"/>
      <c r="G53" s="126"/>
      <c r="H53" s="126" t="s">
        <v>18</v>
      </c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</row>
    <row r="54" spans="1:38" x14ac:dyDescent="0.25"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</row>
    <row r="55" spans="1:38" x14ac:dyDescent="0.25"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</row>
    <row r="56" spans="1:38" x14ac:dyDescent="0.25"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</row>
    <row r="57" spans="1:38" x14ac:dyDescent="0.25"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</row>
    <row r="58" spans="1:38" x14ac:dyDescent="0.25"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 t="s">
        <v>18</v>
      </c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</row>
    <row r="59" spans="1:38" x14ac:dyDescent="0.25"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</row>
    <row r="60" spans="1:38" x14ac:dyDescent="0.25"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 t="s">
        <v>6110</v>
      </c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</row>
    <row r="61" spans="1:38" x14ac:dyDescent="0.25"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 t="s">
        <v>6110</v>
      </c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</row>
    <row r="62" spans="1:38" x14ac:dyDescent="0.25"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 t="s">
        <v>6110</v>
      </c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</row>
    <row r="63" spans="1:38" x14ac:dyDescent="0.25"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</row>
    <row r="64" spans="1:38" x14ac:dyDescent="0.25">
      <c r="E64" s="95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</row>
    <row r="65" spans="4:38" x14ac:dyDescent="0.25">
      <c r="E65" s="95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 t="s">
        <v>6171</v>
      </c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</row>
    <row r="66" spans="4:38" x14ac:dyDescent="0.25">
      <c r="E66" s="95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 t="s">
        <v>6172</v>
      </c>
      <c r="W66" s="126" t="s">
        <v>6173</v>
      </c>
      <c r="X66" s="126" t="s">
        <v>6174</v>
      </c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</row>
    <row r="67" spans="4:38" x14ac:dyDescent="0.25">
      <c r="E67" s="95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</row>
    <row r="68" spans="4:38" x14ac:dyDescent="0.25">
      <c r="E68" s="95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</row>
    <row r="69" spans="4:38" x14ac:dyDescent="0.25">
      <c r="D69" s="125" t="s">
        <v>6110</v>
      </c>
      <c r="E69" s="957"/>
      <c r="F69" s="126"/>
    </row>
    <row r="70" spans="4:38" x14ac:dyDescent="0.25">
      <c r="E70" s="957"/>
      <c r="F70" s="126"/>
    </row>
    <row r="71" spans="4:38" x14ac:dyDescent="0.25">
      <c r="E71" s="957"/>
      <c r="F71" s="126"/>
      <c r="M71" s="125">
        <v>29000000</v>
      </c>
    </row>
    <row r="72" spans="4:38" x14ac:dyDescent="0.25">
      <c r="E72" s="957"/>
      <c r="F72" s="126"/>
    </row>
    <row r="73" spans="4:38" x14ac:dyDescent="0.25">
      <c r="D73" s="125" t="s">
        <v>6110</v>
      </c>
      <c r="E73" s="957"/>
      <c r="F73" s="955"/>
      <c r="M73" s="125">
        <v>1288000</v>
      </c>
    </row>
    <row r="74" spans="4:38" x14ac:dyDescent="0.25">
      <c r="E74" s="955"/>
      <c r="F74" s="955"/>
      <c r="M74" s="125">
        <v>2000000</v>
      </c>
    </row>
    <row r="75" spans="4:38" x14ac:dyDescent="0.25">
      <c r="E75" s="955"/>
      <c r="F75" s="955"/>
      <c r="M75" s="125">
        <f>600000+1050000+1800000</f>
        <v>3450000</v>
      </c>
    </row>
    <row r="76" spans="4:38" x14ac:dyDescent="0.25">
      <c r="E76" s="955"/>
    </row>
    <row r="80" spans="4:38" x14ac:dyDescent="0.25">
      <c r="M80" s="125">
        <v>2680000</v>
      </c>
    </row>
    <row r="82" spans="13:13" x14ac:dyDescent="0.25">
      <c r="M82" s="125">
        <v>4000000</v>
      </c>
    </row>
    <row r="100" spans="13:13" x14ac:dyDescent="0.25">
      <c r="M100" s="125">
        <f>5000+5000+5000+5000+5000+5000+5000+5000+5000+5000+5000+5000+5000+5000+35000+35000+35000</f>
        <v>175000</v>
      </c>
    </row>
  </sheetData>
  <mergeCells count="10">
    <mergeCell ref="AT4:AT5"/>
    <mergeCell ref="AV4:AV5"/>
    <mergeCell ref="AX4:AX5"/>
    <mergeCell ref="E4:AD4"/>
    <mergeCell ref="A4:A5"/>
    <mergeCell ref="B4:B5"/>
    <mergeCell ref="AL4:AL5"/>
    <mergeCell ref="AN4:AN5"/>
    <mergeCell ref="AP4:AP5"/>
    <mergeCell ref="AR4:AR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U236"/>
  <sheetViews>
    <sheetView zoomScale="80" zoomScaleNormal="80" zoomScaleSheetLayoutView="100" workbookViewId="0">
      <pane xSplit="2" ySplit="6" topLeftCell="H151" activePane="bottomRight" state="frozen"/>
      <selection pane="topRight" activeCell="C1" sqref="C1"/>
      <selection pane="bottomLeft" activeCell="A4" sqref="A4"/>
      <selection pane="bottomRight" activeCell="I161" sqref="I161"/>
    </sheetView>
  </sheetViews>
  <sheetFormatPr defaultColWidth="9.140625" defaultRowHeight="15" x14ac:dyDescent="0.25"/>
  <cols>
    <col min="1" max="1" width="30.7109375" style="1190" customWidth="1"/>
    <col min="2" max="2" width="14.7109375" style="1190" bestFit="1" customWidth="1"/>
    <col min="3" max="3" width="20" style="1309" customWidth="1"/>
    <col min="4" max="4" width="20.85546875" style="1190" customWidth="1"/>
    <col min="5" max="5" width="20" style="1190" customWidth="1"/>
    <col min="6" max="6" width="20.140625" style="1190" customWidth="1"/>
    <col min="7" max="7" width="19.42578125" style="1190" customWidth="1"/>
    <col min="8" max="8" width="19.5703125" style="1190" customWidth="1"/>
    <col min="9" max="9" width="18" style="1190" customWidth="1"/>
    <col min="10" max="10" width="19.42578125" style="1190" customWidth="1"/>
    <col min="11" max="11" width="21" style="1190" customWidth="1"/>
    <col min="12" max="12" width="18.28515625" style="1309" customWidth="1"/>
    <col min="13" max="13" width="19.5703125" style="1190" bestFit="1" customWidth="1"/>
    <col min="14" max="14" width="19.42578125" style="1190" customWidth="1"/>
    <col min="15" max="15" width="17.85546875" style="1190" customWidth="1"/>
    <col min="16" max="16" width="18.28515625" style="1190" customWidth="1"/>
    <col min="17" max="17" width="19" style="1190" customWidth="1"/>
    <col min="18" max="18" width="18.42578125" style="1190" customWidth="1"/>
    <col min="19" max="19" width="20.140625" style="1309" customWidth="1"/>
    <col min="20" max="20" width="18.85546875" style="1190" customWidth="1"/>
    <col min="21" max="21" width="20.85546875" style="1190" customWidth="1"/>
    <col min="22" max="22" width="21.140625" style="1190" customWidth="1"/>
    <col min="23" max="24" width="18.85546875" style="1190" customWidth="1"/>
    <col min="25" max="25" width="19" style="1190" customWidth="1"/>
    <col min="26" max="26" width="18.7109375" style="1309" customWidth="1"/>
    <col min="27" max="27" width="20" style="1232" customWidth="1"/>
    <col min="28" max="28" width="21" style="1310" customWidth="1"/>
    <col min="29" max="29" width="19.28515625" style="1311" customWidth="1"/>
    <col min="30" max="30" width="16.42578125" style="1310" customWidth="1"/>
    <col min="31" max="31" width="19.42578125" style="1310" customWidth="1"/>
    <col min="32" max="32" width="19.28515625" style="1310" customWidth="1"/>
    <col min="33" max="33" width="16.42578125" style="1310" customWidth="1"/>
    <col min="34" max="35" width="19" style="1310" customWidth="1"/>
    <col min="36" max="37" width="16.42578125" style="1310" customWidth="1"/>
    <col min="38" max="38" width="22.5703125" style="1190" customWidth="1"/>
    <col min="39" max="39" width="9.5703125" style="1181" customWidth="1"/>
    <col min="40" max="91" width="9.140625" style="1181" bestFit="1" customWidth="1"/>
    <col min="92" max="229" width="9.140625" style="1190" bestFit="1" customWidth="1"/>
    <col min="230" max="16384" width="9.140625" style="1191"/>
  </cols>
  <sheetData>
    <row r="1" spans="1:229" s="1178" customFormat="1" x14ac:dyDescent="0.25">
      <c r="A1" s="1173" t="s">
        <v>0</v>
      </c>
      <c r="B1" s="1174"/>
      <c r="C1" s="1174"/>
      <c r="D1" s="1174"/>
      <c r="E1" s="1174"/>
      <c r="F1" s="1174"/>
      <c r="G1" s="1174"/>
      <c r="H1" s="1174"/>
      <c r="I1" s="1174"/>
      <c r="J1" s="1174"/>
      <c r="K1" s="1174"/>
      <c r="L1" s="1174"/>
      <c r="M1" s="1174"/>
      <c r="N1" s="1174"/>
      <c r="O1" s="1174"/>
      <c r="P1" s="1174"/>
      <c r="Q1" s="1174"/>
      <c r="R1" s="1174"/>
      <c r="S1" s="1174"/>
      <c r="T1" s="1174"/>
      <c r="U1" s="1174"/>
      <c r="V1" s="1174"/>
      <c r="W1" s="1174"/>
      <c r="X1" s="1174"/>
      <c r="Y1" s="1174"/>
      <c r="Z1" s="1174"/>
      <c r="AA1" s="1175"/>
      <c r="AB1" s="1176"/>
      <c r="AC1" s="1177"/>
      <c r="AD1" s="1176"/>
      <c r="AE1" s="1176"/>
      <c r="AF1" s="1176"/>
      <c r="AG1" s="1176"/>
      <c r="AH1" s="1176"/>
      <c r="AI1" s="1176"/>
      <c r="AJ1" s="1176"/>
      <c r="AK1" s="1176"/>
      <c r="AL1" s="1174"/>
      <c r="AM1" s="1174"/>
      <c r="AN1" s="1174"/>
      <c r="AO1" s="1174"/>
      <c r="AP1" s="1174"/>
      <c r="AQ1" s="1174"/>
      <c r="AR1" s="1174"/>
      <c r="AS1" s="1174"/>
      <c r="AT1" s="1174"/>
      <c r="AU1" s="1174"/>
      <c r="AV1" s="1174"/>
      <c r="AW1" s="1174"/>
      <c r="AX1" s="1174"/>
      <c r="AY1" s="1174"/>
      <c r="AZ1" s="1174"/>
      <c r="BA1" s="1174"/>
      <c r="BB1" s="1174"/>
      <c r="BC1" s="1174"/>
      <c r="BD1" s="1174"/>
      <c r="BE1" s="1174"/>
      <c r="BF1" s="1174"/>
      <c r="BG1" s="1174"/>
      <c r="BH1" s="1174"/>
      <c r="BI1" s="1174"/>
      <c r="BJ1" s="1174"/>
      <c r="BK1" s="1174"/>
      <c r="BL1" s="1174"/>
      <c r="BM1" s="1174"/>
      <c r="BN1" s="1174"/>
      <c r="BO1" s="1174"/>
      <c r="BP1" s="1174"/>
      <c r="BQ1" s="1174"/>
      <c r="BR1" s="1174"/>
      <c r="BS1" s="1174"/>
      <c r="BT1" s="1174"/>
      <c r="BU1" s="1174"/>
      <c r="BV1" s="1174"/>
      <c r="BW1" s="1174"/>
      <c r="BX1" s="1174"/>
      <c r="BY1" s="1174"/>
      <c r="BZ1" s="1174"/>
      <c r="CA1" s="1174"/>
      <c r="CB1" s="1174"/>
      <c r="CC1" s="1174"/>
      <c r="CD1" s="1174"/>
      <c r="CE1" s="1174"/>
      <c r="CF1" s="1174"/>
      <c r="CG1" s="1174"/>
      <c r="CH1" s="1174"/>
      <c r="CI1" s="1174"/>
      <c r="CJ1" s="1174"/>
      <c r="CK1" s="1174"/>
      <c r="CL1" s="1174"/>
      <c r="CM1" s="1174"/>
      <c r="CN1" s="1174"/>
      <c r="CO1" s="1174"/>
      <c r="CP1" s="1174"/>
      <c r="CQ1" s="1174"/>
      <c r="CR1" s="1174"/>
      <c r="CS1" s="1174"/>
      <c r="CT1" s="1174"/>
      <c r="CU1" s="1174"/>
      <c r="CV1" s="1174"/>
      <c r="CW1" s="1174"/>
      <c r="CX1" s="1174"/>
      <c r="CY1" s="1174"/>
      <c r="CZ1" s="1174"/>
      <c r="DA1" s="1174"/>
      <c r="DB1" s="1174"/>
      <c r="DC1" s="1174"/>
      <c r="DD1" s="1174"/>
      <c r="DE1" s="1174"/>
      <c r="DF1" s="1174"/>
      <c r="DG1" s="1174"/>
      <c r="DH1" s="1174"/>
      <c r="DI1" s="1174"/>
      <c r="DJ1" s="1174"/>
      <c r="DK1" s="1174"/>
      <c r="DL1" s="1174"/>
      <c r="DM1" s="1174"/>
      <c r="DN1" s="1174"/>
      <c r="DO1" s="1174"/>
      <c r="DP1" s="1174"/>
      <c r="DQ1" s="1174"/>
      <c r="DR1" s="1174"/>
      <c r="DS1" s="1174"/>
      <c r="DT1" s="1174"/>
      <c r="DU1" s="1174"/>
      <c r="DV1" s="1174"/>
      <c r="DW1" s="1174"/>
      <c r="DX1" s="1174"/>
      <c r="DY1" s="1174"/>
      <c r="DZ1" s="1174"/>
      <c r="EA1" s="1174"/>
      <c r="EB1" s="1174"/>
      <c r="EC1" s="1174"/>
      <c r="ED1" s="1174"/>
      <c r="EE1" s="1174"/>
      <c r="EF1" s="1174"/>
      <c r="EG1" s="1174"/>
      <c r="EH1" s="1174"/>
      <c r="EI1" s="1174"/>
      <c r="EJ1" s="1174"/>
      <c r="EK1" s="1174"/>
      <c r="EL1" s="1174"/>
      <c r="EM1" s="1174"/>
      <c r="EN1" s="1174"/>
      <c r="EO1" s="1174"/>
      <c r="EP1" s="1174"/>
      <c r="EQ1" s="1174"/>
      <c r="ER1" s="1174"/>
      <c r="ES1" s="1174"/>
      <c r="ET1" s="1174"/>
      <c r="EU1" s="1174"/>
      <c r="EV1" s="1174"/>
      <c r="EW1" s="1174"/>
      <c r="EX1" s="1174"/>
      <c r="EY1" s="1174"/>
      <c r="EZ1" s="1174"/>
      <c r="FA1" s="1174"/>
      <c r="FB1" s="1174"/>
      <c r="FC1" s="1174"/>
      <c r="FD1" s="1174"/>
      <c r="FE1" s="1174"/>
      <c r="FF1" s="1174"/>
      <c r="FG1" s="1174"/>
      <c r="FH1" s="1174"/>
      <c r="FI1" s="1174"/>
      <c r="FJ1" s="1174"/>
      <c r="FK1" s="1174"/>
      <c r="FL1" s="1174"/>
      <c r="FM1" s="1174"/>
      <c r="FN1" s="1174"/>
      <c r="FO1" s="1174"/>
      <c r="FP1" s="1174"/>
      <c r="FQ1" s="1174"/>
      <c r="FR1" s="1174"/>
      <c r="FS1" s="1174"/>
      <c r="FT1" s="1174"/>
      <c r="FU1" s="1174"/>
      <c r="FV1" s="1174"/>
      <c r="FW1" s="1174"/>
      <c r="FX1" s="1174"/>
      <c r="FY1" s="1174"/>
      <c r="FZ1" s="1174"/>
      <c r="GA1" s="1174"/>
      <c r="GB1" s="1174"/>
      <c r="GC1" s="1174"/>
      <c r="GD1" s="1174"/>
      <c r="GE1" s="1174"/>
      <c r="GF1" s="1174"/>
      <c r="GG1" s="1174"/>
      <c r="GH1" s="1174"/>
      <c r="GI1" s="1174"/>
      <c r="GJ1" s="1174"/>
      <c r="GK1" s="1174"/>
      <c r="GL1" s="1174"/>
      <c r="GM1" s="1174"/>
      <c r="GN1" s="1174"/>
      <c r="GO1" s="1174"/>
      <c r="GP1" s="1174"/>
      <c r="GQ1" s="1174"/>
      <c r="GR1" s="1174"/>
      <c r="GS1" s="1174"/>
      <c r="GT1" s="1174"/>
      <c r="GU1" s="1174"/>
      <c r="GV1" s="1174"/>
      <c r="GW1" s="1174"/>
      <c r="GX1" s="1174"/>
      <c r="GY1" s="1174"/>
      <c r="GZ1" s="1174"/>
      <c r="HA1" s="1174"/>
      <c r="HB1" s="1174"/>
      <c r="HC1" s="1174"/>
      <c r="HD1" s="1174"/>
      <c r="HE1" s="1174"/>
      <c r="HF1" s="1174"/>
      <c r="HG1" s="1174"/>
      <c r="HH1" s="1174"/>
      <c r="HI1" s="1174"/>
      <c r="HJ1" s="1174"/>
      <c r="HK1" s="1174"/>
      <c r="HL1" s="1174"/>
      <c r="HM1" s="1174"/>
      <c r="HN1" s="1174"/>
      <c r="HO1" s="1174"/>
      <c r="HP1" s="1174"/>
      <c r="HQ1" s="1174"/>
      <c r="HR1" s="1174"/>
      <c r="HS1" s="1174"/>
      <c r="HT1" s="1174"/>
      <c r="HU1" s="1174"/>
    </row>
    <row r="2" spans="1:229" s="1178" customFormat="1" x14ac:dyDescent="0.25">
      <c r="A2" s="1173" t="s">
        <v>6104</v>
      </c>
      <c r="B2" s="1174"/>
      <c r="C2" s="1174"/>
      <c r="D2" s="1174"/>
      <c r="E2" s="1174"/>
      <c r="F2" s="1174"/>
      <c r="G2" s="1174"/>
      <c r="H2" s="1174"/>
      <c r="I2" s="1174"/>
      <c r="J2" s="1174"/>
      <c r="K2" s="1174"/>
      <c r="L2" s="1174"/>
      <c r="M2" s="1174"/>
      <c r="N2" s="1174"/>
      <c r="O2" s="1174"/>
      <c r="P2" s="1174"/>
      <c r="Q2" s="1174"/>
      <c r="R2" s="1174"/>
      <c r="S2" s="1174"/>
      <c r="T2" s="1174"/>
      <c r="U2" s="1174"/>
      <c r="V2" s="1174"/>
      <c r="W2" s="1174"/>
      <c r="X2" s="1174"/>
      <c r="Y2" s="1174"/>
      <c r="Z2" s="1174"/>
      <c r="AA2" s="1175"/>
      <c r="AB2" s="1176"/>
      <c r="AC2" s="1177"/>
      <c r="AD2" s="1176"/>
      <c r="AE2" s="1176"/>
      <c r="AF2" s="1176"/>
      <c r="AG2" s="1176"/>
      <c r="AH2" s="1176"/>
      <c r="AI2" s="1176"/>
      <c r="AJ2" s="1176"/>
      <c r="AK2" s="1176"/>
      <c r="AL2" s="1174"/>
      <c r="AM2" s="1174"/>
      <c r="AN2" s="1174"/>
      <c r="AO2" s="1174"/>
      <c r="AP2" s="1174"/>
      <c r="AQ2" s="1174"/>
      <c r="AR2" s="1174"/>
      <c r="AS2" s="1174"/>
      <c r="AT2" s="1174"/>
      <c r="AU2" s="1174"/>
      <c r="AV2" s="1174"/>
      <c r="AW2" s="1174"/>
      <c r="AX2" s="1174"/>
      <c r="AY2" s="1174"/>
      <c r="AZ2" s="1174"/>
      <c r="BA2" s="1174"/>
      <c r="BB2" s="1174"/>
      <c r="BC2" s="1174"/>
      <c r="BD2" s="1174"/>
      <c r="BE2" s="1174"/>
      <c r="BF2" s="1174"/>
      <c r="BG2" s="1174"/>
      <c r="BH2" s="1174"/>
      <c r="BI2" s="1174"/>
      <c r="BJ2" s="1174"/>
      <c r="BK2" s="1174"/>
      <c r="BL2" s="1174"/>
      <c r="BM2" s="1174"/>
      <c r="BN2" s="1174"/>
      <c r="BO2" s="1174"/>
      <c r="BP2" s="1174"/>
      <c r="BQ2" s="1174"/>
      <c r="BR2" s="1174"/>
      <c r="BS2" s="1174"/>
      <c r="BT2" s="1174"/>
      <c r="BU2" s="1174"/>
      <c r="BV2" s="1174"/>
      <c r="BW2" s="1174"/>
      <c r="BX2" s="1174"/>
      <c r="BY2" s="1174"/>
      <c r="BZ2" s="1174"/>
      <c r="CA2" s="1174"/>
      <c r="CB2" s="1174"/>
      <c r="CC2" s="1174"/>
      <c r="CD2" s="1174"/>
      <c r="CE2" s="1174"/>
      <c r="CF2" s="1174"/>
      <c r="CG2" s="1174"/>
      <c r="CH2" s="1174"/>
      <c r="CI2" s="1174"/>
      <c r="CJ2" s="1174"/>
      <c r="CK2" s="1174"/>
      <c r="CL2" s="1174"/>
      <c r="CM2" s="1174"/>
      <c r="CN2" s="1174"/>
      <c r="CO2" s="1174"/>
      <c r="CP2" s="1174"/>
      <c r="CQ2" s="1174"/>
      <c r="CR2" s="1174"/>
      <c r="CS2" s="1174"/>
      <c r="CT2" s="1174"/>
      <c r="CU2" s="1174"/>
      <c r="CV2" s="1174"/>
      <c r="CW2" s="1174"/>
      <c r="CX2" s="1174"/>
      <c r="CY2" s="1174"/>
      <c r="CZ2" s="1174"/>
      <c r="DA2" s="1174"/>
      <c r="DB2" s="1174"/>
      <c r="DC2" s="1174"/>
      <c r="DD2" s="1174"/>
      <c r="DE2" s="1174"/>
      <c r="DF2" s="1174"/>
      <c r="DG2" s="1174"/>
      <c r="DH2" s="1174"/>
      <c r="DI2" s="1174"/>
      <c r="DJ2" s="1174"/>
      <c r="DK2" s="1174"/>
      <c r="DL2" s="1174"/>
      <c r="DM2" s="1174"/>
      <c r="DN2" s="1174"/>
      <c r="DO2" s="1174"/>
      <c r="DP2" s="1174"/>
      <c r="DQ2" s="1174"/>
      <c r="DR2" s="1174"/>
      <c r="DS2" s="1174"/>
      <c r="DT2" s="1174"/>
      <c r="DU2" s="1174"/>
      <c r="DV2" s="1174"/>
      <c r="DW2" s="1174"/>
      <c r="DX2" s="1174"/>
      <c r="DY2" s="1174"/>
      <c r="DZ2" s="1174"/>
      <c r="EA2" s="1174"/>
      <c r="EB2" s="1174"/>
      <c r="EC2" s="1174"/>
      <c r="ED2" s="1174"/>
      <c r="EE2" s="1174"/>
      <c r="EF2" s="1174"/>
      <c r="EG2" s="1174"/>
      <c r="EH2" s="1174"/>
      <c r="EI2" s="1174"/>
      <c r="EJ2" s="1174"/>
      <c r="EK2" s="1174"/>
      <c r="EL2" s="1174"/>
      <c r="EM2" s="1174"/>
      <c r="EN2" s="1174"/>
      <c r="EO2" s="1174"/>
      <c r="EP2" s="1174"/>
      <c r="EQ2" s="1174"/>
      <c r="ER2" s="1174"/>
      <c r="ES2" s="1174"/>
      <c r="ET2" s="1174"/>
      <c r="EU2" s="1174"/>
      <c r="EV2" s="1174"/>
      <c r="EW2" s="1174"/>
      <c r="EX2" s="1174"/>
      <c r="EY2" s="1174"/>
      <c r="EZ2" s="1174"/>
      <c r="FA2" s="1174"/>
      <c r="FB2" s="1174"/>
      <c r="FC2" s="1174"/>
      <c r="FD2" s="1174"/>
      <c r="FE2" s="1174"/>
      <c r="FF2" s="1174"/>
      <c r="FG2" s="1174"/>
      <c r="FH2" s="1174"/>
      <c r="FI2" s="1174"/>
      <c r="FJ2" s="1174"/>
      <c r="FK2" s="1174"/>
      <c r="FL2" s="1174"/>
      <c r="FM2" s="1174"/>
      <c r="FN2" s="1174"/>
      <c r="FO2" s="1174"/>
      <c r="FP2" s="1174"/>
      <c r="FQ2" s="1174"/>
      <c r="FR2" s="1174"/>
      <c r="FS2" s="1174"/>
      <c r="FT2" s="1174"/>
      <c r="FU2" s="1174"/>
      <c r="FV2" s="1174"/>
      <c r="FW2" s="1174"/>
      <c r="FX2" s="1174"/>
      <c r="FY2" s="1174"/>
      <c r="FZ2" s="1174"/>
      <c r="GA2" s="1174"/>
      <c r="GB2" s="1174"/>
      <c r="GC2" s="1174"/>
      <c r="GD2" s="1174"/>
      <c r="GE2" s="1174"/>
      <c r="GF2" s="1174"/>
      <c r="GG2" s="1174"/>
      <c r="GH2" s="1174"/>
      <c r="GI2" s="1174"/>
      <c r="GJ2" s="1174"/>
      <c r="GK2" s="1174"/>
      <c r="GL2" s="1174"/>
      <c r="GM2" s="1174"/>
      <c r="GN2" s="1174"/>
      <c r="GO2" s="1174"/>
      <c r="GP2" s="1174"/>
      <c r="GQ2" s="1174"/>
      <c r="GR2" s="1174"/>
      <c r="GS2" s="1174"/>
      <c r="GT2" s="1174"/>
      <c r="GU2" s="1174"/>
      <c r="GV2" s="1174"/>
      <c r="GW2" s="1174"/>
      <c r="GX2" s="1174"/>
      <c r="GY2" s="1174"/>
      <c r="GZ2" s="1174"/>
      <c r="HA2" s="1174"/>
      <c r="HB2" s="1174"/>
      <c r="HC2" s="1174"/>
      <c r="HD2" s="1174"/>
      <c r="HE2" s="1174"/>
      <c r="HF2" s="1174"/>
      <c r="HG2" s="1174"/>
      <c r="HH2" s="1174"/>
      <c r="HI2" s="1174"/>
      <c r="HJ2" s="1174"/>
      <c r="HK2" s="1174"/>
      <c r="HL2" s="1174"/>
      <c r="HM2" s="1174"/>
      <c r="HN2" s="1174"/>
      <c r="HO2" s="1174"/>
      <c r="HP2" s="1174"/>
      <c r="HQ2" s="1174"/>
      <c r="HR2" s="1174"/>
      <c r="HS2" s="1174"/>
      <c r="HT2" s="1174"/>
      <c r="HU2" s="1174"/>
    </row>
    <row r="3" spans="1:229" s="1178" customFormat="1" x14ac:dyDescent="0.25">
      <c r="A3" s="1179" t="s">
        <v>6335</v>
      </c>
      <c r="B3" s="1174"/>
      <c r="C3" s="1174"/>
      <c r="D3" s="1174"/>
      <c r="E3" s="1174"/>
      <c r="F3" s="1174"/>
      <c r="G3" s="1174"/>
      <c r="H3" s="1174"/>
      <c r="I3" s="1174"/>
      <c r="J3" s="1174"/>
      <c r="K3" s="1174"/>
      <c r="L3" s="1174"/>
      <c r="M3" s="1174"/>
      <c r="N3" s="1174"/>
      <c r="O3" s="1174"/>
      <c r="P3" s="1174"/>
      <c r="Q3" s="1174"/>
      <c r="R3" s="1174"/>
      <c r="S3" s="1174"/>
      <c r="T3" s="1174"/>
      <c r="U3" s="1174"/>
      <c r="V3" s="1174"/>
      <c r="W3" s="1174"/>
      <c r="X3" s="1174"/>
      <c r="Y3" s="1174"/>
      <c r="Z3" s="1174"/>
      <c r="AA3" s="1175"/>
      <c r="AB3" s="1176"/>
      <c r="AC3" s="1177"/>
      <c r="AD3" s="1176"/>
      <c r="AE3" s="1176"/>
      <c r="AF3" s="1176"/>
      <c r="AG3" s="1176"/>
      <c r="AH3" s="1176"/>
      <c r="AI3" s="1176"/>
      <c r="AJ3" s="1176"/>
      <c r="AK3" s="1176"/>
      <c r="AL3" s="1174"/>
      <c r="AM3" s="1174"/>
      <c r="AN3" s="1174"/>
      <c r="AO3" s="1174"/>
      <c r="AP3" s="1174"/>
      <c r="AQ3" s="1174"/>
      <c r="AR3" s="1174"/>
      <c r="AS3" s="1174"/>
      <c r="AT3" s="1174"/>
      <c r="AU3" s="1174"/>
      <c r="AV3" s="1174"/>
      <c r="AW3" s="1174"/>
      <c r="AX3" s="1174"/>
      <c r="AY3" s="1174"/>
      <c r="AZ3" s="1174"/>
      <c r="BA3" s="1174"/>
      <c r="BB3" s="1174"/>
      <c r="BC3" s="1174"/>
      <c r="BD3" s="1174"/>
      <c r="BE3" s="1174"/>
      <c r="BF3" s="1174"/>
      <c r="BG3" s="1174"/>
      <c r="BH3" s="1174"/>
      <c r="BI3" s="1174"/>
      <c r="BJ3" s="1174"/>
      <c r="BK3" s="1174"/>
      <c r="BL3" s="1174"/>
      <c r="BM3" s="1174"/>
      <c r="BN3" s="1174"/>
      <c r="BO3" s="1174"/>
      <c r="BP3" s="1174"/>
      <c r="BQ3" s="1174"/>
      <c r="BR3" s="1174"/>
      <c r="BS3" s="1174"/>
      <c r="BT3" s="1174"/>
      <c r="BU3" s="1174"/>
      <c r="BV3" s="1174"/>
      <c r="BW3" s="1174"/>
      <c r="BX3" s="1174"/>
      <c r="BY3" s="1174"/>
      <c r="BZ3" s="1174"/>
      <c r="CA3" s="1174"/>
      <c r="CB3" s="1174"/>
      <c r="CC3" s="1174"/>
      <c r="CD3" s="1174"/>
      <c r="CE3" s="1174"/>
      <c r="CF3" s="1174"/>
      <c r="CG3" s="1174"/>
      <c r="CH3" s="1174"/>
      <c r="CI3" s="1174"/>
      <c r="CJ3" s="1174"/>
      <c r="CK3" s="1174"/>
      <c r="CL3" s="1174"/>
      <c r="CM3" s="1174"/>
      <c r="CN3" s="1174"/>
      <c r="CO3" s="1174"/>
      <c r="CP3" s="1174"/>
      <c r="CQ3" s="1174"/>
      <c r="CR3" s="1174"/>
      <c r="CS3" s="1174"/>
      <c r="CT3" s="1174"/>
      <c r="CU3" s="1174"/>
      <c r="CV3" s="1174"/>
      <c r="CW3" s="1174"/>
      <c r="CX3" s="1174"/>
      <c r="CY3" s="1174"/>
      <c r="CZ3" s="1174"/>
      <c r="DA3" s="1174"/>
      <c r="DB3" s="1174"/>
      <c r="DC3" s="1174"/>
      <c r="DD3" s="1174"/>
      <c r="DE3" s="1174"/>
      <c r="DF3" s="1174"/>
      <c r="DG3" s="1174"/>
      <c r="DH3" s="1174"/>
      <c r="DI3" s="1174"/>
      <c r="DJ3" s="1174"/>
      <c r="DK3" s="1174"/>
      <c r="DL3" s="1174"/>
      <c r="DM3" s="1174"/>
      <c r="DN3" s="1174"/>
      <c r="DO3" s="1174"/>
      <c r="DP3" s="1174"/>
      <c r="DQ3" s="1174"/>
      <c r="DR3" s="1174"/>
      <c r="DS3" s="1174"/>
      <c r="DT3" s="1174"/>
      <c r="DU3" s="1174"/>
      <c r="DV3" s="1174"/>
      <c r="DW3" s="1174"/>
      <c r="DX3" s="1174"/>
      <c r="DY3" s="1174"/>
      <c r="DZ3" s="1174"/>
      <c r="EA3" s="1174"/>
      <c r="EB3" s="1174"/>
      <c r="EC3" s="1174"/>
      <c r="ED3" s="1174"/>
      <c r="EE3" s="1174"/>
      <c r="EF3" s="1174"/>
      <c r="EG3" s="1174"/>
      <c r="EH3" s="1174"/>
      <c r="EI3" s="1174"/>
      <c r="EJ3" s="1174"/>
      <c r="EK3" s="1174"/>
      <c r="EL3" s="1174"/>
      <c r="EM3" s="1174"/>
      <c r="EN3" s="1174"/>
      <c r="EO3" s="1174"/>
      <c r="EP3" s="1174"/>
      <c r="EQ3" s="1174"/>
      <c r="ER3" s="1174"/>
      <c r="ES3" s="1174"/>
      <c r="ET3" s="1174"/>
      <c r="EU3" s="1174"/>
      <c r="EV3" s="1174"/>
      <c r="EW3" s="1174"/>
      <c r="EX3" s="1174"/>
      <c r="EY3" s="1174"/>
      <c r="EZ3" s="1174"/>
      <c r="FA3" s="1174"/>
      <c r="FB3" s="1174"/>
      <c r="FC3" s="1174"/>
      <c r="FD3" s="1174"/>
      <c r="FE3" s="1174"/>
      <c r="FF3" s="1174"/>
      <c r="FG3" s="1174"/>
      <c r="FH3" s="1174"/>
      <c r="FI3" s="1174"/>
      <c r="FJ3" s="1174"/>
      <c r="FK3" s="1174"/>
      <c r="FL3" s="1174"/>
      <c r="FM3" s="1174"/>
      <c r="FN3" s="1174"/>
      <c r="FO3" s="1174"/>
      <c r="FP3" s="1174"/>
      <c r="FQ3" s="1174"/>
      <c r="FR3" s="1174"/>
      <c r="FS3" s="1174"/>
      <c r="FT3" s="1174"/>
      <c r="FU3" s="1174"/>
      <c r="FV3" s="1174"/>
      <c r="FW3" s="1174"/>
      <c r="FX3" s="1174"/>
      <c r="FY3" s="1174"/>
      <c r="FZ3" s="1174"/>
      <c r="GA3" s="1174"/>
      <c r="GB3" s="1174"/>
      <c r="GC3" s="1174"/>
      <c r="GD3" s="1174"/>
      <c r="GE3" s="1174"/>
      <c r="GF3" s="1174"/>
      <c r="GG3" s="1174"/>
      <c r="GH3" s="1174"/>
      <c r="GI3" s="1174"/>
      <c r="GJ3" s="1174"/>
      <c r="GK3" s="1174"/>
      <c r="GL3" s="1174"/>
      <c r="GM3" s="1174"/>
      <c r="GN3" s="1174"/>
      <c r="GO3" s="1174"/>
      <c r="GP3" s="1174"/>
      <c r="GQ3" s="1174"/>
      <c r="GR3" s="1174"/>
      <c r="GS3" s="1174"/>
      <c r="GT3" s="1174"/>
      <c r="GU3" s="1174"/>
      <c r="GV3" s="1174"/>
      <c r="GW3" s="1174"/>
      <c r="GX3" s="1174"/>
      <c r="GY3" s="1174"/>
      <c r="GZ3" s="1174"/>
      <c r="HA3" s="1174"/>
      <c r="HB3" s="1174"/>
      <c r="HC3" s="1174"/>
      <c r="HD3" s="1174"/>
      <c r="HE3" s="1174"/>
      <c r="HF3" s="1174"/>
      <c r="HG3" s="1174"/>
      <c r="HH3" s="1174"/>
      <c r="HI3" s="1174"/>
      <c r="HJ3" s="1174"/>
      <c r="HK3" s="1174"/>
      <c r="HL3" s="1174"/>
      <c r="HM3" s="1174"/>
      <c r="HN3" s="1174"/>
      <c r="HO3" s="1174"/>
      <c r="HP3" s="1174"/>
      <c r="HQ3" s="1174"/>
      <c r="HR3" s="1174"/>
      <c r="HS3" s="1174"/>
      <c r="HT3" s="1174"/>
      <c r="HU3" s="1174"/>
    </row>
    <row r="4" spans="1:229" s="1181" customFormat="1" x14ac:dyDescent="0.25">
      <c r="A4" s="1180" t="s">
        <v>232</v>
      </c>
      <c r="B4" s="1180"/>
      <c r="E4" s="1182"/>
      <c r="AA4" s="1183"/>
      <c r="AB4" s="1184"/>
      <c r="AC4" s="1185"/>
      <c r="AD4" s="1184"/>
      <c r="AE4" s="1184"/>
      <c r="AF4" s="1184"/>
      <c r="AG4" s="1184"/>
      <c r="AH4" s="1184"/>
      <c r="AI4" s="1184"/>
      <c r="AJ4" s="1184"/>
      <c r="AK4" s="1184"/>
    </row>
    <row r="5" spans="1:229" s="1181" customFormat="1" ht="10.5" x14ac:dyDescent="0.25">
      <c r="A5" s="1475" t="s">
        <v>230</v>
      </c>
      <c r="B5" s="1186"/>
      <c r="C5" s="1186"/>
      <c r="D5" s="1186"/>
      <c r="E5" s="1480" t="s">
        <v>114</v>
      </c>
      <c r="F5" s="1481"/>
      <c r="G5" s="1481"/>
      <c r="H5" s="1481"/>
      <c r="I5" s="1481"/>
      <c r="J5" s="1481"/>
      <c r="K5" s="1481"/>
      <c r="L5" s="1481"/>
      <c r="M5" s="1481"/>
      <c r="N5" s="1481"/>
      <c r="O5" s="1481"/>
      <c r="P5" s="1481"/>
      <c r="Q5" s="1481"/>
      <c r="R5" s="1481"/>
      <c r="S5" s="1481"/>
      <c r="T5" s="1481"/>
      <c r="U5" s="1481"/>
      <c r="V5" s="1481"/>
      <c r="W5" s="1481"/>
      <c r="X5" s="1481"/>
      <c r="Y5" s="1481"/>
      <c r="Z5" s="1481"/>
      <c r="AA5" s="1481"/>
      <c r="AB5" s="1481"/>
      <c r="AC5" s="1481"/>
      <c r="AD5" s="1481"/>
      <c r="AE5" s="1481"/>
      <c r="AF5" s="1481"/>
      <c r="AG5" s="1481"/>
      <c r="AH5" s="1481"/>
      <c r="AI5" s="1481"/>
      <c r="AJ5" s="1481"/>
      <c r="AK5" s="1481"/>
      <c r="AL5" s="1482"/>
    </row>
    <row r="6" spans="1:229" x14ac:dyDescent="0.25">
      <c r="A6" s="1476"/>
      <c r="B6" s="1187"/>
      <c r="C6" s="1188">
        <v>1</v>
      </c>
      <c r="D6" s="1188">
        <v>2</v>
      </c>
      <c r="E6" s="1188">
        <v>3</v>
      </c>
      <c r="F6" s="1188">
        <v>4</v>
      </c>
      <c r="G6" s="1188">
        <v>5</v>
      </c>
      <c r="H6" s="1188">
        <v>6</v>
      </c>
      <c r="I6" s="1188">
        <v>7</v>
      </c>
      <c r="J6" s="1188">
        <v>8</v>
      </c>
      <c r="K6" s="1188">
        <v>9</v>
      </c>
      <c r="L6" s="1188">
        <v>10</v>
      </c>
      <c r="M6" s="1188">
        <v>11</v>
      </c>
      <c r="N6" s="1188">
        <v>12</v>
      </c>
      <c r="O6" s="1188">
        <v>13</v>
      </c>
      <c r="P6" s="1188">
        <v>14</v>
      </c>
      <c r="Q6" s="1188">
        <v>15</v>
      </c>
      <c r="R6" s="1188">
        <v>16</v>
      </c>
      <c r="S6" s="1188">
        <v>17</v>
      </c>
      <c r="T6" s="1188">
        <v>18</v>
      </c>
      <c r="U6" s="1188">
        <v>19</v>
      </c>
      <c r="V6" s="1188">
        <v>20</v>
      </c>
      <c r="W6" s="1188">
        <v>21</v>
      </c>
      <c r="X6" s="1188">
        <v>22</v>
      </c>
      <c r="Y6" s="1188">
        <v>23</v>
      </c>
      <c r="Z6" s="1188">
        <v>24</v>
      </c>
      <c r="AA6" s="1188">
        <v>25</v>
      </c>
      <c r="AB6" s="1188">
        <v>26</v>
      </c>
      <c r="AC6" s="1188">
        <v>27</v>
      </c>
      <c r="AD6" s="1188">
        <v>28</v>
      </c>
      <c r="AE6" s="1188">
        <v>29</v>
      </c>
      <c r="AF6" s="1188">
        <v>30</v>
      </c>
      <c r="AG6" s="1188">
        <v>31</v>
      </c>
      <c r="AH6" s="1188">
        <v>32</v>
      </c>
      <c r="AI6" s="1188">
        <v>33</v>
      </c>
      <c r="AJ6" s="1188">
        <v>34</v>
      </c>
      <c r="AK6" s="1188">
        <v>35</v>
      </c>
      <c r="AL6" s="1189" t="s">
        <v>24</v>
      </c>
    </row>
    <row r="7" spans="1:229" x14ac:dyDescent="0.25">
      <c r="A7" s="942" t="s">
        <v>22</v>
      </c>
      <c r="B7" s="1192"/>
      <c r="C7" s="1193"/>
      <c r="D7" s="864"/>
      <c r="E7" s="1194">
        <f>4961765942+3225148158+4960471334+4088070579</f>
        <v>17235456013</v>
      </c>
      <c r="F7" s="617"/>
      <c r="G7" s="1193"/>
      <c r="H7" s="1193"/>
      <c r="I7" s="1193"/>
      <c r="J7" s="1193"/>
      <c r="K7" s="1193"/>
      <c r="L7" s="1193"/>
      <c r="M7" s="1193"/>
      <c r="N7" s="1193"/>
      <c r="O7" s="1193"/>
      <c r="P7" s="1193"/>
      <c r="Q7" s="1193"/>
      <c r="R7" s="1193"/>
      <c r="S7" s="1193"/>
      <c r="T7" s="1193"/>
      <c r="U7" s="1193"/>
      <c r="V7" s="1193"/>
      <c r="W7" s="1193"/>
      <c r="X7" s="571"/>
      <c r="Y7" s="296"/>
      <c r="Z7" s="297"/>
      <c r="AA7" s="980"/>
      <c r="AB7" s="1195"/>
      <c r="AC7" s="1196"/>
      <c r="AD7" s="1197"/>
      <c r="AE7" s="1197"/>
      <c r="AF7" s="1197"/>
      <c r="AG7" s="1197"/>
      <c r="AH7" s="1197"/>
      <c r="AI7" s="1197"/>
      <c r="AJ7" s="1197"/>
      <c r="AK7" s="1197"/>
      <c r="AL7" s="1198">
        <f>SUM(C7:AK7)</f>
        <v>17235456013</v>
      </c>
    </row>
    <row r="8" spans="1:229" x14ac:dyDescent="0.15">
      <c r="A8" s="942" t="s">
        <v>153</v>
      </c>
      <c r="B8" s="1199"/>
      <c r="C8" s="1193"/>
      <c r="D8" s="1193"/>
      <c r="E8" s="1193"/>
      <c r="F8" s="617"/>
      <c r="G8" s="1193"/>
      <c r="H8" s="1193">
        <v>2765908812</v>
      </c>
      <c r="I8" s="1193"/>
      <c r="J8" s="1193"/>
      <c r="K8" s="1193"/>
      <c r="L8" s="1193"/>
      <c r="M8" s="1193"/>
      <c r="N8" s="1193"/>
      <c r="O8" s="1200"/>
      <c r="P8" s="1193"/>
      <c r="Q8" s="1193"/>
      <c r="R8" s="1193"/>
      <c r="S8" s="1193"/>
      <c r="T8" s="1193"/>
      <c r="U8" s="1193"/>
      <c r="V8" s="1193"/>
      <c r="W8" s="1193"/>
      <c r="X8" s="1193"/>
      <c r="Y8" s="1193"/>
      <c r="Z8" s="571"/>
      <c r="AA8" s="980"/>
      <c r="AB8" s="1197"/>
      <c r="AC8" s="1196"/>
      <c r="AD8" s="1197"/>
      <c r="AE8" s="1197"/>
      <c r="AF8" s="1197"/>
      <c r="AG8" s="1197"/>
      <c r="AH8" s="1197"/>
      <c r="AI8" s="1197"/>
      <c r="AJ8" s="1197"/>
      <c r="AK8" s="1197"/>
      <c r="AL8" s="1198">
        <f>SUM(C8:AK8)</f>
        <v>2765908812</v>
      </c>
    </row>
    <row r="9" spans="1:229" x14ac:dyDescent="0.15">
      <c r="A9" s="942" t="s">
        <v>6091</v>
      </c>
      <c r="B9" s="1199"/>
      <c r="C9" s="1193"/>
      <c r="D9" s="1193"/>
      <c r="E9" s="1193"/>
      <c r="F9" s="617"/>
      <c r="G9" s="1193"/>
      <c r="H9" s="1193"/>
      <c r="I9" s="1193"/>
      <c r="J9" s="1193"/>
      <c r="K9" s="1193"/>
      <c r="L9" s="1193"/>
      <c r="M9" s="1193"/>
      <c r="N9" s="1193"/>
      <c r="O9" s="1200"/>
      <c r="P9" s="1193"/>
      <c r="Q9" s="1193"/>
      <c r="R9" s="1193"/>
      <c r="S9" s="1193"/>
      <c r="T9" s="1193"/>
      <c r="U9" s="1193"/>
      <c r="V9" s="1193"/>
      <c r="W9" s="1193"/>
      <c r="X9" s="1193"/>
      <c r="Y9" s="1193"/>
      <c r="Z9" s="571"/>
      <c r="AA9" s="980"/>
      <c r="AB9" s="1197"/>
      <c r="AC9" s="1196"/>
      <c r="AD9" s="1197"/>
      <c r="AE9" s="1197"/>
      <c r="AF9" s="1197"/>
      <c r="AG9" s="1197"/>
      <c r="AH9" s="1197"/>
      <c r="AI9" s="1197"/>
      <c r="AJ9" s="1197"/>
      <c r="AK9" s="1197"/>
      <c r="AL9" s="1198">
        <f>SUM(C9:AK9)</f>
        <v>0</v>
      </c>
    </row>
    <row r="10" spans="1:229" x14ac:dyDescent="0.15">
      <c r="A10" s="942" t="s">
        <v>23</v>
      </c>
      <c r="B10" s="1199"/>
      <c r="C10" s="1193"/>
      <c r="D10" s="1193"/>
      <c r="E10" s="1193"/>
      <c r="F10" s="617"/>
      <c r="G10" s="1193"/>
      <c r="H10" s="1193">
        <v>4186590510</v>
      </c>
      <c r="I10" s="1193"/>
      <c r="J10" s="1193"/>
      <c r="K10" s="1193"/>
      <c r="L10" s="1193"/>
      <c r="M10" s="1193"/>
      <c r="N10" s="1193"/>
      <c r="O10" s="1200"/>
      <c r="P10" s="1193"/>
      <c r="Q10" s="1193"/>
      <c r="R10" s="1193"/>
      <c r="S10" s="1193"/>
      <c r="T10" s="1193"/>
      <c r="U10" s="1193"/>
      <c r="V10" s="1193"/>
      <c r="W10" s="1193"/>
      <c r="X10" s="1193"/>
      <c r="Y10" s="1193"/>
      <c r="Z10" s="1191"/>
      <c r="AA10" s="571"/>
      <c r="AB10" s="1197"/>
      <c r="AC10" s="1196"/>
      <c r="AD10" s="1197"/>
      <c r="AE10" s="1197"/>
      <c r="AF10" s="1197"/>
      <c r="AG10" s="1197"/>
      <c r="AH10" s="1197"/>
      <c r="AI10" s="1197"/>
      <c r="AJ10" s="1197"/>
      <c r="AK10" s="1197"/>
      <c r="AL10" s="1198">
        <f>SUM(C10:AK10)</f>
        <v>4186590510</v>
      </c>
    </row>
    <row r="11" spans="1:229" s="1205" customFormat="1" x14ac:dyDescent="0.25">
      <c r="A11" s="1201" t="s">
        <v>203</v>
      </c>
      <c r="B11" s="1201"/>
      <c r="C11" s="1202">
        <f>SUM(C7:C10)</f>
        <v>0</v>
      </c>
      <c r="D11" s="1202">
        <f t="shared" ref="D11:AK11" si="0">SUM(D7:D10)</f>
        <v>0</v>
      </c>
      <c r="E11" s="1202">
        <f t="shared" si="0"/>
        <v>17235456013</v>
      </c>
      <c r="F11" s="1202">
        <f t="shared" si="0"/>
        <v>0</v>
      </c>
      <c r="G11" s="1202">
        <f t="shared" si="0"/>
        <v>0</v>
      </c>
      <c r="H11" s="1202">
        <f t="shared" si="0"/>
        <v>6952499322</v>
      </c>
      <c r="I11" s="1202">
        <f t="shared" si="0"/>
        <v>0</v>
      </c>
      <c r="J11" s="1202">
        <f t="shared" si="0"/>
        <v>0</v>
      </c>
      <c r="K11" s="1202">
        <f t="shared" si="0"/>
        <v>0</v>
      </c>
      <c r="L11" s="1202">
        <f t="shared" si="0"/>
        <v>0</v>
      </c>
      <c r="M11" s="1202">
        <f t="shared" si="0"/>
        <v>0</v>
      </c>
      <c r="N11" s="1202">
        <f t="shared" si="0"/>
        <v>0</v>
      </c>
      <c r="O11" s="1202">
        <f t="shared" si="0"/>
        <v>0</v>
      </c>
      <c r="P11" s="1202">
        <f t="shared" si="0"/>
        <v>0</v>
      </c>
      <c r="Q11" s="1202">
        <f t="shared" si="0"/>
        <v>0</v>
      </c>
      <c r="R11" s="1202">
        <f t="shared" si="0"/>
        <v>0</v>
      </c>
      <c r="S11" s="1202">
        <f t="shared" si="0"/>
        <v>0</v>
      </c>
      <c r="T11" s="1202">
        <f t="shared" si="0"/>
        <v>0</v>
      </c>
      <c r="U11" s="1202">
        <f t="shared" si="0"/>
        <v>0</v>
      </c>
      <c r="V11" s="1202">
        <f t="shared" si="0"/>
        <v>0</v>
      </c>
      <c r="W11" s="1202">
        <f t="shared" si="0"/>
        <v>0</v>
      </c>
      <c r="X11" s="1202">
        <f t="shared" si="0"/>
        <v>0</v>
      </c>
      <c r="Y11" s="1202">
        <f t="shared" si="0"/>
        <v>0</v>
      </c>
      <c r="Z11" s="1202">
        <f t="shared" si="0"/>
        <v>0</v>
      </c>
      <c r="AA11" s="1202">
        <f>SUM(AA7:AA10)</f>
        <v>0</v>
      </c>
      <c r="AB11" s="1202">
        <f t="shared" si="0"/>
        <v>0</v>
      </c>
      <c r="AC11" s="1202">
        <f t="shared" si="0"/>
        <v>0</v>
      </c>
      <c r="AD11" s="1202">
        <f t="shared" si="0"/>
        <v>0</v>
      </c>
      <c r="AE11" s="1202">
        <f t="shared" si="0"/>
        <v>0</v>
      </c>
      <c r="AF11" s="1202">
        <f t="shared" si="0"/>
        <v>0</v>
      </c>
      <c r="AG11" s="1202">
        <f t="shared" si="0"/>
        <v>0</v>
      </c>
      <c r="AH11" s="1202">
        <f t="shared" si="0"/>
        <v>0</v>
      </c>
      <c r="AI11" s="1202">
        <f t="shared" si="0"/>
        <v>0</v>
      </c>
      <c r="AJ11" s="1202">
        <f t="shared" si="0"/>
        <v>0</v>
      </c>
      <c r="AK11" s="1202">
        <f t="shared" si="0"/>
        <v>0</v>
      </c>
      <c r="AL11" s="1202">
        <f>SUM(AL7:AL10)</f>
        <v>24187955335</v>
      </c>
      <c r="AM11" s="1203"/>
      <c r="AN11" s="1203"/>
      <c r="AO11" s="1203"/>
      <c r="AP11" s="1203"/>
      <c r="AQ11" s="1203"/>
      <c r="AR11" s="1203"/>
      <c r="AS11" s="1203"/>
      <c r="AT11" s="1203"/>
      <c r="AU11" s="1203"/>
      <c r="AV11" s="1203"/>
      <c r="AW11" s="1203"/>
      <c r="AX11" s="1203"/>
      <c r="AY11" s="1203"/>
      <c r="AZ11" s="1203"/>
      <c r="BA11" s="1203"/>
      <c r="BB11" s="1203"/>
      <c r="BC11" s="1203"/>
      <c r="BD11" s="1203"/>
      <c r="BE11" s="1203"/>
      <c r="BF11" s="1203"/>
      <c r="BG11" s="1203"/>
      <c r="BH11" s="1203"/>
      <c r="BI11" s="1203"/>
      <c r="BJ11" s="1203"/>
      <c r="BK11" s="1203"/>
      <c r="BL11" s="1203"/>
      <c r="BM11" s="1203"/>
      <c r="BN11" s="1203"/>
      <c r="BO11" s="1203"/>
      <c r="BP11" s="1203"/>
      <c r="BQ11" s="1203"/>
      <c r="BR11" s="1203"/>
      <c r="BS11" s="1203"/>
      <c r="BT11" s="1203"/>
      <c r="BU11" s="1203"/>
      <c r="BV11" s="1203"/>
      <c r="BW11" s="1203"/>
      <c r="BX11" s="1203"/>
      <c r="BY11" s="1203"/>
      <c r="BZ11" s="1203"/>
      <c r="CA11" s="1203"/>
      <c r="CB11" s="1203"/>
      <c r="CC11" s="1203"/>
      <c r="CD11" s="1203"/>
      <c r="CE11" s="1203"/>
      <c r="CF11" s="1203"/>
      <c r="CG11" s="1203"/>
      <c r="CH11" s="1203"/>
      <c r="CI11" s="1203"/>
      <c r="CJ11" s="1203"/>
      <c r="CK11" s="1203"/>
      <c r="CL11" s="1203"/>
      <c r="CM11" s="1203"/>
      <c r="CN11" s="1204"/>
      <c r="CO11" s="1204"/>
      <c r="CP11" s="1204"/>
      <c r="CQ11" s="1204"/>
      <c r="CR11" s="1204"/>
      <c r="CS11" s="1204"/>
      <c r="CT11" s="1204"/>
      <c r="CU11" s="1204"/>
      <c r="CV11" s="1204"/>
      <c r="CW11" s="1204"/>
      <c r="CX11" s="1204"/>
      <c r="CY11" s="1204"/>
      <c r="CZ11" s="1204"/>
      <c r="DA11" s="1204"/>
      <c r="DB11" s="1204"/>
      <c r="DC11" s="1204"/>
      <c r="DD11" s="1204"/>
      <c r="DE11" s="1204"/>
      <c r="DF11" s="1204"/>
      <c r="DG11" s="1204"/>
      <c r="DH11" s="1204"/>
      <c r="DI11" s="1204"/>
      <c r="DJ11" s="1204"/>
      <c r="DK11" s="1204"/>
      <c r="DL11" s="1204"/>
      <c r="DM11" s="1204"/>
      <c r="DN11" s="1204"/>
      <c r="DO11" s="1204"/>
      <c r="DP11" s="1204"/>
      <c r="DQ11" s="1204"/>
      <c r="DR11" s="1204"/>
      <c r="DS11" s="1204"/>
      <c r="DT11" s="1204"/>
      <c r="DU11" s="1204"/>
      <c r="DV11" s="1204"/>
      <c r="DW11" s="1204"/>
      <c r="DX11" s="1204"/>
      <c r="DY11" s="1204"/>
      <c r="DZ11" s="1204"/>
      <c r="EA11" s="1204"/>
      <c r="EB11" s="1204"/>
      <c r="EC11" s="1204"/>
      <c r="ED11" s="1204"/>
      <c r="EE11" s="1204"/>
      <c r="EF11" s="1204"/>
      <c r="EG11" s="1204"/>
      <c r="EH11" s="1204"/>
      <c r="EI11" s="1204"/>
      <c r="EJ11" s="1204"/>
      <c r="EK11" s="1204"/>
      <c r="EL11" s="1204"/>
      <c r="EM11" s="1204"/>
      <c r="EN11" s="1204"/>
      <c r="EO11" s="1204"/>
      <c r="EP11" s="1204"/>
      <c r="EQ11" s="1204"/>
      <c r="ER11" s="1204"/>
      <c r="ES11" s="1204"/>
      <c r="ET11" s="1204"/>
      <c r="EU11" s="1204"/>
      <c r="EV11" s="1204"/>
      <c r="EW11" s="1204"/>
      <c r="EX11" s="1204"/>
      <c r="EY11" s="1204"/>
      <c r="EZ11" s="1204"/>
      <c r="FA11" s="1204"/>
      <c r="FB11" s="1204"/>
      <c r="FC11" s="1204"/>
      <c r="FD11" s="1204"/>
      <c r="FE11" s="1204"/>
      <c r="FF11" s="1204"/>
      <c r="FG11" s="1204"/>
      <c r="FH11" s="1204"/>
      <c r="FI11" s="1204"/>
      <c r="FJ11" s="1204"/>
      <c r="FK11" s="1204"/>
      <c r="FL11" s="1204"/>
      <c r="FM11" s="1204"/>
      <c r="FN11" s="1204"/>
      <c r="FO11" s="1204"/>
      <c r="FP11" s="1204"/>
      <c r="FQ11" s="1204"/>
      <c r="FR11" s="1204"/>
      <c r="FS11" s="1204"/>
      <c r="FT11" s="1204"/>
      <c r="FU11" s="1204"/>
      <c r="FV11" s="1204"/>
      <c r="FW11" s="1204"/>
      <c r="FX11" s="1204"/>
      <c r="FY11" s="1204"/>
      <c r="FZ11" s="1204"/>
      <c r="GA11" s="1204"/>
      <c r="GB11" s="1204"/>
      <c r="GC11" s="1204"/>
      <c r="GD11" s="1204"/>
      <c r="GE11" s="1204"/>
      <c r="GF11" s="1204"/>
      <c r="GG11" s="1204"/>
      <c r="GH11" s="1204"/>
      <c r="GI11" s="1204"/>
      <c r="GJ11" s="1204"/>
      <c r="GK11" s="1204"/>
      <c r="GL11" s="1204"/>
      <c r="GM11" s="1204"/>
      <c r="GN11" s="1204"/>
      <c r="GO11" s="1204"/>
      <c r="GP11" s="1204"/>
      <c r="GQ11" s="1204"/>
      <c r="GR11" s="1204"/>
      <c r="GS11" s="1204"/>
      <c r="GT11" s="1204"/>
      <c r="GU11" s="1204"/>
      <c r="GV11" s="1204"/>
      <c r="GW11" s="1204"/>
      <c r="GX11" s="1204"/>
      <c r="GY11" s="1204"/>
      <c r="GZ11" s="1204"/>
      <c r="HA11" s="1204"/>
      <c r="HB11" s="1204"/>
      <c r="HC11" s="1204"/>
      <c r="HD11" s="1204"/>
      <c r="HE11" s="1204"/>
      <c r="HF11" s="1204"/>
      <c r="HG11" s="1204"/>
      <c r="HH11" s="1204"/>
      <c r="HI11" s="1204"/>
      <c r="HJ11" s="1204"/>
      <c r="HK11" s="1204"/>
      <c r="HL11" s="1204"/>
      <c r="HM11" s="1204"/>
      <c r="HN11" s="1204"/>
      <c r="HO11" s="1204"/>
      <c r="HP11" s="1204"/>
      <c r="HQ11" s="1204"/>
      <c r="HR11" s="1204"/>
      <c r="HS11" s="1204"/>
      <c r="HT11" s="1204"/>
      <c r="HU11" s="1204"/>
    </row>
    <row r="12" spans="1:229" x14ac:dyDescent="0.25">
      <c r="A12" s="1181"/>
      <c r="B12" s="1181"/>
      <c r="C12" s="1181"/>
      <c r="D12" s="1181"/>
      <c r="E12" s="1181"/>
      <c r="F12" s="1181"/>
      <c r="G12" s="1181"/>
      <c r="H12" s="1181"/>
      <c r="I12" s="1181"/>
      <c r="J12" s="1181"/>
      <c r="K12" s="1181"/>
      <c r="L12" s="1181"/>
      <c r="M12" s="1181"/>
      <c r="N12" s="1181"/>
      <c r="O12" s="1181"/>
      <c r="P12" s="1181"/>
      <c r="Q12" s="1181"/>
      <c r="R12" s="1181"/>
      <c r="S12" s="1181"/>
      <c r="T12" s="1181"/>
      <c r="U12" s="1181"/>
      <c r="V12" s="1181"/>
      <c r="W12" s="1181"/>
      <c r="X12" s="1181"/>
      <c r="Y12" s="1181"/>
      <c r="Z12" s="1206"/>
      <c r="AA12" s="1183"/>
      <c r="AB12" s="1184"/>
      <c r="AC12" s="1185"/>
      <c r="AD12" s="1184"/>
      <c r="AE12" s="1184"/>
      <c r="AF12" s="1184"/>
      <c r="AG12" s="1184"/>
      <c r="AH12" s="1184"/>
      <c r="AI12" s="1184"/>
      <c r="AJ12" s="1184"/>
      <c r="AK12" s="1184"/>
      <c r="AL12" s="1181"/>
    </row>
    <row r="13" spans="1:229" x14ac:dyDescent="0.25">
      <c r="A13" s="1180" t="s">
        <v>5495</v>
      </c>
      <c r="B13" s="1180"/>
      <c r="C13" s="1181"/>
      <c r="D13" s="1181"/>
      <c r="E13" s="1181"/>
      <c r="F13" s="1181"/>
      <c r="G13" s="1181"/>
      <c r="H13" s="1181"/>
      <c r="I13" s="1181"/>
      <c r="J13" s="1181"/>
      <c r="K13" s="1181"/>
      <c r="L13" s="1181"/>
      <c r="M13" s="1181"/>
      <c r="N13" s="1181"/>
      <c r="O13" s="1181"/>
      <c r="P13" s="1181"/>
      <c r="Q13" s="1181"/>
      <c r="R13" s="1181"/>
      <c r="S13" s="1181"/>
      <c r="T13" s="1181"/>
      <c r="U13" s="1181"/>
      <c r="V13" s="1181"/>
      <c r="W13" s="1181"/>
      <c r="X13" s="1181"/>
      <c r="Y13" s="1181"/>
      <c r="Z13" s="1181"/>
      <c r="AA13" s="1183"/>
      <c r="AB13" s="1207"/>
      <c r="AC13" s="1185"/>
      <c r="AD13" s="1184"/>
      <c r="AE13" s="1184"/>
      <c r="AF13" s="1184"/>
      <c r="AG13" s="1184"/>
      <c r="AH13" s="1184"/>
      <c r="AI13" s="1184"/>
      <c r="AJ13" s="1184"/>
      <c r="AK13" s="1184"/>
      <c r="AL13" s="1181"/>
    </row>
    <row r="14" spans="1:229" x14ac:dyDescent="0.25">
      <c r="A14" s="1475" t="s">
        <v>230</v>
      </c>
      <c r="B14" s="1186"/>
      <c r="C14" s="1186"/>
      <c r="D14" s="1186"/>
      <c r="E14" s="1480" t="s">
        <v>114</v>
      </c>
      <c r="F14" s="1481"/>
      <c r="G14" s="1481"/>
      <c r="H14" s="1481"/>
      <c r="I14" s="1481"/>
      <c r="J14" s="1481"/>
      <c r="K14" s="1481"/>
      <c r="L14" s="1481"/>
      <c r="M14" s="1481"/>
      <c r="N14" s="1481"/>
      <c r="O14" s="1481"/>
      <c r="P14" s="1481"/>
      <c r="Q14" s="1481"/>
      <c r="R14" s="1481"/>
      <c r="S14" s="1481"/>
      <c r="T14" s="1481"/>
      <c r="U14" s="1481"/>
      <c r="V14" s="1481"/>
      <c r="W14" s="1481"/>
      <c r="X14" s="1481"/>
      <c r="Y14" s="1481"/>
      <c r="Z14" s="1481"/>
      <c r="AA14" s="1481"/>
      <c r="AB14" s="1481"/>
      <c r="AC14" s="1481"/>
      <c r="AD14" s="1481"/>
      <c r="AE14" s="1481"/>
      <c r="AF14" s="1481"/>
      <c r="AG14" s="1481"/>
      <c r="AH14" s="1481"/>
      <c r="AI14" s="1481"/>
      <c r="AJ14" s="1481"/>
      <c r="AK14" s="1481"/>
      <c r="AL14" s="1482"/>
    </row>
    <row r="15" spans="1:229" x14ac:dyDescent="0.25">
      <c r="A15" s="1476"/>
      <c r="B15" s="1187"/>
      <c r="C15" s="1188">
        <v>1</v>
      </c>
      <c r="D15" s="1188">
        <v>2</v>
      </c>
      <c r="E15" s="1188">
        <v>3</v>
      </c>
      <c r="F15" s="1188">
        <v>4</v>
      </c>
      <c r="G15" s="1188">
        <v>5</v>
      </c>
      <c r="H15" s="1188">
        <v>6</v>
      </c>
      <c r="I15" s="1188">
        <v>7</v>
      </c>
      <c r="J15" s="1188">
        <v>8</v>
      </c>
      <c r="K15" s="1188">
        <v>9</v>
      </c>
      <c r="L15" s="1188">
        <v>10</v>
      </c>
      <c r="M15" s="1188">
        <v>11</v>
      </c>
      <c r="N15" s="1188">
        <v>12</v>
      </c>
      <c r="O15" s="1188">
        <v>13</v>
      </c>
      <c r="P15" s="1188">
        <v>14</v>
      </c>
      <c r="Q15" s="1188">
        <v>15</v>
      </c>
      <c r="R15" s="1188">
        <v>16</v>
      </c>
      <c r="S15" s="1188">
        <v>17</v>
      </c>
      <c r="T15" s="1188">
        <v>18</v>
      </c>
      <c r="U15" s="1188">
        <v>19</v>
      </c>
      <c r="V15" s="1188">
        <v>20</v>
      </c>
      <c r="W15" s="1188">
        <v>21</v>
      </c>
      <c r="X15" s="1188">
        <v>22</v>
      </c>
      <c r="Y15" s="1188">
        <v>23</v>
      </c>
      <c r="Z15" s="1188">
        <v>24</v>
      </c>
      <c r="AA15" s="1188">
        <v>25</v>
      </c>
      <c r="AB15" s="1188">
        <v>26</v>
      </c>
      <c r="AC15" s="1188">
        <v>27</v>
      </c>
      <c r="AD15" s="1188">
        <v>28</v>
      </c>
      <c r="AE15" s="1188">
        <v>29</v>
      </c>
      <c r="AF15" s="1188">
        <v>30</v>
      </c>
      <c r="AG15" s="1188">
        <v>31</v>
      </c>
      <c r="AH15" s="1188">
        <v>32</v>
      </c>
      <c r="AI15" s="1188">
        <v>33</v>
      </c>
      <c r="AJ15" s="1188">
        <v>34</v>
      </c>
      <c r="AK15" s="1188">
        <v>35</v>
      </c>
      <c r="AL15" s="1189" t="s">
        <v>24</v>
      </c>
    </row>
    <row r="16" spans="1:229" x14ac:dyDescent="0.15">
      <c r="A16" s="1208" t="s">
        <v>4912</v>
      </c>
      <c r="B16" s="1208"/>
      <c r="C16" s="1193"/>
      <c r="D16" s="1193"/>
      <c r="E16" s="615"/>
      <c r="F16" s="980"/>
      <c r="G16" s="617"/>
      <c r="H16" s="617"/>
      <c r="I16" s="617"/>
      <c r="J16" s="617"/>
      <c r="K16" s="617"/>
      <c r="L16" s="617"/>
      <c r="M16" s="617"/>
      <c r="N16" s="617"/>
      <c r="O16" s="1175"/>
      <c r="P16" s="1193"/>
      <c r="Q16" s="570"/>
      <c r="R16" s="1193"/>
      <c r="S16" s="1193"/>
      <c r="T16" s="1193"/>
      <c r="U16" s="584"/>
      <c r="V16" s="1193"/>
      <c r="W16" s="1209"/>
      <c r="X16" s="584"/>
      <c r="Y16" s="296"/>
      <c r="Z16" s="584"/>
      <c r="AA16" s="297"/>
      <c r="AB16" s="1197"/>
      <c r="AC16" s="1197"/>
      <c r="AD16" s="1197"/>
      <c r="AE16" s="1197"/>
      <c r="AF16" s="1197"/>
      <c r="AG16" s="1197"/>
      <c r="AH16" s="1197"/>
      <c r="AI16" s="1197"/>
      <c r="AJ16" s="1197"/>
      <c r="AK16" s="1197"/>
      <c r="AL16" s="1198">
        <f>SUM(C16:AK16)</f>
        <v>0</v>
      </c>
    </row>
    <row r="17" spans="1:229" ht="15" customHeight="1" x14ac:dyDescent="0.15">
      <c r="A17" s="1208" t="s">
        <v>4913</v>
      </c>
      <c r="B17" s="1210"/>
      <c r="C17" s="1193"/>
      <c r="D17" s="1193"/>
      <c r="E17" s="617"/>
      <c r="F17" s="617"/>
      <c r="G17" s="617"/>
      <c r="H17" s="617"/>
      <c r="I17" s="617"/>
      <c r="J17" s="617"/>
      <c r="K17" s="617"/>
      <c r="L17" s="617"/>
      <c r="M17" s="617"/>
      <c r="N17" s="617"/>
      <c r="O17" s="1193"/>
      <c r="P17" s="1193"/>
      <c r="Q17" s="570"/>
      <c r="R17" s="1211"/>
      <c r="S17" s="1193"/>
      <c r="T17" s="1193"/>
      <c r="U17" s="1193"/>
      <c r="V17" s="1212"/>
      <c r="W17" s="1200"/>
      <c r="X17" s="1193"/>
      <c r="Y17" s="1193"/>
      <c r="Z17" s="1193"/>
      <c r="AA17" s="980"/>
      <c r="AB17" s="1197"/>
      <c r="AC17" s="1197"/>
      <c r="AD17" s="1197"/>
      <c r="AE17" s="1197"/>
      <c r="AF17" s="1197"/>
      <c r="AG17" s="1197"/>
      <c r="AH17" s="1197"/>
      <c r="AI17" s="1197"/>
      <c r="AJ17" s="1197"/>
      <c r="AK17" s="1197"/>
      <c r="AL17" s="1198">
        <f t="shared" ref="AL17:AL23" si="1">SUM(C17:AK17)</f>
        <v>0</v>
      </c>
    </row>
    <row r="18" spans="1:229" s="1181" customFormat="1" ht="12.75" customHeight="1" x14ac:dyDescent="0.15">
      <c r="A18" s="1208" t="s">
        <v>4914</v>
      </c>
      <c r="B18" s="1208"/>
      <c r="C18" s="1193"/>
      <c r="D18" s="1193"/>
      <c r="E18" s="617"/>
      <c r="F18" s="617"/>
      <c r="G18" s="617"/>
      <c r="H18" s="617">
        <v>498251919</v>
      </c>
      <c r="I18" s="617"/>
      <c r="J18" s="617"/>
      <c r="K18" s="617"/>
      <c r="L18" s="617"/>
      <c r="M18" s="617"/>
      <c r="N18" s="617"/>
      <c r="O18" s="1193"/>
      <c r="P18" s="1193"/>
      <c r="Q18" s="570"/>
      <c r="R18" s="1193"/>
      <c r="S18" s="1193"/>
      <c r="T18" s="1193"/>
      <c r="U18" s="584"/>
      <c r="V18" s="1212"/>
      <c r="W18" s="980"/>
      <c r="X18" s="584"/>
      <c r="Y18" s="571"/>
      <c r="Z18" s="1212"/>
      <c r="AA18" s="571"/>
      <c r="AB18" s="1197"/>
      <c r="AC18" s="1197"/>
      <c r="AD18" s="1197"/>
      <c r="AE18" s="1197"/>
      <c r="AF18" s="1197"/>
      <c r="AG18" s="1197"/>
      <c r="AH18" s="1197"/>
      <c r="AI18" s="1197"/>
      <c r="AJ18" s="1197"/>
      <c r="AK18" s="1197"/>
      <c r="AL18" s="1198">
        <f t="shared" si="1"/>
        <v>498251919</v>
      </c>
    </row>
    <row r="19" spans="1:229" x14ac:dyDescent="0.15">
      <c r="A19" s="1208" t="s">
        <v>4915</v>
      </c>
      <c r="B19" s="1208"/>
      <c r="C19" s="1193"/>
      <c r="D19" s="1193"/>
      <c r="E19" s="617"/>
      <c r="F19" s="617"/>
      <c r="G19" s="617"/>
      <c r="H19" s="617"/>
      <c r="I19" s="617"/>
      <c r="J19" s="617"/>
      <c r="K19" s="617"/>
      <c r="L19" s="617"/>
      <c r="M19" s="617"/>
      <c r="N19" s="617"/>
      <c r="O19" s="1193"/>
      <c r="P19" s="1193"/>
      <c r="Q19" s="570"/>
      <c r="R19" s="1211"/>
      <c r="S19" s="1193"/>
      <c r="T19" s="1193"/>
      <c r="U19" s="1193"/>
      <c r="V19" s="1193"/>
      <c r="W19" s="1213"/>
      <c r="X19" s="584"/>
      <c r="Y19" s="1193"/>
      <c r="Z19" s="1212"/>
      <c r="AA19" s="584"/>
      <c r="AB19" s="1197"/>
      <c r="AC19" s="1197"/>
      <c r="AD19" s="1197"/>
      <c r="AE19" s="1197"/>
      <c r="AF19" s="1197"/>
      <c r="AG19" s="1197"/>
      <c r="AH19" s="1197"/>
      <c r="AI19" s="1197"/>
      <c r="AJ19" s="1197"/>
      <c r="AK19" s="1197"/>
      <c r="AL19" s="1198">
        <f t="shared" si="1"/>
        <v>0</v>
      </c>
      <c r="AM19" s="1214"/>
      <c r="AN19" s="1214"/>
      <c r="AO19" s="1214"/>
      <c r="AP19" s="1214"/>
      <c r="AQ19" s="1214"/>
      <c r="AR19" s="1214"/>
      <c r="AS19" s="1214"/>
      <c r="AT19" s="1214"/>
      <c r="AU19" s="1214"/>
      <c r="AV19" s="1214"/>
      <c r="AW19" s="1214"/>
      <c r="AX19" s="1214"/>
      <c r="AY19" s="1214"/>
      <c r="AZ19" s="1214"/>
      <c r="BA19" s="1214"/>
      <c r="BB19" s="1214"/>
      <c r="BC19" s="1214"/>
      <c r="BD19" s="1214"/>
      <c r="BE19" s="1214"/>
      <c r="BF19" s="1214"/>
      <c r="BG19" s="1214"/>
      <c r="BH19" s="1214"/>
      <c r="BI19" s="1214"/>
      <c r="BJ19" s="1214"/>
      <c r="BK19" s="1214"/>
      <c r="BL19" s="1214"/>
      <c r="BM19" s="1214"/>
      <c r="BN19" s="1214"/>
      <c r="BO19" s="1214"/>
      <c r="BP19" s="1214"/>
      <c r="BQ19" s="1214"/>
      <c r="BR19" s="1214"/>
      <c r="BS19" s="1214"/>
      <c r="BT19" s="1214"/>
      <c r="BU19" s="1214"/>
      <c r="BV19" s="1214"/>
      <c r="BW19" s="1214"/>
      <c r="BX19" s="1214"/>
      <c r="BY19" s="1214"/>
      <c r="BZ19" s="1214"/>
      <c r="CA19" s="1214"/>
      <c r="CB19" s="1214"/>
      <c r="CC19" s="1214"/>
      <c r="CD19" s="1214"/>
      <c r="CE19" s="1214"/>
      <c r="CF19" s="1214"/>
      <c r="CG19" s="1214"/>
      <c r="CH19" s="1214"/>
      <c r="CI19" s="1214"/>
      <c r="CJ19" s="1214"/>
      <c r="CK19" s="1214"/>
      <c r="CL19" s="1214"/>
      <c r="CM19" s="1214"/>
      <c r="CN19" s="1191"/>
      <c r="CO19" s="1191"/>
      <c r="CP19" s="1191"/>
      <c r="CQ19" s="1191"/>
      <c r="CR19" s="1191"/>
      <c r="CS19" s="1191"/>
      <c r="CT19" s="1191"/>
      <c r="CU19" s="1191"/>
      <c r="CV19" s="1191"/>
      <c r="CW19" s="1191"/>
      <c r="CX19" s="1191"/>
      <c r="CY19" s="1191"/>
      <c r="CZ19" s="1191"/>
      <c r="DA19" s="1191"/>
      <c r="DB19" s="1191"/>
      <c r="DC19" s="1191"/>
      <c r="DD19" s="1191"/>
      <c r="DE19" s="1191"/>
      <c r="DF19" s="1191"/>
      <c r="DG19" s="1191"/>
      <c r="DH19" s="1191"/>
      <c r="DI19" s="1191"/>
      <c r="DJ19" s="1191"/>
      <c r="DK19" s="1191"/>
      <c r="DL19" s="1191"/>
      <c r="DM19" s="1191"/>
      <c r="DN19" s="1191"/>
      <c r="DO19" s="1191"/>
      <c r="DP19" s="1191"/>
      <c r="DQ19" s="1191"/>
      <c r="DR19" s="1191"/>
      <c r="DS19" s="1191"/>
      <c r="DT19" s="1191"/>
      <c r="DU19" s="1191"/>
      <c r="DV19" s="1191"/>
      <c r="DW19" s="1191"/>
      <c r="DX19" s="1191"/>
      <c r="DY19" s="1191"/>
      <c r="DZ19" s="1191"/>
      <c r="EA19" s="1191"/>
      <c r="EB19" s="1191"/>
      <c r="EC19" s="1191"/>
      <c r="ED19" s="1191"/>
      <c r="EE19" s="1191"/>
      <c r="EF19" s="1191"/>
      <c r="EG19" s="1191"/>
      <c r="EH19" s="1191"/>
      <c r="EI19" s="1191"/>
      <c r="EJ19" s="1191"/>
      <c r="EK19" s="1191"/>
      <c r="EL19" s="1191"/>
      <c r="EM19" s="1191"/>
      <c r="EN19" s="1191"/>
      <c r="EO19" s="1191"/>
      <c r="EP19" s="1191"/>
      <c r="EQ19" s="1191"/>
      <c r="ER19" s="1191"/>
      <c r="ES19" s="1191"/>
      <c r="ET19" s="1191"/>
      <c r="EU19" s="1191"/>
      <c r="EV19" s="1191"/>
      <c r="EW19" s="1191"/>
      <c r="EX19" s="1191"/>
      <c r="EY19" s="1191"/>
      <c r="EZ19" s="1191"/>
      <c r="FA19" s="1191"/>
      <c r="FB19" s="1191"/>
      <c r="FC19" s="1191"/>
      <c r="FD19" s="1191"/>
      <c r="FE19" s="1191"/>
      <c r="FF19" s="1191"/>
      <c r="FG19" s="1191"/>
      <c r="FH19" s="1191"/>
      <c r="FI19" s="1191"/>
      <c r="FJ19" s="1191"/>
      <c r="FK19" s="1191"/>
      <c r="FL19" s="1191"/>
      <c r="FM19" s="1191"/>
      <c r="FN19" s="1191"/>
      <c r="FO19" s="1191"/>
      <c r="FP19" s="1191"/>
      <c r="FQ19" s="1191"/>
      <c r="FR19" s="1191"/>
      <c r="FS19" s="1191"/>
      <c r="FT19" s="1191"/>
      <c r="FU19" s="1191"/>
      <c r="FV19" s="1191"/>
      <c r="FW19" s="1191"/>
      <c r="FX19" s="1191"/>
      <c r="FY19" s="1191"/>
      <c r="FZ19" s="1191"/>
      <c r="GA19" s="1191"/>
      <c r="GB19" s="1191"/>
      <c r="GC19" s="1191"/>
      <c r="GD19" s="1191"/>
      <c r="GE19" s="1191"/>
      <c r="GF19" s="1191"/>
      <c r="GG19" s="1191"/>
      <c r="GH19" s="1191"/>
      <c r="GI19" s="1191"/>
      <c r="GJ19" s="1191"/>
      <c r="GK19" s="1191"/>
      <c r="GL19" s="1191"/>
      <c r="GM19" s="1191"/>
      <c r="GN19" s="1191"/>
      <c r="GO19" s="1191"/>
      <c r="GP19" s="1191"/>
      <c r="GQ19" s="1191"/>
      <c r="GR19" s="1191"/>
      <c r="GS19" s="1191"/>
      <c r="GT19" s="1191"/>
      <c r="GU19" s="1191"/>
      <c r="GV19" s="1191"/>
      <c r="GW19" s="1191"/>
      <c r="GX19" s="1191"/>
      <c r="GY19" s="1191"/>
      <c r="GZ19" s="1191"/>
      <c r="HA19" s="1191"/>
      <c r="HB19" s="1191"/>
      <c r="HC19" s="1191"/>
      <c r="HD19" s="1191"/>
      <c r="HE19" s="1191"/>
      <c r="HF19" s="1191"/>
      <c r="HG19" s="1191"/>
      <c r="HH19" s="1191"/>
      <c r="HI19" s="1191"/>
      <c r="HJ19" s="1191"/>
      <c r="HK19" s="1191"/>
      <c r="HL19" s="1191"/>
      <c r="HM19" s="1191"/>
      <c r="HN19" s="1191"/>
      <c r="HO19" s="1191"/>
      <c r="HP19" s="1191"/>
      <c r="HQ19" s="1191"/>
      <c r="HR19" s="1191"/>
      <c r="HS19" s="1191"/>
      <c r="HT19" s="1191"/>
      <c r="HU19" s="1191"/>
    </row>
    <row r="20" spans="1:229" x14ac:dyDescent="0.15">
      <c r="A20" s="1208" t="s">
        <v>4916</v>
      </c>
      <c r="B20" s="1208"/>
      <c r="C20" s="1193"/>
      <c r="D20" s="1193"/>
      <c r="E20" s="617"/>
      <c r="F20" s="617"/>
      <c r="G20" s="617"/>
      <c r="H20" s="617"/>
      <c r="I20" s="617"/>
      <c r="J20" s="617"/>
      <c r="K20" s="617"/>
      <c r="L20" s="617"/>
      <c r="M20" s="617"/>
      <c r="N20" s="617"/>
      <c r="O20" s="1193"/>
      <c r="P20" s="1193"/>
      <c r="Q20" s="570"/>
      <c r="R20" s="1211"/>
      <c r="S20" s="1193"/>
      <c r="T20" s="1193"/>
      <c r="U20" s="1215"/>
      <c r="V20" s="1212"/>
      <c r="W20" s="1213"/>
      <c r="X20" s="296"/>
      <c r="Y20" s="1193"/>
      <c r="Z20" s="1212"/>
      <c r="AA20" s="584"/>
      <c r="AB20" s="1197"/>
      <c r="AC20" s="1197"/>
      <c r="AD20" s="1197"/>
      <c r="AE20" s="1197"/>
      <c r="AF20" s="1197"/>
      <c r="AG20" s="1197"/>
      <c r="AH20" s="1197"/>
      <c r="AI20" s="1197"/>
      <c r="AJ20" s="1197"/>
      <c r="AK20" s="1197"/>
      <c r="AL20" s="1198">
        <f t="shared" si="1"/>
        <v>0</v>
      </c>
      <c r="AM20" s="1214"/>
      <c r="AN20" s="1214"/>
      <c r="AO20" s="1214"/>
      <c r="AP20" s="1214"/>
      <c r="AQ20" s="1214"/>
      <c r="AR20" s="1214"/>
      <c r="AS20" s="1214"/>
      <c r="AT20" s="1214"/>
      <c r="AU20" s="1214"/>
      <c r="AV20" s="1214"/>
      <c r="AW20" s="1214"/>
      <c r="AX20" s="1214"/>
      <c r="AY20" s="1214"/>
      <c r="AZ20" s="1214"/>
      <c r="BA20" s="1214"/>
      <c r="BB20" s="1214"/>
      <c r="BC20" s="1214"/>
      <c r="BD20" s="1214"/>
      <c r="BE20" s="1214"/>
      <c r="BF20" s="1214"/>
      <c r="BG20" s="1214"/>
      <c r="BH20" s="1214"/>
      <c r="BI20" s="1214"/>
      <c r="BJ20" s="1214"/>
      <c r="BK20" s="1214"/>
      <c r="BL20" s="1214"/>
      <c r="BM20" s="1214"/>
      <c r="BN20" s="1214"/>
      <c r="BO20" s="1214"/>
      <c r="BP20" s="1214"/>
      <c r="BQ20" s="1214"/>
      <c r="BR20" s="1214"/>
      <c r="BS20" s="1214"/>
      <c r="BT20" s="1214"/>
      <c r="BU20" s="1214"/>
      <c r="BV20" s="1214"/>
      <c r="BW20" s="1214"/>
      <c r="BX20" s="1214"/>
      <c r="BY20" s="1214"/>
      <c r="BZ20" s="1214"/>
      <c r="CA20" s="1214"/>
      <c r="CB20" s="1214"/>
      <c r="CC20" s="1214"/>
      <c r="CD20" s="1214"/>
      <c r="CE20" s="1214"/>
      <c r="CF20" s="1214"/>
      <c r="CG20" s="1214"/>
      <c r="CH20" s="1214"/>
      <c r="CI20" s="1214"/>
      <c r="CJ20" s="1214"/>
      <c r="CK20" s="1214"/>
      <c r="CL20" s="1214"/>
      <c r="CM20" s="1214"/>
      <c r="CN20" s="1191"/>
      <c r="CO20" s="1191"/>
      <c r="CP20" s="1191"/>
      <c r="CQ20" s="1191"/>
      <c r="CR20" s="1191"/>
      <c r="CS20" s="1191"/>
      <c r="CT20" s="1191"/>
      <c r="CU20" s="1191"/>
      <c r="CV20" s="1191"/>
      <c r="CW20" s="1191"/>
      <c r="CX20" s="1191"/>
      <c r="CY20" s="1191"/>
      <c r="CZ20" s="1191"/>
      <c r="DA20" s="1191"/>
      <c r="DB20" s="1191"/>
      <c r="DC20" s="1191"/>
      <c r="DD20" s="1191"/>
      <c r="DE20" s="1191"/>
      <c r="DF20" s="1191"/>
      <c r="DG20" s="1191"/>
      <c r="DH20" s="1191"/>
      <c r="DI20" s="1191"/>
      <c r="DJ20" s="1191"/>
      <c r="DK20" s="1191"/>
      <c r="DL20" s="1191"/>
      <c r="DM20" s="1191"/>
      <c r="DN20" s="1191"/>
      <c r="DO20" s="1191"/>
      <c r="DP20" s="1191"/>
      <c r="DQ20" s="1191"/>
      <c r="DR20" s="1191"/>
      <c r="DS20" s="1191"/>
      <c r="DT20" s="1191"/>
      <c r="DU20" s="1191"/>
      <c r="DV20" s="1191"/>
      <c r="DW20" s="1191"/>
      <c r="DX20" s="1191"/>
      <c r="DY20" s="1191"/>
      <c r="DZ20" s="1191"/>
      <c r="EA20" s="1191"/>
      <c r="EB20" s="1191"/>
      <c r="EC20" s="1191"/>
      <c r="ED20" s="1191"/>
      <c r="EE20" s="1191"/>
      <c r="EF20" s="1191"/>
      <c r="EG20" s="1191"/>
      <c r="EH20" s="1191"/>
      <c r="EI20" s="1191"/>
      <c r="EJ20" s="1191"/>
      <c r="EK20" s="1191"/>
      <c r="EL20" s="1191"/>
      <c r="EM20" s="1191"/>
      <c r="EN20" s="1191"/>
      <c r="EO20" s="1191"/>
      <c r="EP20" s="1191"/>
      <c r="EQ20" s="1191"/>
      <c r="ER20" s="1191"/>
      <c r="ES20" s="1191"/>
      <c r="ET20" s="1191"/>
      <c r="EU20" s="1191"/>
      <c r="EV20" s="1191"/>
      <c r="EW20" s="1191"/>
      <c r="EX20" s="1191"/>
      <c r="EY20" s="1191"/>
      <c r="EZ20" s="1191"/>
      <c r="FA20" s="1191"/>
      <c r="FB20" s="1191"/>
      <c r="FC20" s="1191"/>
      <c r="FD20" s="1191"/>
      <c r="FE20" s="1191"/>
      <c r="FF20" s="1191"/>
      <c r="FG20" s="1191"/>
      <c r="FH20" s="1191"/>
      <c r="FI20" s="1191"/>
      <c r="FJ20" s="1191"/>
      <c r="FK20" s="1191"/>
      <c r="FL20" s="1191"/>
      <c r="FM20" s="1191"/>
      <c r="FN20" s="1191"/>
      <c r="FO20" s="1191"/>
      <c r="FP20" s="1191"/>
      <c r="FQ20" s="1191"/>
      <c r="FR20" s="1191"/>
      <c r="FS20" s="1191"/>
      <c r="FT20" s="1191"/>
      <c r="FU20" s="1191"/>
      <c r="FV20" s="1191"/>
      <c r="FW20" s="1191"/>
      <c r="FX20" s="1191"/>
      <c r="FY20" s="1191"/>
      <c r="FZ20" s="1191"/>
      <c r="GA20" s="1191"/>
      <c r="GB20" s="1191"/>
      <c r="GC20" s="1191"/>
      <c r="GD20" s="1191"/>
      <c r="GE20" s="1191"/>
      <c r="GF20" s="1191"/>
      <c r="GG20" s="1191"/>
      <c r="GH20" s="1191"/>
      <c r="GI20" s="1191"/>
      <c r="GJ20" s="1191"/>
      <c r="GK20" s="1191"/>
      <c r="GL20" s="1191"/>
      <c r="GM20" s="1191"/>
      <c r="GN20" s="1191"/>
      <c r="GO20" s="1191"/>
      <c r="GP20" s="1191"/>
      <c r="GQ20" s="1191"/>
      <c r="GR20" s="1191"/>
      <c r="GS20" s="1191"/>
      <c r="GT20" s="1191"/>
      <c r="GU20" s="1191"/>
      <c r="GV20" s="1191"/>
      <c r="GW20" s="1191"/>
      <c r="GX20" s="1191"/>
      <c r="GY20" s="1191"/>
      <c r="GZ20" s="1191"/>
      <c r="HA20" s="1191"/>
      <c r="HB20" s="1191"/>
      <c r="HC20" s="1191"/>
      <c r="HD20" s="1191"/>
      <c r="HE20" s="1191"/>
      <c r="HF20" s="1191"/>
      <c r="HG20" s="1191"/>
      <c r="HH20" s="1191"/>
      <c r="HI20" s="1191"/>
      <c r="HJ20" s="1191"/>
      <c r="HK20" s="1191"/>
      <c r="HL20" s="1191"/>
      <c r="HM20" s="1191"/>
      <c r="HN20" s="1191"/>
      <c r="HO20" s="1191"/>
      <c r="HP20" s="1191"/>
      <c r="HQ20" s="1191"/>
      <c r="HR20" s="1191"/>
      <c r="HS20" s="1191"/>
      <c r="HT20" s="1191"/>
      <c r="HU20" s="1191"/>
    </row>
    <row r="21" spans="1:229" x14ac:dyDescent="0.15">
      <c r="A21" s="1208" t="s">
        <v>4917</v>
      </c>
      <c r="B21" s="1208"/>
      <c r="C21" s="1193"/>
      <c r="D21" s="1193"/>
      <c r="E21" s="617"/>
      <c r="F21" s="617"/>
      <c r="G21" s="617"/>
      <c r="H21" s="617"/>
      <c r="I21" s="617"/>
      <c r="J21" s="617"/>
      <c r="K21" s="617"/>
      <c r="L21" s="617"/>
      <c r="M21" s="617"/>
      <c r="N21" s="617"/>
      <c r="O21" s="1193"/>
      <c r="P21" s="1193"/>
      <c r="Q21" s="570"/>
      <c r="R21" s="1211"/>
      <c r="S21" s="1193"/>
      <c r="T21" s="1193"/>
      <c r="U21" s="1193"/>
      <c r="V21" s="1212"/>
      <c r="W21" s="1213"/>
      <c r="X21" s="1193"/>
      <c r="Y21" s="571"/>
      <c r="Z21" s="1212"/>
      <c r="AA21" s="584"/>
      <c r="AB21" s="1197"/>
      <c r="AC21" s="1197"/>
      <c r="AD21" s="1197"/>
      <c r="AE21" s="1197"/>
      <c r="AF21" s="1197"/>
      <c r="AG21" s="1197"/>
      <c r="AH21" s="1197"/>
      <c r="AI21" s="1197"/>
      <c r="AJ21" s="1197"/>
      <c r="AK21" s="1197"/>
      <c r="AL21" s="1198">
        <f t="shared" si="1"/>
        <v>0</v>
      </c>
      <c r="AM21" s="1214"/>
      <c r="AN21" s="1214"/>
      <c r="AO21" s="1214"/>
      <c r="AP21" s="1214"/>
      <c r="AQ21" s="1214"/>
      <c r="AR21" s="1214"/>
      <c r="AS21" s="1214"/>
      <c r="AT21" s="1214"/>
      <c r="AU21" s="1214"/>
      <c r="AV21" s="1214"/>
      <c r="AW21" s="1214"/>
      <c r="AX21" s="1214"/>
      <c r="AY21" s="1214"/>
      <c r="AZ21" s="1214"/>
      <c r="BA21" s="1214"/>
      <c r="BB21" s="1214"/>
      <c r="BC21" s="1214"/>
      <c r="BD21" s="1214"/>
      <c r="BE21" s="1214"/>
      <c r="BF21" s="1214"/>
      <c r="BG21" s="1214"/>
      <c r="BH21" s="1214"/>
      <c r="BI21" s="1214"/>
      <c r="BJ21" s="1214"/>
      <c r="BK21" s="1214"/>
      <c r="BL21" s="1214"/>
      <c r="BM21" s="1214"/>
      <c r="BN21" s="1214"/>
      <c r="BO21" s="1214"/>
      <c r="BP21" s="1214"/>
      <c r="BQ21" s="1214"/>
      <c r="BR21" s="1214"/>
      <c r="BS21" s="1214"/>
      <c r="BT21" s="1214"/>
      <c r="BU21" s="1214"/>
      <c r="BV21" s="1214"/>
      <c r="BW21" s="1214"/>
      <c r="BX21" s="1214"/>
      <c r="BY21" s="1214"/>
      <c r="BZ21" s="1214"/>
      <c r="CA21" s="1214"/>
      <c r="CB21" s="1214"/>
      <c r="CC21" s="1214"/>
      <c r="CD21" s="1214"/>
      <c r="CE21" s="1214"/>
      <c r="CF21" s="1214"/>
      <c r="CG21" s="1214"/>
      <c r="CH21" s="1214"/>
      <c r="CI21" s="1214"/>
      <c r="CJ21" s="1214"/>
      <c r="CK21" s="1214"/>
      <c r="CL21" s="1214"/>
      <c r="CM21" s="1214"/>
      <c r="CN21" s="1191"/>
      <c r="CO21" s="1191"/>
      <c r="CP21" s="1191"/>
      <c r="CQ21" s="1191"/>
      <c r="CR21" s="1191"/>
      <c r="CS21" s="1191"/>
      <c r="CT21" s="1191"/>
      <c r="CU21" s="1191"/>
      <c r="CV21" s="1191"/>
      <c r="CW21" s="1191"/>
      <c r="CX21" s="1191"/>
      <c r="CY21" s="1191"/>
      <c r="CZ21" s="1191"/>
      <c r="DA21" s="1191"/>
      <c r="DB21" s="1191"/>
      <c r="DC21" s="1191"/>
      <c r="DD21" s="1191"/>
      <c r="DE21" s="1191"/>
      <c r="DF21" s="1191"/>
      <c r="DG21" s="1191"/>
      <c r="DH21" s="1191"/>
      <c r="DI21" s="1191"/>
      <c r="DJ21" s="1191"/>
      <c r="DK21" s="1191"/>
      <c r="DL21" s="1191"/>
      <c r="DM21" s="1191"/>
      <c r="DN21" s="1191"/>
      <c r="DO21" s="1191"/>
      <c r="DP21" s="1191"/>
      <c r="DQ21" s="1191"/>
      <c r="DR21" s="1191"/>
      <c r="DS21" s="1191"/>
      <c r="DT21" s="1191"/>
      <c r="DU21" s="1191"/>
      <c r="DV21" s="1191"/>
      <c r="DW21" s="1191"/>
      <c r="DX21" s="1191"/>
      <c r="DY21" s="1191"/>
      <c r="DZ21" s="1191"/>
      <c r="EA21" s="1191"/>
      <c r="EB21" s="1191"/>
      <c r="EC21" s="1191"/>
      <c r="ED21" s="1191"/>
      <c r="EE21" s="1191"/>
      <c r="EF21" s="1191"/>
      <c r="EG21" s="1191"/>
      <c r="EH21" s="1191"/>
      <c r="EI21" s="1191"/>
      <c r="EJ21" s="1191"/>
      <c r="EK21" s="1191"/>
      <c r="EL21" s="1191"/>
      <c r="EM21" s="1191"/>
      <c r="EN21" s="1191"/>
      <c r="EO21" s="1191"/>
      <c r="EP21" s="1191"/>
      <c r="EQ21" s="1191"/>
      <c r="ER21" s="1191"/>
      <c r="ES21" s="1191"/>
      <c r="ET21" s="1191"/>
      <c r="EU21" s="1191"/>
      <c r="EV21" s="1191"/>
      <c r="EW21" s="1191"/>
      <c r="EX21" s="1191"/>
      <c r="EY21" s="1191"/>
      <c r="EZ21" s="1191"/>
      <c r="FA21" s="1191"/>
      <c r="FB21" s="1191"/>
      <c r="FC21" s="1191"/>
      <c r="FD21" s="1191"/>
      <c r="FE21" s="1191"/>
      <c r="FF21" s="1191"/>
      <c r="FG21" s="1191"/>
      <c r="FH21" s="1191"/>
      <c r="FI21" s="1191"/>
      <c r="FJ21" s="1191"/>
      <c r="FK21" s="1191"/>
      <c r="FL21" s="1191"/>
      <c r="FM21" s="1191"/>
      <c r="FN21" s="1191"/>
      <c r="FO21" s="1191"/>
      <c r="FP21" s="1191"/>
      <c r="FQ21" s="1191"/>
      <c r="FR21" s="1191"/>
      <c r="FS21" s="1191"/>
      <c r="FT21" s="1191"/>
      <c r="FU21" s="1191"/>
      <c r="FV21" s="1191"/>
      <c r="FW21" s="1191"/>
      <c r="FX21" s="1191"/>
      <c r="FY21" s="1191"/>
      <c r="FZ21" s="1191"/>
      <c r="GA21" s="1191"/>
      <c r="GB21" s="1191"/>
      <c r="GC21" s="1191"/>
      <c r="GD21" s="1191"/>
      <c r="GE21" s="1191"/>
      <c r="GF21" s="1191"/>
      <c r="GG21" s="1191"/>
      <c r="GH21" s="1191"/>
      <c r="GI21" s="1191"/>
      <c r="GJ21" s="1191"/>
      <c r="GK21" s="1191"/>
      <c r="GL21" s="1191"/>
      <c r="GM21" s="1191"/>
      <c r="GN21" s="1191"/>
      <c r="GO21" s="1191"/>
      <c r="GP21" s="1191"/>
      <c r="GQ21" s="1191"/>
      <c r="GR21" s="1191"/>
      <c r="GS21" s="1191"/>
      <c r="GT21" s="1191"/>
      <c r="GU21" s="1191"/>
      <c r="GV21" s="1191"/>
      <c r="GW21" s="1191"/>
      <c r="GX21" s="1191"/>
      <c r="GY21" s="1191"/>
      <c r="GZ21" s="1191"/>
      <c r="HA21" s="1191"/>
      <c r="HB21" s="1191"/>
      <c r="HC21" s="1191"/>
      <c r="HD21" s="1191"/>
      <c r="HE21" s="1191"/>
      <c r="HF21" s="1191"/>
      <c r="HG21" s="1191"/>
      <c r="HH21" s="1191"/>
      <c r="HI21" s="1191"/>
      <c r="HJ21" s="1191"/>
      <c r="HK21" s="1191"/>
      <c r="HL21" s="1191"/>
      <c r="HM21" s="1191"/>
      <c r="HN21" s="1191"/>
      <c r="HO21" s="1191"/>
      <c r="HP21" s="1191"/>
      <c r="HQ21" s="1191"/>
      <c r="HR21" s="1191"/>
      <c r="HS21" s="1191"/>
      <c r="HT21" s="1191"/>
      <c r="HU21" s="1191"/>
    </row>
    <row r="22" spans="1:229" x14ac:dyDescent="0.15">
      <c r="A22" s="1208" t="s">
        <v>4918</v>
      </c>
      <c r="B22" s="1208"/>
      <c r="C22" s="1193"/>
      <c r="D22" s="1193"/>
      <c r="E22" s="617"/>
      <c r="F22" s="617"/>
      <c r="G22" s="617"/>
      <c r="H22" s="617"/>
      <c r="I22" s="617"/>
      <c r="J22" s="617"/>
      <c r="K22" s="617"/>
      <c r="L22" s="617"/>
      <c r="M22" s="617"/>
      <c r="N22" s="617"/>
      <c r="O22" s="1193"/>
      <c r="P22" s="1193"/>
      <c r="Q22" s="570"/>
      <c r="R22" s="1211"/>
      <c r="S22" s="1193"/>
      <c r="T22" s="1193"/>
      <c r="U22" s="1193"/>
      <c r="V22" s="1193"/>
      <c r="W22" s="1213"/>
      <c r="X22" s="1193"/>
      <c r="Y22" s="571"/>
      <c r="Z22" s="1193"/>
      <c r="AA22" s="584"/>
      <c r="AB22" s="1197"/>
      <c r="AC22" s="1197"/>
      <c r="AD22" s="1197"/>
      <c r="AE22" s="1197"/>
      <c r="AF22" s="1197"/>
      <c r="AG22" s="1197"/>
      <c r="AH22" s="1197"/>
      <c r="AI22" s="1197"/>
      <c r="AJ22" s="1197"/>
      <c r="AK22" s="1197"/>
      <c r="AL22" s="1198">
        <f t="shared" si="1"/>
        <v>0</v>
      </c>
      <c r="AM22" s="1214"/>
      <c r="AN22" s="1214"/>
      <c r="AO22" s="1214"/>
      <c r="AP22" s="1214"/>
      <c r="AQ22" s="1214"/>
      <c r="AR22" s="1214"/>
      <c r="AS22" s="1214"/>
      <c r="AT22" s="1214"/>
      <c r="AU22" s="1214"/>
      <c r="AV22" s="1214"/>
      <c r="AW22" s="1214"/>
      <c r="AX22" s="1214"/>
      <c r="AY22" s="1214"/>
      <c r="AZ22" s="1214"/>
      <c r="BA22" s="1214"/>
      <c r="BB22" s="1214"/>
      <c r="BC22" s="1214"/>
      <c r="BD22" s="1214"/>
      <c r="BE22" s="1214"/>
      <c r="BF22" s="1214"/>
      <c r="BG22" s="1214"/>
      <c r="BH22" s="1214"/>
      <c r="BI22" s="1214"/>
      <c r="BJ22" s="1214"/>
      <c r="BK22" s="1214"/>
      <c r="BL22" s="1214"/>
      <c r="BM22" s="1214"/>
      <c r="BN22" s="1214"/>
      <c r="BO22" s="1214"/>
      <c r="BP22" s="1214"/>
      <c r="BQ22" s="1214"/>
      <c r="BR22" s="1214"/>
      <c r="BS22" s="1214"/>
      <c r="BT22" s="1214"/>
      <c r="BU22" s="1214"/>
      <c r="BV22" s="1214"/>
      <c r="BW22" s="1214"/>
      <c r="BX22" s="1214"/>
      <c r="BY22" s="1214"/>
      <c r="BZ22" s="1214"/>
      <c r="CA22" s="1214"/>
      <c r="CB22" s="1214"/>
      <c r="CC22" s="1214"/>
      <c r="CD22" s="1214"/>
      <c r="CE22" s="1214"/>
      <c r="CF22" s="1214"/>
      <c r="CG22" s="1214"/>
      <c r="CH22" s="1214"/>
      <c r="CI22" s="1214"/>
      <c r="CJ22" s="1214"/>
      <c r="CK22" s="1214"/>
      <c r="CL22" s="1214"/>
      <c r="CM22" s="1214"/>
      <c r="CN22" s="1191"/>
      <c r="CO22" s="1191"/>
      <c r="CP22" s="1191"/>
      <c r="CQ22" s="1191"/>
      <c r="CR22" s="1191"/>
      <c r="CS22" s="1191"/>
      <c r="CT22" s="1191"/>
      <c r="CU22" s="1191"/>
      <c r="CV22" s="1191"/>
      <c r="CW22" s="1191"/>
      <c r="CX22" s="1191"/>
      <c r="CY22" s="1191"/>
      <c r="CZ22" s="1191"/>
      <c r="DA22" s="1191"/>
      <c r="DB22" s="1191"/>
      <c r="DC22" s="1191"/>
      <c r="DD22" s="1191"/>
      <c r="DE22" s="1191"/>
      <c r="DF22" s="1191"/>
      <c r="DG22" s="1191"/>
      <c r="DH22" s="1191"/>
      <c r="DI22" s="1191"/>
      <c r="DJ22" s="1191"/>
      <c r="DK22" s="1191"/>
      <c r="DL22" s="1191"/>
      <c r="DM22" s="1191"/>
      <c r="DN22" s="1191"/>
      <c r="DO22" s="1191"/>
      <c r="DP22" s="1191"/>
      <c r="DQ22" s="1191"/>
      <c r="DR22" s="1191"/>
      <c r="DS22" s="1191"/>
      <c r="DT22" s="1191"/>
      <c r="DU22" s="1191"/>
      <c r="DV22" s="1191"/>
      <c r="DW22" s="1191"/>
      <c r="DX22" s="1191"/>
      <c r="DY22" s="1191"/>
      <c r="DZ22" s="1191"/>
      <c r="EA22" s="1191"/>
      <c r="EB22" s="1191"/>
      <c r="EC22" s="1191"/>
      <c r="ED22" s="1191"/>
      <c r="EE22" s="1191"/>
      <c r="EF22" s="1191"/>
      <c r="EG22" s="1191"/>
      <c r="EH22" s="1191"/>
      <c r="EI22" s="1191"/>
      <c r="EJ22" s="1191"/>
      <c r="EK22" s="1191"/>
      <c r="EL22" s="1191"/>
      <c r="EM22" s="1191"/>
      <c r="EN22" s="1191"/>
      <c r="EO22" s="1191"/>
      <c r="EP22" s="1191"/>
      <c r="EQ22" s="1191"/>
      <c r="ER22" s="1191"/>
      <c r="ES22" s="1191"/>
      <c r="ET22" s="1191"/>
      <c r="EU22" s="1191"/>
      <c r="EV22" s="1191"/>
      <c r="EW22" s="1191"/>
      <c r="EX22" s="1191"/>
      <c r="EY22" s="1191"/>
      <c r="EZ22" s="1191"/>
      <c r="FA22" s="1191"/>
      <c r="FB22" s="1191"/>
      <c r="FC22" s="1191"/>
      <c r="FD22" s="1191"/>
      <c r="FE22" s="1191"/>
      <c r="FF22" s="1191"/>
      <c r="FG22" s="1191"/>
      <c r="FH22" s="1191"/>
      <c r="FI22" s="1191"/>
      <c r="FJ22" s="1191"/>
      <c r="FK22" s="1191"/>
      <c r="FL22" s="1191"/>
      <c r="FM22" s="1191"/>
      <c r="FN22" s="1191"/>
      <c r="FO22" s="1191"/>
      <c r="FP22" s="1191"/>
      <c r="FQ22" s="1191"/>
      <c r="FR22" s="1191"/>
      <c r="FS22" s="1191"/>
      <c r="FT22" s="1191"/>
      <c r="FU22" s="1191"/>
      <c r="FV22" s="1191"/>
      <c r="FW22" s="1191"/>
      <c r="FX22" s="1191"/>
      <c r="FY22" s="1191"/>
      <c r="FZ22" s="1191"/>
      <c r="GA22" s="1191"/>
      <c r="GB22" s="1191"/>
      <c r="GC22" s="1191"/>
      <c r="GD22" s="1191"/>
      <c r="GE22" s="1191"/>
      <c r="GF22" s="1191"/>
      <c r="GG22" s="1191"/>
      <c r="GH22" s="1191"/>
      <c r="GI22" s="1191"/>
      <c r="GJ22" s="1191"/>
      <c r="GK22" s="1191"/>
      <c r="GL22" s="1191"/>
      <c r="GM22" s="1191"/>
      <c r="GN22" s="1191"/>
      <c r="GO22" s="1191"/>
      <c r="GP22" s="1191"/>
      <c r="GQ22" s="1191"/>
      <c r="GR22" s="1191"/>
      <c r="GS22" s="1191"/>
      <c r="GT22" s="1191"/>
      <c r="GU22" s="1191"/>
      <c r="GV22" s="1191"/>
      <c r="GW22" s="1191"/>
      <c r="GX22" s="1191"/>
      <c r="GY22" s="1191"/>
      <c r="GZ22" s="1191"/>
      <c r="HA22" s="1191"/>
      <c r="HB22" s="1191"/>
      <c r="HC22" s="1191"/>
      <c r="HD22" s="1191"/>
      <c r="HE22" s="1191"/>
      <c r="HF22" s="1191"/>
      <c r="HG22" s="1191"/>
      <c r="HH22" s="1191"/>
      <c r="HI22" s="1191"/>
      <c r="HJ22" s="1191"/>
      <c r="HK22" s="1191"/>
      <c r="HL22" s="1191"/>
      <c r="HM22" s="1191"/>
      <c r="HN22" s="1191"/>
      <c r="HO22" s="1191"/>
      <c r="HP22" s="1191"/>
      <c r="HQ22" s="1191"/>
      <c r="HR22" s="1191"/>
      <c r="HS22" s="1191"/>
      <c r="HT22" s="1191"/>
      <c r="HU22" s="1191"/>
    </row>
    <row r="23" spans="1:229" x14ac:dyDescent="0.25">
      <c r="A23" s="1208" t="s">
        <v>4919</v>
      </c>
      <c r="B23" s="1208"/>
      <c r="C23" s="1193"/>
      <c r="D23" s="1193"/>
      <c r="E23" s="617"/>
      <c r="F23" s="617"/>
      <c r="G23" s="617">
        <f>3565790127+3502468583+3359359976</f>
        <v>10427618686</v>
      </c>
      <c r="H23" s="617"/>
      <c r="I23" s="619"/>
      <c r="J23" s="617"/>
      <c r="K23" s="617"/>
      <c r="L23" s="617"/>
      <c r="M23" s="617"/>
      <c r="N23" s="617"/>
      <c r="O23" s="1193"/>
      <c r="P23" s="1193"/>
      <c r="Q23" s="570"/>
      <c r="R23" s="1193"/>
      <c r="S23" s="1193"/>
      <c r="T23" s="1193"/>
      <c r="U23" s="1193"/>
      <c r="V23" s="1193"/>
      <c r="W23" s="1213"/>
      <c r="X23" s="1193"/>
      <c r="Y23" s="1193"/>
      <c r="Z23" s="1193"/>
      <c r="AA23" s="980"/>
      <c r="AB23" s="1197"/>
      <c r="AC23" s="1196"/>
      <c r="AD23" s="1197"/>
      <c r="AE23" s="1197"/>
      <c r="AF23" s="1197"/>
      <c r="AG23" s="1197"/>
      <c r="AH23" s="1197"/>
      <c r="AI23" s="1197"/>
      <c r="AJ23" s="1197"/>
      <c r="AK23" s="1197"/>
      <c r="AL23" s="1198">
        <f t="shared" si="1"/>
        <v>10427618686</v>
      </c>
      <c r="AM23" s="1214"/>
      <c r="AN23" s="1214"/>
      <c r="AO23" s="1214"/>
      <c r="AP23" s="1214"/>
      <c r="AQ23" s="1214"/>
      <c r="AR23" s="1214"/>
      <c r="AS23" s="1214"/>
      <c r="AT23" s="1214"/>
      <c r="AU23" s="1214"/>
      <c r="AV23" s="1214"/>
      <c r="AW23" s="1214"/>
      <c r="AX23" s="1214"/>
      <c r="AY23" s="1214"/>
      <c r="AZ23" s="1214"/>
      <c r="BA23" s="1214"/>
      <c r="BB23" s="1214"/>
      <c r="BC23" s="1214"/>
      <c r="BD23" s="1214"/>
      <c r="BE23" s="1214"/>
      <c r="BF23" s="1214"/>
      <c r="BG23" s="1214"/>
      <c r="BH23" s="1214"/>
      <c r="BI23" s="1214"/>
      <c r="BJ23" s="1214"/>
      <c r="BK23" s="1214"/>
      <c r="BL23" s="1214"/>
      <c r="BM23" s="1214"/>
      <c r="BN23" s="1214"/>
      <c r="BO23" s="1214"/>
      <c r="BP23" s="1214"/>
      <c r="BQ23" s="1214"/>
      <c r="BR23" s="1214"/>
      <c r="BS23" s="1214"/>
      <c r="BT23" s="1214"/>
      <c r="BU23" s="1214"/>
      <c r="BV23" s="1214"/>
      <c r="BW23" s="1214"/>
      <c r="BX23" s="1214"/>
      <c r="BY23" s="1214"/>
      <c r="BZ23" s="1214"/>
      <c r="CA23" s="1214"/>
      <c r="CB23" s="1214"/>
      <c r="CC23" s="1214"/>
      <c r="CD23" s="1214"/>
      <c r="CE23" s="1214"/>
      <c r="CF23" s="1214"/>
      <c r="CG23" s="1214"/>
      <c r="CH23" s="1214"/>
      <c r="CI23" s="1214"/>
      <c r="CJ23" s="1214"/>
      <c r="CK23" s="1214"/>
      <c r="CL23" s="1214"/>
      <c r="CM23" s="1214"/>
      <c r="CN23" s="1191"/>
      <c r="CO23" s="1191"/>
      <c r="CP23" s="1191"/>
      <c r="CQ23" s="1191"/>
      <c r="CR23" s="1191"/>
      <c r="CS23" s="1191"/>
      <c r="CT23" s="1191"/>
      <c r="CU23" s="1191"/>
      <c r="CV23" s="1191"/>
      <c r="CW23" s="1191"/>
      <c r="CX23" s="1191"/>
      <c r="CY23" s="1191"/>
      <c r="CZ23" s="1191"/>
      <c r="DA23" s="1191"/>
      <c r="DB23" s="1191"/>
      <c r="DC23" s="1191"/>
      <c r="DD23" s="1191"/>
      <c r="DE23" s="1191"/>
      <c r="DF23" s="1191"/>
      <c r="DG23" s="1191"/>
      <c r="DH23" s="1191"/>
      <c r="DI23" s="1191"/>
      <c r="DJ23" s="1191"/>
      <c r="DK23" s="1191"/>
      <c r="DL23" s="1191"/>
      <c r="DM23" s="1191"/>
      <c r="DN23" s="1191"/>
      <c r="DO23" s="1191"/>
      <c r="DP23" s="1191"/>
      <c r="DQ23" s="1191"/>
      <c r="DR23" s="1191"/>
      <c r="DS23" s="1191"/>
      <c r="DT23" s="1191"/>
      <c r="DU23" s="1191"/>
      <c r="DV23" s="1191"/>
      <c r="DW23" s="1191"/>
      <c r="DX23" s="1191"/>
      <c r="DY23" s="1191"/>
      <c r="DZ23" s="1191"/>
      <c r="EA23" s="1191"/>
      <c r="EB23" s="1191"/>
      <c r="EC23" s="1191"/>
      <c r="ED23" s="1191"/>
      <c r="EE23" s="1191"/>
      <c r="EF23" s="1191"/>
      <c r="EG23" s="1191"/>
      <c r="EH23" s="1191"/>
      <c r="EI23" s="1191"/>
      <c r="EJ23" s="1191"/>
      <c r="EK23" s="1191"/>
      <c r="EL23" s="1191"/>
      <c r="EM23" s="1191"/>
      <c r="EN23" s="1191"/>
      <c r="EO23" s="1191"/>
      <c r="EP23" s="1191"/>
      <c r="EQ23" s="1191"/>
      <c r="ER23" s="1191"/>
      <c r="ES23" s="1191"/>
      <c r="ET23" s="1191"/>
      <c r="EU23" s="1191"/>
      <c r="EV23" s="1191"/>
      <c r="EW23" s="1191"/>
      <c r="EX23" s="1191"/>
      <c r="EY23" s="1191"/>
      <c r="EZ23" s="1191"/>
      <c r="FA23" s="1191"/>
      <c r="FB23" s="1191"/>
      <c r="FC23" s="1191"/>
      <c r="FD23" s="1191"/>
      <c r="FE23" s="1191"/>
      <c r="FF23" s="1191"/>
      <c r="FG23" s="1191"/>
      <c r="FH23" s="1191"/>
      <c r="FI23" s="1191"/>
      <c r="FJ23" s="1191"/>
      <c r="FK23" s="1191"/>
      <c r="FL23" s="1191"/>
      <c r="FM23" s="1191"/>
      <c r="FN23" s="1191"/>
      <c r="FO23" s="1191"/>
      <c r="FP23" s="1191"/>
      <c r="FQ23" s="1191"/>
      <c r="FR23" s="1191"/>
      <c r="FS23" s="1191"/>
      <c r="FT23" s="1191"/>
      <c r="FU23" s="1191"/>
      <c r="FV23" s="1191"/>
      <c r="FW23" s="1191"/>
      <c r="FX23" s="1191"/>
      <c r="FY23" s="1191"/>
      <c r="FZ23" s="1191"/>
      <c r="GA23" s="1191"/>
      <c r="GB23" s="1191"/>
      <c r="GC23" s="1191"/>
      <c r="GD23" s="1191"/>
      <c r="GE23" s="1191"/>
      <c r="GF23" s="1191"/>
      <c r="GG23" s="1191"/>
      <c r="GH23" s="1191"/>
      <c r="GI23" s="1191"/>
      <c r="GJ23" s="1191"/>
      <c r="GK23" s="1191"/>
      <c r="GL23" s="1191"/>
      <c r="GM23" s="1191"/>
      <c r="GN23" s="1191"/>
      <c r="GO23" s="1191"/>
      <c r="GP23" s="1191"/>
      <c r="GQ23" s="1191"/>
      <c r="GR23" s="1191"/>
      <c r="GS23" s="1191"/>
      <c r="GT23" s="1191"/>
      <c r="GU23" s="1191"/>
      <c r="GV23" s="1191"/>
      <c r="GW23" s="1191"/>
      <c r="GX23" s="1191"/>
      <c r="GY23" s="1191"/>
      <c r="GZ23" s="1191"/>
      <c r="HA23" s="1191"/>
      <c r="HB23" s="1191"/>
      <c r="HC23" s="1191"/>
      <c r="HD23" s="1191"/>
      <c r="HE23" s="1191"/>
      <c r="HF23" s="1191"/>
      <c r="HG23" s="1191"/>
      <c r="HH23" s="1191"/>
      <c r="HI23" s="1191"/>
      <c r="HJ23" s="1191"/>
      <c r="HK23" s="1191"/>
      <c r="HL23" s="1191"/>
      <c r="HM23" s="1191"/>
      <c r="HN23" s="1191"/>
      <c r="HO23" s="1191"/>
      <c r="HP23" s="1191"/>
      <c r="HQ23" s="1191"/>
      <c r="HR23" s="1191"/>
      <c r="HS23" s="1191"/>
      <c r="HT23" s="1191"/>
      <c r="HU23" s="1191"/>
    </row>
    <row r="24" spans="1:229" x14ac:dyDescent="0.25">
      <c r="A24" s="1216" t="s">
        <v>5496</v>
      </c>
      <c r="B24" s="1216"/>
      <c r="C24" s="1217">
        <f>SUM(C16:C23)</f>
        <v>0</v>
      </c>
      <c r="D24" s="1217">
        <f t="shared" ref="D24:AK24" si="2">SUM(D16:D23)</f>
        <v>0</v>
      </c>
      <c r="E24" s="1217">
        <f>SUM(E16:E23)</f>
        <v>0</v>
      </c>
      <c r="F24" s="1217">
        <f>SUM(F16:F23)</f>
        <v>0</v>
      </c>
      <c r="G24" s="1217">
        <f t="shared" si="2"/>
        <v>10427618686</v>
      </c>
      <c r="H24" s="1217">
        <f t="shared" si="2"/>
        <v>498251919</v>
      </c>
      <c r="I24" s="1217">
        <f t="shared" si="2"/>
        <v>0</v>
      </c>
      <c r="J24" s="1217">
        <f t="shared" si="2"/>
        <v>0</v>
      </c>
      <c r="K24" s="1217">
        <f t="shared" si="2"/>
        <v>0</v>
      </c>
      <c r="L24" s="1217">
        <f t="shared" si="2"/>
        <v>0</v>
      </c>
      <c r="M24" s="1217">
        <f t="shared" si="2"/>
        <v>0</v>
      </c>
      <c r="N24" s="1217">
        <f t="shared" si="2"/>
        <v>0</v>
      </c>
      <c r="O24" s="1217">
        <f t="shared" si="2"/>
        <v>0</v>
      </c>
      <c r="P24" s="1217">
        <f t="shared" si="2"/>
        <v>0</v>
      </c>
      <c r="Q24" s="1217">
        <f t="shared" si="2"/>
        <v>0</v>
      </c>
      <c r="R24" s="1217">
        <f t="shared" si="2"/>
        <v>0</v>
      </c>
      <c r="S24" s="1217">
        <f>SUM(S16:S23)</f>
        <v>0</v>
      </c>
      <c r="T24" s="1217">
        <f t="shared" si="2"/>
        <v>0</v>
      </c>
      <c r="U24" s="1217">
        <f t="shared" si="2"/>
        <v>0</v>
      </c>
      <c r="V24" s="1217">
        <f t="shared" si="2"/>
        <v>0</v>
      </c>
      <c r="W24" s="1217">
        <f t="shared" si="2"/>
        <v>0</v>
      </c>
      <c r="X24" s="1217">
        <f>SUM(X16:X23)</f>
        <v>0</v>
      </c>
      <c r="Y24" s="1217">
        <f t="shared" si="2"/>
        <v>0</v>
      </c>
      <c r="Z24" s="1217">
        <f t="shared" si="2"/>
        <v>0</v>
      </c>
      <c r="AA24" s="1217">
        <f t="shared" si="2"/>
        <v>0</v>
      </c>
      <c r="AB24" s="1217">
        <f>SUM(AB16:AB23)</f>
        <v>0</v>
      </c>
      <c r="AC24" s="1217">
        <f t="shared" si="2"/>
        <v>0</v>
      </c>
      <c r="AD24" s="1217">
        <f t="shared" si="2"/>
        <v>0</v>
      </c>
      <c r="AE24" s="1217">
        <f t="shared" si="2"/>
        <v>0</v>
      </c>
      <c r="AF24" s="1217">
        <f t="shared" si="2"/>
        <v>0</v>
      </c>
      <c r="AG24" s="1217">
        <f t="shared" si="2"/>
        <v>0</v>
      </c>
      <c r="AH24" s="1217">
        <f t="shared" si="2"/>
        <v>0</v>
      </c>
      <c r="AI24" s="1217">
        <f t="shared" si="2"/>
        <v>0</v>
      </c>
      <c r="AJ24" s="1217">
        <f t="shared" si="2"/>
        <v>0</v>
      </c>
      <c r="AK24" s="1217">
        <f t="shared" si="2"/>
        <v>0</v>
      </c>
      <c r="AL24" s="1217">
        <f>SUM(AL16:AL23)</f>
        <v>10925870605</v>
      </c>
      <c r="AM24" s="1214"/>
      <c r="AN24" s="1214"/>
      <c r="AO24" s="1214"/>
      <c r="AP24" s="1214"/>
      <c r="AQ24" s="1214"/>
      <c r="AR24" s="1214"/>
      <c r="AS24" s="1214"/>
      <c r="AT24" s="1214"/>
      <c r="AU24" s="1214"/>
      <c r="AV24" s="1214"/>
      <c r="AW24" s="1214"/>
      <c r="AX24" s="1214"/>
      <c r="AY24" s="1214"/>
      <c r="AZ24" s="1214"/>
      <c r="BA24" s="1214"/>
      <c r="BB24" s="1214"/>
      <c r="BC24" s="1214"/>
      <c r="BD24" s="1214"/>
      <c r="BE24" s="1214"/>
      <c r="BF24" s="1214"/>
      <c r="BG24" s="1214"/>
      <c r="BH24" s="1214"/>
      <c r="BI24" s="1214"/>
      <c r="BJ24" s="1214"/>
      <c r="BK24" s="1214"/>
      <c r="BL24" s="1214"/>
      <c r="BM24" s="1214"/>
      <c r="BN24" s="1214"/>
      <c r="BO24" s="1214"/>
      <c r="BP24" s="1214"/>
      <c r="BQ24" s="1214"/>
      <c r="BR24" s="1214"/>
      <c r="BS24" s="1214"/>
      <c r="BT24" s="1214"/>
      <c r="BU24" s="1214"/>
      <c r="BV24" s="1214"/>
      <c r="BW24" s="1214"/>
      <c r="BX24" s="1214"/>
      <c r="BY24" s="1214"/>
      <c r="BZ24" s="1214"/>
      <c r="CA24" s="1214"/>
      <c r="CB24" s="1214"/>
      <c r="CC24" s="1214"/>
      <c r="CD24" s="1214"/>
      <c r="CE24" s="1214"/>
      <c r="CF24" s="1214"/>
      <c r="CG24" s="1214"/>
      <c r="CH24" s="1214"/>
      <c r="CI24" s="1214"/>
      <c r="CJ24" s="1214"/>
      <c r="CK24" s="1214"/>
      <c r="CL24" s="1214"/>
      <c r="CM24" s="1214"/>
      <c r="CN24" s="1191"/>
      <c r="CO24" s="1191"/>
      <c r="CP24" s="1191"/>
      <c r="CQ24" s="1191"/>
      <c r="CR24" s="1191"/>
      <c r="CS24" s="1191"/>
      <c r="CT24" s="1191"/>
      <c r="CU24" s="1191"/>
      <c r="CV24" s="1191"/>
      <c r="CW24" s="1191"/>
      <c r="CX24" s="1191"/>
      <c r="CY24" s="1191"/>
      <c r="CZ24" s="1191"/>
      <c r="DA24" s="1191"/>
      <c r="DB24" s="1191"/>
      <c r="DC24" s="1191"/>
      <c r="DD24" s="1191"/>
      <c r="DE24" s="1191"/>
      <c r="DF24" s="1191"/>
      <c r="DG24" s="1191"/>
      <c r="DH24" s="1191"/>
      <c r="DI24" s="1191"/>
      <c r="DJ24" s="1191"/>
      <c r="DK24" s="1191"/>
      <c r="DL24" s="1191"/>
      <c r="DM24" s="1191"/>
      <c r="DN24" s="1191"/>
      <c r="DO24" s="1191"/>
      <c r="DP24" s="1191"/>
      <c r="DQ24" s="1191"/>
      <c r="DR24" s="1191"/>
      <c r="DS24" s="1191"/>
      <c r="DT24" s="1191"/>
      <c r="DU24" s="1191"/>
      <c r="DV24" s="1191"/>
      <c r="DW24" s="1191"/>
      <c r="DX24" s="1191"/>
      <c r="DY24" s="1191"/>
      <c r="DZ24" s="1191"/>
      <c r="EA24" s="1191"/>
      <c r="EB24" s="1191"/>
      <c r="EC24" s="1191"/>
      <c r="ED24" s="1191"/>
      <c r="EE24" s="1191"/>
      <c r="EF24" s="1191"/>
      <c r="EG24" s="1191"/>
      <c r="EH24" s="1191"/>
      <c r="EI24" s="1191"/>
      <c r="EJ24" s="1191"/>
      <c r="EK24" s="1191"/>
      <c r="EL24" s="1191"/>
      <c r="EM24" s="1191"/>
      <c r="EN24" s="1191"/>
      <c r="EO24" s="1191"/>
      <c r="EP24" s="1191"/>
      <c r="EQ24" s="1191"/>
      <c r="ER24" s="1191"/>
      <c r="ES24" s="1191"/>
      <c r="ET24" s="1191"/>
      <c r="EU24" s="1191"/>
      <c r="EV24" s="1191"/>
      <c r="EW24" s="1191"/>
      <c r="EX24" s="1191"/>
      <c r="EY24" s="1191"/>
      <c r="EZ24" s="1191"/>
      <c r="FA24" s="1191"/>
      <c r="FB24" s="1191"/>
      <c r="FC24" s="1191"/>
      <c r="FD24" s="1191"/>
      <c r="FE24" s="1191"/>
      <c r="FF24" s="1191"/>
      <c r="FG24" s="1191"/>
      <c r="FH24" s="1191"/>
      <c r="FI24" s="1191"/>
      <c r="FJ24" s="1191"/>
      <c r="FK24" s="1191"/>
      <c r="FL24" s="1191"/>
      <c r="FM24" s="1191"/>
      <c r="FN24" s="1191"/>
      <c r="FO24" s="1191"/>
      <c r="FP24" s="1191"/>
      <c r="FQ24" s="1191"/>
      <c r="FR24" s="1191"/>
      <c r="FS24" s="1191"/>
      <c r="FT24" s="1191"/>
      <c r="FU24" s="1191"/>
      <c r="FV24" s="1191"/>
      <c r="FW24" s="1191"/>
      <c r="FX24" s="1191"/>
      <c r="FY24" s="1191"/>
      <c r="FZ24" s="1191"/>
      <c r="GA24" s="1191"/>
      <c r="GB24" s="1191"/>
      <c r="GC24" s="1191"/>
      <c r="GD24" s="1191"/>
      <c r="GE24" s="1191"/>
      <c r="GF24" s="1191"/>
      <c r="GG24" s="1191"/>
      <c r="GH24" s="1191"/>
      <c r="GI24" s="1191"/>
      <c r="GJ24" s="1191"/>
      <c r="GK24" s="1191"/>
      <c r="GL24" s="1191"/>
      <c r="GM24" s="1191"/>
      <c r="GN24" s="1191"/>
      <c r="GO24" s="1191"/>
      <c r="GP24" s="1191"/>
      <c r="GQ24" s="1191"/>
      <c r="GR24" s="1191"/>
      <c r="GS24" s="1191"/>
      <c r="GT24" s="1191"/>
      <c r="GU24" s="1191"/>
      <c r="GV24" s="1191"/>
      <c r="GW24" s="1191"/>
      <c r="GX24" s="1191"/>
      <c r="GY24" s="1191"/>
      <c r="GZ24" s="1191"/>
      <c r="HA24" s="1191"/>
      <c r="HB24" s="1191"/>
      <c r="HC24" s="1191"/>
      <c r="HD24" s="1191"/>
      <c r="HE24" s="1191"/>
      <c r="HF24" s="1191"/>
      <c r="HG24" s="1191"/>
      <c r="HH24" s="1191"/>
      <c r="HI24" s="1191"/>
      <c r="HJ24" s="1191"/>
      <c r="HK24" s="1191"/>
      <c r="HL24" s="1191"/>
      <c r="HM24" s="1191"/>
      <c r="HN24" s="1191"/>
      <c r="HO24" s="1191"/>
      <c r="HP24" s="1191"/>
      <c r="HQ24" s="1191"/>
      <c r="HR24" s="1191"/>
      <c r="HS24" s="1191"/>
      <c r="HT24" s="1191"/>
      <c r="HU24" s="1191"/>
    </row>
    <row r="25" spans="1:229" s="1178" customFormat="1" x14ac:dyDescent="0.25">
      <c r="A25" s="1210"/>
      <c r="B25" s="1210"/>
      <c r="C25" s="1218"/>
      <c r="D25" s="1218"/>
      <c r="E25" s="1218"/>
      <c r="F25" s="1218"/>
      <c r="G25" s="1218"/>
      <c r="H25" s="1218"/>
      <c r="I25" s="1218"/>
      <c r="J25" s="1218"/>
      <c r="K25" s="1218"/>
      <c r="L25" s="1218"/>
      <c r="M25" s="1218"/>
      <c r="N25" s="1218"/>
      <c r="O25" s="1218"/>
      <c r="P25" s="1218"/>
      <c r="Q25" s="1218"/>
      <c r="R25" s="1218"/>
      <c r="S25" s="1218"/>
      <c r="T25" s="1218"/>
      <c r="U25" s="1218"/>
      <c r="V25" s="1218"/>
      <c r="W25" s="1218"/>
      <c r="X25" s="1218"/>
      <c r="Y25" s="1218"/>
      <c r="Z25" s="1218"/>
      <c r="AA25" s="1218"/>
      <c r="AB25" s="1218"/>
      <c r="AC25" s="1218"/>
      <c r="AD25" s="1218"/>
      <c r="AE25" s="1218"/>
      <c r="AF25" s="1218"/>
      <c r="AG25" s="1218"/>
      <c r="AH25" s="1218"/>
      <c r="AI25" s="1218"/>
      <c r="AJ25" s="1218"/>
      <c r="AK25" s="1218"/>
      <c r="AL25" s="1218"/>
    </row>
    <row r="26" spans="1:229" s="1178" customFormat="1" ht="22.5" customHeight="1" x14ac:dyDescent="0.25">
      <c r="A26" s="1486" t="s">
        <v>231</v>
      </c>
      <c r="B26" s="1486"/>
      <c r="C26" s="1218"/>
      <c r="D26" s="1218"/>
      <c r="E26" s="1218"/>
      <c r="F26" s="1218"/>
      <c r="G26" s="1218"/>
      <c r="H26" s="1218"/>
      <c r="I26" s="1218"/>
      <c r="J26" s="1218"/>
      <c r="K26" s="1218"/>
      <c r="L26" s="1218"/>
      <c r="M26" s="1218"/>
      <c r="N26" s="1218"/>
      <c r="O26" s="1218"/>
      <c r="P26" s="1218"/>
      <c r="Q26" s="1218"/>
      <c r="R26" s="1218"/>
      <c r="S26" s="1218"/>
      <c r="T26" s="1218"/>
      <c r="U26" s="1218"/>
      <c r="V26" s="1218"/>
      <c r="W26" s="1218"/>
      <c r="X26" s="1218"/>
      <c r="Y26" s="1218"/>
      <c r="Z26" s="1218"/>
      <c r="AA26" s="1218"/>
      <c r="AB26" s="1218"/>
      <c r="AC26" s="1218"/>
      <c r="AD26" s="1218"/>
      <c r="AE26" s="1218"/>
      <c r="AF26" s="1218"/>
      <c r="AG26" s="1218"/>
      <c r="AH26" s="1218"/>
      <c r="AI26" s="1218"/>
      <c r="AJ26" s="1218"/>
      <c r="AK26" s="1218"/>
      <c r="AL26" s="1218"/>
    </row>
    <row r="27" spans="1:229" x14ac:dyDescent="0.25">
      <c r="A27" s="1475" t="s">
        <v>230</v>
      </c>
      <c r="B27" s="1186"/>
      <c r="C27" s="1186"/>
      <c r="D27" s="1186"/>
      <c r="E27" s="1480" t="s">
        <v>114</v>
      </c>
      <c r="F27" s="1481"/>
      <c r="G27" s="1481"/>
      <c r="H27" s="1481"/>
      <c r="I27" s="1481"/>
      <c r="J27" s="1481"/>
      <c r="K27" s="1481"/>
      <c r="L27" s="1481"/>
      <c r="M27" s="1481"/>
      <c r="N27" s="1481"/>
      <c r="O27" s="1481"/>
      <c r="P27" s="1481"/>
      <c r="Q27" s="1481"/>
      <c r="R27" s="1481"/>
      <c r="S27" s="1481"/>
      <c r="T27" s="1481"/>
      <c r="U27" s="1481"/>
      <c r="V27" s="1481"/>
      <c r="W27" s="1481"/>
      <c r="X27" s="1481"/>
      <c r="Y27" s="1481"/>
      <c r="Z27" s="1481"/>
      <c r="AA27" s="1481"/>
      <c r="AB27" s="1481"/>
      <c r="AC27" s="1481"/>
      <c r="AD27" s="1481"/>
      <c r="AE27" s="1481"/>
      <c r="AF27" s="1481"/>
      <c r="AG27" s="1481"/>
      <c r="AH27" s="1481"/>
      <c r="AI27" s="1481"/>
      <c r="AJ27" s="1481"/>
      <c r="AK27" s="1481"/>
      <c r="AL27" s="1482"/>
    </row>
    <row r="28" spans="1:229" x14ac:dyDescent="0.25">
      <c r="A28" s="1476"/>
      <c r="B28" s="1187"/>
      <c r="C28" s="1188">
        <v>1</v>
      </c>
      <c r="D28" s="1188">
        <v>2</v>
      </c>
      <c r="E28" s="1188">
        <v>3</v>
      </c>
      <c r="F28" s="1188">
        <v>4</v>
      </c>
      <c r="G28" s="1188">
        <v>5</v>
      </c>
      <c r="H28" s="1188">
        <v>6</v>
      </c>
      <c r="I28" s="1188">
        <v>7</v>
      </c>
      <c r="J28" s="1188">
        <v>8</v>
      </c>
      <c r="K28" s="1188">
        <v>9</v>
      </c>
      <c r="L28" s="1188">
        <v>10</v>
      </c>
      <c r="M28" s="1188">
        <v>11</v>
      </c>
      <c r="N28" s="1188">
        <v>12</v>
      </c>
      <c r="O28" s="1188">
        <v>13</v>
      </c>
      <c r="P28" s="1188">
        <v>14</v>
      </c>
      <c r="Q28" s="1188">
        <v>15</v>
      </c>
      <c r="R28" s="1188">
        <v>16</v>
      </c>
      <c r="S28" s="1188">
        <v>17</v>
      </c>
      <c r="T28" s="1188">
        <v>18</v>
      </c>
      <c r="U28" s="1188">
        <v>19</v>
      </c>
      <c r="V28" s="1188">
        <v>20</v>
      </c>
      <c r="W28" s="1188">
        <v>21</v>
      </c>
      <c r="X28" s="1188">
        <v>22</v>
      </c>
      <c r="Y28" s="1188">
        <v>23</v>
      </c>
      <c r="Z28" s="1188">
        <v>24</v>
      </c>
      <c r="AA28" s="1188">
        <v>25</v>
      </c>
      <c r="AB28" s="1188">
        <v>26</v>
      </c>
      <c r="AC28" s="1188">
        <v>27</v>
      </c>
      <c r="AD28" s="1188">
        <v>28</v>
      </c>
      <c r="AE28" s="1188">
        <v>29</v>
      </c>
      <c r="AF28" s="1188">
        <v>30</v>
      </c>
      <c r="AG28" s="1188">
        <v>31</v>
      </c>
      <c r="AH28" s="1188">
        <v>32</v>
      </c>
      <c r="AI28" s="1188">
        <v>33</v>
      </c>
      <c r="AJ28" s="1188">
        <v>34</v>
      </c>
      <c r="AK28" s="1188">
        <v>35</v>
      </c>
      <c r="AL28" s="1189" t="s">
        <v>24</v>
      </c>
    </row>
    <row r="29" spans="1:229" s="1178" customFormat="1" x14ac:dyDescent="0.25">
      <c r="A29" s="1219" t="s">
        <v>6180</v>
      </c>
      <c r="B29" s="1219"/>
      <c r="C29" s="981"/>
      <c r="D29" s="981"/>
      <c r="E29" s="981"/>
      <c r="F29" s="981"/>
      <c r="G29" s="981"/>
      <c r="H29" s="981"/>
      <c r="I29" s="981"/>
      <c r="J29" s="981"/>
      <c r="K29" s="981"/>
      <c r="L29" s="981"/>
      <c r="M29" s="981"/>
      <c r="N29" s="981"/>
      <c r="O29" s="981"/>
      <c r="P29" s="981"/>
      <c r="Q29" s="981"/>
      <c r="R29" s="981"/>
      <c r="S29" s="981"/>
      <c r="T29" s="981"/>
      <c r="U29" s="981"/>
      <c r="V29" s="981"/>
      <c r="W29" s="981"/>
      <c r="X29" s="981"/>
      <c r="Y29" s="981"/>
      <c r="Z29" s="981"/>
      <c r="AA29" s="981"/>
      <c r="AB29" s="981"/>
      <c r="AC29" s="981"/>
      <c r="AD29" s="981"/>
      <c r="AE29" s="981"/>
      <c r="AF29" s="981"/>
      <c r="AG29" s="981"/>
      <c r="AH29" s="981"/>
      <c r="AI29" s="981"/>
      <c r="AJ29" s="981"/>
      <c r="AK29" s="981"/>
      <c r="AL29" s="1198">
        <f>SUM(C29:AK29)</f>
        <v>0</v>
      </c>
      <c r="AM29" s="1174"/>
      <c r="AN29" s="1174"/>
      <c r="AO29" s="1174"/>
      <c r="AP29" s="1174"/>
      <c r="AQ29" s="1174"/>
      <c r="AR29" s="1174"/>
      <c r="AS29" s="1174"/>
      <c r="AT29" s="1174"/>
      <c r="AU29" s="1174"/>
      <c r="AV29" s="1174"/>
      <c r="AW29" s="1174"/>
      <c r="AX29" s="1174"/>
      <c r="AY29" s="1174"/>
      <c r="AZ29" s="1174"/>
      <c r="BA29" s="1174"/>
      <c r="BB29" s="1174"/>
      <c r="BC29" s="1174"/>
      <c r="BD29" s="1174"/>
      <c r="BE29" s="1174"/>
      <c r="BF29" s="1174"/>
      <c r="BG29" s="1174"/>
      <c r="BH29" s="1174"/>
      <c r="BI29" s="1174"/>
      <c r="BJ29" s="1174"/>
      <c r="BK29" s="1174"/>
      <c r="BL29" s="1174"/>
      <c r="BM29" s="1174"/>
      <c r="BN29" s="1174"/>
      <c r="BO29" s="1174"/>
      <c r="BP29" s="1174"/>
      <c r="BQ29" s="1174"/>
      <c r="BR29" s="1174"/>
      <c r="BS29" s="1174"/>
      <c r="BT29" s="1174"/>
      <c r="BU29" s="1174"/>
      <c r="BV29" s="1174"/>
      <c r="BW29" s="1174"/>
      <c r="BX29" s="1174"/>
      <c r="BY29" s="1174"/>
      <c r="BZ29" s="1174"/>
      <c r="CA29" s="1174"/>
      <c r="CB29" s="1174"/>
      <c r="CC29" s="1174"/>
      <c r="CD29" s="1174"/>
      <c r="CE29" s="1174"/>
      <c r="CF29" s="1174"/>
      <c r="CG29" s="1174"/>
      <c r="CH29" s="1174"/>
      <c r="CI29" s="1174"/>
      <c r="CJ29" s="1174"/>
      <c r="CK29" s="1174"/>
      <c r="CL29" s="1174"/>
      <c r="CM29" s="1174"/>
      <c r="CN29" s="1174"/>
      <c r="CO29" s="1174"/>
      <c r="CP29" s="1174"/>
      <c r="CQ29" s="1174"/>
      <c r="CR29" s="1174"/>
      <c r="CS29" s="1174"/>
      <c r="CT29" s="1174"/>
      <c r="CU29" s="1174"/>
      <c r="CV29" s="1174"/>
      <c r="CW29" s="1174"/>
      <c r="CX29" s="1174"/>
      <c r="CY29" s="1174"/>
      <c r="CZ29" s="1174"/>
      <c r="DA29" s="1174"/>
      <c r="DB29" s="1174"/>
      <c r="DC29" s="1174"/>
      <c r="DD29" s="1174"/>
      <c r="DE29" s="1174"/>
      <c r="DF29" s="1174"/>
      <c r="DG29" s="1174"/>
      <c r="DH29" s="1174"/>
      <c r="DI29" s="1174"/>
      <c r="DJ29" s="1174"/>
      <c r="DK29" s="1174"/>
      <c r="DL29" s="1174"/>
      <c r="DM29" s="1174"/>
      <c r="DN29" s="1174"/>
      <c r="DO29" s="1174"/>
      <c r="DP29" s="1174"/>
      <c r="DQ29" s="1174"/>
      <c r="DR29" s="1174"/>
      <c r="DS29" s="1174"/>
      <c r="DT29" s="1174"/>
      <c r="DU29" s="1174"/>
      <c r="DV29" s="1174"/>
      <c r="DW29" s="1174"/>
      <c r="DX29" s="1174"/>
      <c r="DY29" s="1174"/>
      <c r="DZ29" s="1174"/>
      <c r="EA29" s="1174"/>
      <c r="EB29" s="1174"/>
      <c r="EC29" s="1174"/>
      <c r="ED29" s="1174"/>
      <c r="EE29" s="1174"/>
      <c r="EF29" s="1174"/>
      <c r="EG29" s="1174"/>
      <c r="EH29" s="1174"/>
      <c r="EI29" s="1174"/>
      <c r="EJ29" s="1174"/>
      <c r="EK29" s="1174"/>
      <c r="EL29" s="1174"/>
      <c r="EM29" s="1174"/>
      <c r="EN29" s="1174"/>
      <c r="EO29" s="1174"/>
      <c r="EP29" s="1174"/>
      <c r="EQ29" s="1174"/>
      <c r="ER29" s="1174"/>
      <c r="ES29" s="1174"/>
      <c r="ET29" s="1174"/>
      <c r="EU29" s="1174"/>
      <c r="EV29" s="1174"/>
      <c r="EW29" s="1174"/>
      <c r="EX29" s="1174"/>
      <c r="EY29" s="1174"/>
      <c r="EZ29" s="1174"/>
      <c r="FA29" s="1174"/>
      <c r="FB29" s="1174"/>
      <c r="FC29" s="1174"/>
      <c r="FD29" s="1174"/>
      <c r="FE29" s="1174"/>
      <c r="FF29" s="1174"/>
      <c r="FG29" s="1174"/>
      <c r="FH29" s="1174"/>
      <c r="FI29" s="1174"/>
      <c r="FJ29" s="1174"/>
      <c r="FK29" s="1174"/>
      <c r="FL29" s="1174"/>
      <c r="FM29" s="1174"/>
      <c r="FN29" s="1174"/>
      <c r="FO29" s="1174"/>
      <c r="FP29" s="1174"/>
      <c r="FQ29" s="1174"/>
      <c r="FR29" s="1174"/>
      <c r="FS29" s="1174"/>
      <c r="FT29" s="1174"/>
      <c r="FU29" s="1174"/>
      <c r="FV29" s="1174"/>
      <c r="FW29" s="1174"/>
      <c r="FX29" s="1174"/>
      <c r="FY29" s="1174"/>
      <c r="FZ29" s="1174"/>
      <c r="GA29" s="1174"/>
      <c r="GB29" s="1174"/>
      <c r="GC29" s="1174"/>
      <c r="GD29" s="1174"/>
      <c r="GE29" s="1174"/>
      <c r="GF29" s="1174"/>
      <c r="GG29" s="1174"/>
      <c r="GH29" s="1174"/>
      <c r="GI29" s="1174"/>
      <c r="GJ29" s="1174"/>
      <c r="GK29" s="1174"/>
      <c r="GL29" s="1174"/>
      <c r="GM29" s="1174"/>
      <c r="GN29" s="1174"/>
      <c r="GO29" s="1174"/>
      <c r="GP29" s="1174"/>
      <c r="GQ29" s="1174"/>
      <c r="GR29" s="1174"/>
      <c r="GS29" s="1174"/>
      <c r="GT29" s="1174"/>
      <c r="GU29" s="1174"/>
      <c r="GV29" s="1174"/>
      <c r="GW29" s="1174"/>
      <c r="GX29" s="1174"/>
      <c r="GY29" s="1174"/>
      <c r="GZ29" s="1174"/>
      <c r="HA29" s="1174"/>
      <c r="HB29" s="1174"/>
      <c r="HC29" s="1174"/>
      <c r="HD29" s="1174"/>
      <c r="HE29" s="1174"/>
      <c r="HF29" s="1174"/>
      <c r="HG29" s="1174"/>
      <c r="HH29" s="1174"/>
      <c r="HI29" s="1174"/>
      <c r="HJ29" s="1174"/>
      <c r="HK29" s="1174"/>
      <c r="HL29" s="1174"/>
      <c r="HM29" s="1174"/>
      <c r="HN29" s="1174"/>
      <c r="HO29" s="1174"/>
      <c r="HP29" s="1174"/>
      <c r="HQ29" s="1174"/>
      <c r="HR29" s="1174"/>
      <c r="HS29" s="1174"/>
      <c r="HT29" s="1174"/>
      <c r="HU29" s="1174"/>
    </row>
    <row r="30" spans="1:229" x14ac:dyDescent="0.15">
      <c r="A30" s="1208" t="s">
        <v>6179</v>
      </c>
      <c r="B30" s="1208"/>
      <c r="C30" s="1193"/>
      <c r="D30" s="1193"/>
      <c r="E30" s="1220"/>
      <c r="F30" s="617"/>
      <c r="G30" s="617"/>
      <c r="H30" s="617"/>
      <c r="I30" s="617"/>
      <c r="J30" s="617"/>
      <c r="K30" s="617"/>
      <c r="L30" s="617"/>
      <c r="M30" s="617"/>
      <c r="N30" s="617"/>
      <c r="O30" s="1193"/>
      <c r="P30" s="1193"/>
      <c r="Q30" s="570"/>
      <c r="R30" s="1211"/>
      <c r="S30" s="1193"/>
      <c r="T30" s="1193"/>
      <c r="U30" s="1193"/>
      <c r="V30" s="980"/>
      <c r="W30" s="1200"/>
      <c r="X30" s="1193"/>
      <c r="Y30" s="584"/>
      <c r="Z30" s="1193"/>
      <c r="AA30" s="584"/>
      <c r="AB30" s="1197"/>
      <c r="AC30" s="1197"/>
      <c r="AD30" s="1197"/>
      <c r="AE30" s="1197"/>
      <c r="AF30" s="1197"/>
      <c r="AG30" s="1197"/>
      <c r="AH30" s="1197"/>
      <c r="AI30" s="1197"/>
      <c r="AJ30" s="1197"/>
      <c r="AK30" s="1197"/>
      <c r="AL30" s="1198">
        <f>SUM(C30:AK30)</f>
        <v>0</v>
      </c>
      <c r="AM30" s="1214"/>
      <c r="AN30" s="1214"/>
      <c r="AO30" s="1214"/>
      <c r="AP30" s="1214"/>
      <c r="AQ30" s="1214"/>
      <c r="AR30" s="1214"/>
      <c r="AS30" s="1214"/>
      <c r="AT30" s="1214"/>
      <c r="AU30" s="1214"/>
      <c r="AV30" s="1214"/>
      <c r="AW30" s="1214"/>
      <c r="AX30" s="1214"/>
      <c r="AY30" s="1214"/>
      <c r="AZ30" s="1214"/>
      <c r="BA30" s="1214"/>
      <c r="BB30" s="1214"/>
      <c r="BC30" s="1214"/>
      <c r="BD30" s="1214"/>
      <c r="BE30" s="1214"/>
      <c r="BF30" s="1214"/>
      <c r="BG30" s="1214"/>
      <c r="BH30" s="1214"/>
      <c r="BI30" s="1214"/>
      <c r="BJ30" s="1214"/>
      <c r="BK30" s="1214"/>
      <c r="BL30" s="1214"/>
      <c r="BM30" s="1214"/>
      <c r="BN30" s="1214"/>
      <c r="BO30" s="1214"/>
      <c r="BP30" s="1214"/>
      <c r="BQ30" s="1214"/>
      <c r="BR30" s="1214"/>
      <c r="BS30" s="1214"/>
      <c r="BT30" s="1214"/>
      <c r="BU30" s="1214"/>
      <c r="BV30" s="1214"/>
      <c r="BW30" s="1214"/>
      <c r="BX30" s="1214"/>
      <c r="BY30" s="1214"/>
      <c r="BZ30" s="1214"/>
      <c r="CA30" s="1214"/>
      <c r="CB30" s="1214"/>
      <c r="CC30" s="1214"/>
      <c r="CD30" s="1214"/>
      <c r="CE30" s="1214"/>
      <c r="CF30" s="1214"/>
      <c r="CG30" s="1214"/>
      <c r="CH30" s="1214"/>
      <c r="CI30" s="1214"/>
      <c r="CJ30" s="1214"/>
      <c r="CK30" s="1214"/>
      <c r="CL30" s="1214"/>
      <c r="CM30" s="1214"/>
      <c r="CN30" s="1191"/>
      <c r="CO30" s="1191"/>
      <c r="CP30" s="1191"/>
      <c r="CQ30" s="1191"/>
      <c r="CR30" s="1191"/>
      <c r="CS30" s="1191"/>
      <c r="CT30" s="1191"/>
      <c r="CU30" s="1191"/>
      <c r="CV30" s="1191"/>
      <c r="CW30" s="1191"/>
      <c r="CX30" s="1191"/>
      <c r="CY30" s="1191"/>
      <c r="CZ30" s="1191"/>
      <c r="DA30" s="1191"/>
      <c r="DB30" s="1191"/>
      <c r="DC30" s="1191"/>
      <c r="DD30" s="1191"/>
      <c r="DE30" s="1191"/>
      <c r="DF30" s="1191"/>
      <c r="DG30" s="1191"/>
      <c r="DH30" s="1191"/>
      <c r="DI30" s="1191"/>
      <c r="DJ30" s="1191"/>
      <c r="DK30" s="1191"/>
      <c r="DL30" s="1191"/>
      <c r="DM30" s="1191"/>
      <c r="DN30" s="1191"/>
      <c r="DO30" s="1191"/>
      <c r="DP30" s="1191"/>
      <c r="DQ30" s="1191"/>
      <c r="DR30" s="1191"/>
      <c r="DS30" s="1191"/>
      <c r="DT30" s="1191"/>
      <c r="DU30" s="1191"/>
      <c r="DV30" s="1191"/>
      <c r="DW30" s="1191"/>
      <c r="DX30" s="1191"/>
      <c r="DY30" s="1191"/>
      <c r="DZ30" s="1191"/>
      <c r="EA30" s="1191"/>
      <c r="EB30" s="1191"/>
      <c r="EC30" s="1191"/>
      <c r="ED30" s="1191"/>
      <c r="EE30" s="1191"/>
      <c r="EF30" s="1191"/>
      <c r="EG30" s="1191"/>
      <c r="EH30" s="1191"/>
      <c r="EI30" s="1191"/>
      <c r="EJ30" s="1191"/>
      <c r="EK30" s="1191"/>
      <c r="EL30" s="1191"/>
      <c r="EM30" s="1191"/>
      <c r="EN30" s="1191"/>
      <c r="EO30" s="1191"/>
      <c r="EP30" s="1191"/>
      <c r="EQ30" s="1191"/>
      <c r="ER30" s="1191"/>
      <c r="ES30" s="1191"/>
      <c r="ET30" s="1191"/>
      <c r="EU30" s="1191"/>
      <c r="EV30" s="1191"/>
      <c r="EW30" s="1191"/>
      <c r="EX30" s="1191"/>
      <c r="EY30" s="1191"/>
      <c r="EZ30" s="1191"/>
      <c r="FA30" s="1191"/>
      <c r="FB30" s="1191"/>
      <c r="FC30" s="1191"/>
      <c r="FD30" s="1191"/>
      <c r="FE30" s="1191"/>
      <c r="FF30" s="1191"/>
      <c r="FG30" s="1191"/>
      <c r="FH30" s="1191"/>
      <c r="FI30" s="1191"/>
      <c r="FJ30" s="1191"/>
      <c r="FK30" s="1191"/>
      <c r="FL30" s="1191"/>
      <c r="FM30" s="1191"/>
      <c r="FN30" s="1191"/>
      <c r="FO30" s="1191"/>
      <c r="FP30" s="1191"/>
      <c r="FQ30" s="1191"/>
      <c r="FR30" s="1191"/>
      <c r="FS30" s="1191"/>
      <c r="FT30" s="1191"/>
      <c r="FU30" s="1191"/>
      <c r="FV30" s="1191"/>
      <c r="FW30" s="1191"/>
      <c r="FX30" s="1191"/>
      <c r="FY30" s="1191"/>
      <c r="FZ30" s="1191"/>
      <c r="GA30" s="1191"/>
      <c r="GB30" s="1191"/>
      <c r="GC30" s="1191"/>
      <c r="GD30" s="1191"/>
      <c r="GE30" s="1191"/>
      <c r="GF30" s="1191"/>
      <c r="GG30" s="1191"/>
      <c r="GH30" s="1191"/>
      <c r="GI30" s="1191"/>
      <c r="GJ30" s="1191"/>
      <c r="GK30" s="1191"/>
      <c r="GL30" s="1191"/>
      <c r="GM30" s="1191"/>
      <c r="GN30" s="1191"/>
      <c r="GO30" s="1191"/>
      <c r="GP30" s="1191"/>
      <c r="GQ30" s="1191"/>
      <c r="GR30" s="1191"/>
      <c r="GS30" s="1191"/>
      <c r="GT30" s="1191"/>
      <c r="GU30" s="1191"/>
      <c r="GV30" s="1191"/>
      <c r="GW30" s="1191"/>
      <c r="GX30" s="1191"/>
      <c r="GY30" s="1191"/>
      <c r="GZ30" s="1191"/>
      <c r="HA30" s="1191"/>
      <c r="HB30" s="1191"/>
      <c r="HC30" s="1191"/>
      <c r="HD30" s="1191"/>
      <c r="HE30" s="1191"/>
      <c r="HF30" s="1191"/>
      <c r="HG30" s="1191"/>
      <c r="HH30" s="1191"/>
      <c r="HI30" s="1191"/>
      <c r="HJ30" s="1191"/>
      <c r="HK30" s="1191"/>
      <c r="HL30" s="1191"/>
      <c r="HM30" s="1191"/>
      <c r="HN30" s="1191"/>
      <c r="HO30" s="1191"/>
      <c r="HP30" s="1191"/>
      <c r="HQ30" s="1191"/>
      <c r="HR30" s="1191"/>
      <c r="HS30" s="1191"/>
      <c r="HT30" s="1191"/>
      <c r="HU30" s="1191"/>
    </row>
    <row r="31" spans="1:229" x14ac:dyDescent="0.15">
      <c r="A31" s="1208" t="s">
        <v>5948</v>
      </c>
      <c r="B31" s="1208"/>
      <c r="C31" s="1193"/>
      <c r="D31" s="1193"/>
      <c r="E31" s="1220"/>
      <c r="F31" s="617">
        <v>2736558303</v>
      </c>
      <c r="G31" s="617"/>
      <c r="H31" s="617"/>
      <c r="I31" s="617"/>
      <c r="J31" s="617"/>
      <c r="K31" s="617"/>
      <c r="L31" s="617"/>
      <c r="M31" s="617"/>
      <c r="N31" s="617"/>
      <c r="O31" s="1193"/>
      <c r="P31" s="1193"/>
      <c r="Q31" s="570"/>
      <c r="R31" s="1211"/>
      <c r="S31" s="1193"/>
      <c r="T31" s="1193"/>
      <c r="U31" s="1193"/>
      <c r="V31" s="980"/>
      <c r="W31" s="1200"/>
      <c r="X31" s="1193"/>
      <c r="Y31" s="584"/>
      <c r="Z31" s="1193"/>
      <c r="AA31" s="584"/>
      <c r="AB31" s="1197"/>
      <c r="AC31" s="1197"/>
      <c r="AD31" s="1197"/>
      <c r="AE31" s="1197"/>
      <c r="AF31" s="1197"/>
      <c r="AG31" s="1197"/>
      <c r="AH31" s="1197"/>
      <c r="AI31" s="1197"/>
      <c r="AJ31" s="1197"/>
      <c r="AK31" s="1197"/>
      <c r="AL31" s="1198"/>
      <c r="AM31" s="1214"/>
      <c r="AN31" s="1214"/>
      <c r="AO31" s="1214"/>
      <c r="AP31" s="1214"/>
      <c r="AQ31" s="1214"/>
      <c r="AR31" s="1214"/>
      <c r="AS31" s="1214"/>
      <c r="AT31" s="1214"/>
      <c r="AU31" s="1214"/>
      <c r="AV31" s="1214"/>
      <c r="AW31" s="1214"/>
      <c r="AX31" s="1214"/>
      <c r="AY31" s="1214"/>
      <c r="AZ31" s="1214"/>
      <c r="BA31" s="1214"/>
      <c r="BB31" s="1214"/>
      <c r="BC31" s="1214"/>
      <c r="BD31" s="1214"/>
      <c r="BE31" s="1214"/>
      <c r="BF31" s="1214"/>
      <c r="BG31" s="1214"/>
      <c r="BH31" s="1214"/>
      <c r="BI31" s="1214"/>
      <c r="BJ31" s="1214"/>
      <c r="BK31" s="1214"/>
      <c r="BL31" s="1214"/>
      <c r="BM31" s="1214"/>
      <c r="BN31" s="1214"/>
      <c r="BO31" s="1214"/>
      <c r="BP31" s="1214"/>
      <c r="BQ31" s="1214"/>
      <c r="BR31" s="1214"/>
      <c r="BS31" s="1214"/>
      <c r="BT31" s="1214"/>
      <c r="BU31" s="1214"/>
      <c r="BV31" s="1214"/>
      <c r="BW31" s="1214"/>
      <c r="BX31" s="1214"/>
      <c r="BY31" s="1214"/>
      <c r="BZ31" s="1214"/>
      <c r="CA31" s="1214"/>
      <c r="CB31" s="1214"/>
      <c r="CC31" s="1214"/>
      <c r="CD31" s="1214"/>
      <c r="CE31" s="1214"/>
      <c r="CF31" s="1214"/>
      <c r="CG31" s="1214"/>
      <c r="CH31" s="1214"/>
      <c r="CI31" s="1214"/>
      <c r="CJ31" s="1214"/>
      <c r="CK31" s="1214"/>
      <c r="CL31" s="1214"/>
      <c r="CM31" s="1214"/>
      <c r="CN31" s="1191"/>
      <c r="CO31" s="1191"/>
      <c r="CP31" s="1191"/>
      <c r="CQ31" s="1191"/>
      <c r="CR31" s="1191"/>
      <c r="CS31" s="1191"/>
      <c r="CT31" s="1191"/>
      <c r="CU31" s="1191"/>
      <c r="CV31" s="1191"/>
      <c r="CW31" s="1191"/>
      <c r="CX31" s="1191"/>
      <c r="CY31" s="1191"/>
      <c r="CZ31" s="1191"/>
      <c r="DA31" s="1191"/>
      <c r="DB31" s="1191"/>
      <c r="DC31" s="1191"/>
      <c r="DD31" s="1191"/>
      <c r="DE31" s="1191"/>
      <c r="DF31" s="1191"/>
      <c r="DG31" s="1191"/>
      <c r="DH31" s="1191"/>
      <c r="DI31" s="1191"/>
      <c r="DJ31" s="1191"/>
      <c r="DK31" s="1191"/>
      <c r="DL31" s="1191"/>
      <c r="DM31" s="1191"/>
      <c r="DN31" s="1191"/>
      <c r="DO31" s="1191"/>
      <c r="DP31" s="1191"/>
      <c r="DQ31" s="1191"/>
      <c r="DR31" s="1191"/>
      <c r="DS31" s="1191"/>
      <c r="DT31" s="1191"/>
      <c r="DU31" s="1191"/>
      <c r="DV31" s="1191"/>
      <c r="DW31" s="1191"/>
      <c r="DX31" s="1191"/>
      <c r="DY31" s="1191"/>
      <c r="DZ31" s="1191"/>
      <c r="EA31" s="1191"/>
      <c r="EB31" s="1191"/>
      <c r="EC31" s="1191"/>
      <c r="ED31" s="1191"/>
      <c r="EE31" s="1191"/>
      <c r="EF31" s="1191"/>
      <c r="EG31" s="1191"/>
      <c r="EH31" s="1191"/>
      <c r="EI31" s="1191"/>
      <c r="EJ31" s="1191"/>
      <c r="EK31" s="1191"/>
      <c r="EL31" s="1191"/>
      <c r="EM31" s="1191"/>
      <c r="EN31" s="1191"/>
      <c r="EO31" s="1191"/>
      <c r="EP31" s="1191"/>
      <c r="EQ31" s="1191"/>
      <c r="ER31" s="1191"/>
      <c r="ES31" s="1191"/>
      <c r="ET31" s="1191"/>
      <c r="EU31" s="1191"/>
      <c r="EV31" s="1191"/>
      <c r="EW31" s="1191"/>
      <c r="EX31" s="1191"/>
      <c r="EY31" s="1191"/>
      <c r="EZ31" s="1191"/>
      <c r="FA31" s="1191"/>
      <c r="FB31" s="1191"/>
      <c r="FC31" s="1191"/>
      <c r="FD31" s="1191"/>
      <c r="FE31" s="1191"/>
      <c r="FF31" s="1191"/>
      <c r="FG31" s="1191"/>
      <c r="FH31" s="1191"/>
      <c r="FI31" s="1191"/>
      <c r="FJ31" s="1191"/>
      <c r="FK31" s="1191"/>
      <c r="FL31" s="1191"/>
      <c r="FM31" s="1191"/>
      <c r="FN31" s="1191"/>
      <c r="FO31" s="1191"/>
      <c r="FP31" s="1191"/>
      <c r="FQ31" s="1191"/>
      <c r="FR31" s="1191"/>
      <c r="FS31" s="1191"/>
      <c r="FT31" s="1191"/>
      <c r="FU31" s="1191"/>
      <c r="FV31" s="1191"/>
      <c r="FW31" s="1191"/>
      <c r="FX31" s="1191"/>
      <c r="FY31" s="1191"/>
      <c r="FZ31" s="1191"/>
      <c r="GA31" s="1191"/>
      <c r="GB31" s="1191"/>
      <c r="GC31" s="1191"/>
      <c r="GD31" s="1191"/>
      <c r="GE31" s="1191"/>
      <c r="GF31" s="1191"/>
      <c r="GG31" s="1191"/>
      <c r="GH31" s="1191"/>
      <c r="GI31" s="1191"/>
      <c r="GJ31" s="1191"/>
      <c r="GK31" s="1191"/>
      <c r="GL31" s="1191"/>
      <c r="GM31" s="1191"/>
      <c r="GN31" s="1191"/>
      <c r="GO31" s="1191"/>
      <c r="GP31" s="1191"/>
      <c r="GQ31" s="1191"/>
      <c r="GR31" s="1191"/>
      <c r="GS31" s="1191"/>
      <c r="GT31" s="1191"/>
      <c r="GU31" s="1191"/>
      <c r="GV31" s="1191"/>
      <c r="GW31" s="1191"/>
      <c r="GX31" s="1191"/>
      <c r="GY31" s="1191"/>
      <c r="GZ31" s="1191"/>
      <c r="HA31" s="1191"/>
      <c r="HB31" s="1191"/>
      <c r="HC31" s="1191"/>
      <c r="HD31" s="1191"/>
      <c r="HE31" s="1191"/>
      <c r="HF31" s="1191"/>
      <c r="HG31" s="1191"/>
      <c r="HH31" s="1191"/>
      <c r="HI31" s="1191"/>
      <c r="HJ31" s="1191"/>
      <c r="HK31" s="1191"/>
      <c r="HL31" s="1191"/>
      <c r="HM31" s="1191"/>
      <c r="HN31" s="1191"/>
      <c r="HO31" s="1191"/>
      <c r="HP31" s="1191"/>
      <c r="HQ31" s="1191"/>
      <c r="HR31" s="1191"/>
      <c r="HS31" s="1191"/>
      <c r="HT31" s="1191"/>
      <c r="HU31" s="1191"/>
    </row>
    <row r="32" spans="1:229" x14ac:dyDescent="0.15">
      <c r="A32" s="1208" t="s">
        <v>29</v>
      </c>
      <c r="B32" s="1208"/>
      <c r="C32" s="1193"/>
      <c r="D32" s="1193"/>
      <c r="E32" s="1220"/>
      <c r="F32" s="617"/>
      <c r="G32" s="617"/>
      <c r="H32" s="617"/>
      <c r="I32" s="617"/>
      <c r="J32" s="617"/>
      <c r="K32" s="617"/>
      <c r="L32" s="617"/>
      <c r="M32" s="617"/>
      <c r="N32" s="617"/>
      <c r="O32" s="1193"/>
      <c r="P32" s="1193"/>
      <c r="Q32" s="570"/>
      <c r="R32" s="1211"/>
      <c r="S32" s="1193"/>
      <c r="T32" s="1193"/>
      <c r="U32" s="1193"/>
      <c r="V32" s="980"/>
      <c r="W32" s="1200"/>
      <c r="X32" s="1193"/>
      <c r="Y32" s="584"/>
      <c r="Z32" s="1193"/>
      <c r="AA32" s="584"/>
      <c r="AB32" s="1197"/>
      <c r="AC32" s="1197"/>
      <c r="AD32" s="1197"/>
      <c r="AE32" s="1197"/>
      <c r="AF32" s="1197"/>
      <c r="AG32" s="1197"/>
      <c r="AH32" s="1197"/>
      <c r="AI32" s="1197"/>
      <c r="AJ32" s="1197"/>
      <c r="AK32" s="1197"/>
      <c r="AL32" s="1198">
        <f t="shared" ref="AL32:AL72" si="3">SUM(C32:AK32)</f>
        <v>0</v>
      </c>
      <c r="AM32" s="1214"/>
      <c r="AN32" s="1214"/>
      <c r="AO32" s="1214"/>
      <c r="AP32" s="1214"/>
      <c r="AQ32" s="1214"/>
      <c r="AR32" s="1214"/>
      <c r="AS32" s="1214"/>
      <c r="AT32" s="1214"/>
      <c r="AU32" s="1214"/>
      <c r="AV32" s="1214"/>
      <c r="AW32" s="1214"/>
      <c r="AX32" s="1214"/>
      <c r="AY32" s="1214"/>
      <c r="AZ32" s="1214"/>
      <c r="BA32" s="1214"/>
      <c r="BB32" s="1214"/>
      <c r="BC32" s="1214"/>
      <c r="BD32" s="1214"/>
      <c r="BE32" s="1214"/>
      <c r="BF32" s="1214"/>
      <c r="BG32" s="1214"/>
      <c r="BH32" s="1214"/>
      <c r="BI32" s="1214"/>
      <c r="BJ32" s="1214"/>
      <c r="BK32" s="1214"/>
      <c r="BL32" s="1214"/>
      <c r="BM32" s="1214"/>
      <c r="BN32" s="1214"/>
      <c r="BO32" s="1214"/>
      <c r="BP32" s="1214"/>
      <c r="BQ32" s="1214"/>
      <c r="BR32" s="1214"/>
      <c r="BS32" s="1214"/>
      <c r="BT32" s="1214"/>
      <c r="BU32" s="1214"/>
      <c r="BV32" s="1214"/>
      <c r="BW32" s="1214"/>
      <c r="BX32" s="1214"/>
      <c r="BY32" s="1214"/>
      <c r="BZ32" s="1214"/>
      <c r="CA32" s="1214"/>
      <c r="CB32" s="1214"/>
      <c r="CC32" s="1214"/>
      <c r="CD32" s="1214"/>
      <c r="CE32" s="1214"/>
      <c r="CF32" s="1214"/>
      <c r="CG32" s="1214"/>
      <c r="CH32" s="1214"/>
      <c r="CI32" s="1214"/>
      <c r="CJ32" s="1214"/>
      <c r="CK32" s="1214"/>
      <c r="CL32" s="1214"/>
      <c r="CM32" s="1214"/>
      <c r="CN32" s="1191"/>
      <c r="CO32" s="1191"/>
      <c r="CP32" s="1191"/>
      <c r="CQ32" s="1191"/>
      <c r="CR32" s="1191"/>
      <c r="CS32" s="1191"/>
      <c r="CT32" s="1191"/>
      <c r="CU32" s="1191"/>
      <c r="CV32" s="1191"/>
      <c r="CW32" s="1191"/>
      <c r="CX32" s="1191"/>
      <c r="CY32" s="1191"/>
      <c r="CZ32" s="1191"/>
      <c r="DA32" s="1191"/>
      <c r="DB32" s="1191"/>
      <c r="DC32" s="1191"/>
      <c r="DD32" s="1191"/>
      <c r="DE32" s="1191"/>
      <c r="DF32" s="1191"/>
      <c r="DG32" s="1191"/>
      <c r="DH32" s="1191"/>
      <c r="DI32" s="1191"/>
      <c r="DJ32" s="1191"/>
      <c r="DK32" s="1191"/>
      <c r="DL32" s="1191"/>
      <c r="DM32" s="1191"/>
      <c r="DN32" s="1191"/>
      <c r="DO32" s="1191"/>
      <c r="DP32" s="1191"/>
      <c r="DQ32" s="1191"/>
      <c r="DR32" s="1191"/>
      <c r="DS32" s="1191"/>
      <c r="DT32" s="1191"/>
      <c r="DU32" s="1191"/>
      <c r="DV32" s="1191"/>
      <c r="DW32" s="1191"/>
      <c r="DX32" s="1191"/>
      <c r="DY32" s="1191"/>
      <c r="DZ32" s="1191"/>
      <c r="EA32" s="1191"/>
      <c r="EB32" s="1191"/>
      <c r="EC32" s="1191"/>
      <c r="ED32" s="1191"/>
      <c r="EE32" s="1191"/>
      <c r="EF32" s="1191"/>
      <c r="EG32" s="1191"/>
      <c r="EH32" s="1191"/>
      <c r="EI32" s="1191"/>
      <c r="EJ32" s="1191"/>
      <c r="EK32" s="1191"/>
      <c r="EL32" s="1191"/>
      <c r="EM32" s="1191"/>
      <c r="EN32" s="1191"/>
      <c r="EO32" s="1191"/>
      <c r="EP32" s="1191"/>
      <c r="EQ32" s="1191"/>
      <c r="ER32" s="1191"/>
      <c r="ES32" s="1191"/>
      <c r="ET32" s="1191"/>
      <c r="EU32" s="1191"/>
      <c r="EV32" s="1191"/>
      <c r="EW32" s="1191"/>
      <c r="EX32" s="1191"/>
      <c r="EY32" s="1191"/>
      <c r="EZ32" s="1191"/>
      <c r="FA32" s="1191"/>
      <c r="FB32" s="1191"/>
      <c r="FC32" s="1191"/>
      <c r="FD32" s="1191"/>
      <c r="FE32" s="1191"/>
      <c r="FF32" s="1191"/>
      <c r="FG32" s="1191"/>
      <c r="FH32" s="1191"/>
      <c r="FI32" s="1191"/>
      <c r="FJ32" s="1191"/>
      <c r="FK32" s="1191"/>
      <c r="FL32" s="1191"/>
      <c r="FM32" s="1191"/>
      <c r="FN32" s="1191"/>
      <c r="FO32" s="1191"/>
      <c r="FP32" s="1191"/>
      <c r="FQ32" s="1191"/>
      <c r="FR32" s="1191"/>
      <c r="FS32" s="1191"/>
      <c r="FT32" s="1191"/>
      <c r="FU32" s="1191"/>
      <c r="FV32" s="1191"/>
      <c r="FW32" s="1191"/>
      <c r="FX32" s="1191"/>
      <c r="FY32" s="1191"/>
      <c r="FZ32" s="1191"/>
      <c r="GA32" s="1191"/>
      <c r="GB32" s="1191"/>
      <c r="GC32" s="1191"/>
      <c r="GD32" s="1191"/>
      <c r="GE32" s="1191"/>
      <c r="GF32" s="1191"/>
      <c r="GG32" s="1191"/>
      <c r="GH32" s="1191"/>
      <c r="GI32" s="1191"/>
      <c r="GJ32" s="1191"/>
      <c r="GK32" s="1191"/>
      <c r="GL32" s="1191"/>
      <c r="GM32" s="1191"/>
      <c r="GN32" s="1191"/>
      <c r="GO32" s="1191"/>
      <c r="GP32" s="1191"/>
      <c r="GQ32" s="1191"/>
      <c r="GR32" s="1191"/>
      <c r="GS32" s="1191"/>
      <c r="GT32" s="1191"/>
      <c r="GU32" s="1191"/>
      <c r="GV32" s="1191"/>
      <c r="GW32" s="1191"/>
      <c r="GX32" s="1191"/>
      <c r="GY32" s="1191"/>
      <c r="GZ32" s="1191"/>
      <c r="HA32" s="1191"/>
      <c r="HB32" s="1191"/>
      <c r="HC32" s="1191"/>
      <c r="HD32" s="1191"/>
      <c r="HE32" s="1191"/>
      <c r="HF32" s="1191"/>
      <c r="HG32" s="1191"/>
      <c r="HH32" s="1191"/>
      <c r="HI32" s="1191"/>
      <c r="HJ32" s="1191"/>
      <c r="HK32" s="1191"/>
      <c r="HL32" s="1191"/>
      <c r="HM32" s="1191"/>
      <c r="HN32" s="1191"/>
      <c r="HO32" s="1191"/>
      <c r="HP32" s="1191"/>
      <c r="HQ32" s="1191"/>
      <c r="HR32" s="1191"/>
      <c r="HS32" s="1191"/>
      <c r="HT32" s="1191"/>
      <c r="HU32" s="1191"/>
    </row>
    <row r="33" spans="1:229" ht="13.5" customHeight="1" x14ac:dyDescent="0.25">
      <c r="A33" s="1208" t="s">
        <v>4972</v>
      </c>
      <c r="B33" s="1208"/>
      <c r="C33" s="1193"/>
      <c r="D33" s="1193"/>
      <c r="E33" s="1220"/>
      <c r="F33" s="617"/>
      <c r="G33" s="617"/>
      <c r="H33" s="617"/>
      <c r="I33" s="617"/>
      <c r="J33" s="617"/>
      <c r="K33" s="617"/>
      <c r="L33" s="617"/>
      <c r="M33" s="617"/>
      <c r="N33" s="617"/>
      <c r="O33" s="1193"/>
      <c r="P33" s="1193"/>
      <c r="Q33" s="570"/>
      <c r="R33" s="1193"/>
      <c r="S33" s="1193"/>
      <c r="T33" s="1193"/>
      <c r="U33" s="1193"/>
      <c r="V33" s="1193"/>
      <c r="W33" s="1193"/>
      <c r="X33" s="1193"/>
      <c r="Y33" s="1193"/>
      <c r="Z33" s="1193"/>
      <c r="AA33" s="980"/>
      <c r="AB33" s="1197"/>
      <c r="AC33" s="1197"/>
      <c r="AD33" s="1197"/>
      <c r="AE33" s="1197"/>
      <c r="AF33" s="1197"/>
      <c r="AG33" s="1197"/>
      <c r="AH33" s="1197"/>
      <c r="AI33" s="1197"/>
      <c r="AJ33" s="1197"/>
      <c r="AK33" s="1197"/>
      <c r="AL33" s="1198">
        <f t="shared" si="3"/>
        <v>0</v>
      </c>
      <c r="AM33" s="1214"/>
      <c r="AN33" s="1214"/>
      <c r="AO33" s="1214"/>
      <c r="AP33" s="1214"/>
      <c r="AQ33" s="1214"/>
      <c r="AR33" s="1214"/>
      <c r="AS33" s="1214"/>
      <c r="AT33" s="1214"/>
      <c r="AU33" s="1214"/>
      <c r="AV33" s="1214"/>
      <c r="AW33" s="1214"/>
      <c r="AX33" s="1214"/>
      <c r="AY33" s="1214"/>
      <c r="AZ33" s="1214"/>
      <c r="BA33" s="1214"/>
      <c r="BB33" s="1214"/>
      <c r="BC33" s="1214"/>
      <c r="BD33" s="1214"/>
      <c r="BE33" s="1214"/>
      <c r="BF33" s="1214"/>
      <c r="BG33" s="1214"/>
      <c r="BH33" s="1214"/>
      <c r="BI33" s="1214"/>
      <c r="BJ33" s="1214"/>
      <c r="BK33" s="1214"/>
      <c r="BL33" s="1214"/>
      <c r="BM33" s="1214"/>
      <c r="BN33" s="1214"/>
      <c r="BO33" s="1214"/>
      <c r="BP33" s="1214"/>
      <c r="BQ33" s="1214"/>
      <c r="BR33" s="1214"/>
      <c r="BS33" s="1214"/>
      <c r="BT33" s="1214"/>
      <c r="BU33" s="1214"/>
      <c r="BV33" s="1214"/>
      <c r="BW33" s="1214"/>
      <c r="BX33" s="1214"/>
      <c r="BY33" s="1214"/>
      <c r="BZ33" s="1214"/>
      <c r="CA33" s="1214"/>
      <c r="CB33" s="1214"/>
      <c r="CC33" s="1214"/>
      <c r="CD33" s="1214"/>
      <c r="CE33" s="1214"/>
      <c r="CF33" s="1214"/>
      <c r="CG33" s="1214"/>
      <c r="CH33" s="1214"/>
      <c r="CI33" s="1214"/>
      <c r="CJ33" s="1214"/>
      <c r="CK33" s="1214"/>
      <c r="CL33" s="1214"/>
      <c r="CM33" s="1214"/>
      <c r="CN33" s="1191"/>
      <c r="CO33" s="1191"/>
      <c r="CP33" s="1191"/>
      <c r="CQ33" s="1191"/>
      <c r="CR33" s="1191"/>
      <c r="CS33" s="1191"/>
      <c r="CT33" s="1191"/>
      <c r="CU33" s="1191"/>
      <c r="CV33" s="1191"/>
      <c r="CW33" s="1191"/>
      <c r="CX33" s="1191"/>
      <c r="CY33" s="1191"/>
      <c r="CZ33" s="1191"/>
      <c r="DA33" s="1191"/>
      <c r="DB33" s="1191"/>
      <c r="DC33" s="1191"/>
      <c r="DD33" s="1191"/>
      <c r="DE33" s="1191"/>
      <c r="DF33" s="1191"/>
      <c r="DG33" s="1191"/>
      <c r="DH33" s="1191"/>
      <c r="DI33" s="1191"/>
      <c r="DJ33" s="1191"/>
      <c r="DK33" s="1191"/>
      <c r="DL33" s="1191"/>
      <c r="DM33" s="1191"/>
      <c r="DN33" s="1191"/>
      <c r="DO33" s="1191"/>
      <c r="DP33" s="1191"/>
      <c r="DQ33" s="1191"/>
      <c r="DR33" s="1191"/>
      <c r="DS33" s="1191"/>
      <c r="DT33" s="1191"/>
      <c r="DU33" s="1191"/>
      <c r="DV33" s="1191"/>
      <c r="DW33" s="1191"/>
      <c r="DX33" s="1191"/>
      <c r="DY33" s="1191"/>
      <c r="DZ33" s="1191"/>
      <c r="EA33" s="1191"/>
      <c r="EB33" s="1191"/>
      <c r="EC33" s="1191"/>
      <c r="ED33" s="1191"/>
      <c r="EE33" s="1191"/>
      <c r="EF33" s="1191"/>
      <c r="EG33" s="1191"/>
      <c r="EH33" s="1191"/>
      <c r="EI33" s="1191"/>
      <c r="EJ33" s="1191"/>
      <c r="EK33" s="1191"/>
      <c r="EL33" s="1191"/>
      <c r="EM33" s="1191"/>
      <c r="EN33" s="1191"/>
      <c r="EO33" s="1191"/>
      <c r="EP33" s="1191"/>
      <c r="EQ33" s="1191"/>
      <c r="ER33" s="1191"/>
      <c r="ES33" s="1191"/>
      <c r="ET33" s="1191"/>
      <c r="EU33" s="1191"/>
      <c r="EV33" s="1191"/>
      <c r="EW33" s="1191"/>
      <c r="EX33" s="1191"/>
      <c r="EY33" s="1191"/>
      <c r="EZ33" s="1191"/>
      <c r="FA33" s="1191"/>
      <c r="FB33" s="1191"/>
      <c r="FC33" s="1191"/>
      <c r="FD33" s="1191"/>
      <c r="FE33" s="1191"/>
      <c r="FF33" s="1191"/>
      <c r="FG33" s="1191"/>
      <c r="FH33" s="1191"/>
      <c r="FI33" s="1191"/>
      <c r="FJ33" s="1191"/>
      <c r="FK33" s="1191"/>
      <c r="FL33" s="1191"/>
      <c r="FM33" s="1191"/>
      <c r="FN33" s="1191"/>
      <c r="FO33" s="1191"/>
      <c r="FP33" s="1191"/>
      <c r="FQ33" s="1191"/>
      <c r="FR33" s="1191"/>
      <c r="FS33" s="1191"/>
      <c r="FT33" s="1191"/>
      <c r="FU33" s="1191"/>
      <c r="FV33" s="1191"/>
      <c r="FW33" s="1191"/>
      <c r="FX33" s="1191"/>
      <c r="FY33" s="1191"/>
      <c r="FZ33" s="1191"/>
      <c r="GA33" s="1191"/>
      <c r="GB33" s="1191"/>
      <c r="GC33" s="1191"/>
      <c r="GD33" s="1191"/>
      <c r="GE33" s="1191"/>
      <c r="GF33" s="1191"/>
      <c r="GG33" s="1191"/>
      <c r="GH33" s="1191"/>
      <c r="GI33" s="1191"/>
      <c r="GJ33" s="1191"/>
      <c r="GK33" s="1191"/>
      <c r="GL33" s="1191"/>
      <c r="GM33" s="1191"/>
      <c r="GN33" s="1191"/>
      <c r="GO33" s="1191"/>
      <c r="GP33" s="1191"/>
      <c r="GQ33" s="1191"/>
      <c r="GR33" s="1191"/>
      <c r="GS33" s="1191"/>
      <c r="GT33" s="1191"/>
      <c r="GU33" s="1191"/>
      <c r="GV33" s="1191"/>
      <c r="GW33" s="1191"/>
      <c r="GX33" s="1191"/>
      <c r="GY33" s="1191"/>
      <c r="GZ33" s="1191"/>
      <c r="HA33" s="1191"/>
      <c r="HB33" s="1191"/>
      <c r="HC33" s="1191"/>
      <c r="HD33" s="1191"/>
      <c r="HE33" s="1191"/>
      <c r="HF33" s="1191"/>
      <c r="HG33" s="1191"/>
      <c r="HH33" s="1191"/>
      <c r="HI33" s="1191"/>
      <c r="HJ33" s="1191"/>
      <c r="HK33" s="1191"/>
      <c r="HL33" s="1191"/>
      <c r="HM33" s="1191"/>
      <c r="HN33" s="1191"/>
      <c r="HO33" s="1191"/>
      <c r="HP33" s="1191"/>
      <c r="HQ33" s="1191"/>
      <c r="HR33" s="1191"/>
      <c r="HS33" s="1191"/>
      <c r="HT33" s="1191"/>
      <c r="HU33" s="1191"/>
    </row>
    <row r="34" spans="1:229" ht="16.5" customHeight="1" x14ac:dyDescent="0.15">
      <c r="A34" s="1208" t="s">
        <v>128</v>
      </c>
      <c r="B34" s="1208"/>
      <c r="C34" s="1193"/>
      <c r="D34" s="1193"/>
      <c r="E34" s="1220"/>
      <c r="F34" s="617"/>
      <c r="G34" s="617"/>
      <c r="H34" s="617"/>
      <c r="I34" s="617"/>
      <c r="J34" s="617"/>
      <c r="K34" s="617"/>
      <c r="L34" s="617"/>
      <c r="M34" s="617"/>
      <c r="N34" s="617"/>
      <c r="O34" s="1193"/>
      <c r="P34" s="1193"/>
      <c r="Q34" s="570"/>
      <c r="R34" s="1193"/>
      <c r="S34" s="1193"/>
      <c r="T34" s="1193"/>
      <c r="U34" s="1193"/>
      <c r="V34" s="1193"/>
      <c r="W34" s="1200"/>
      <c r="X34" s="571"/>
      <c r="Y34" s="1193"/>
      <c r="Z34" s="1193"/>
      <c r="AA34" s="980"/>
      <c r="AB34" s="1197"/>
      <c r="AC34" s="1197"/>
      <c r="AD34" s="1197"/>
      <c r="AE34" s="1197"/>
      <c r="AF34" s="1197"/>
      <c r="AG34" s="1197"/>
      <c r="AH34" s="1197"/>
      <c r="AI34" s="1197"/>
      <c r="AJ34" s="1197"/>
      <c r="AK34" s="1197"/>
      <c r="AL34" s="1198">
        <f t="shared" si="3"/>
        <v>0</v>
      </c>
      <c r="AM34" s="1214"/>
      <c r="AN34" s="1214"/>
      <c r="AO34" s="1214"/>
      <c r="AP34" s="1214"/>
      <c r="AQ34" s="1214"/>
      <c r="AR34" s="1214"/>
      <c r="AS34" s="1214"/>
      <c r="AT34" s="1214"/>
      <c r="AU34" s="1214"/>
      <c r="AV34" s="1214"/>
      <c r="AW34" s="1214"/>
      <c r="AX34" s="1214"/>
      <c r="AY34" s="1214"/>
      <c r="AZ34" s="1214"/>
      <c r="BA34" s="1214"/>
      <c r="BB34" s="1214"/>
      <c r="BC34" s="1214"/>
      <c r="BD34" s="1214"/>
      <c r="BE34" s="1214"/>
      <c r="BF34" s="1214"/>
      <c r="BG34" s="1214"/>
      <c r="BH34" s="1214"/>
      <c r="BI34" s="1214"/>
      <c r="BJ34" s="1214"/>
      <c r="BK34" s="1214"/>
      <c r="BL34" s="1214"/>
      <c r="BM34" s="1214"/>
      <c r="BN34" s="1214"/>
      <c r="BO34" s="1214"/>
      <c r="BP34" s="1214"/>
      <c r="BQ34" s="1214"/>
      <c r="BR34" s="1214"/>
      <c r="BS34" s="1214"/>
      <c r="BT34" s="1214"/>
      <c r="BU34" s="1214"/>
      <c r="BV34" s="1214"/>
      <c r="BW34" s="1214"/>
      <c r="BX34" s="1214"/>
      <c r="BY34" s="1214"/>
      <c r="BZ34" s="1214"/>
      <c r="CA34" s="1214"/>
      <c r="CB34" s="1214"/>
      <c r="CC34" s="1214"/>
      <c r="CD34" s="1214"/>
      <c r="CE34" s="1214"/>
      <c r="CF34" s="1214"/>
      <c r="CG34" s="1214"/>
      <c r="CH34" s="1214"/>
      <c r="CI34" s="1214"/>
      <c r="CJ34" s="1214"/>
      <c r="CK34" s="1214"/>
      <c r="CL34" s="1214"/>
      <c r="CM34" s="1214"/>
      <c r="CN34" s="1191"/>
      <c r="CO34" s="1191"/>
      <c r="CP34" s="1191"/>
      <c r="CQ34" s="1191"/>
      <c r="CR34" s="1191"/>
      <c r="CS34" s="1191"/>
      <c r="CT34" s="1191"/>
      <c r="CU34" s="1191"/>
      <c r="CV34" s="1191"/>
      <c r="CW34" s="1191"/>
      <c r="CX34" s="1191"/>
      <c r="CY34" s="1191"/>
      <c r="CZ34" s="1191"/>
      <c r="DA34" s="1191"/>
      <c r="DB34" s="1191"/>
      <c r="DC34" s="1191"/>
      <c r="DD34" s="1191"/>
      <c r="DE34" s="1191"/>
      <c r="DF34" s="1191"/>
      <c r="DG34" s="1191"/>
      <c r="DH34" s="1191"/>
      <c r="DI34" s="1191"/>
      <c r="DJ34" s="1191"/>
      <c r="DK34" s="1191"/>
      <c r="DL34" s="1191"/>
      <c r="DM34" s="1191"/>
      <c r="DN34" s="1191"/>
      <c r="DO34" s="1191"/>
      <c r="DP34" s="1191"/>
      <c r="DQ34" s="1191"/>
      <c r="DR34" s="1191"/>
      <c r="DS34" s="1191"/>
      <c r="DT34" s="1191"/>
      <c r="DU34" s="1191"/>
      <c r="DV34" s="1191"/>
      <c r="DW34" s="1191"/>
      <c r="DX34" s="1191"/>
      <c r="DY34" s="1191"/>
      <c r="DZ34" s="1191"/>
      <c r="EA34" s="1191"/>
      <c r="EB34" s="1191"/>
      <c r="EC34" s="1191"/>
      <c r="ED34" s="1191"/>
      <c r="EE34" s="1191"/>
      <c r="EF34" s="1191"/>
      <c r="EG34" s="1191"/>
      <c r="EH34" s="1191"/>
      <c r="EI34" s="1191"/>
      <c r="EJ34" s="1191"/>
      <c r="EK34" s="1191"/>
      <c r="EL34" s="1191"/>
      <c r="EM34" s="1191"/>
      <c r="EN34" s="1191"/>
      <c r="EO34" s="1191"/>
      <c r="EP34" s="1191"/>
      <c r="EQ34" s="1191"/>
      <c r="ER34" s="1191"/>
      <c r="ES34" s="1191"/>
      <c r="ET34" s="1191"/>
      <c r="EU34" s="1191"/>
      <c r="EV34" s="1191"/>
      <c r="EW34" s="1191"/>
      <c r="EX34" s="1191"/>
      <c r="EY34" s="1191"/>
      <c r="EZ34" s="1191"/>
      <c r="FA34" s="1191"/>
      <c r="FB34" s="1191"/>
      <c r="FC34" s="1191"/>
      <c r="FD34" s="1191"/>
      <c r="FE34" s="1191"/>
      <c r="FF34" s="1191"/>
      <c r="FG34" s="1191"/>
      <c r="FH34" s="1191"/>
      <c r="FI34" s="1191"/>
      <c r="FJ34" s="1191"/>
      <c r="FK34" s="1191"/>
      <c r="FL34" s="1191"/>
      <c r="FM34" s="1191"/>
      <c r="FN34" s="1191"/>
      <c r="FO34" s="1191"/>
      <c r="FP34" s="1191"/>
      <c r="FQ34" s="1191"/>
      <c r="FR34" s="1191"/>
      <c r="FS34" s="1191"/>
      <c r="FT34" s="1191"/>
      <c r="FU34" s="1191"/>
      <c r="FV34" s="1191"/>
      <c r="FW34" s="1191"/>
      <c r="FX34" s="1191"/>
      <c r="FY34" s="1191"/>
      <c r="FZ34" s="1191"/>
      <c r="GA34" s="1191"/>
      <c r="GB34" s="1191"/>
      <c r="GC34" s="1191"/>
      <c r="GD34" s="1191"/>
      <c r="GE34" s="1191"/>
      <c r="GF34" s="1191"/>
      <c r="GG34" s="1191"/>
      <c r="GH34" s="1191"/>
      <c r="GI34" s="1191"/>
      <c r="GJ34" s="1191"/>
      <c r="GK34" s="1191"/>
      <c r="GL34" s="1191"/>
      <c r="GM34" s="1191"/>
      <c r="GN34" s="1191"/>
      <c r="GO34" s="1191"/>
      <c r="GP34" s="1191"/>
      <c r="GQ34" s="1191"/>
      <c r="GR34" s="1191"/>
      <c r="GS34" s="1191"/>
      <c r="GT34" s="1191"/>
      <c r="GU34" s="1191"/>
      <c r="GV34" s="1191"/>
      <c r="GW34" s="1191"/>
      <c r="GX34" s="1191"/>
      <c r="GY34" s="1191"/>
      <c r="GZ34" s="1191"/>
      <c r="HA34" s="1191"/>
      <c r="HB34" s="1191"/>
      <c r="HC34" s="1191"/>
      <c r="HD34" s="1191"/>
      <c r="HE34" s="1191"/>
      <c r="HF34" s="1191"/>
      <c r="HG34" s="1191"/>
      <c r="HH34" s="1191"/>
      <c r="HI34" s="1191"/>
      <c r="HJ34" s="1191"/>
      <c r="HK34" s="1191"/>
      <c r="HL34" s="1191"/>
      <c r="HM34" s="1191"/>
      <c r="HN34" s="1191"/>
      <c r="HO34" s="1191"/>
      <c r="HP34" s="1191"/>
      <c r="HQ34" s="1191"/>
      <c r="HR34" s="1191"/>
      <c r="HS34" s="1191"/>
      <c r="HT34" s="1191"/>
      <c r="HU34" s="1191"/>
    </row>
    <row r="35" spans="1:229" ht="14.25" customHeight="1" x14ac:dyDescent="0.15">
      <c r="A35" s="1208" t="s">
        <v>31</v>
      </c>
      <c r="B35" s="1208"/>
      <c r="C35" s="1193"/>
      <c r="D35" s="1193"/>
      <c r="E35" s="1220"/>
      <c r="F35" s="617"/>
      <c r="G35" s="617"/>
      <c r="H35" s="617"/>
      <c r="I35" s="617"/>
      <c r="J35" s="617"/>
      <c r="K35" s="617"/>
      <c r="L35" s="617"/>
      <c r="M35" s="617"/>
      <c r="N35" s="617"/>
      <c r="O35" s="1193"/>
      <c r="P35" s="1193"/>
      <c r="Q35" s="570"/>
      <c r="R35" s="1193"/>
      <c r="S35" s="1193"/>
      <c r="T35" s="1193"/>
      <c r="U35" s="1193"/>
      <c r="V35" s="1212"/>
      <c r="W35" s="1200"/>
      <c r="X35" s="571"/>
      <c r="Y35" s="1193"/>
      <c r="Z35" s="1212"/>
      <c r="AA35" s="980"/>
      <c r="AB35" s="1197"/>
      <c r="AC35" s="1197"/>
      <c r="AD35" s="1197"/>
      <c r="AE35" s="1197"/>
      <c r="AF35" s="1197"/>
      <c r="AG35" s="1197"/>
      <c r="AH35" s="1197"/>
      <c r="AI35" s="1197"/>
      <c r="AJ35" s="1197"/>
      <c r="AK35" s="1197"/>
      <c r="AL35" s="1198">
        <f t="shared" si="3"/>
        <v>0</v>
      </c>
      <c r="AM35" s="1214"/>
      <c r="AN35" s="1214"/>
      <c r="AO35" s="1214"/>
      <c r="AP35" s="1214"/>
      <c r="AQ35" s="1214"/>
      <c r="AR35" s="1214"/>
      <c r="AS35" s="1214"/>
      <c r="AT35" s="1214"/>
      <c r="AU35" s="1214"/>
      <c r="AV35" s="1214"/>
      <c r="AW35" s="1214"/>
      <c r="AX35" s="1214"/>
      <c r="AY35" s="1214"/>
      <c r="AZ35" s="1214"/>
      <c r="BA35" s="1214"/>
      <c r="BB35" s="1214"/>
      <c r="BC35" s="1214"/>
      <c r="BD35" s="1214"/>
      <c r="BE35" s="1214"/>
      <c r="BF35" s="1214"/>
      <c r="BG35" s="1214"/>
      <c r="BH35" s="1214"/>
      <c r="BI35" s="1214"/>
      <c r="BJ35" s="1214"/>
      <c r="BK35" s="1214"/>
      <c r="BL35" s="1214"/>
      <c r="BM35" s="1214"/>
      <c r="BN35" s="1214"/>
      <c r="BO35" s="1214"/>
      <c r="BP35" s="1214"/>
      <c r="BQ35" s="1214"/>
      <c r="BR35" s="1214"/>
      <c r="BS35" s="1214"/>
      <c r="BT35" s="1214"/>
      <c r="BU35" s="1214"/>
      <c r="BV35" s="1214"/>
      <c r="BW35" s="1214"/>
      <c r="BX35" s="1214"/>
      <c r="BY35" s="1214"/>
      <c r="BZ35" s="1214"/>
      <c r="CA35" s="1214"/>
      <c r="CB35" s="1214"/>
      <c r="CC35" s="1214"/>
      <c r="CD35" s="1214"/>
      <c r="CE35" s="1214"/>
      <c r="CF35" s="1214"/>
      <c r="CG35" s="1214"/>
      <c r="CH35" s="1214"/>
      <c r="CI35" s="1214"/>
      <c r="CJ35" s="1214"/>
      <c r="CK35" s="1214"/>
      <c r="CL35" s="1214"/>
      <c r="CM35" s="1214"/>
      <c r="CN35" s="1191"/>
      <c r="CO35" s="1191"/>
      <c r="CP35" s="1191"/>
      <c r="CQ35" s="1191"/>
      <c r="CR35" s="1191"/>
      <c r="CS35" s="1191"/>
      <c r="CT35" s="1191"/>
      <c r="CU35" s="1191"/>
      <c r="CV35" s="1191"/>
      <c r="CW35" s="1191"/>
      <c r="CX35" s="1191"/>
      <c r="CY35" s="1191"/>
      <c r="CZ35" s="1191"/>
      <c r="DA35" s="1191"/>
      <c r="DB35" s="1191"/>
      <c r="DC35" s="1191"/>
      <c r="DD35" s="1191"/>
      <c r="DE35" s="1191"/>
      <c r="DF35" s="1191"/>
      <c r="DG35" s="1191"/>
      <c r="DH35" s="1191"/>
      <c r="DI35" s="1191"/>
      <c r="DJ35" s="1191"/>
      <c r="DK35" s="1191"/>
      <c r="DL35" s="1191"/>
      <c r="DM35" s="1191"/>
      <c r="DN35" s="1191"/>
      <c r="DO35" s="1191"/>
      <c r="DP35" s="1191"/>
      <c r="DQ35" s="1191"/>
      <c r="DR35" s="1191"/>
      <c r="DS35" s="1191"/>
      <c r="DT35" s="1191"/>
      <c r="DU35" s="1191"/>
      <c r="DV35" s="1191"/>
      <c r="DW35" s="1191"/>
      <c r="DX35" s="1191"/>
      <c r="DY35" s="1191"/>
      <c r="DZ35" s="1191"/>
      <c r="EA35" s="1191"/>
      <c r="EB35" s="1191"/>
      <c r="EC35" s="1191"/>
      <c r="ED35" s="1191"/>
      <c r="EE35" s="1191"/>
      <c r="EF35" s="1191"/>
      <c r="EG35" s="1191"/>
      <c r="EH35" s="1191"/>
      <c r="EI35" s="1191"/>
      <c r="EJ35" s="1191"/>
      <c r="EK35" s="1191"/>
      <c r="EL35" s="1191"/>
      <c r="EM35" s="1191"/>
      <c r="EN35" s="1191"/>
      <c r="EO35" s="1191"/>
      <c r="EP35" s="1191"/>
      <c r="EQ35" s="1191"/>
      <c r="ER35" s="1191"/>
      <c r="ES35" s="1191"/>
      <c r="ET35" s="1191"/>
      <c r="EU35" s="1191"/>
      <c r="EV35" s="1191"/>
      <c r="EW35" s="1191"/>
      <c r="EX35" s="1191"/>
      <c r="EY35" s="1191"/>
      <c r="EZ35" s="1191"/>
      <c r="FA35" s="1191"/>
      <c r="FB35" s="1191"/>
      <c r="FC35" s="1191"/>
      <c r="FD35" s="1191"/>
      <c r="FE35" s="1191"/>
      <c r="FF35" s="1191"/>
      <c r="FG35" s="1191"/>
      <c r="FH35" s="1191"/>
      <c r="FI35" s="1191"/>
      <c r="FJ35" s="1191"/>
      <c r="FK35" s="1191"/>
      <c r="FL35" s="1191"/>
      <c r="FM35" s="1191"/>
      <c r="FN35" s="1191"/>
      <c r="FO35" s="1191"/>
      <c r="FP35" s="1191"/>
      <c r="FQ35" s="1191"/>
      <c r="FR35" s="1191"/>
      <c r="FS35" s="1191"/>
      <c r="FT35" s="1191"/>
      <c r="FU35" s="1191"/>
      <c r="FV35" s="1191"/>
      <c r="FW35" s="1191"/>
      <c r="FX35" s="1191"/>
      <c r="FY35" s="1191"/>
      <c r="FZ35" s="1191"/>
      <c r="GA35" s="1191"/>
      <c r="GB35" s="1191"/>
      <c r="GC35" s="1191"/>
      <c r="GD35" s="1191"/>
      <c r="GE35" s="1191"/>
      <c r="GF35" s="1191"/>
      <c r="GG35" s="1191"/>
      <c r="GH35" s="1191"/>
      <c r="GI35" s="1191"/>
      <c r="GJ35" s="1191"/>
      <c r="GK35" s="1191"/>
      <c r="GL35" s="1191"/>
      <c r="GM35" s="1191"/>
      <c r="GN35" s="1191"/>
      <c r="GO35" s="1191"/>
      <c r="GP35" s="1191"/>
      <c r="GQ35" s="1191"/>
      <c r="GR35" s="1191"/>
      <c r="GS35" s="1191"/>
      <c r="GT35" s="1191"/>
      <c r="GU35" s="1191"/>
      <c r="GV35" s="1191"/>
      <c r="GW35" s="1191"/>
      <c r="GX35" s="1191"/>
      <c r="GY35" s="1191"/>
      <c r="GZ35" s="1191"/>
      <c r="HA35" s="1191"/>
      <c r="HB35" s="1191"/>
      <c r="HC35" s="1191"/>
      <c r="HD35" s="1191"/>
      <c r="HE35" s="1191"/>
      <c r="HF35" s="1191"/>
      <c r="HG35" s="1191"/>
      <c r="HH35" s="1191"/>
      <c r="HI35" s="1191"/>
      <c r="HJ35" s="1191"/>
      <c r="HK35" s="1191"/>
      <c r="HL35" s="1191"/>
      <c r="HM35" s="1191"/>
      <c r="HN35" s="1191"/>
      <c r="HO35" s="1191"/>
      <c r="HP35" s="1191"/>
      <c r="HQ35" s="1191"/>
      <c r="HR35" s="1191"/>
      <c r="HS35" s="1191"/>
      <c r="HT35" s="1191"/>
      <c r="HU35" s="1191"/>
    </row>
    <row r="36" spans="1:229" ht="15.75" customHeight="1" x14ac:dyDescent="0.15">
      <c r="A36" s="1221" t="s">
        <v>154</v>
      </c>
      <c r="B36" s="1221"/>
      <c r="C36" s="1193"/>
      <c r="D36" s="1193"/>
      <c r="E36" s="1220"/>
      <c r="F36" s="617"/>
      <c r="G36" s="617"/>
      <c r="H36" s="617"/>
      <c r="I36" s="617"/>
      <c r="J36" s="617"/>
      <c r="K36" s="617"/>
      <c r="L36" s="617"/>
      <c r="M36" s="617"/>
      <c r="N36" s="617"/>
      <c r="O36" s="1193"/>
      <c r="P36" s="1193"/>
      <c r="Q36" s="570"/>
      <c r="R36" s="1193"/>
      <c r="S36" s="1193"/>
      <c r="T36" s="1193"/>
      <c r="U36" s="296"/>
      <c r="V36" s="1212"/>
      <c r="W36" s="980"/>
      <c r="X36" s="297"/>
      <c r="Y36" s="1215"/>
      <c r="Z36" s="1215"/>
      <c r="AA36" s="1222"/>
      <c r="AB36" s="1197"/>
      <c r="AC36" s="1197"/>
      <c r="AD36" s="1197"/>
      <c r="AE36" s="1197"/>
      <c r="AF36" s="1197"/>
      <c r="AG36" s="1197"/>
      <c r="AH36" s="1197"/>
      <c r="AI36" s="1197"/>
      <c r="AJ36" s="1197"/>
      <c r="AK36" s="1197"/>
      <c r="AL36" s="1198">
        <f t="shared" si="3"/>
        <v>0</v>
      </c>
      <c r="AM36" s="1214"/>
      <c r="AN36" s="1214"/>
      <c r="AO36" s="1214"/>
      <c r="AP36" s="1214"/>
      <c r="AQ36" s="1214"/>
      <c r="AR36" s="1214"/>
      <c r="AS36" s="1214"/>
      <c r="AT36" s="1214"/>
      <c r="AU36" s="1214"/>
      <c r="AV36" s="1214"/>
      <c r="AW36" s="1214"/>
      <c r="AX36" s="1214"/>
      <c r="AY36" s="1214"/>
      <c r="AZ36" s="1214"/>
      <c r="BA36" s="1214"/>
      <c r="BB36" s="1214"/>
      <c r="BC36" s="1214"/>
      <c r="BD36" s="1214"/>
      <c r="BE36" s="1214"/>
      <c r="BF36" s="1214"/>
      <c r="BG36" s="1214"/>
      <c r="BH36" s="1214"/>
      <c r="BI36" s="1214"/>
      <c r="BJ36" s="1214"/>
      <c r="BK36" s="1214"/>
      <c r="BL36" s="1214"/>
      <c r="BM36" s="1214"/>
      <c r="BN36" s="1214"/>
      <c r="BO36" s="1214"/>
      <c r="BP36" s="1214"/>
      <c r="BQ36" s="1214"/>
      <c r="BR36" s="1214"/>
      <c r="BS36" s="1214"/>
      <c r="BT36" s="1214"/>
      <c r="BU36" s="1214"/>
      <c r="BV36" s="1214"/>
      <c r="BW36" s="1214"/>
      <c r="BX36" s="1214"/>
      <c r="BY36" s="1214"/>
      <c r="BZ36" s="1214"/>
      <c r="CA36" s="1214"/>
      <c r="CB36" s="1214"/>
      <c r="CC36" s="1214"/>
      <c r="CD36" s="1214"/>
      <c r="CE36" s="1214"/>
      <c r="CF36" s="1214"/>
      <c r="CG36" s="1214"/>
      <c r="CH36" s="1214"/>
      <c r="CI36" s="1214"/>
      <c r="CJ36" s="1214"/>
      <c r="CK36" s="1214"/>
      <c r="CL36" s="1214"/>
      <c r="CM36" s="1214"/>
      <c r="CN36" s="1191"/>
      <c r="CO36" s="1191"/>
      <c r="CP36" s="1191"/>
      <c r="CQ36" s="1191"/>
      <c r="CR36" s="1191"/>
      <c r="CS36" s="1191"/>
      <c r="CT36" s="1191"/>
      <c r="CU36" s="1191"/>
      <c r="CV36" s="1191"/>
      <c r="CW36" s="1191"/>
      <c r="CX36" s="1191"/>
      <c r="CY36" s="1191"/>
      <c r="CZ36" s="1191"/>
      <c r="DA36" s="1191"/>
      <c r="DB36" s="1191"/>
      <c r="DC36" s="1191"/>
      <c r="DD36" s="1191"/>
      <c r="DE36" s="1191"/>
      <c r="DF36" s="1191"/>
      <c r="DG36" s="1191"/>
      <c r="DH36" s="1191"/>
      <c r="DI36" s="1191"/>
      <c r="DJ36" s="1191"/>
      <c r="DK36" s="1191"/>
      <c r="DL36" s="1191"/>
      <c r="DM36" s="1191"/>
      <c r="DN36" s="1191"/>
      <c r="DO36" s="1191"/>
      <c r="DP36" s="1191"/>
      <c r="DQ36" s="1191"/>
      <c r="DR36" s="1191"/>
      <c r="DS36" s="1191"/>
      <c r="DT36" s="1191"/>
      <c r="DU36" s="1191"/>
      <c r="DV36" s="1191"/>
      <c r="DW36" s="1191"/>
      <c r="DX36" s="1191"/>
      <c r="DY36" s="1191"/>
      <c r="DZ36" s="1191"/>
      <c r="EA36" s="1191"/>
      <c r="EB36" s="1191"/>
      <c r="EC36" s="1191"/>
      <c r="ED36" s="1191"/>
      <c r="EE36" s="1191"/>
      <c r="EF36" s="1191"/>
      <c r="EG36" s="1191"/>
      <c r="EH36" s="1191"/>
      <c r="EI36" s="1191"/>
      <c r="EJ36" s="1191"/>
      <c r="EK36" s="1191"/>
      <c r="EL36" s="1191"/>
      <c r="EM36" s="1191"/>
      <c r="EN36" s="1191"/>
      <c r="EO36" s="1191"/>
      <c r="EP36" s="1191"/>
      <c r="EQ36" s="1191"/>
      <c r="ER36" s="1191"/>
      <c r="ES36" s="1191"/>
      <c r="ET36" s="1191"/>
      <c r="EU36" s="1191"/>
      <c r="EV36" s="1191"/>
      <c r="EW36" s="1191"/>
      <c r="EX36" s="1191"/>
      <c r="EY36" s="1191"/>
      <c r="EZ36" s="1191"/>
      <c r="FA36" s="1191"/>
      <c r="FB36" s="1191"/>
      <c r="FC36" s="1191"/>
      <c r="FD36" s="1191"/>
      <c r="FE36" s="1191"/>
      <c r="FF36" s="1191"/>
      <c r="FG36" s="1191"/>
      <c r="FH36" s="1191"/>
      <c r="FI36" s="1191"/>
      <c r="FJ36" s="1191"/>
      <c r="FK36" s="1191"/>
      <c r="FL36" s="1191"/>
      <c r="FM36" s="1191"/>
      <c r="FN36" s="1191"/>
      <c r="FO36" s="1191"/>
      <c r="FP36" s="1191"/>
      <c r="FQ36" s="1191"/>
      <c r="FR36" s="1191"/>
      <c r="FS36" s="1191"/>
      <c r="FT36" s="1191"/>
      <c r="FU36" s="1191"/>
      <c r="FV36" s="1191"/>
      <c r="FW36" s="1191"/>
      <c r="FX36" s="1191"/>
      <c r="FY36" s="1191"/>
      <c r="FZ36" s="1191"/>
      <c r="GA36" s="1191"/>
      <c r="GB36" s="1191"/>
      <c r="GC36" s="1191"/>
      <c r="GD36" s="1191"/>
      <c r="GE36" s="1191"/>
      <c r="GF36" s="1191"/>
      <c r="GG36" s="1191"/>
      <c r="GH36" s="1191"/>
      <c r="GI36" s="1191"/>
      <c r="GJ36" s="1191"/>
      <c r="GK36" s="1191"/>
      <c r="GL36" s="1191"/>
      <c r="GM36" s="1191"/>
      <c r="GN36" s="1191"/>
      <c r="GO36" s="1191"/>
      <c r="GP36" s="1191"/>
      <c r="GQ36" s="1191"/>
      <c r="GR36" s="1191"/>
      <c r="GS36" s="1191"/>
      <c r="GT36" s="1191"/>
      <c r="GU36" s="1191"/>
      <c r="GV36" s="1191"/>
      <c r="GW36" s="1191"/>
      <c r="GX36" s="1191"/>
      <c r="GY36" s="1191"/>
      <c r="GZ36" s="1191"/>
      <c r="HA36" s="1191"/>
      <c r="HB36" s="1191"/>
      <c r="HC36" s="1191"/>
      <c r="HD36" s="1191"/>
      <c r="HE36" s="1191"/>
      <c r="HF36" s="1191"/>
      <c r="HG36" s="1191"/>
      <c r="HH36" s="1191"/>
      <c r="HI36" s="1191"/>
      <c r="HJ36" s="1191"/>
      <c r="HK36" s="1191"/>
      <c r="HL36" s="1191"/>
      <c r="HM36" s="1191"/>
      <c r="HN36" s="1191"/>
      <c r="HO36" s="1191"/>
      <c r="HP36" s="1191"/>
      <c r="HQ36" s="1191"/>
      <c r="HR36" s="1191"/>
      <c r="HS36" s="1191"/>
      <c r="HT36" s="1191"/>
      <c r="HU36" s="1191"/>
    </row>
    <row r="37" spans="1:229" ht="14.25" customHeight="1" x14ac:dyDescent="0.25">
      <c r="A37" s="1221" t="s">
        <v>33</v>
      </c>
      <c r="B37" s="1221"/>
      <c r="C37" s="1193"/>
      <c r="D37" s="1193"/>
      <c r="E37" s="1220"/>
      <c r="F37" s="617"/>
      <c r="G37" s="617"/>
      <c r="H37" s="617"/>
      <c r="I37" s="617"/>
      <c r="J37" s="617"/>
      <c r="K37" s="617"/>
      <c r="L37" s="617"/>
      <c r="M37" s="617"/>
      <c r="N37" s="617"/>
      <c r="O37" s="1193"/>
      <c r="P37" s="1193"/>
      <c r="Q37" s="570"/>
      <c r="R37" s="1193"/>
      <c r="S37" s="1193"/>
      <c r="T37" s="1193"/>
      <c r="U37" s="1215"/>
      <c r="V37" s="1212"/>
      <c r="W37" s="1200"/>
      <c r="X37" s="1215"/>
      <c r="Y37" s="1215"/>
      <c r="Z37" s="1215"/>
      <c r="AA37" s="1222"/>
      <c r="AB37" s="1197"/>
      <c r="AC37" s="1197"/>
      <c r="AD37" s="1197"/>
      <c r="AE37" s="1197"/>
      <c r="AF37" s="1197"/>
      <c r="AG37" s="1197"/>
      <c r="AH37" s="1197"/>
      <c r="AI37" s="1197"/>
      <c r="AJ37" s="1197"/>
      <c r="AK37" s="1197"/>
      <c r="AL37" s="1198"/>
      <c r="AM37" s="1214"/>
      <c r="AN37" s="1214"/>
      <c r="AO37" s="1214"/>
      <c r="AP37" s="1214"/>
      <c r="AQ37" s="1214"/>
      <c r="AR37" s="1214"/>
      <c r="AS37" s="1214"/>
      <c r="AT37" s="1214"/>
      <c r="AU37" s="1214"/>
      <c r="AV37" s="1214"/>
      <c r="AW37" s="1214"/>
      <c r="AX37" s="1214"/>
      <c r="AY37" s="1214"/>
      <c r="AZ37" s="1214"/>
      <c r="BA37" s="1214"/>
      <c r="BB37" s="1214"/>
      <c r="BC37" s="1214"/>
      <c r="BD37" s="1214"/>
      <c r="BE37" s="1214"/>
      <c r="BF37" s="1214"/>
      <c r="BG37" s="1214"/>
      <c r="BH37" s="1214"/>
      <c r="BI37" s="1214"/>
      <c r="BJ37" s="1214"/>
      <c r="BK37" s="1214"/>
      <c r="BL37" s="1214"/>
      <c r="BM37" s="1214"/>
      <c r="BN37" s="1214"/>
      <c r="BO37" s="1214"/>
      <c r="BP37" s="1214"/>
      <c r="BQ37" s="1214"/>
      <c r="BR37" s="1214"/>
      <c r="BS37" s="1214"/>
      <c r="BT37" s="1214"/>
      <c r="BU37" s="1214"/>
      <c r="BV37" s="1214"/>
      <c r="BW37" s="1214"/>
      <c r="BX37" s="1214"/>
      <c r="BY37" s="1214"/>
      <c r="BZ37" s="1214"/>
      <c r="CA37" s="1214"/>
      <c r="CB37" s="1214"/>
      <c r="CC37" s="1214"/>
      <c r="CD37" s="1214"/>
      <c r="CE37" s="1214"/>
      <c r="CF37" s="1214"/>
      <c r="CG37" s="1214"/>
      <c r="CH37" s="1214"/>
      <c r="CI37" s="1214"/>
      <c r="CJ37" s="1214"/>
      <c r="CK37" s="1214"/>
      <c r="CL37" s="1214"/>
      <c r="CM37" s="1214"/>
      <c r="CN37" s="1191"/>
      <c r="CO37" s="1191"/>
      <c r="CP37" s="1191"/>
      <c r="CQ37" s="1191"/>
      <c r="CR37" s="1191"/>
      <c r="CS37" s="1191"/>
      <c r="CT37" s="1191"/>
      <c r="CU37" s="1191"/>
      <c r="CV37" s="1191"/>
      <c r="CW37" s="1191"/>
      <c r="CX37" s="1191"/>
      <c r="CY37" s="1191"/>
      <c r="CZ37" s="1191"/>
      <c r="DA37" s="1191"/>
      <c r="DB37" s="1191"/>
      <c r="DC37" s="1191"/>
      <c r="DD37" s="1191"/>
      <c r="DE37" s="1191"/>
      <c r="DF37" s="1191"/>
      <c r="DG37" s="1191"/>
      <c r="DH37" s="1191"/>
      <c r="DI37" s="1191"/>
      <c r="DJ37" s="1191"/>
      <c r="DK37" s="1191"/>
      <c r="DL37" s="1191"/>
      <c r="DM37" s="1191"/>
      <c r="DN37" s="1191"/>
      <c r="DO37" s="1191"/>
      <c r="DP37" s="1191"/>
      <c r="DQ37" s="1191"/>
      <c r="DR37" s="1191"/>
      <c r="DS37" s="1191"/>
      <c r="DT37" s="1191"/>
      <c r="DU37" s="1191"/>
      <c r="DV37" s="1191"/>
      <c r="DW37" s="1191"/>
      <c r="DX37" s="1191"/>
      <c r="DY37" s="1191"/>
      <c r="DZ37" s="1191"/>
      <c r="EA37" s="1191"/>
      <c r="EB37" s="1191"/>
      <c r="EC37" s="1191"/>
      <c r="ED37" s="1191"/>
      <c r="EE37" s="1191"/>
      <c r="EF37" s="1191"/>
      <c r="EG37" s="1191"/>
      <c r="EH37" s="1191"/>
      <c r="EI37" s="1191"/>
      <c r="EJ37" s="1191"/>
      <c r="EK37" s="1191"/>
      <c r="EL37" s="1191"/>
      <c r="EM37" s="1191"/>
      <c r="EN37" s="1191"/>
      <c r="EO37" s="1191"/>
      <c r="EP37" s="1191"/>
      <c r="EQ37" s="1191"/>
      <c r="ER37" s="1191"/>
      <c r="ES37" s="1191"/>
      <c r="ET37" s="1191"/>
      <c r="EU37" s="1191"/>
      <c r="EV37" s="1191"/>
      <c r="EW37" s="1191"/>
      <c r="EX37" s="1191"/>
      <c r="EY37" s="1191"/>
      <c r="EZ37" s="1191"/>
      <c r="FA37" s="1191"/>
      <c r="FB37" s="1191"/>
      <c r="FC37" s="1191"/>
      <c r="FD37" s="1191"/>
      <c r="FE37" s="1191"/>
      <c r="FF37" s="1191"/>
      <c r="FG37" s="1191"/>
      <c r="FH37" s="1191"/>
      <c r="FI37" s="1191"/>
      <c r="FJ37" s="1191"/>
      <c r="FK37" s="1191"/>
      <c r="FL37" s="1191"/>
      <c r="FM37" s="1191"/>
      <c r="FN37" s="1191"/>
      <c r="FO37" s="1191"/>
      <c r="FP37" s="1191"/>
      <c r="FQ37" s="1191"/>
      <c r="FR37" s="1191"/>
      <c r="FS37" s="1191"/>
      <c r="FT37" s="1191"/>
      <c r="FU37" s="1191"/>
      <c r="FV37" s="1191"/>
      <c r="FW37" s="1191"/>
      <c r="FX37" s="1191"/>
      <c r="FY37" s="1191"/>
      <c r="FZ37" s="1191"/>
      <c r="GA37" s="1191"/>
      <c r="GB37" s="1191"/>
      <c r="GC37" s="1191"/>
      <c r="GD37" s="1191"/>
      <c r="GE37" s="1191"/>
      <c r="GF37" s="1191"/>
      <c r="GG37" s="1191"/>
      <c r="GH37" s="1191"/>
      <c r="GI37" s="1191"/>
      <c r="GJ37" s="1191"/>
      <c r="GK37" s="1191"/>
      <c r="GL37" s="1191"/>
      <c r="GM37" s="1191"/>
      <c r="GN37" s="1191"/>
      <c r="GO37" s="1191"/>
      <c r="GP37" s="1191"/>
      <c r="GQ37" s="1191"/>
      <c r="GR37" s="1191"/>
      <c r="GS37" s="1191"/>
      <c r="GT37" s="1191"/>
      <c r="GU37" s="1191"/>
      <c r="GV37" s="1191"/>
      <c r="GW37" s="1191"/>
      <c r="GX37" s="1191"/>
      <c r="GY37" s="1191"/>
      <c r="GZ37" s="1191"/>
      <c r="HA37" s="1191"/>
      <c r="HB37" s="1191"/>
      <c r="HC37" s="1191"/>
      <c r="HD37" s="1191"/>
      <c r="HE37" s="1191"/>
      <c r="HF37" s="1191"/>
      <c r="HG37" s="1191"/>
      <c r="HH37" s="1191"/>
      <c r="HI37" s="1191"/>
      <c r="HJ37" s="1191"/>
      <c r="HK37" s="1191"/>
      <c r="HL37" s="1191"/>
      <c r="HM37" s="1191"/>
      <c r="HN37" s="1191"/>
      <c r="HO37" s="1191"/>
      <c r="HP37" s="1191"/>
      <c r="HQ37" s="1191"/>
      <c r="HR37" s="1191"/>
      <c r="HS37" s="1191"/>
      <c r="HT37" s="1191"/>
      <c r="HU37" s="1191"/>
    </row>
    <row r="38" spans="1:229" s="1223" customFormat="1" ht="12.75" customHeight="1" x14ac:dyDescent="0.25">
      <c r="A38" s="1221" t="s">
        <v>35</v>
      </c>
      <c r="B38" s="1221"/>
      <c r="C38" s="1193"/>
      <c r="D38" s="1193"/>
      <c r="E38" s="1220"/>
      <c r="F38" s="615"/>
      <c r="G38" s="617"/>
      <c r="H38" s="617"/>
      <c r="I38" s="617"/>
      <c r="J38" s="617"/>
      <c r="K38" s="617"/>
      <c r="L38" s="617"/>
      <c r="M38" s="617"/>
      <c r="N38" s="617"/>
      <c r="O38" s="1193"/>
      <c r="P38" s="1193"/>
      <c r="Q38" s="570"/>
      <c r="R38" s="1193"/>
      <c r="S38" s="1193"/>
      <c r="T38" s="1193"/>
      <c r="U38" s="1215"/>
      <c r="V38" s="1212"/>
      <c r="W38" s="570"/>
      <c r="X38" s="1215"/>
      <c r="Y38" s="1215"/>
      <c r="Z38" s="1215"/>
      <c r="AA38" s="1222"/>
      <c r="AB38" s="1197"/>
      <c r="AC38" s="1197"/>
      <c r="AD38" s="1197"/>
      <c r="AE38" s="1197"/>
      <c r="AF38" s="1197"/>
      <c r="AG38" s="1197"/>
      <c r="AH38" s="1197"/>
      <c r="AI38" s="1197"/>
      <c r="AJ38" s="1197"/>
      <c r="AK38" s="1197"/>
      <c r="AL38" s="1198">
        <f t="shared" si="3"/>
        <v>0</v>
      </c>
      <c r="AM38" s="1181"/>
      <c r="AN38" s="1181"/>
      <c r="AO38" s="1181"/>
      <c r="AP38" s="1181"/>
      <c r="AQ38" s="1181"/>
      <c r="AR38" s="1181"/>
      <c r="AS38" s="1181"/>
      <c r="AT38" s="1181"/>
      <c r="AU38" s="1181"/>
      <c r="AV38" s="1181"/>
      <c r="AW38" s="1181"/>
      <c r="AX38" s="1181"/>
      <c r="AY38" s="1181"/>
      <c r="AZ38" s="1181"/>
      <c r="BA38" s="1181"/>
      <c r="BB38" s="1181"/>
      <c r="BC38" s="1181"/>
      <c r="BD38" s="1181"/>
      <c r="BE38" s="1181"/>
      <c r="BF38" s="1181"/>
      <c r="BG38" s="1181"/>
      <c r="BH38" s="1181"/>
      <c r="BI38" s="1181"/>
      <c r="BJ38" s="1181"/>
      <c r="BK38" s="1181"/>
      <c r="BL38" s="1181"/>
      <c r="BM38" s="1181"/>
      <c r="BN38" s="1181"/>
      <c r="BO38" s="1181"/>
      <c r="BP38" s="1181"/>
      <c r="BQ38" s="1181"/>
      <c r="BR38" s="1181"/>
      <c r="BS38" s="1181"/>
      <c r="BT38" s="1181"/>
      <c r="BU38" s="1181"/>
      <c r="BV38" s="1181"/>
      <c r="BW38" s="1181"/>
      <c r="BX38" s="1181"/>
      <c r="BY38" s="1181"/>
      <c r="BZ38" s="1181"/>
      <c r="CA38" s="1181"/>
      <c r="CB38" s="1181"/>
      <c r="CC38" s="1181"/>
      <c r="CD38" s="1181"/>
      <c r="CE38" s="1181"/>
      <c r="CF38" s="1181"/>
      <c r="CG38" s="1181"/>
      <c r="CH38" s="1181"/>
      <c r="CI38" s="1181"/>
      <c r="CJ38" s="1181"/>
      <c r="CK38" s="1181"/>
      <c r="CL38" s="1181"/>
      <c r="CM38" s="1181"/>
    </row>
    <row r="39" spans="1:229" s="1181" customFormat="1" ht="12.75" customHeight="1" x14ac:dyDescent="0.25">
      <c r="A39" s="1221" t="s">
        <v>37</v>
      </c>
      <c r="B39" s="1221"/>
      <c r="C39" s="1193"/>
      <c r="D39" s="1193"/>
      <c r="E39" s="1220"/>
      <c r="F39" s="615"/>
      <c r="G39" s="617"/>
      <c r="H39" s="617"/>
      <c r="I39" s="617"/>
      <c r="J39" s="617"/>
      <c r="K39" s="617"/>
      <c r="L39" s="617"/>
      <c r="M39" s="617"/>
      <c r="N39" s="617"/>
      <c r="O39" s="1193"/>
      <c r="P39" s="1193"/>
      <c r="Q39" s="570"/>
      <c r="R39" s="1193"/>
      <c r="S39" s="1193"/>
      <c r="T39" s="1193"/>
      <c r="U39" s="1193"/>
      <c r="V39" s="1212"/>
      <c r="W39" s="1193"/>
      <c r="X39" s="1193"/>
      <c r="Y39" s="1193"/>
      <c r="Z39" s="1193"/>
      <c r="AA39" s="980"/>
      <c r="AB39" s="1197"/>
      <c r="AC39" s="1197"/>
      <c r="AD39" s="1197"/>
      <c r="AE39" s="1197"/>
      <c r="AF39" s="1197"/>
      <c r="AG39" s="1197"/>
      <c r="AH39" s="1197"/>
      <c r="AI39" s="1197"/>
      <c r="AJ39" s="1197"/>
      <c r="AK39" s="1197"/>
      <c r="AL39" s="1198">
        <f t="shared" si="3"/>
        <v>0</v>
      </c>
    </row>
    <row r="40" spans="1:229" s="1181" customFormat="1" ht="12.75" customHeight="1" x14ac:dyDescent="0.25">
      <c r="A40" s="1221" t="s">
        <v>40</v>
      </c>
      <c r="B40" s="1221"/>
      <c r="C40" s="1193"/>
      <c r="D40" s="1193"/>
      <c r="E40" s="1220"/>
      <c r="F40" s="615"/>
      <c r="G40" s="617"/>
      <c r="H40" s="617"/>
      <c r="I40" s="617"/>
      <c r="J40" s="617"/>
      <c r="K40" s="617"/>
      <c r="L40" s="617"/>
      <c r="M40" s="617"/>
      <c r="N40" s="617"/>
      <c r="O40" s="1193"/>
      <c r="P40" s="1193"/>
      <c r="Q40" s="570"/>
      <c r="R40" s="1193"/>
      <c r="S40" s="1193"/>
      <c r="T40" s="1193"/>
      <c r="U40" s="1193"/>
      <c r="V40" s="1212"/>
      <c r="W40" s="980"/>
      <c r="X40" s="1193"/>
      <c r="Y40" s="1193"/>
      <c r="Z40" s="1193"/>
      <c r="AA40" s="980"/>
      <c r="AB40" s="1197"/>
      <c r="AC40" s="1197"/>
      <c r="AD40" s="1197"/>
      <c r="AE40" s="1197"/>
      <c r="AF40" s="1197"/>
      <c r="AG40" s="1197"/>
      <c r="AH40" s="1197"/>
      <c r="AI40" s="1197"/>
      <c r="AJ40" s="1197"/>
      <c r="AK40" s="1197"/>
      <c r="AL40" s="1198">
        <f t="shared" si="3"/>
        <v>0</v>
      </c>
    </row>
    <row r="41" spans="1:229" s="1181" customFormat="1" ht="12.75" customHeight="1" x14ac:dyDescent="0.25">
      <c r="A41" s="1221" t="s">
        <v>129</v>
      </c>
      <c r="B41" s="1221"/>
      <c r="C41" s="1193"/>
      <c r="D41" s="1193"/>
      <c r="E41" s="1220"/>
      <c r="F41" s="615"/>
      <c r="G41" s="617"/>
      <c r="H41" s="617"/>
      <c r="I41" s="617"/>
      <c r="J41" s="617"/>
      <c r="K41" s="617"/>
      <c r="L41" s="617"/>
      <c r="M41" s="617"/>
      <c r="N41" s="617"/>
      <c r="O41" s="1193"/>
      <c r="P41" s="1193"/>
      <c r="Q41" s="570"/>
      <c r="R41" s="1193"/>
      <c r="S41" s="1193"/>
      <c r="T41" s="1193"/>
      <c r="U41" s="1215"/>
      <c r="V41" s="1193"/>
      <c r="W41" s="570"/>
      <c r="X41" s="1215"/>
      <c r="Y41" s="1215"/>
      <c r="Z41" s="1193"/>
      <c r="AA41" s="1222"/>
      <c r="AB41" s="1197"/>
      <c r="AC41" s="1196"/>
      <c r="AD41" s="1197"/>
      <c r="AE41" s="1197"/>
      <c r="AF41" s="1197"/>
      <c r="AG41" s="1197"/>
      <c r="AH41" s="1197"/>
      <c r="AI41" s="1197"/>
      <c r="AJ41" s="1197"/>
      <c r="AK41" s="1197"/>
      <c r="AL41" s="1198">
        <f t="shared" si="3"/>
        <v>0</v>
      </c>
    </row>
    <row r="42" spans="1:229" s="1181" customFormat="1" ht="14.25" customHeight="1" x14ac:dyDescent="0.15">
      <c r="A42" s="1221" t="s">
        <v>46</v>
      </c>
      <c r="B42" s="1221"/>
      <c r="C42" s="1193"/>
      <c r="D42" s="1193"/>
      <c r="E42" s="1220"/>
      <c r="F42" s="615"/>
      <c r="G42" s="617"/>
      <c r="H42" s="617"/>
      <c r="I42" s="617"/>
      <c r="J42" s="617"/>
      <c r="K42" s="617"/>
      <c r="L42" s="618"/>
      <c r="M42" s="617"/>
      <c r="N42" s="617"/>
      <c r="O42" s="1193"/>
      <c r="P42" s="1193"/>
      <c r="Q42" s="570"/>
      <c r="R42" s="1193"/>
      <c r="S42" s="1193"/>
      <c r="T42" s="1193"/>
      <c r="U42" s="584"/>
      <c r="V42" s="1193"/>
      <c r="W42" s="1193"/>
      <c r="X42" s="584"/>
      <c r="Y42" s="584"/>
      <c r="Z42" s="584"/>
      <c r="AA42" s="584"/>
      <c r="AB42" s="1197"/>
      <c r="AC42" s="1197"/>
      <c r="AD42" s="1197"/>
      <c r="AE42" s="1197"/>
      <c r="AF42" s="1197"/>
      <c r="AG42" s="1197"/>
      <c r="AH42" s="1197"/>
      <c r="AI42" s="1197"/>
      <c r="AJ42" s="1197"/>
      <c r="AK42" s="1197"/>
      <c r="AL42" s="1198">
        <f t="shared" si="3"/>
        <v>0</v>
      </c>
    </row>
    <row r="43" spans="1:229" s="1181" customFormat="1" ht="12.75" customHeight="1" x14ac:dyDescent="0.15">
      <c r="A43" s="1221" t="s">
        <v>4973</v>
      </c>
      <c r="B43" s="1221"/>
      <c r="C43" s="1193"/>
      <c r="D43" s="1193"/>
      <c r="E43" s="1220">
        <f>192040235-22630780</f>
        <v>169409455</v>
      </c>
      <c r="F43" s="615"/>
      <c r="G43" s="617"/>
      <c r="H43" s="617"/>
      <c r="I43" s="617"/>
      <c r="J43" s="617"/>
      <c r="K43" s="617"/>
      <c r="L43" s="617"/>
      <c r="M43" s="617"/>
      <c r="N43" s="617"/>
      <c r="O43" s="980"/>
      <c r="P43" s="1193"/>
      <c r="Q43" s="570"/>
      <c r="R43" s="1211"/>
      <c r="S43" s="1193"/>
      <c r="T43" s="1193"/>
      <c r="U43" s="1193"/>
      <c r="V43" s="1193"/>
      <c r="W43" s="1193"/>
      <c r="X43" s="296"/>
      <c r="Y43" s="584"/>
      <c r="Z43" s="1193"/>
      <c r="AA43" s="1222"/>
      <c r="AB43" s="1197"/>
      <c r="AC43" s="1196"/>
      <c r="AD43" s="1197"/>
      <c r="AE43" s="1197"/>
      <c r="AF43" s="1197"/>
      <c r="AG43" s="1197"/>
      <c r="AH43" s="1197"/>
      <c r="AI43" s="1197"/>
      <c r="AJ43" s="1197"/>
      <c r="AK43" s="1197"/>
      <c r="AL43" s="1198">
        <f t="shared" si="3"/>
        <v>169409455</v>
      </c>
    </row>
    <row r="44" spans="1:229" s="1181" customFormat="1" ht="12.75" customHeight="1" x14ac:dyDescent="0.15">
      <c r="A44" s="1221" t="s">
        <v>5978</v>
      </c>
      <c r="B44" s="1221"/>
      <c r="C44" s="1193"/>
      <c r="D44" s="1193"/>
      <c r="E44" s="1220"/>
      <c r="F44" s="615"/>
      <c r="G44" s="617"/>
      <c r="H44" s="617"/>
      <c r="I44" s="617"/>
      <c r="J44" s="617"/>
      <c r="K44" s="617"/>
      <c r="L44" s="617"/>
      <c r="M44" s="616"/>
      <c r="N44" s="617"/>
      <c r="O44" s="980"/>
      <c r="P44" s="1193"/>
      <c r="Q44" s="570"/>
      <c r="R44" s="1211"/>
      <c r="S44" s="1193"/>
      <c r="T44" s="1193"/>
      <c r="U44" s="1193"/>
      <c r="V44" s="1193"/>
      <c r="W44" s="1193"/>
      <c r="X44" s="296"/>
      <c r="Y44" s="584"/>
      <c r="Z44" s="1193"/>
      <c r="AA44" s="1222"/>
      <c r="AB44" s="1197"/>
      <c r="AC44" s="1196"/>
      <c r="AD44" s="1197"/>
      <c r="AE44" s="1197"/>
      <c r="AF44" s="1197"/>
      <c r="AG44" s="1197"/>
      <c r="AH44" s="1197"/>
      <c r="AI44" s="1197"/>
      <c r="AJ44" s="1197"/>
      <c r="AK44" s="1197"/>
      <c r="AL44" s="1198">
        <f t="shared" si="3"/>
        <v>0</v>
      </c>
    </row>
    <row r="45" spans="1:229" s="1181" customFormat="1" ht="14.25" customHeight="1" x14ac:dyDescent="0.15">
      <c r="A45" s="1221" t="s">
        <v>6075</v>
      </c>
      <c r="B45" s="1221"/>
      <c r="C45" s="1193"/>
      <c r="D45" s="1193"/>
      <c r="E45" s="616"/>
      <c r="F45" s="1220"/>
      <c r="G45" s="617"/>
      <c r="H45" s="617"/>
      <c r="I45" s="617"/>
      <c r="J45" s="617"/>
      <c r="K45" s="617"/>
      <c r="L45" s="617"/>
      <c r="M45" s="617"/>
      <c r="N45" s="617"/>
      <c r="O45" s="1193"/>
      <c r="P45" s="1193"/>
      <c r="Q45" s="570"/>
      <c r="R45" s="1211"/>
      <c r="S45" s="1193"/>
      <c r="T45" s="1193"/>
      <c r="U45" s="584"/>
      <c r="V45" s="1193"/>
      <c r="W45" s="1213"/>
      <c r="X45" s="296"/>
      <c r="Y45" s="584"/>
      <c r="Z45" s="584"/>
      <c r="AA45" s="296"/>
      <c r="AB45" s="1197"/>
      <c r="AC45" s="1196"/>
      <c r="AD45" s="1197"/>
      <c r="AE45" s="1197"/>
      <c r="AF45" s="1197"/>
      <c r="AG45" s="1197"/>
      <c r="AH45" s="1197"/>
      <c r="AI45" s="1197"/>
      <c r="AJ45" s="1197"/>
      <c r="AK45" s="1197"/>
      <c r="AL45" s="1198">
        <f t="shared" si="3"/>
        <v>0</v>
      </c>
    </row>
    <row r="46" spans="1:229" s="1181" customFormat="1" ht="14.25" customHeight="1" x14ac:dyDescent="0.15">
      <c r="A46" s="1221" t="s">
        <v>6275</v>
      </c>
      <c r="B46" s="1221"/>
      <c r="C46" s="1193"/>
      <c r="D46" s="1193"/>
      <c r="E46" s="616"/>
      <c r="F46" s="1220"/>
      <c r="G46" s="617">
        <v>25999219</v>
      </c>
      <c r="H46" s="617"/>
      <c r="I46" s="617"/>
      <c r="J46" s="617"/>
      <c r="K46" s="617"/>
      <c r="L46" s="617"/>
      <c r="M46" s="617"/>
      <c r="N46" s="617"/>
      <c r="O46" s="1193"/>
      <c r="P46" s="1193"/>
      <c r="Q46" s="570"/>
      <c r="R46" s="1211"/>
      <c r="S46" s="1193"/>
      <c r="T46" s="1193"/>
      <c r="U46" s="584"/>
      <c r="V46" s="1193"/>
      <c r="W46" s="1213"/>
      <c r="X46" s="296"/>
      <c r="Y46" s="584"/>
      <c r="Z46" s="584"/>
      <c r="AA46" s="296"/>
      <c r="AB46" s="1197"/>
      <c r="AC46" s="1196"/>
      <c r="AD46" s="1197"/>
      <c r="AE46" s="1197"/>
      <c r="AF46" s="1197"/>
      <c r="AG46" s="1197"/>
      <c r="AH46" s="1197"/>
      <c r="AI46" s="1197"/>
      <c r="AJ46" s="1197"/>
      <c r="AK46" s="1197"/>
      <c r="AL46" s="1198"/>
    </row>
    <row r="47" spans="1:229" s="1181" customFormat="1" ht="14.25" customHeight="1" x14ac:dyDescent="0.15">
      <c r="A47" s="1221" t="s">
        <v>6276</v>
      </c>
      <c r="B47" s="1221"/>
      <c r="C47" s="1193"/>
      <c r="D47" s="1193"/>
      <c r="E47" s="616"/>
      <c r="F47" s="1220"/>
      <c r="G47" s="617"/>
      <c r="H47" s="617"/>
      <c r="I47" s="617"/>
      <c r="J47" s="617"/>
      <c r="K47" s="617"/>
      <c r="L47" s="617"/>
      <c r="M47" s="617"/>
      <c r="N47" s="617"/>
      <c r="O47" s="1193"/>
      <c r="P47" s="1193"/>
      <c r="Q47" s="570"/>
      <c r="R47" s="1211"/>
      <c r="S47" s="1193"/>
      <c r="T47" s="1193"/>
      <c r="U47" s="584"/>
      <c r="V47" s="1193"/>
      <c r="W47" s="1213"/>
      <c r="X47" s="296"/>
      <c r="Y47" s="584"/>
      <c r="Z47" s="584"/>
      <c r="AA47" s="296"/>
      <c r="AB47" s="1197"/>
      <c r="AC47" s="1196"/>
      <c r="AD47" s="1197"/>
      <c r="AE47" s="1197"/>
      <c r="AF47" s="1197"/>
      <c r="AG47" s="1197"/>
      <c r="AH47" s="1197"/>
      <c r="AI47" s="1197"/>
      <c r="AJ47" s="1197"/>
      <c r="AK47" s="1197"/>
      <c r="AL47" s="1198"/>
    </row>
    <row r="48" spans="1:229" s="1181" customFormat="1" ht="14.25" customHeight="1" x14ac:dyDescent="0.15">
      <c r="A48" s="1221" t="s">
        <v>6249</v>
      </c>
      <c r="B48" s="1221"/>
      <c r="C48" s="1193"/>
      <c r="D48" s="1193"/>
      <c r="E48" s="1220"/>
      <c r="F48" s="616"/>
      <c r="G48" s="617"/>
      <c r="H48" s="617"/>
      <c r="I48" s="617"/>
      <c r="J48" s="617"/>
      <c r="K48" s="617"/>
      <c r="L48" s="617"/>
      <c r="M48" s="617"/>
      <c r="N48" s="617"/>
      <c r="O48" s="1193"/>
      <c r="P48" s="1193"/>
      <c r="Q48" s="570"/>
      <c r="R48" s="1211"/>
      <c r="S48" s="1193"/>
      <c r="T48" s="1193"/>
      <c r="U48" s="1193"/>
      <c r="V48" s="1193"/>
      <c r="W48" s="1213"/>
      <c r="X48" s="1193"/>
      <c r="Y48" s="1193"/>
      <c r="Z48" s="1193"/>
      <c r="AA48" s="1222"/>
      <c r="AB48" s="1197"/>
      <c r="AC48" s="1196"/>
      <c r="AD48" s="1197"/>
      <c r="AE48" s="1197"/>
      <c r="AF48" s="1197"/>
      <c r="AG48" s="1197"/>
      <c r="AH48" s="1197"/>
      <c r="AI48" s="1197"/>
      <c r="AJ48" s="1197"/>
      <c r="AK48" s="1197"/>
      <c r="AL48" s="1198">
        <f t="shared" si="3"/>
        <v>0</v>
      </c>
    </row>
    <row r="49" spans="1:38" s="1181" customFormat="1" ht="14.25" customHeight="1" x14ac:dyDescent="0.15">
      <c r="A49" s="1221" t="s">
        <v>6148</v>
      </c>
      <c r="B49" s="1221"/>
      <c r="C49" s="1193"/>
      <c r="D49" s="1193"/>
      <c r="E49" s="1220"/>
      <c r="F49" s="616"/>
      <c r="G49" s="617"/>
      <c r="H49" s="617"/>
      <c r="I49" s="617"/>
      <c r="J49" s="617"/>
      <c r="K49" s="617"/>
      <c r="L49" s="617"/>
      <c r="M49" s="617"/>
      <c r="N49" s="617"/>
      <c r="O49" s="1193"/>
      <c r="P49" s="1193"/>
      <c r="Q49" s="570"/>
      <c r="R49" s="1211"/>
      <c r="S49" s="1193"/>
      <c r="T49" s="1193"/>
      <c r="U49" s="1193"/>
      <c r="V49" s="1212"/>
      <c r="W49" s="1213"/>
      <c r="X49" s="1193"/>
      <c r="Y49" s="1193"/>
      <c r="Z49" s="1215"/>
      <c r="AA49" s="1222"/>
      <c r="AB49" s="1197"/>
      <c r="AC49" s="1197"/>
      <c r="AD49" s="1197"/>
      <c r="AE49" s="1197"/>
      <c r="AF49" s="1197"/>
      <c r="AG49" s="1197"/>
      <c r="AH49" s="1197"/>
      <c r="AI49" s="1197"/>
      <c r="AJ49" s="1197"/>
      <c r="AK49" s="1197"/>
      <c r="AL49" s="1198">
        <f t="shared" si="3"/>
        <v>0</v>
      </c>
    </row>
    <row r="50" spans="1:38" s="1181" customFormat="1" ht="14.25" customHeight="1" x14ac:dyDescent="0.15">
      <c r="A50" s="1221" t="s">
        <v>55</v>
      </c>
      <c r="B50" s="1221"/>
      <c r="C50" s="1193"/>
      <c r="D50" s="1193"/>
      <c r="E50" s="1220"/>
      <c r="F50" s="616"/>
      <c r="G50" s="617"/>
      <c r="H50" s="617"/>
      <c r="I50" s="617"/>
      <c r="J50" s="617"/>
      <c r="K50" s="617"/>
      <c r="L50" s="617"/>
      <c r="M50" s="617"/>
      <c r="N50" s="617"/>
      <c r="O50" s="1193"/>
      <c r="P50" s="1193"/>
      <c r="Q50" s="570"/>
      <c r="R50" s="1211"/>
      <c r="S50" s="1193"/>
      <c r="T50" s="1193"/>
      <c r="U50" s="1193"/>
      <c r="V50" s="1212"/>
      <c r="W50" s="1213"/>
      <c r="X50" s="1193"/>
      <c r="Y50" s="1193"/>
      <c r="Z50" s="1215"/>
      <c r="AA50" s="1222"/>
      <c r="AB50" s="1197"/>
      <c r="AC50" s="1197"/>
      <c r="AD50" s="1197"/>
      <c r="AE50" s="1197"/>
      <c r="AF50" s="1197"/>
      <c r="AG50" s="1197"/>
      <c r="AH50" s="1197"/>
      <c r="AI50" s="1197"/>
      <c r="AJ50" s="1197"/>
      <c r="AK50" s="1197"/>
      <c r="AL50" s="1198">
        <f t="shared" si="3"/>
        <v>0</v>
      </c>
    </row>
    <row r="51" spans="1:38" s="1181" customFormat="1" ht="14.25" customHeight="1" x14ac:dyDescent="0.15">
      <c r="A51" s="1221" t="s">
        <v>6121</v>
      </c>
      <c r="B51" s="1221"/>
      <c r="C51" s="1193"/>
      <c r="D51" s="1193"/>
      <c r="E51" s="1220"/>
      <c r="F51" s="616"/>
      <c r="G51" s="617"/>
      <c r="H51" s="617"/>
      <c r="I51" s="617"/>
      <c r="J51" s="617"/>
      <c r="K51" s="617"/>
      <c r="L51" s="617"/>
      <c r="M51" s="617"/>
      <c r="N51" s="617"/>
      <c r="O51" s="1193"/>
      <c r="P51" s="1193"/>
      <c r="Q51" s="570"/>
      <c r="R51" s="1211"/>
      <c r="S51" s="1193"/>
      <c r="T51" s="1193"/>
      <c r="U51" s="1193"/>
      <c r="V51" s="1212"/>
      <c r="W51" s="1213"/>
      <c r="X51" s="1193"/>
      <c r="Y51" s="1193"/>
      <c r="Z51" s="1215"/>
      <c r="AA51" s="1222"/>
      <c r="AB51" s="1197"/>
      <c r="AC51" s="1197"/>
      <c r="AD51" s="1197"/>
      <c r="AE51" s="1197"/>
      <c r="AF51" s="1197"/>
      <c r="AG51" s="1197"/>
      <c r="AH51" s="1197"/>
      <c r="AI51" s="1197"/>
      <c r="AJ51" s="1197"/>
      <c r="AK51" s="1197"/>
      <c r="AL51" s="1198">
        <f t="shared" si="3"/>
        <v>0</v>
      </c>
    </row>
    <row r="52" spans="1:38" s="1181" customFormat="1" ht="12.75" customHeight="1" x14ac:dyDescent="0.15">
      <c r="A52" s="1221" t="s">
        <v>120</v>
      </c>
      <c r="B52" s="1221"/>
      <c r="C52" s="1193"/>
      <c r="D52" s="1193"/>
      <c r="E52" s="1220"/>
      <c r="F52" s="617"/>
      <c r="G52" s="617"/>
      <c r="H52" s="617"/>
      <c r="I52" s="617"/>
      <c r="J52" s="617"/>
      <c r="K52" s="617"/>
      <c r="L52" s="617"/>
      <c r="M52" s="617"/>
      <c r="N52" s="617"/>
      <c r="O52" s="1193"/>
      <c r="P52" s="1224"/>
      <c r="Q52" s="1193"/>
      <c r="R52" s="1193"/>
      <c r="S52" s="1193"/>
      <c r="T52" s="1193"/>
      <c r="U52" s="1193"/>
      <c r="V52" s="1212"/>
      <c r="W52" s="1213"/>
      <c r="X52" s="1193"/>
      <c r="Y52" s="1193"/>
      <c r="Z52" s="584"/>
      <c r="AA52" s="584"/>
      <c r="AB52" s="1197"/>
      <c r="AC52" s="1197"/>
      <c r="AD52" s="1197"/>
      <c r="AE52" s="1197"/>
      <c r="AF52" s="1197"/>
      <c r="AG52" s="1197"/>
      <c r="AH52" s="1197"/>
      <c r="AI52" s="1197"/>
      <c r="AJ52" s="1197"/>
      <c r="AK52" s="1197"/>
      <c r="AL52" s="1198">
        <f t="shared" si="3"/>
        <v>0</v>
      </c>
    </row>
    <row r="53" spans="1:38" s="1181" customFormat="1" ht="12.75" customHeight="1" x14ac:dyDescent="0.25">
      <c r="A53" s="1221" t="s">
        <v>5719</v>
      </c>
      <c r="B53" s="1221"/>
      <c r="C53" s="1193"/>
      <c r="D53" s="1193"/>
      <c r="E53" s="1220"/>
      <c r="F53" s="617"/>
      <c r="G53" s="617"/>
      <c r="H53" s="617"/>
      <c r="I53" s="617"/>
      <c r="J53" s="617"/>
      <c r="K53" s="617"/>
      <c r="L53" s="618"/>
      <c r="M53" s="617"/>
      <c r="N53" s="617"/>
      <c r="O53" s="1193"/>
      <c r="P53" s="1193"/>
      <c r="Q53" s="570"/>
      <c r="R53" s="1193"/>
      <c r="S53" s="1193"/>
      <c r="T53" s="1193"/>
      <c r="U53" s="1193"/>
      <c r="V53" s="1225"/>
      <c r="W53" s="1213"/>
      <c r="X53" s="1193"/>
      <c r="Y53" s="1193"/>
      <c r="Z53" s="1215"/>
      <c r="AA53" s="980"/>
      <c r="AB53" s="1197"/>
      <c r="AC53" s="1196"/>
      <c r="AD53" s="1197"/>
      <c r="AE53" s="1197"/>
      <c r="AF53" s="1197"/>
      <c r="AG53" s="1197"/>
      <c r="AH53" s="1197"/>
      <c r="AI53" s="1197"/>
      <c r="AJ53" s="1197"/>
      <c r="AK53" s="1197"/>
      <c r="AL53" s="1198">
        <f t="shared" si="3"/>
        <v>0</v>
      </c>
    </row>
    <row r="54" spans="1:38" s="1181" customFormat="1" ht="12.75" customHeight="1" x14ac:dyDescent="0.15">
      <c r="A54" s="1221" t="s">
        <v>6175</v>
      </c>
      <c r="B54" s="1221"/>
      <c r="C54" s="1193"/>
      <c r="D54" s="1193"/>
      <c r="E54" s="1220"/>
      <c r="F54" s="617">
        <v>98153584</v>
      </c>
      <c r="G54" s="617"/>
      <c r="H54" s="617"/>
      <c r="I54" s="617"/>
      <c r="J54" s="617"/>
      <c r="K54" s="617"/>
      <c r="L54" s="617"/>
      <c r="M54" s="617"/>
      <c r="N54" s="617"/>
      <c r="O54" s="1193"/>
      <c r="P54" s="1193"/>
      <c r="Q54" s="570"/>
      <c r="R54" s="1211"/>
      <c r="S54" s="1193"/>
      <c r="T54" s="1193"/>
      <c r="U54" s="1193"/>
      <c r="V54" s="1212"/>
      <c r="W54" s="1213"/>
      <c r="X54" s="1193"/>
      <c r="Y54" s="1193"/>
      <c r="Z54" s="1193"/>
      <c r="AA54" s="980"/>
      <c r="AB54" s="1197"/>
      <c r="AC54" s="1196"/>
      <c r="AD54" s="1197"/>
      <c r="AE54" s="1197"/>
      <c r="AF54" s="1197"/>
      <c r="AG54" s="1197"/>
      <c r="AH54" s="1197"/>
      <c r="AI54" s="1197"/>
      <c r="AJ54" s="1197"/>
      <c r="AK54" s="1197"/>
      <c r="AL54" s="1198">
        <f t="shared" si="3"/>
        <v>98153584</v>
      </c>
    </row>
    <row r="55" spans="1:38" s="1181" customFormat="1" ht="12.75" customHeight="1" x14ac:dyDescent="0.15">
      <c r="A55" s="1221" t="s">
        <v>6176</v>
      </c>
      <c r="B55" s="1221"/>
      <c r="C55" s="1193"/>
      <c r="D55" s="1193"/>
      <c r="E55" s="1220"/>
      <c r="F55" s="617"/>
      <c r="G55" s="617"/>
      <c r="H55" s="617"/>
      <c r="I55" s="617"/>
      <c r="J55" s="617"/>
      <c r="K55" s="617"/>
      <c r="L55" s="617"/>
      <c r="M55" s="617"/>
      <c r="N55" s="617"/>
      <c r="O55" s="1193"/>
      <c r="P55" s="1193"/>
      <c r="Q55" s="570"/>
      <c r="R55" s="1211"/>
      <c r="S55" s="1193"/>
      <c r="T55" s="1193"/>
      <c r="U55" s="1193"/>
      <c r="V55" s="1212"/>
      <c r="W55" s="1213"/>
      <c r="X55" s="1193"/>
      <c r="Y55" s="1193"/>
      <c r="Z55" s="1193"/>
      <c r="AA55" s="980"/>
      <c r="AB55" s="1197"/>
      <c r="AC55" s="1196"/>
      <c r="AD55" s="1197"/>
      <c r="AE55" s="1197"/>
      <c r="AF55" s="1197"/>
      <c r="AG55" s="1197"/>
      <c r="AH55" s="1197"/>
      <c r="AI55" s="1197"/>
      <c r="AJ55" s="1197"/>
      <c r="AK55" s="1197"/>
      <c r="AL55" s="1198"/>
    </row>
    <row r="56" spans="1:38" s="1181" customFormat="1" ht="12.75" customHeight="1" x14ac:dyDescent="0.15">
      <c r="A56" s="1221" t="s">
        <v>5945</v>
      </c>
      <c r="B56" s="1221"/>
      <c r="C56" s="1193"/>
      <c r="D56" s="1193"/>
      <c r="E56" s="1220"/>
      <c r="F56" s="617"/>
      <c r="G56" s="617"/>
      <c r="H56" s="617"/>
      <c r="I56" s="617"/>
      <c r="J56" s="617"/>
      <c r="K56" s="617"/>
      <c r="L56" s="616"/>
      <c r="M56" s="617"/>
      <c r="N56" s="617"/>
      <c r="O56" s="1193"/>
      <c r="P56" s="1193"/>
      <c r="Q56" s="570"/>
      <c r="R56" s="1211"/>
      <c r="S56" s="1193"/>
      <c r="T56" s="1193"/>
      <c r="U56" s="1193"/>
      <c r="V56" s="1212"/>
      <c r="W56" s="1213"/>
      <c r="X56" s="1193"/>
      <c r="Y56" s="1193"/>
      <c r="Z56" s="584"/>
      <c r="AA56" s="980"/>
      <c r="AB56" s="1197"/>
      <c r="AC56" s="1196"/>
      <c r="AD56" s="1197"/>
      <c r="AE56" s="1197"/>
      <c r="AF56" s="1197"/>
      <c r="AG56" s="1197"/>
      <c r="AH56" s="1197"/>
      <c r="AI56" s="1197"/>
      <c r="AJ56" s="1197"/>
      <c r="AK56" s="1197"/>
      <c r="AL56" s="1198">
        <f t="shared" si="3"/>
        <v>0</v>
      </c>
    </row>
    <row r="57" spans="1:38" s="1181" customFormat="1" ht="12" x14ac:dyDescent="0.15">
      <c r="A57" s="1221" t="s">
        <v>6087</v>
      </c>
      <c r="B57" s="1221"/>
      <c r="C57" s="1193"/>
      <c r="D57" s="1193"/>
      <c r="E57" s="1220"/>
      <c r="F57" s="617"/>
      <c r="G57" s="617"/>
      <c r="H57" s="617"/>
      <c r="I57" s="617"/>
      <c r="J57" s="617"/>
      <c r="K57" s="617"/>
      <c r="L57" s="616"/>
      <c r="M57" s="617"/>
      <c r="N57" s="617"/>
      <c r="O57" s="1193"/>
      <c r="P57" s="1193"/>
      <c r="Q57" s="570"/>
      <c r="R57" s="1211"/>
      <c r="S57" s="1193"/>
      <c r="T57" s="1193"/>
      <c r="U57" s="1193"/>
      <c r="V57" s="1212"/>
      <c r="W57" s="1213"/>
      <c r="X57" s="1193"/>
      <c r="Y57" s="1193"/>
      <c r="Z57" s="584"/>
      <c r="AA57" s="980"/>
      <c r="AB57" s="1197"/>
      <c r="AC57" s="1196"/>
      <c r="AD57" s="1197"/>
      <c r="AE57" s="1197"/>
      <c r="AF57" s="1197"/>
      <c r="AG57" s="1197"/>
      <c r="AH57" s="1197"/>
      <c r="AI57" s="1197"/>
      <c r="AJ57" s="1197"/>
      <c r="AK57" s="1197"/>
      <c r="AL57" s="1198">
        <f t="shared" si="3"/>
        <v>0</v>
      </c>
    </row>
    <row r="58" spans="1:38" s="1181" customFormat="1" ht="14.25" customHeight="1" x14ac:dyDescent="0.15">
      <c r="A58" s="1221" t="s">
        <v>6088</v>
      </c>
      <c r="B58" s="1221"/>
      <c r="C58" s="1193"/>
      <c r="D58" s="1193"/>
      <c r="E58" s="1220"/>
      <c r="F58" s="617">
        <v>79633134</v>
      </c>
      <c r="G58" s="617"/>
      <c r="H58" s="617">
        <v>35074494</v>
      </c>
      <c r="I58" s="617"/>
      <c r="J58" s="617"/>
      <c r="K58" s="617"/>
      <c r="L58" s="616"/>
      <c r="M58" s="617"/>
      <c r="N58" s="617"/>
      <c r="O58" s="1193"/>
      <c r="P58" s="1193"/>
      <c r="Q58" s="570"/>
      <c r="R58" s="1193"/>
      <c r="S58" s="1193"/>
      <c r="T58" s="1193"/>
      <c r="U58" s="1193"/>
      <c r="V58" s="1212"/>
      <c r="W58" s="1213"/>
      <c r="X58" s="1193"/>
      <c r="Y58" s="1193"/>
      <c r="Z58" s="584"/>
      <c r="AA58" s="980"/>
      <c r="AB58" s="1197"/>
      <c r="AC58" s="1196"/>
      <c r="AD58" s="1197"/>
      <c r="AE58" s="1197"/>
      <c r="AF58" s="1197"/>
      <c r="AG58" s="1197"/>
      <c r="AH58" s="1197"/>
      <c r="AI58" s="1197"/>
      <c r="AJ58" s="1197"/>
      <c r="AK58" s="1197"/>
      <c r="AL58" s="1198">
        <f t="shared" si="3"/>
        <v>114707628</v>
      </c>
    </row>
    <row r="59" spans="1:38" s="1181" customFormat="1" ht="12.75" customHeight="1" x14ac:dyDescent="0.25">
      <c r="A59" s="1221" t="s">
        <v>64</v>
      </c>
      <c r="B59" s="1221"/>
      <c r="C59" s="1193"/>
      <c r="D59" s="1193"/>
      <c r="E59" s="1220">
        <v>207705000</v>
      </c>
      <c r="F59" s="617"/>
      <c r="G59" s="617"/>
      <c r="H59" s="617"/>
      <c r="I59" s="617"/>
      <c r="J59" s="617"/>
      <c r="K59" s="617"/>
      <c r="L59" s="617"/>
      <c r="M59" s="617"/>
      <c r="N59" s="617"/>
      <c r="O59" s="1193"/>
      <c r="P59" s="1193"/>
      <c r="Q59" s="570"/>
      <c r="R59" s="1193"/>
      <c r="S59" s="1193"/>
      <c r="T59" s="1193"/>
      <c r="U59" s="1193"/>
      <c r="V59" s="1212"/>
      <c r="W59" s="1213"/>
      <c r="X59" s="1193"/>
      <c r="Y59" s="1193"/>
      <c r="Z59" s="1193"/>
      <c r="AA59" s="980"/>
      <c r="AB59" s="1197"/>
      <c r="AC59" s="1196"/>
      <c r="AD59" s="1197"/>
      <c r="AE59" s="1197"/>
      <c r="AF59" s="1197"/>
      <c r="AG59" s="1197"/>
      <c r="AH59" s="1197"/>
      <c r="AI59" s="1197"/>
      <c r="AJ59" s="1197"/>
      <c r="AK59" s="1197"/>
      <c r="AL59" s="1198">
        <f t="shared" si="3"/>
        <v>207705000</v>
      </c>
    </row>
    <row r="60" spans="1:38" s="1181" customFormat="1" ht="14.25" customHeight="1" x14ac:dyDescent="0.25">
      <c r="A60" s="1221" t="s">
        <v>4881</v>
      </c>
      <c r="B60" s="1221"/>
      <c r="C60" s="1193"/>
      <c r="D60" s="1193"/>
      <c r="E60" s="1220"/>
      <c r="F60" s="617"/>
      <c r="G60" s="617"/>
      <c r="H60" s="617"/>
      <c r="I60" s="617"/>
      <c r="J60" s="617"/>
      <c r="K60" s="617"/>
      <c r="L60" s="617"/>
      <c r="M60" s="617"/>
      <c r="N60" s="617"/>
      <c r="O60" s="1193"/>
      <c r="P60" s="1193"/>
      <c r="Q60" s="570"/>
      <c r="R60" s="1193"/>
      <c r="S60" s="1193"/>
      <c r="T60" s="1193"/>
      <c r="U60" s="1193"/>
      <c r="V60" s="1225"/>
      <c r="W60" s="1213"/>
      <c r="X60" s="1193"/>
      <c r="Y60" s="1193"/>
      <c r="Z60" s="1193"/>
      <c r="AA60" s="980"/>
      <c r="AB60" s="1197"/>
      <c r="AC60" s="1196"/>
      <c r="AD60" s="1197"/>
      <c r="AE60" s="1197"/>
      <c r="AF60" s="1197"/>
      <c r="AG60" s="1197"/>
      <c r="AH60" s="1197"/>
      <c r="AI60" s="1197"/>
      <c r="AJ60" s="1197"/>
      <c r="AK60" s="1197"/>
      <c r="AL60" s="1198">
        <f t="shared" si="3"/>
        <v>0</v>
      </c>
    </row>
    <row r="61" spans="1:38" s="1181" customFormat="1" ht="14.25" customHeight="1" x14ac:dyDescent="0.25">
      <c r="A61" s="1221" t="s">
        <v>6073</v>
      </c>
      <c r="B61" s="1221"/>
      <c r="C61" s="1193"/>
      <c r="D61" s="1193"/>
      <c r="E61" s="1220"/>
      <c r="F61" s="617"/>
      <c r="G61" s="617"/>
      <c r="H61" s="617"/>
      <c r="I61" s="617"/>
      <c r="J61" s="617"/>
      <c r="K61" s="617"/>
      <c r="L61" s="617"/>
      <c r="M61" s="617"/>
      <c r="N61" s="617"/>
      <c r="O61" s="1193"/>
      <c r="P61" s="1193"/>
      <c r="Q61" s="570"/>
      <c r="R61" s="1193"/>
      <c r="S61" s="1193"/>
      <c r="T61" s="1193"/>
      <c r="U61" s="1193"/>
      <c r="V61" s="1225"/>
      <c r="W61" s="1213"/>
      <c r="X61" s="1193"/>
      <c r="Y61" s="1193"/>
      <c r="Z61" s="1193"/>
      <c r="AA61" s="980"/>
      <c r="AB61" s="1197"/>
      <c r="AC61" s="1196"/>
      <c r="AD61" s="1197"/>
      <c r="AE61" s="1197"/>
      <c r="AF61" s="1197"/>
      <c r="AG61" s="1197"/>
      <c r="AH61" s="1197"/>
      <c r="AI61" s="1197"/>
      <c r="AJ61" s="1197"/>
      <c r="AK61" s="1197"/>
      <c r="AL61" s="1198">
        <f t="shared" si="3"/>
        <v>0</v>
      </c>
    </row>
    <row r="62" spans="1:38" s="1181" customFormat="1" ht="14.25" customHeight="1" x14ac:dyDescent="0.25">
      <c r="A62" s="1221" t="s">
        <v>6076</v>
      </c>
      <c r="B62" s="1221"/>
      <c r="C62" s="1193"/>
      <c r="D62" s="1193"/>
      <c r="E62" s="1220"/>
      <c r="F62" s="617"/>
      <c r="G62" s="617"/>
      <c r="H62" s="617"/>
      <c r="I62" s="617"/>
      <c r="J62" s="617"/>
      <c r="K62" s="617"/>
      <c r="L62" s="617"/>
      <c r="M62" s="617"/>
      <c r="N62" s="617"/>
      <c r="O62" s="1193"/>
      <c r="P62" s="1193"/>
      <c r="Q62" s="570"/>
      <c r="R62" s="1193"/>
      <c r="S62" s="1193"/>
      <c r="T62" s="1193"/>
      <c r="U62" s="1193"/>
      <c r="V62" s="1225"/>
      <c r="W62" s="1213"/>
      <c r="X62" s="1193"/>
      <c r="Y62" s="1193"/>
      <c r="Z62" s="1193"/>
      <c r="AA62" s="980"/>
      <c r="AB62" s="1197"/>
      <c r="AC62" s="1196"/>
      <c r="AD62" s="1197"/>
      <c r="AE62" s="1197"/>
      <c r="AF62" s="1197"/>
      <c r="AG62" s="1197"/>
      <c r="AH62" s="1197"/>
      <c r="AI62" s="1197"/>
      <c r="AJ62" s="1197"/>
      <c r="AK62" s="1197"/>
      <c r="AL62" s="1198">
        <f t="shared" si="3"/>
        <v>0</v>
      </c>
    </row>
    <row r="63" spans="1:38" s="1181" customFormat="1" ht="14.25" customHeight="1" x14ac:dyDescent="0.25">
      <c r="A63" s="1221" t="s">
        <v>6085</v>
      </c>
      <c r="B63" s="1221"/>
      <c r="C63" s="1193"/>
      <c r="D63" s="1193"/>
      <c r="E63" s="1220"/>
      <c r="F63" s="617"/>
      <c r="G63" s="617"/>
      <c r="H63" s="617"/>
      <c r="I63" s="617"/>
      <c r="J63" s="617"/>
      <c r="K63" s="617"/>
      <c r="L63" s="617"/>
      <c r="M63" s="617"/>
      <c r="N63" s="617"/>
      <c r="O63" s="1193"/>
      <c r="P63" s="1193"/>
      <c r="Q63" s="570"/>
      <c r="R63" s="1193"/>
      <c r="S63" s="1193"/>
      <c r="T63" s="1193"/>
      <c r="U63" s="1193"/>
      <c r="V63" s="1225"/>
      <c r="W63" s="1213"/>
      <c r="X63" s="1193"/>
      <c r="Y63" s="1193"/>
      <c r="Z63" s="1193"/>
      <c r="AA63" s="980"/>
      <c r="AB63" s="1197"/>
      <c r="AC63" s="1196"/>
      <c r="AD63" s="1197"/>
      <c r="AE63" s="1197"/>
      <c r="AF63" s="1197"/>
      <c r="AG63" s="1197"/>
      <c r="AH63" s="1197"/>
      <c r="AI63" s="1197"/>
      <c r="AJ63" s="1197"/>
      <c r="AK63" s="1197"/>
      <c r="AL63" s="1198">
        <f t="shared" si="3"/>
        <v>0</v>
      </c>
    </row>
    <row r="64" spans="1:38" s="1181" customFormat="1" ht="14.25" customHeight="1" x14ac:dyDescent="0.15">
      <c r="A64" s="1221" t="s">
        <v>126</v>
      </c>
      <c r="B64" s="1221"/>
      <c r="C64" s="1193"/>
      <c r="D64" s="1193"/>
      <c r="E64" s="1220"/>
      <c r="F64" s="617"/>
      <c r="G64" s="617"/>
      <c r="H64" s="617"/>
      <c r="I64" s="619"/>
      <c r="J64" s="617"/>
      <c r="K64" s="617"/>
      <c r="L64" s="617"/>
      <c r="M64" s="617"/>
      <c r="N64" s="617"/>
      <c r="O64" s="1193"/>
      <c r="P64" s="1193"/>
      <c r="Q64" s="570"/>
      <c r="R64" s="1193"/>
      <c r="S64" s="1193"/>
      <c r="T64" s="1193"/>
      <c r="U64" s="1193"/>
      <c r="V64" s="1212"/>
      <c r="W64" s="1200"/>
      <c r="X64" s="571"/>
      <c r="Y64" s="1193"/>
      <c r="Z64" s="1193"/>
      <c r="AA64" s="980"/>
      <c r="AB64" s="1197"/>
      <c r="AC64" s="1197"/>
      <c r="AD64" s="1197"/>
      <c r="AE64" s="1197"/>
      <c r="AF64" s="1197"/>
      <c r="AG64" s="1197"/>
      <c r="AH64" s="1197"/>
      <c r="AI64" s="1197"/>
      <c r="AJ64" s="1197"/>
      <c r="AK64" s="1197"/>
      <c r="AL64" s="1198">
        <f t="shared" si="3"/>
        <v>0</v>
      </c>
    </row>
    <row r="65" spans="1:66" s="1181" customFormat="1" ht="14.25" customHeight="1" x14ac:dyDescent="0.15">
      <c r="A65" s="1221" t="s">
        <v>5944</v>
      </c>
      <c r="B65" s="1221"/>
      <c r="C65" s="1193"/>
      <c r="D65" s="1193"/>
      <c r="E65" s="1220"/>
      <c r="F65" s="617"/>
      <c r="G65" s="617"/>
      <c r="H65" s="617"/>
      <c r="I65" s="619"/>
      <c r="J65" s="617"/>
      <c r="K65" s="617"/>
      <c r="L65" s="617"/>
      <c r="M65" s="617"/>
      <c r="N65" s="617"/>
      <c r="O65" s="1193"/>
      <c r="Q65" s="1193"/>
      <c r="R65" s="1193"/>
      <c r="S65" s="1193"/>
      <c r="T65" s="1193"/>
      <c r="U65" s="1193"/>
      <c r="V65" s="1212"/>
      <c r="W65" s="1200"/>
      <c r="X65" s="571"/>
      <c r="Y65" s="1193"/>
      <c r="Z65" s="1193"/>
      <c r="AA65" s="980"/>
      <c r="AB65" s="1197"/>
      <c r="AC65" s="1197"/>
      <c r="AD65" s="1197"/>
      <c r="AE65" s="1197"/>
      <c r="AF65" s="1197"/>
      <c r="AG65" s="1197"/>
      <c r="AH65" s="1197"/>
      <c r="AI65" s="1197"/>
      <c r="AJ65" s="1197"/>
      <c r="AK65" s="1197"/>
      <c r="AL65" s="1198">
        <f t="shared" si="3"/>
        <v>0</v>
      </c>
    </row>
    <row r="66" spans="1:66" s="1181" customFormat="1" ht="14.25" customHeight="1" x14ac:dyDescent="0.15">
      <c r="A66" s="1221" t="s">
        <v>6256</v>
      </c>
      <c r="B66" s="1221"/>
      <c r="C66" s="1193"/>
      <c r="D66" s="1193"/>
      <c r="E66" s="1220"/>
      <c r="F66" s="617"/>
      <c r="G66" s="617"/>
      <c r="H66" s="617"/>
      <c r="I66" s="619"/>
      <c r="J66" s="617"/>
      <c r="K66" s="617"/>
      <c r="L66" s="617"/>
      <c r="M66" s="617"/>
      <c r="N66" s="617"/>
      <c r="O66" s="1193"/>
      <c r="Q66" s="1193"/>
      <c r="R66" s="1193"/>
      <c r="S66" s="1193"/>
      <c r="T66" s="1193"/>
      <c r="U66" s="1193"/>
      <c r="V66" s="1212"/>
      <c r="W66" s="1200"/>
      <c r="X66" s="571"/>
      <c r="Y66" s="1193"/>
      <c r="Z66" s="1193"/>
      <c r="AA66" s="980"/>
      <c r="AB66" s="1197"/>
      <c r="AC66" s="1197"/>
      <c r="AD66" s="1197"/>
      <c r="AE66" s="1197"/>
      <c r="AF66" s="1197"/>
      <c r="AG66" s="1197"/>
      <c r="AH66" s="1197"/>
      <c r="AI66" s="1197"/>
      <c r="AJ66" s="1197"/>
      <c r="AK66" s="1197"/>
      <c r="AL66" s="1198"/>
    </row>
    <row r="67" spans="1:66" s="1181" customFormat="1" ht="14.25" customHeight="1" x14ac:dyDescent="0.15">
      <c r="A67" s="1221" t="s">
        <v>66</v>
      </c>
      <c r="B67" s="1221"/>
      <c r="C67" s="1193"/>
      <c r="D67" s="1193"/>
      <c r="E67" s="1220"/>
      <c r="F67" s="617"/>
      <c r="G67" s="617"/>
      <c r="H67" s="617"/>
      <c r="I67" s="619"/>
      <c r="J67" s="617"/>
      <c r="K67" s="617"/>
      <c r="L67" s="617"/>
      <c r="M67" s="617"/>
      <c r="N67" s="617"/>
      <c r="O67" s="1193"/>
      <c r="P67" s="1193"/>
      <c r="Q67" s="570"/>
      <c r="R67" s="1193"/>
      <c r="S67" s="1193"/>
      <c r="T67" s="1193"/>
      <c r="U67" s="1193"/>
      <c r="V67" s="1212"/>
      <c r="W67" s="1200"/>
      <c r="X67" s="571"/>
      <c r="Y67" s="1193"/>
      <c r="Z67" s="1193"/>
      <c r="AA67" s="980"/>
      <c r="AB67" s="1197"/>
      <c r="AC67" s="1197"/>
      <c r="AD67" s="1197"/>
      <c r="AE67" s="1197"/>
      <c r="AF67" s="1197"/>
      <c r="AG67" s="1197"/>
      <c r="AH67" s="1197"/>
      <c r="AI67" s="1197"/>
      <c r="AJ67" s="1197"/>
      <c r="AK67" s="1197"/>
      <c r="AL67" s="1198">
        <f t="shared" si="3"/>
        <v>0</v>
      </c>
    </row>
    <row r="68" spans="1:66" s="1181" customFormat="1" ht="14.25" customHeight="1" x14ac:dyDescent="0.15">
      <c r="A68" s="1221" t="s">
        <v>127</v>
      </c>
      <c r="B68" s="1221"/>
      <c r="C68" s="1193"/>
      <c r="D68" s="1193"/>
      <c r="E68" s="1220"/>
      <c r="F68" s="617"/>
      <c r="G68" s="617"/>
      <c r="H68" s="617"/>
      <c r="I68" s="619"/>
      <c r="J68" s="617"/>
      <c r="K68" s="617"/>
      <c r="L68" s="617"/>
      <c r="M68" s="617"/>
      <c r="N68" s="617"/>
      <c r="O68" s="1193"/>
      <c r="P68" s="1193"/>
      <c r="Q68" s="570"/>
      <c r="R68" s="1193"/>
      <c r="S68" s="1193"/>
      <c r="T68" s="1193"/>
      <c r="U68" s="1193"/>
      <c r="V68" s="1212"/>
      <c r="W68" s="1200"/>
      <c r="X68" s="571"/>
      <c r="Y68" s="1193"/>
      <c r="Z68" s="1193"/>
      <c r="AA68" s="980"/>
      <c r="AB68" s="1197"/>
      <c r="AC68" s="1197"/>
      <c r="AD68" s="1197"/>
      <c r="AE68" s="1197"/>
      <c r="AF68" s="1197"/>
      <c r="AG68" s="1197"/>
      <c r="AH68" s="1197"/>
      <c r="AI68" s="1197"/>
      <c r="AJ68" s="1197"/>
      <c r="AK68" s="1197"/>
      <c r="AL68" s="1198">
        <f t="shared" si="3"/>
        <v>0</v>
      </c>
    </row>
    <row r="69" spans="1:66" s="1181" customFormat="1" ht="14.25" customHeight="1" x14ac:dyDescent="0.15">
      <c r="A69" s="1221" t="s">
        <v>155</v>
      </c>
      <c r="B69" s="1221"/>
      <c r="C69" s="1193"/>
      <c r="D69" s="1193"/>
      <c r="E69" s="1220"/>
      <c r="F69" s="617"/>
      <c r="G69" s="617"/>
      <c r="H69" s="617"/>
      <c r="I69" s="619"/>
      <c r="J69" s="617"/>
      <c r="K69" s="617"/>
      <c r="L69" s="617"/>
      <c r="M69" s="617"/>
      <c r="N69" s="617"/>
      <c r="O69" s="1193"/>
      <c r="P69" s="1193"/>
      <c r="Q69" s="570"/>
      <c r="R69" s="1193"/>
      <c r="S69" s="1193"/>
      <c r="T69" s="1193"/>
      <c r="U69" s="1193"/>
      <c r="V69" s="1212"/>
      <c r="W69" s="1200"/>
      <c r="X69" s="571"/>
      <c r="Y69" s="1193"/>
      <c r="Z69" s="1193"/>
      <c r="AA69" s="980"/>
      <c r="AB69" s="1197"/>
      <c r="AC69" s="1197"/>
      <c r="AD69" s="1197"/>
      <c r="AE69" s="1197"/>
      <c r="AF69" s="1197"/>
      <c r="AG69" s="1197"/>
      <c r="AH69" s="1197"/>
      <c r="AI69" s="1197"/>
      <c r="AJ69" s="1197"/>
      <c r="AK69" s="1197"/>
      <c r="AL69" s="1198">
        <f t="shared" si="3"/>
        <v>0</v>
      </c>
    </row>
    <row r="70" spans="1:66" s="1181" customFormat="1" ht="14.25" customHeight="1" x14ac:dyDescent="0.15">
      <c r="A70" s="1221" t="s">
        <v>4910</v>
      </c>
      <c r="B70" s="1221"/>
      <c r="C70" s="1193"/>
      <c r="D70" s="1193"/>
      <c r="E70" s="1220"/>
      <c r="F70" s="617"/>
      <c r="G70" s="617"/>
      <c r="H70" s="617"/>
      <c r="I70" s="619"/>
      <c r="J70" s="617"/>
      <c r="K70" s="617"/>
      <c r="L70" s="617"/>
      <c r="M70" s="617"/>
      <c r="N70" s="617"/>
      <c r="O70" s="1193"/>
      <c r="P70" s="1193"/>
      <c r="Q70" s="570"/>
      <c r="R70" s="1193"/>
      <c r="S70" s="1193"/>
      <c r="T70" s="1193"/>
      <c r="U70" s="1193"/>
      <c r="V70" s="1212"/>
      <c r="W70" s="1200"/>
      <c r="X70" s="571"/>
      <c r="Y70" s="1193"/>
      <c r="Z70" s="1193"/>
      <c r="AA70" s="980"/>
      <c r="AB70" s="1197"/>
      <c r="AC70" s="1197"/>
      <c r="AD70" s="1197"/>
      <c r="AE70" s="1197"/>
      <c r="AF70" s="1197"/>
      <c r="AG70" s="1197"/>
      <c r="AH70" s="1197"/>
      <c r="AI70" s="1197"/>
      <c r="AJ70" s="1197"/>
      <c r="AK70" s="1197"/>
      <c r="AL70" s="1198">
        <f t="shared" si="3"/>
        <v>0</v>
      </c>
    </row>
    <row r="71" spans="1:66" s="1181" customFormat="1" ht="15" customHeight="1" x14ac:dyDescent="0.25">
      <c r="A71" s="1221" t="s">
        <v>68</v>
      </c>
      <c r="B71" s="1221"/>
      <c r="C71" s="1193"/>
      <c r="D71" s="1193"/>
      <c r="E71" s="1220">
        <v>2888235002</v>
      </c>
      <c r="F71" s="617">
        <v>1218824395</v>
      </c>
      <c r="G71" s="617">
        <v>807145183</v>
      </c>
      <c r="H71" s="617"/>
      <c r="I71" s="619"/>
      <c r="J71" s="617"/>
      <c r="K71" s="617"/>
      <c r="L71" s="617"/>
      <c r="M71" s="617"/>
      <c r="N71" s="617"/>
      <c r="O71" s="1193"/>
      <c r="P71" s="1193"/>
      <c r="Q71" s="570"/>
      <c r="R71" s="1193"/>
      <c r="S71" s="1193"/>
      <c r="T71" s="1193"/>
      <c r="U71" s="1193"/>
      <c r="V71" s="1212"/>
      <c r="W71" s="1200"/>
      <c r="X71" s="1193"/>
      <c r="Y71" s="1193"/>
      <c r="Z71" s="1193"/>
      <c r="AA71" s="980"/>
      <c r="AB71" s="1197"/>
      <c r="AC71" s="1197"/>
      <c r="AD71" s="1197"/>
      <c r="AE71" s="1197"/>
      <c r="AF71" s="1197"/>
      <c r="AG71" s="1197"/>
      <c r="AH71" s="1197"/>
      <c r="AI71" s="1197"/>
      <c r="AJ71" s="1197"/>
      <c r="AK71" s="1197"/>
      <c r="AL71" s="1198">
        <f t="shared" si="3"/>
        <v>4914204580</v>
      </c>
    </row>
    <row r="72" spans="1:66" s="1181" customFormat="1" ht="14.25" customHeight="1" x14ac:dyDescent="0.15">
      <c r="A72" s="1221" t="s">
        <v>70</v>
      </c>
      <c r="B72" s="1221"/>
      <c r="C72" s="1193"/>
      <c r="D72" s="1193"/>
      <c r="E72" s="1220"/>
      <c r="F72" s="617"/>
      <c r="G72" s="617"/>
      <c r="H72" s="617"/>
      <c r="I72" s="619"/>
      <c r="J72" s="617"/>
      <c r="K72" s="617"/>
      <c r="L72" s="617"/>
      <c r="M72" s="617"/>
      <c r="N72" s="617"/>
      <c r="O72" s="1193"/>
      <c r="P72" s="1193"/>
      <c r="Q72" s="570"/>
      <c r="R72" s="1193"/>
      <c r="S72" s="1193"/>
      <c r="T72" s="1193"/>
      <c r="U72" s="1193"/>
      <c r="V72" s="1212"/>
      <c r="W72" s="1200"/>
      <c r="X72" s="571"/>
      <c r="Y72" s="1193"/>
      <c r="Z72" s="1193"/>
      <c r="AA72" s="980"/>
      <c r="AB72" s="1197"/>
      <c r="AC72" s="1197"/>
      <c r="AD72" s="1197"/>
      <c r="AE72" s="1197"/>
      <c r="AF72" s="1197"/>
      <c r="AG72" s="1197"/>
      <c r="AH72" s="1197"/>
      <c r="AI72" s="1197"/>
      <c r="AJ72" s="1197"/>
      <c r="AK72" s="1197"/>
      <c r="AL72" s="1198">
        <f t="shared" si="3"/>
        <v>0</v>
      </c>
    </row>
    <row r="73" spans="1:66" s="1181" customFormat="1" ht="10.5" x14ac:dyDescent="0.25">
      <c r="A73" s="1226" t="s">
        <v>203</v>
      </c>
      <c r="B73" s="1226"/>
      <c r="C73" s="1227">
        <f t="shared" ref="C73:AL73" si="4">SUM(C29:C72)</f>
        <v>0</v>
      </c>
      <c r="D73" s="1227">
        <f t="shared" si="4"/>
        <v>0</v>
      </c>
      <c r="E73" s="1227">
        <f t="shared" si="4"/>
        <v>3265349457</v>
      </c>
      <c r="F73" s="1227">
        <f t="shared" si="4"/>
        <v>4133169416</v>
      </c>
      <c r="G73" s="1227">
        <f t="shared" si="4"/>
        <v>833144402</v>
      </c>
      <c r="H73" s="1227">
        <f t="shared" si="4"/>
        <v>35074494</v>
      </c>
      <c r="I73" s="1227">
        <f t="shared" si="4"/>
        <v>0</v>
      </c>
      <c r="J73" s="1227">
        <f t="shared" si="4"/>
        <v>0</v>
      </c>
      <c r="K73" s="1227">
        <f t="shared" si="4"/>
        <v>0</v>
      </c>
      <c r="L73" s="1227">
        <f t="shared" si="4"/>
        <v>0</v>
      </c>
      <c r="M73" s="1227">
        <f t="shared" si="4"/>
        <v>0</v>
      </c>
      <c r="N73" s="1227">
        <f t="shared" si="4"/>
        <v>0</v>
      </c>
      <c r="O73" s="1227">
        <f t="shared" si="4"/>
        <v>0</v>
      </c>
      <c r="P73" s="1227">
        <f t="shared" si="4"/>
        <v>0</v>
      </c>
      <c r="Q73" s="1227">
        <f t="shared" si="4"/>
        <v>0</v>
      </c>
      <c r="R73" s="1227">
        <f t="shared" si="4"/>
        <v>0</v>
      </c>
      <c r="S73" s="1227">
        <f t="shared" si="4"/>
        <v>0</v>
      </c>
      <c r="T73" s="1227">
        <f t="shared" si="4"/>
        <v>0</v>
      </c>
      <c r="U73" s="1227">
        <f t="shared" si="4"/>
        <v>0</v>
      </c>
      <c r="V73" s="1227">
        <f t="shared" si="4"/>
        <v>0</v>
      </c>
      <c r="W73" s="1227">
        <f t="shared" si="4"/>
        <v>0</v>
      </c>
      <c r="X73" s="1227">
        <f t="shared" si="4"/>
        <v>0</v>
      </c>
      <c r="Y73" s="1227">
        <f t="shared" si="4"/>
        <v>0</v>
      </c>
      <c r="Z73" s="1227">
        <f t="shared" si="4"/>
        <v>0</v>
      </c>
      <c r="AA73" s="1227">
        <f t="shared" si="4"/>
        <v>0</v>
      </c>
      <c r="AB73" s="1227">
        <f t="shared" si="4"/>
        <v>0</v>
      </c>
      <c r="AC73" s="1227">
        <f t="shared" si="4"/>
        <v>0</v>
      </c>
      <c r="AD73" s="1227">
        <f t="shared" si="4"/>
        <v>0</v>
      </c>
      <c r="AE73" s="1227">
        <f t="shared" si="4"/>
        <v>0</v>
      </c>
      <c r="AF73" s="1227">
        <f t="shared" si="4"/>
        <v>0</v>
      </c>
      <c r="AG73" s="1227">
        <f t="shared" si="4"/>
        <v>0</v>
      </c>
      <c r="AH73" s="1227">
        <f t="shared" si="4"/>
        <v>0</v>
      </c>
      <c r="AI73" s="1227">
        <f t="shared" si="4"/>
        <v>0</v>
      </c>
      <c r="AJ73" s="1227">
        <f t="shared" si="4"/>
        <v>0</v>
      </c>
      <c r="AK73" s="1227">
        <f t="shared" si="4"/>
        <v>0</v>
      </c>
      <c r="AL73" s="1227">
        <f t="shared" si="4"/>
        <v>5504180247</v>
      </c>
    </row>
    <row r="74" spans="1:66" s="1181" customFormat="1" ht="12" x14ac:dyDescent="0.25">
      <c r="O74" s="1228"/>
      <c r="AA74" s="1183"/>
      <c r="AB74" s="1184"/>
      <c r="AC74" s="1185"/>
      <c r="AD74" s="1184"/>
      <c r="AE74" s="1184"/>
      <c r="AF74" s="1184"/>
      <c r="AG74" s="1184"/>
      <c r="AH74" s="1184"/>
      <c r="AI74" s="1184"/>
      <c r="AJ74" s="1184"/>
      <c r="AK74" s="1184"/>
    </row>
    <row r="75" spans="1:66" s="1181" customFormat="1" ht="19.5" x14ac:dyDescent="0.25">
      <c r="A75" s="1229" t="s">
        <v>202</v>
      </c>
      <c r="B75" s="1229"/>
      <c r="C75" s="1230"/>
      <c r="D75" s="1231"/>
      <c r="E75" s="1230"/>
      <c r="F75" s="1230"/>
      <c r="G75" s="1230"/>
      <c r="H75" s="1230"/>
      <c r="I75" s="1230"/>
      <c r="J75" s="1230"/>
      <c r="K75" s="1231"/>
      <c r="L75" s="1230"/>
      <c r="M75" s="1230"/>
      <c r="N75" s="1230"/>
      <c r="O75" s="1230"/>
      <c r="P75" s="1230"/>
      <c r="Q75" s="1230"/>
      <c r="R75" s="1230"/>
      <c r="S75" s="1230"/>
      <c r="T75" s="1230"/>
      <c r="U75" s="1190"/>
      <c r="V75" s="1230"/>
      <c r="W75" s="1230"/>
      <c r="X75" s="1190"/>
      <c r="Y75" s="1190"/>
      <c r="Z75" s="1190"/>
      <c r="AA75" s="1232"/>
      <c r="AB75" s="298">
        <v>3591983239</v>
      </c>
      <c r="AC75" s="1233"/>
      <c r="AD75" s="1234"/>
      <c r="AE75" s="1234"/>
      <c r="AF75" s="1234"/>
      <c r="AG75" s="1234"/>
      <c r="AH75" s="1234"/>
      <c r="AI75" s="1234"/>
      <c r="AJ75" s="1234"/>
      <c r="AK75" s="1234"/>
      <c r="AL75" s="1230"/>
    </row>
    <row r="76" spans="1:66" s="1181" customFormat="1" x14ac:dyDescent="0.25">
      <c r="A76" s="1180" t="s">
        <v>228</v>
      </c>
      <c r="B76" s="1180"/>
      <c r="C76" s="1230"/>
      <c r="D76" s="1230"/>
      <c r="E76" s="1235"/>
      <c r="F76" s="1230"/>
      <c r="G76" s="1230"/>
      <c r="H76" s="1230"/>
      <c r="I76" s="1230"/>
      <c r="J76" s="1230"/>
      <c r="K76" s="299"/>
      <c r="L76" s="1236"/>
      <c r="M76" s="299"/>
      <c r="N76" s="1236"/>
      <c r="O76" s="1230"/>
      <c r="P76" s="1230"/>
      <c r="Q76" s="1230"/>
      <c r="R76" s="1230"/>
      <c r="S76" s="1230"/>
      <c r="T76" s="1230"/>
      <c r="U76" s="1190"/>
      <c r="V76" s="1230"/>
      <c r="W76" s="1230"/>
      <c r="X76" s="1190"/>
      <c r="Y76" s="1190"/>
      <c r="Z76" s="1190"/>
      <c r="AA76" s="1232"/>
      <c r="AB76" s="1237">
        <f>AB73-AB75</f>
        <v>-3591983239</v>
      </c>
      <c r="AC76" s="1233"/>
      <c r="AD76" s="1234"/>
      <c r="AE76" s="1234"/>
      <c r="AF76" s="1234"/>
      <c r="AG76" s="1234"/>
      <c r="AH76" s="1234"/>
      <c r="AI76" s="1234"/>
      <c r="AJ76" s="1234"/>
      <c r="AK76" s="1234"/>
      <c r="AL76" s="1230"/>
      <c r="AM76" s="1235"/>
      <c r="AN76" s="1235"/>
      <c r="AO76" s="1235"/>
      <c r="AP76" s="1235"/>
      <c r="AQ76" s="1235"/>
      <c r="AR76" s="1235"/>
      <c r="AS76" s="1235"/>
      <c r="AT76" s="1235"/>
      <c r="AU76" s="1235"/>
      <c r="AV76" s="1235"/>
      <c r="AW76" s="1235"/>
      <c r="AX76" s="1235"/>
      <c r="AY76" s="1235"/>
      <c r="AZ76" s="1235"/>
      <c r="BA76" s="1235"/>
      <c r="BB76" s="1235"/>
      <c r="BC76" s="1235"/>
      <c r="BD76" s="1235"/>
      <c r="BE76" s="1235"/>
      <c r="BF76" s="1235"/>
      <c r="BG76" s="1235"/>
      <c r="BH76" s="1235"/>
      <c r="BI76" s="1235"/>
      <c r="BJ76" s="1235"/>
      <c r="BK76" s="1235"/>
      <c r="BN76" s="1235"/>
    </row>
    <row r="77" spans="1:66" s="1181" customFormat="1" ht="14.25" x14ac:dyDescent="0.25">
      <c r="A77" s="1477" t="s">
        <v>139</v>
      </c>
      <c r="B77" s="1238"/>
      <c r="C77" s="1238"/>
      <c r="D77" s="1238"/>
      <c r="E77" s="1483" t="s">
        <v>24</v>
      </c>
      <c r="F77" s="1484"/>
      <c r="G77" s="1484"/>
      <c r="H77" s="1484"/>
      <c r="I77" s="1484"/>
      <c r="J77" s="1484"/>
      <c r="K77" s="1484"/>
      <c r="L77" s="1484"/>
      <c r="M77" s="1484"/>
      <c r="N77" s="1484"/>
      <c r="O77" s="1484"/>
      <c r="P77" s="1484"/>
      <c r="Q77" s="1484"/>
      <c r="R77" s="1484"/>
      <c r="S77" s="1484"/>
      <c r="T77" s="1484"/>
      <c r="U77" s="1484"/>
      <c r="V77" s="1484"/>
      <c r="W77" s="1484"/>
      <c r="X77" s="1484"/>
      <c r="Y77" s="1484"/>
      <c r="Z77" s="1484"/>
      <c r="AA77" s="1484"/>
      <c r="AB77" s="1484"/>
      <c r="AC77" s="1484"/>
      <c r="AD77" s="1484"/>
      <c r="AE77" s="1484"/>
      <c r="AF77" s="1484"/>
      <c r="AG77" s="1484"/>
      <c r="AH77" s="1484"/>
      <c r="AI77" s="1484"/>
      <c r="AJ77" s="1484"/>
      <c r="AK77" s="1484"/>
      <c r="AL77" s="1485"/>
    </row>
    <row r="78" spans="1:66" s="1240" customFormat="1" ht="11.25" x14ac:dyDescent="0.25">
      <c r="A78" s="1477"/>
      <c r="B78" s="1239"/>
      <c r="C78" s="1188">
        <v>1</v>
      </c>
      <c r="D78" s="1188">
        <v>2</v>
      </c>
      <c r="E78" s="1188">
        <v>3</v>
      </c>
      <c r="F78" s="1188">
        <v>4</v>
      </c>
      <c r="G78" s="1188">
        <v>5</v>
      </c>
      <c r="H78" s="1188">
        <v>6</v>
      </c>
      <c r="I78" s="1188">
        <v>7</v>
      </c>
      <c r="J78" s="1188">
        <v>8</v>
      </c>
      <c r="K78" s="1188">
        <v>9</v>
      </c>
      <c r="L78" s="1188">
        <v>10</v>
      </c>
      <c r="M78" s="1188">
        <v>11</v>
      </c>
      <c r="N78" s="1188">
        <v>12</v>
      </c>
      <c r="O78" s="1188">
        <v>13</v>
      </c>
      <c r="P78" s="1188">
        <v>14</v>
      </c>
      <c r="Q78" s="1188">
        <v>15</v>
      </c>
      <c r="R78" s="1188">
        <v>16</v>
      </c>
      <c r="S78" s="1188">
        <v>17</v>
      </c>
      <c r="T78" s="1188">
        <v>18</v>
      </c>
      <c r="U78" s="1188">
        <v>19</v>
      </c>
      <c r="V78" s="1188">
        <v>20</v>
      </c>
      <c r="W78" s="1188">
        <v>21</v>
      </c>
      <c r="X78" s="1188">
        <v>22</v>
      </c>
      <c r="Y78" s="1188">
        <v>23</v>
      </c>
      <c r="Z78" s="1188">
        <v>24</v>
      </c>
      <c r="AA78" s="1188">
        <v>25</v>
      </c>
      <c r="AB78" s="1188">
        <v>26</v>
      </c>
      <c r="AC78" s="1188">
        <v>27</v>
      </c>
      <c r="AD78" s="1188">
        <v>28</v>
      </c>
      <c r="AE78" s="1188">
        <v>29</v>
      </c>
      <c r="AF78" s="1188">
        <v>30</v>
      </c>
      <c r="AG78" s="1188">
        <v>31</v>
      </c>
      <c r="AH78" s="1188">
        <v>32</v>
      </c>
      <c r="AI78" s="1188">
        <v>33</v>
      </c>
      <c r="AJ78" s="1188">
        <v>34</v>
      </c>
      <c r="AK78" s="1188">
        <v>35</v>
      </c>
      <c r="AL78" s="1473" t="s">
        <v>24</v>
      </c>
    </row>
    <row r="79" spans="1:66" s="1181" customFormat="1" ht="12" x14ac:dyDescent="0.25">
      <c r="A79" s="1477"/>
      <c r="B79" s="1239"/>
      <c r="C79" s="1239" t="s">
        <v>227</v>
      </c>
      <c r="D79" s="1241" t="s">
        <v>227</v>
      </c>
      <c r="E79" s="1239" t="s">
        <v>227</v>
      </c>
      <c r="F79" s="1239" t="s">
        <v>227</v>
      </c>
      <c r="G79" s="1239" t="s">
        <v>227</v>
      </c>
      <c r="H79" s="1239" t="s">
        <v>227</v>
      </c>
      <c r="I79" s="1239" t="s">
        <v>227</v>
      </c>
      <c r="J79" s="1239" t="s">
        <v>227</v>
      </c>
      <c r="K79" s="1239" t="s">
        <v>227</v>
      </c>
      <c r="L79" s="1239" t="s">
        <v>227</v>
      </c>
      <c r="M79" s="1239" t="s">
        <v>227</v>
      </c>
      <c r="N79" s="1239" t="s">
        <v>227</v>
      </c>
      <c r="O79" s="1239" t="s">
        <v>227</v>
      </c>
      <c r="P79" s="1239" t="s">
        <v>227</v>
      </c>
      <c r="Q79" s="1239" t="s">
        <v>227</v>
      </c>
      <c r="R79" s="1239" t="s">
        <v>227</v>
      </c>
      <c r="S79" s="1239" t="s">
        <v>227</v>
      </c>
      <c r="T79" s="1239" t="s">
        <v>227</v>
      </c>
      <c r="U79" s="1188" t="s">
        <v>227</v>
      </c>
      <c r="V79" s="1239" t="s">
        <v>227</v>
      </c>
      <c r="W79" s="1239" t="s">
        <v>227</v>
      </c>
      <c r="X79" s="1188" t="s">
        <v>227</v>
      </c>
      <c r="Y79" s="1188" t="s">
        <v>227</v>
      </c>
      <c r="Z79" s="1188" t="s">
        <v>227</v>
      </c>
      <c r="AA79" s="1242" t="s">
        <v>227</v>
      </c>
      <c r="AB79" s="1243" t="s">
        <v>227</v>
      </c>
      <c r="AC79" s="1244" t="s">
        <v>227</v>
      </c>
      <c r="AD79" s="1243" t="s">
        <v>227</v>
      </c>
      <c r="AE79" s="1245"/>
      <c r="AF79" s="1245"/>
      <c r="AG79" s="1245"/>
      <c r="AH79" s="1245"/>
      <c r="AI79" s="1245"/>
      <c r="AJ79" s="1245"/>
      <c r="AK79" s="1245"/>
      <c r="AL79" s="1474"/>
    </row>
    <row r="80" spans="1:66" s="1181" customFormat="1" ht="12.75" x14ac:dyDescent="0.15">
      <c r="A80" s="1246" t="s">
        <v>86</v>
      </c>
      <c r="B80" s="1246"/>
      <c r="C80" s="1247"/>
      <c r="D80" s="1247"/>
      <c r="E80" s="1248">
        <v>7425400</v>
      </c>
      <c r="F80" s="1175"/>
      <c r="G80" s="1248"/>
      <c r="H80" s="1248"/>
      <c r="I80" s="1248"/>
      <c r="J80" s="1248"/>
      <c r="K80" s="1248"/>
      <c r="L80" s="864"/>
      <c r="M80" s="864"/>
      <c r="N80" s="864"/>
      <c r="O80" s="864"/>
      <c r="P80" s="864"/>
      <c r="Q80" s="864"/>
      <c r="R80" s="1249"/>
      <c r="S80" s="864"/>
      <c r="T80" s="1250"/>
      <c r="U80" s="1193"/>
      <c r="V80" s="864"/>
      <c r="W80" s="864"/>
      <c r="X80" s="570"/>
      <c r="Y80" s="1193"/>
      <c r="Z80" s="571"/>
      <c r="AA80" s="980"/>
      <c r="AB80" s="1251"/>
      <c r="AC80" s="1252"/>
      <c r="AD80" s="1251"/>
      <c r="AE80" s="1251"/>
      <c r="AF80" s="1251"/>
      <c r="AG80" s="1251"/>
      <c r="AH80" s="1251"/>
      <c r="AI80" s="1251"/>
      <c r="AJ80" s="1251"/>
      <c r="AK80" s="1251"/>
      <c r="AL80" s="1198">
        <f>SUM(C80:AK80)</f>
        <v>7425400</v>
      </c>
    </row>
    <row r="81" spans="1:66" s="1181" customFormat="1" ht="12.75" x14ac:dyDescent="0.15">
      <c r="A81" s="1246" t="s">
        <v>146</v>
      </c>
      <c r="B81" s="1246"/>
      <c r="C81" s="1247"/>
      <c r="D81" s="1247"/>
      <c r="E81" s="1248">
        <v>15168289</v>
      </c>
      <c r="F81" s="1253"/>
      <c r="G81" s="1248"/>
      <c r="H81" s="1248"/>
      <c r="I81" s="1248"/>
      <c r="J81" s="1248"/>
      <c r="K81" s="1248"/>
      <c r="L81" s="864"/>
      <c r="M81" s="864"/>
      <c r="N81" s="864"/>
      <c r="O81" s="1224"/>
      <c r="P81" s="864"/>
      <c r="Q81" s="864"/>
      <c r="R81" s="1249"/>
      <c r="S81" s="864"/>
      <c r="T81" s="1250"/>
      <c r="U81" s="1193"/>
      <c r="V81" s="864"/>
      <c r="W81" s="864"/>
      <c r="X81" s="570"/>
      <c r="Y81" s="1193"/>
      <c r="Z81" s="1193"/>
      <c r="AA81" s="980"/>
      <c r="AB81" s="1251"/>
      <c r="AC81" s="1252"/>
      <c r="AD81" s="1251"/>
      <c r="AE81" s="1251"/>
      <c r="AF81" s="1251"/>
      <c r="AG81" s="1251"/>
      <c r="AH81" s="1251"/>
      <c r="AI81" s="1251"/>
      <c r="AJ81" s="1251"/>
      <c r="AK81" s="1251"/>
      <c r="AL81" s="1198">
        <f t="shared" ref="AL81:AL92" si="5">SUM(C81:AK81)</f>
        <v>15168289</v>
      </c>
    </row>
    <row r="82" spans="1:66" s="1181" customFormat="1" ht="13.5" customHeight="1" x14ac:dyDescent="0.15">
      <c r="A82" s="1246" t="s">
        <v>142</v>
      </c>
      <c r="B82" s="1246"/>
      <c r="C82" s="1247"/>
      <c r="D82" s="1247"/>
      <c r="E82" s="1248">
        <v>11866220</v>
      </c>
      <c r="F82" s="1253"/>
      <c r="G82" s="1248"/>
      <c r="H82" s="1248"/>
      <c r="I82" s="1248"/>
      <c r="J82" s="1248"/>
      <c r="K82" s="1248"/>
      <c r="L82" s="864"/>
      <c r="M82" s="864"/>
      <c r="N82" s="864"/>
      <c r="O82" s="1224"/>
      <c r="P82" s="864"/>
      <c r="Q82" s="864"/>
      <c r="R82" s="1249"/>
      <c r="S82" s="864"/>
      <c r="T82" s="1250"/>
      <c r="U82" s="1193"/>
      <c r="V82" s="864"/>
      <c r="W82" s="864"/>
      <c r="X82" s="570"/>
      <c r="Y82" s="1193"/>
      <c r="Z82" s="1193"/>
      <c r="AA82" s="980"/>
      <c r="AB82" s="1251"/>
      <c r="AC82" s="1252"/>
      <c r="AD82" s="1251"/>
      <c r="AE82" s="1251"/>
      <c r="AF82" s="1251"/>
      <c r="AG82" s="1251"/>
      <c r="AH82" s="1251"/>
      <c r="AI82" s="1251"/>
      <c r="AJ82" s="1251"/>
      <c r="AK82" s="1251"/>
      <c r="AL82" s="1198">
        <f t="shared" si="5"/>
        <v>11866220</v>
      </c>
    </row>
    <row r="83" spans="1:66" s="1181" customFormat="1" ht="12.75" x14ac:dyDescent="0.15">
      <c r="A83" s="1246" t="s">
        <v>149</v>
      </c>
      <c r="B83" s="1246"/>
      <c r="C83" s="1247"/>
      <c r="D83" s="1247"/>
      <c r="E83" s="1248">
        <v>8623800</v>
      </c>
      <c r="F83" s="1253"/>
      <c r="G83" s="1248"/>
      <c r="H83" s="1248"/>
      <c r="I83" s="1248"/>
      <c r="J83" s="1248"/>
      <c r="K83" s="1248"/>
      <c r="L83" s="864"/>
      <c r="M83" s="864"/>
      <c r="N83" s="864"/>
      <c r="O83" s="1224"/>
      <c r="P83" s="864"/>
      <c r="Q83" s="864"/>
      <c r="R83" s="1249"/>
      <c r="S83" s="864"/>
      <c r="T83" s="1250"/>
      <c r="U83" s="1193"/>
      <c r="V83" s="864"/>
      <c r="W83" s="864"/>
      <c r="X83" s="570"/>
      <c r="Y83" s="1193"/>
      <c r="Z83" s="1193"/>
      <c r="AA83" s="980"/>
      <c r="AB83" s="1251"/>
      <c r="AC83" s="1252"/>
      <c r="AD83" s="1251"/>
      <c r="AE83" s="1251"/>
      <c r="AF83" s="1251"/>
      <c r="AG83" s="1251"/>
      <c r="AH83" s="1251"/>
      <c r="AI83" s="1251"/>
      <c r="AJ83" s="1251"/>
      <c r="AK83" s="1251"/>
      <c r="AL83" s="1198">
        <f t="shared" si="5"/>
        <v>8623800</v>
      </c>
    </row>
    <row r="84" spans="1:66" s="1181" customFormat="1" ht="12.75" x14ac:dyDescent="0.15">
      <c r="A84" s="1246" t="s">
        <v>148</v>
      </c>
      <c r="B84" s="1246"/>
      <c r="C84" s="1247"/>
      <c r="D84" s="1247"/>
      <c r="E84" s="1248">
        <v>34310675</v>
      </c>
      <c r="F84" s="1253"/>
      <c r="G84" s="1248"/>
      <c r="H84" s="1248"/>
      <c r="I84" s="1248"/>
      <c r="J84" s="1248"/>
      <c r="K84" s="1248"/>
      <c r="L84" s="864"/>
      <c r="M84" s="864"/>
      <c r="N84" s="864"/>
      <c r="O84" s="1224"/>
      <c r="P84" s="864"/>
      <c r="Q84" s="864"/>
      <c r="R84" s="1249"/>
      <c r="S84" s="864"/>
      <c r="T84" s="1250"/>
      <c r="U84" s="1193"/>
      <c r="V84" s="864"/>
      <c r="W84" s="864"/>
      <c r="X84" s="570"/>
      <c r="Y84" s="1193"/>
      <c r="Z84" s="1193"/>
      <c r="AA84" s="980"/>
      <c r="AB84" s="1251"/>
      <c r="AC84" s="1252"/>
      <c r="AD84" s="1251"/>
      <c r="AE84" s="1251"/>
      <c r="AF84" s="1251"/>
      <c r="AG84" s="1251"/>
      <c r="AH84" s="1251"/>
      <c r="AI84" s="1251"/>
      <c r="AJ84" s="1251"/>
      <c r="AK84" s="1251"/>
      <c r="AL84" s="1198">
        <f t="shared" si="5"/>
        <v>34310675</v>
      </c>
    </row>
    <row r="85" spans="1:66" s="1181" customFormat="1" ht="12.75" x14ac:dyDescent="0.25">
      <c r="A85" s="1246" t="s">
        <v>140</v>
      </c>
      <c r="B85" s="1246"/>
      <c r="C85" s="1247"/>
      <c r="D85" s="1247"/>
      <c r="E85" s="1248">
        <v>13285122</v>
      </c>
      <c r="F85" s="1253"/>
      <c r="G85" s="1248"/>
      <c r="H85" s="1248"/>
      <c r="I85" s="1248"/>
      <c r="J85" s="1248"/>
      <c r="K85" s="1248"/>
      <c r="L85" s="864"/>
      <c r="M85" s="864"/>
      <c r="N85" s="864"/>
      <c r="O85" s="1224"/>
      <c r="P85" s="864"/>
      <c r="Q85" s="864"/>
      <c r="R85" s="1253"/>
      <c r="S85" s="864"/>
      <c r="T85" s="864"/>
      <c r="U85" s="1193"/>
      <c r="V85" s="864"/>
      <c r="W85" s="864"/>
      <c r="X85" s="570"/>
      <c r="Y85" s="1193"/>
      <c r="Z85" s="1193"/>
      <c r="AA85" s="980"/>
      <c r="AB85" s="1251"/>
      <c r="AC85" s="1252"/>
      <c r="AD85" s="1251"/>
      <c r="AE85" s="1251"/>
      <c r="AF85" s="1251"/>
      <c r="AG85" s="1251"/>
      <c r="AH85" s="1251"/>
      <c r="AI85" s="1251"/>
      <c r="AJ85" s="1251"/>
      <c r="AK85" s="1251"/>
      <c r="AL85" s="1198">
        <f t="shared" si="5"/>
        <v>13285122</v>
      </c>
    </row>
    <row r="86" spans="1:66" s="1181" customFormat="1" x14ac:dyDescent="0.25">
      <c r="A86" s="1246" t="s">
        <v>145</v>
      </c>
      <c r="B86" s="1246"/>
      <c r="C86" s="1247"/>
      <c r="D86" s="1247"/>
      <c r="E86" s="1248">
        <v>11854460</v>
      </c>
      <c r="F86" s="1253"/>
      <c r="G86" s="1248"/>
      <c r="H86" s="1248"/>
      <c r="I86" s="1248"/>
      <c r="J86" s="1248"/>
      <c r="K86" s="1248"/>
      <c r="L86" s="864"/>
      <c r="M86" s="864"/>
      <c r="N86" s="864"/>
      <c r="O86" s="1224"/>
      <c r="P86" s="864"/>
      <c r="Q86" s="864"/>
      <c r="R86" s="1249"/>
      <c r="S86" s="864"/>
      <c r="T86" s="864"/>
      <c r="U86" s="1193"/>
      <c r="V86" s="864"/>
      <c r="X86" s="570"/>
      <c r="Y86" s="864"/>
      <c r="Z86" s="1193"/>
      <c r="AA86" s="980"/>
      <c r="AB86" s="1254"/>
      <c r="AC86" s="1255"/>
      <c r="AD86" s="1256"/>
      <c r="AE86" s="1256"/>
      <c r="AF86" s="1256"/>
      <c r="AG86" s="1256"/>
      <c r="AH86" s="1256"/>
      <c r="AI86" s="1256"/>
      <c r="AJ86" s="1256"/>
      <c r="AK86" s="1256"/>
      <c r="AL86" s="1198">
        <f t="shared" si="5"/>
        <v>11854460</v>
      </c>
    </row>
    <row r="87" spans="1:66" s="1181" customFormat="1" x14ac:dyDescent="0.25">
      <c r="A87" s="1246" t="s">
        <v>141</v>
      </c>
      <c r="B87" s="1246"/>
      <c r="C87" s="1247"/>
      <c r="D87" s="1247"/>
      <c r="E87" s="1248">
        <v>7767000</v>
      </c>
      <c r="F87" s="1253"/>
      <c r="G87" s="1248"/>
      <c r="H87" s="1248"/>
      <c r="I87" s="1248"/>
      <c r="J87" s="1248"/>
      <c r="K87" s="1248"/>
      <c r="L87" s="864"/>
      <c r="M87" s="864"/>
      <c r="N87" s="864"/>
      <c r="O87" s="864"/>
      <c r="P87" s="864"/>
      <c r="Q87" s="864"/>
      <c r="R87" s="1249"/>
      <c r="S87" s="864"/>
      <c r="T87" s="864"/>
      <c r="U87" s="1193"/>
      <c r="V87" s="864"/>
      <c r="W87" s="864"/>
      <c r="X87" s="570"/>
      <c r="Y87" s="1193"/>
      <c r="Z87" s="1193"/>
      <c r="AA87" s="980"/>
      <c r="AB87" s="1254"/>
      <c r="AC87" s="1255"/>
      <c r="AD87" s="1256"/>
      <c r="AE87" s="1256"/>
      <c r="AF87" s="1256"/>
      <c r="AG87" s="1256"/>
      <c r="AH87" s="1256"/>
      <c r="AI87" s="1256"/>
      <c r="AJ87" s="1256"/>
      <c r="AK87" s="1256"/>
      <c r="AL87" s="1198">
        <f t="shared" si="5"/>
        <v>7767000</v>
      </c>
    </row>
    <row r="88" spans="1:66" s="1181" customFormat="1" x14ac:dyDescent="0.25">
      <c r="A88" s="1246" t="s">
        <v>144</v>
      </c>
      <c r="B88" s="1246"/>
      <c r="C88" s="864"/>
      <c r="D88" s="1247"/>
      <c r="E88" s="1248">
        <v>11508736</v>
      </c>
      <c r="F88" s="1253"/>
      <c r="G88" s="1248"/>
      <c r="H88" s="1248"/>
      <c r="I88" s="1248"/>
      <c r="J88" s="1248"/>
      <c r="K88" s="1248"/>
      <c r="L88" s="864"/>
      <c r="M88" s="864"/>
      <c r="N88" s="864"/>
      <c r="O88" s="864"/>
      <c r="P88" s="864"/>
      <c r="Q88" s="864"/>
      <c r="R88" s="1249"/>
      <c r="S88" s="864"/>
      <c r="T88" s="864"/>
      <c r="U88" s="1193"/>
      <c r="V88" s="864"/>
      <c r="W88" s="864"/>
      <c r="X88" s="570"/>
      <c r="Y88" s="1193"/>
      <c r="Z88" s="1193"/>
      <c r="AA88" s="980"/>
      <c r="AB88" s="1254"/>
      <c r="AC88" s="1255"/>
      <c r="AD88" s="1256"/>
      <c r="AE88" s="1256"/>
      <c r="AF88" s="1256"/>
      <c r="AG88" s="1256"/>
      <c r="AH88" s="1256"/>
      <c r="AI88" s="1256"/>
      <c r="AJ88" s="1256"/>
      <c r="AK88" s="1256"/>
      <c r="AL88" s="1198">
        <f t="shared" si="5"/>
        <v>11508736</v>
      </c>
    </row>
    <row r="89" spans="1:66" s="1181" customFormat="1" x14ac:dyDescent="0.25">
      <c r="A89" s="1246" t="s">
        <v>226</v>
      </c>
      <c r="B89" s="1246"/>
      <c r="C89" s="1247"/>
      <c r="D89" s="1247"/>
      <c r="E89" s="1248">
        <v>15797550</v>
      </c>
      <c r="F89" s="1253"/>
      <c r="G89" s="1248"/>
      <c r="H89" s="1248"/>
      <c r="I89" s="1248"/>
      <c r="J89" s="1248"/>
      <c r="K89" s="1248"/>
      <c r="M89" s="864"/>
      <c r="N89" s="864"/>
      <c r="O89" s="864"/>
      <c r="P89" s="864"/>
      <c r="Q89" s="864"/>
      <c r="R89" s="1249"/>
      <c r="S89" s="864"/>
      <c r="T89" s="864"/>
      <c r="U89" s="1193"/>
      <c r="V89" s="864"/>
      <c r="W89" s="864"/>
      <c r="X89" s="570"/>
      <c r="Y89" s="1193"/>
      <c r="Z89" s="1193"/>
      <c r="AA89" s="980"/>
      <c r="AB89" s="1254"/>
      <c r="AC89" s="1255"/>
      <c r="AD89" s="1256"/>
      <c r="AE89" s="1256"/>
      <c r="AF89" s="1256"/>
      <c r="AG89" s="1256"/>
      <c r="AH89" s="1256"/>
      <c r="AI89" s="1256"/>
      <c r="AJ89" s="1256"/>
      <c r="AK89" s="1256"/>
      <c r="AL89" s="1198">
        <f t="shared" si="5"/>
        <v>15797550</v>
      </c>
    </row>
    <row r="90" spans="1:66" s="1181" customFormat="1" x14ac:dyDescent="0.25">
      <c r="A90" s="1246" t="s">
        <v>143</v>
      </c>
      <c r="B90" s="1246"/>
      <c r="C90" s="1247"/>
      <c r="D90" s="1247"/>
      <c r="E90" s="1248">
        <v>27724071</v>
      </c>
      <c r="F90" s="1253"/>
      <c r="G90" s="1248"/>
      <c r="H90" s="1248"/>
      <c r="I90" s="1248"/>
      <c r="J90" s="1248"/>
      <c r="K90" s="1248"/>
      <c r="L90" s="864"/>
      <c r="M90" s="864"/>
      <c r="N90" s="864"/>
      <c r="O90" s="864"/>
      <c r="P90" s="864"/>
      <c r="Q90" s="864"/>
      <c r="R90" s="1249"/>
      <c r="S90" s="864"/>
      <c r="T90" s="864"/>
      <c r="U90" s="1193"/>
      <c r="V90" s="864"/>
      <c r="W90" s="864"/>
      <c r="X90" s="570"/>
      <c r="Y90" s="1193"/>
      <c r="Z90" s="1193"/>
      <c r="AA90" s="980"/>
      <c r="AB90" s="1254"/>
      <c r="AC90" s="1255"/>
      <c r="AD90" s="1251"/>
      <c r="AE90" s="1251"/>
      <c r="AF90" s="1251"/>
      <c r="AG90" s="1251"/>
      <c r="AH90" s="1251"/>
      <c r="AI90" s="1251"/>
      <c r="AJ90" s="1251"/>
      <c r="AK90" s="1251"/>
      <c r="AL90" s="1198">
        <f t="shared" si="5"/>
        <v>27724071</v>
      </c>
    </row>
    <row r="91" spans="1:66" s="1181" customFormat="1" x14ac:dyDescent="0.25">
      <c r="A91" s="1246" t="s">
        <v>4751</v>
      </c>
      <c r="B91" s="1246"/>
      <c r="C91" s="1247"/>
      <c r="D91" s="1247"/>
      <c r="E91" s="1248">
        <v>16388032</v>
      </c>
      <c r="F91" s="1253"/>
      <c r="G91" s="1248"/>
      <c r="H91" s="1248"/>
      <c r="I91" s="1248"/>
      <c r="J91" s="1248"/>
      <c r="K91" s="1248"/>
      <c r="L91" s="864"/>
      <c r="M91" s="864"/>
      <c r="N91" s="864"/>
      <c r="O91" s="1224"/>
      <c r="P91" s="864"/>
      <c r="Q91" s="864"/>
      <c r="R91" s="1253"/>
      <c r="S91" s="864"/>
      <c r="T91" s="864"/>
      <c r="U91" s="1193"/>
      <c r="V91" s="864"/>
      <c r="W91" s="864"/>
      <c r="X91" s="570"/>
      <c r="Y91" s="1193"/>
      <c r="AA91" s="980"/>
      <c r="AB91" s="1254"/>
      <c r="AC91" s="1255"/>
      <c r="AD91" s="1256"/>
      <c r="AE91" s="1256"/>
      <c r="AF91" s="1256"/>
      <c r="AG91" s="1256"/>
      <c r="AH91" s="1256"/>
      <c r="AI91" s="1256"/>
      <c r="AJ91" s="1256"/>
      <c r="AK91" s="1256"/>
      <c r="AL91" s="1198">
        <f t="shared" si="5"/>
        <v>16388032</v>
      </c>
    </row>
    <row r="92" spans="1:66" s="1181" customFormat="1" ht="12.75" x14ac:dyDescent="0.25">
      <c r="A92" s="1246" t="s">
        <v>225</v>
      </c>
      <c r="B92" s="1246"/>
      <c r="C92" s="1247"/>
      <c r="D92" s="1257"/>
      <c r="E92" s="1248"/>
      <c r="F92" s="1248"/>
      <c r="G92" s="1248">
        <v>100000</v>
      </c>
      <c r="H92" s="1248"/>
      <c r="I92" s="1248"/>
      <c r="J92" s="1248"/>
      <c r="K92" s="1248"/>
      <c r="L92" s="864"/>
      <c r="M92" s="864"/>
      <c r="N92" s="864"/>
      <c r="O92" s="864"/>
      <c r="P92" s="864"/>
      <c r="Q92" s="864"/>
      <c r="R92" s="1253"/>
      <c r="S92" s="864"/>
      <c r="T92" s="864"/>
      <c r="U92" s="1193"/>
      <c r="V92" s="864"/>
      <c r="W92" s="864"/>
      <c r="X92" s="570"/>
      <c r="Y92" s="1193"/>
      <c r="Z92" s="1193"/>
      <c r="AA92" s="980"/>
      <c r="AB92" s="1251"/>
      <c r="AC92" s="1258"/>
      <c r="AD92" s="1251"/>
      <c r="AE92" s="1251"/>
      <c r="AF92" s="1251"/>
      <c r="AG92" s="1251"/>
      <c r="AH92" s="1251"/>
      <c r="AI92" s="1251"/>
      <c r="AJ92" s="1251"/>
      <c r="AK92" s="1251"/>
      <c r="AL92" s="1198">
        <f t="shared" si="5"/>
        <v>100000</v>
      </c>
    </row>
    <row r="93" spans="1:66" s="1181" customFormat="1" ht="12.75" x14ac:dyDescent="0.25">
      <c r="A93" s="1259" t="s">
        <v>203</v>
      </c>
      <c r="B93" s="1259"/>
      <c r="C93" s="1260">
        <f>SUM(C80:C92)</f>
        <v>0</v>
      </c>
      <c r="D93" s="1260">
        <f t="shared" ref="D93:AK93" si="6">SUM(D80:D92)</f>
        <v>0</v>
      </c>
      <c r="E93" s="1260">
        <f t="shared" si="6"/>
        <v>181719355</v>
      </c>
      <c r="F93" s="1260">
        <f t="shared" si="6"/>
        <v>0</v>
      </c>
      <c r="G93" s="1260">
        <f t="shared" si="6"/>
        <v>100000</v>
      </c>
      <c r="H93" s="1260">
        <f t="shared" si="6"/>
        <v>0</v>
      </c>
      <c r="I93" s="1260">
        <f t="shared" si="6"/>
        <v>0</v>
      </c>
      <c r="J93" s="1260">
        <f t="shared" si="6"/>
        <v>0</v>
      </c>
      <c r="K93" s="1260">
        <f t="shared" si="6"/>
        <v>0</v>
      </c>
      <c r="L93" s="1260">
        <f t="shared" si="6"/>
        <v>0</v>
      </c>
      <c r="M93" s="1260">
        <f t="shared" si="6"/>
        <v>0</v>
      </c>
      <c r="N93" s="1260">
        <f t="shared" si="6"/>
        <v>0</v>
      </c>
      <c r="O93" s="1260">
        <f t="shared" si="6"/>
        <v>0</v>
      </c>
      <c r="P93" s="1260">
        <f t="shared" si="6"/>
        <v>0</v>
      </c>
      <c r="Q93" s="1260">
        <f t="shared" si="6"/>
        <v>0</v>
      </c>
      <c r="R93" s="1260">
        <f t="shared" si="6"/>
        <v>0</v>
      </c>
      <c r="S93" s="1260">
        <f t="shared" si="6"/>
        <v>0</v>
      </c>
      <c r="T93" s="1260">
        <f t="shared" si="6"/>
        <v>0</v>
      </c>
      <c r="U93" s="1260">
        <f t="shared" si="6"/>
        <v>0</v>
      </c>
      <c r="V93" s="1260">
        <f t="shared" si="6"/>
        <v>0</v>
      </c>
      <c r="W93" s="1260">
        <f t="shared" si="6"/>
        <v>0</v>
      </c>
      <c r="X93" s="1260">
        <f t="shared" si="6"/>
        <v>0</v>
      </c>
      <c r="Y93" s="1260">
        <f t="shared" si="6"/>
        <v>0</v>
      </c>
      <c r="Z93" s="1260">
        <f t="shared" si="6"/>
        <v>0</v>
      </c>
      <c r="AA93" s="1260">
        <f t="shared" si="6"/>
        <v>0</v>
      </c>
      <c r="AB93" s="1260">
        <f t="shared" si="6"/>
        <v>0</v>
      </c>
      <c r="AC93" s="1260">
        <f t="shared" si="6"/>
        <v>0</v>
      </c>
      <c r="AD93" s="1260">
        <f t="shared" si="6"/>
        <v>0</v>
      </c>
      <c r="AE93" s="1260">
        <f t="shared" si="6"/>
        <v>0</v>
      </c>
      <c r="AF93" s="1260">
        <f t="shared" si="6"/>
        <v>0</v>
      </c>
      <c r="AG93" s="1260">
        <f t="shared" si="6"/>
        <v>0</v>
      </c>
      <c r="AH93" s="1260">
        <f t="shared" si="6"/>
        <v>0</v>
      </c>
      <c r="AI93" s="1260">
        <f t="shared" si="6"/>
        <v>0</v>
      </c>
      <c r="AJ93" s="1260">
        <f t="shared" si="6"/>
        <v>0</v>
      </c>
      <c r="AK93" s="1260">
        <f t="shared" si="6"/>
        <v>0</v>
      </c>
      <c r="AL93" s="1260">
        <f>SUM(AL80:AL92)</f>
        <v>181819355</v>
      </c>
    </row>
    <row r="94" spans="1:66" s="1181" customFormat="1" ht="19.5" x14ac:dyDescent="0.25">
      <c r="A94" s="1229"/>
      <c r="B94" s="1229"/>
      <c r="C94" s="1230"/>
      <c r="D94" s="1230"/>
      <c r="E94" s="1230"/>
      <c r="F94" s="1230"/>
      <c r="G94" s="1230"/>
      <c r="H94" s="1230"/>
      <c r="I94" s="1230"/>
      <c r="J94" s="1230"/>
      <c r="K94" s="1230"/>
      <c r="L94" s="1230"/>
      <c r="M94" s="1230"/>
      <c r="N94" s="1230"/>
      <c r="O94" s="1230"/>
      <c r="P94" s="1230"/>
      <c r="Q94" s="1230"/>
      <c r="R94" s="1230"/>
      <c r="S94" s="1230"/>
      <c r="T94" s="1230"/>
      <c r="U94" s="1190"/>
      <c r="V94" s="1230"/>
      <c r="W94" s="1230"/>
      <c r="X94" s="1190"/>
      <c r="Y94" s="1190"/>
      <c r="Z94" s="1190"/>
      <c r="AA94" s="1232"/>
      <c r="AB94" s="1261"/>
      <c r="AC94" s="1233"/>
      <c r="AD94" s="1234"/>
      <c r="AE94" s="1234"/>
      <c r="AF94" s="1234"/>
      <c r="AG94" s="1234"/>
      <c r="AH94" s="1234"/>
      <c r="AI94" s="1234"/>
      <c r="AJ94" s="1234"/>
      <c r="AK94" s="1234"/>
      <c r="AL94" s="1230"/>
    </row>
    <row r="95" spans="1:66" s="1181" customFormat="1" ht="19.5" x14ac:dyDescent="0.25">
      <c r="A95" s="1229" t="s">
        <v>202</v>
      </c>
      <c r="B95" s="1229"/>
      <c r="C95" s="1230"/>
      <c r="D95" s="1230"/>
      <c r="E95" s="1230"/>
      <c r="F95" s="1230"/>
      <c r="G95" s="1230"/>
      <c r="H95" s="1230"/>
      <c r="I95" s="1230"/>
      <c r="J95" s="1230"/>
      <c r="K95" s="1230"/>
      <c r="L95" s="1230"/>
      <c r="M95" s="1230"/>
      <c r="N95" s="1230"/>
      <c r="O95" s="1230"/>
      <c r="P95" s="1230"/>
      <c r="Q95" s="1230"/>
      <c r="R95" s="1230"/>
      <c r="S95" s="1230"/>
      <c r="T95" s="1230"/>
      <c r="U95" s="1190"/>
      <c r="V95" s="1230"/>
      <c r="W95" s="1230"/>
      <c r="X95" s="1190"/>
      <c r="Y95" s="1190"/>
      <c r="Z95" s="1190"/>
      <c r="AA95" s="1232"/>
      <c r="AB95" s="1234"/>
      <c r="AC95" s="1233"/>
      <c r="AD95" s="1234"/>
      <c r="AE95" s="1234"/>
      <c r="AF95" s="1234"/>
      <c r="AG95" s="1234"/>
      <c r="AH95" s="1234"/>
      <c r="AI95" s="1234"/>
      <c r="AJ95" s="1234"/>
      <c r="AK95" s="1234"/>
      <c r="AL95" s="1262"/>
    </row>
    <row r="96" spans="1:66" s="1181" customFormat="1" x14ac:dyDescent="0.25">
      <c r="A96" s="1180" t="s">
        <v>224</v>
      </c>
      <c r="B96" s="1180"/>
      <c r="C96" s="1230"/>
      <c r="D96" s="1230"/>
      <c r="E96" s="1235"/>
      <c r="F96" s="1230"/>
      <c r="G96" s="1230"/>
      <c r="H96" s="1230"/>
      <c r="I96" s="1230"/>
      <c r="J96" s="1230"/>
      <c r="K96" s="1230"/>
      <c r="L96" s="1230"/>
      <c r="M96" s="1230"/>
      <c r="N96" s="1230"/>
      <c r="O96" s="1230"/>
      <c r="P96" s="1230"/>
      <c r="Q96" s="1230"/>
      <c r="R96" s="1230"/>
      <c r="S96" s="1230"/>
      <c r="T96" s="1230"/>
      <c r="U96" s="1190"/>
      <c r="V96" s="1230"/>
      <c r="W96" s="1230"/>
      <c r="X96" s="1190"/>
      <c r="Y96" s="1190"/>
      <c r="Z96" s="1190"/>
      <c r="AA96" s="1232"/>
      <c r="AB96" s="1234"/>
      <c r="AC96" s="1233"/>
      <c r="AD96" s="1234"/>
      <c r="AE96" s="1234"/>
      <c r="AF96" s="1234"/>
      <c r="AG96" s="1234"/>
      <c r="AH96" s="1234"/>
      <c r="AI96" s="1234"/>
      <c r="AJ96" s="1234"/>
      <c r="AK96" s="1234"/>
      <c r="AL96" s="1230"/>
      <c r="AM96" s="1235"/>
      <c r="AN96" s="1235"/>
      <c r="AO96" s="1235"/>
      <c r="AP96" s="1235"/>
      <c r="AQ96" s="1235"/>
      <c r="AR96" s="1235"/>
      <c r="AS96" s="1235"/>
      <c r="AT96" s="1235"/>
      <c r="AU96" s="1235"/>
      <c r="AV96" s="1235"/>
      <c r="AW96" s="1235"/>
      <c r="AX96" s="1235"/>
      <c r="AY96" s="1235"/>
      <c r="AZ96" s="1235"/>
      <c r="BA96" s="1235"/>
      <c r="BB96" s="1235"/>
      <c r="BC96" s="1235"/>
      <c r="BD96" s="1235"/>
      <c r="BE96" s="1235"/>
      <c r="BF96" s="1235"/>
      <c r="BG96" s="1235"/>
      <c r="BH96" s="1235"/>
      <c r="BI96" s="1235"/>
      <c r="BJ96" s="1235"/>
      <c r="BK96" s="1235"/>
      <c r="BN96" s="1235"/>
    </row>
    <row r="97" spans="1:38" s="1240" customFormat="1" ht="14.25" x14ac:dyDescent="0.25">
      <c r="A97" s="1477" t="s">
        <v>139</v>
      </c>
      <c r="B97" s="1238"/>
      <c r="C97" s="1238"/>
      <c r="D97" s="1238"/>
      <c r="E97" s="1483" t="s">
        <v>114</v>
      </c>
      <c r="F97" s="1484"/>
      <c r="G97" s="1484"/>
      <c r="H97" s="1484"/>
      <c r="I97" s="1484"/>
      <c r="J97" s="1484"/>
      <c r="K97" s="1484"/>
      <c r="L97" s="1484"/>
      <c r="M97" s="1484"/>
      <c r="N97" s="1484"/>
      <c r="O97" s="1484"/>
      <c r="P97" s="1484"/>
      <c r="Q97" s="1484"/>
      <c r="R97" s="1484"/>
      <c r="S97" s="1484"/>
      <c r="T97" s="1484"/>
      <c r="U97" s="1484"/>
      <c r="V97" s="1484"/>
      <c r="W97" s="1484"/>
      <c r="X97" s="1484"/>
      <c r="Y97" s="1484"/>
      <c r="Z97" s="1484"/>
      <c r="AA97" s="1484"/>
      <c r="AB97" s="1484"/>
      <c r="AC97" s="1484"/>
      <c r="AD97" s="1484"/>
      <c r="AE97" s="1484"/>
      <c r="AF97" s="1484"/>
      <c r="AG97" s="1484"/>
      <c r="AH97" s="1484"/>
      <c r="AI97" s="1484"/>
      <c r="AJ97" s="1484"/>
      <c r="AK97" s="1484"/>
      <c r="AL97" s="1485"/>
    </row>
    <row r="98" spans="1:38" s="1240" customFormat="1" ht="11.25" x14ac:dyDescent="0.25">
      <c r="A98" s="1477"/>
      <c r="B98" s="1239"/>
      <c r="C98" s="1188">
        <v>1</v>
      </c>
      <c r="D98" s="1188">
        <v>2</v>
      </c>
      <c r="E98" s="1188">
        <v>3</v>
      </c>
      <c r="F98" s="1188">
        <v>4</v>
      </c>
      <c r="G98" s="1188">
        <v>5</v>
      </c>
      <c r="H98" s="1188">
        <v>6</v>
      </c>
      <c r="I98" s="1188">
        <v>7</v>
      </c>
      <c r="J98" s="1188">
        <v>8</v>
      </c>
      <c r="K98" s="1188">
        <v>9</v>
      </c>
      <c r="L98" s="1188">
        <v>10</v>
      </c>
      <c r="M98" s="1188">
        <v>11</v>
      </c>
      <c r="N98" s="1188">
        <v>12</v>
      </c>
      <c r="O98" s="1188">
        <v>13</v>
      </c>
      <c r="P98" s="1188">
        <v>14</v>
      </c>
      <c r="Q98" s="1188">
        <v>15</v>
      </c>
      <c r="R98" s="1188">
        <v>16</v>
      </c>
      <c r="S98" s="1188">
        <v>17</v>
      </c>
      <c r="T98" s="1188">
        <v>18</v>
      </c>
      <c r="U98" s="1188">
        <v>19</v>
      </c>
      <c r="V98" s="1188">
        <v>20</v>
      </c>
      <c r="W98" s="1188">
        <v>21</v>
      </c>
      <c r="X98" s="1188">
        <v>22</v>
      </c>
      <c r="Y98" s="1188">
        <v>23</v>
      </c>
      <c r="Z98" s="1188">
        <v>24</v>
      </c>
      <c r="AA98" s="1188">
        <v>25</v>
      </c>
      <c r="AB98" s="1188">
        <v>26</v>
      </c>
      <c r="AC98" s="1188">
        <v>27</v>
      </c>
      <c r="AD98" s="1188">
        <v>28</v>
      </c>
      <c r="AE98" s="1188">
        <v>29</v>
      </c>
      <c r="AF98" s="1188">
        <v>30</v>
      </c>
      <c r="AG98" s="1188">
        <v>31</v>
      </c>
      <c r="AH98" s="1188">
        <v>32</v>
      </c>
      <c r="AI98" s="1188">
        <v>33</v>
      </c>
      <c r="AJ98" s="1188">
        <v>34</v>
      </c>
      <c r="AK98" s="1188">
        <v>35</v>
      </c>
      <c r="AL98" s="1473" t="s">
        <v>24</v>
      </c>
    </row>
    <row r="99" spans="1:38" s="1181" customFormat="1" ht="12" x14ac:dyDescent="0.25">
      <c r="A99" s="1477"/>
      <c r="B99" s="1239"/>
      <c r="C99" s="1239" t="s">
        <v>91</v>
      </c>
      <c r="D99" s="1239" t="s">
        <v>91</v>
      </c>
      <c r="E99" s="1239" t="s">
        <v>91</v>
      </c>
      <c r="F99" s="1239" t="s">
        <v>91</v>
      </c>
      <c r="G99" s="1239" t="s">
        <v>91</v>
      </c>
      <c r="H99" s="1239" t="s">
        <v>91</v>
      </c>
      <c r="I99" s="1239" t="s">
        <v>91</v>
      </c>
      <c r="J99" s="1239" t="s">
        <v>91</v>
      </c>
      <c r="K99" s="1239" t="s">
        <v>91</v>
      </c>
      <c r="L99" s="1239" t="s">
        <v>91</v>
      </c>
      <c r="M99" s="1239" t="s">
        <v>91</v>
      </c>
      <c r="N99" s="1239" t="s">
        <v>91</v>
      </c>
      <c r="O99" s="1239" t="s">
        <v>91</v>
      </c>
      <c r="P99" s="1239" t="s">
        <v>91</v>
      </c>
      <c r="Q99" s="1239" t="s">
        <v>91</v>
      </c>
      <c r="R99" s="1239" t="s">
        <v>91</v>
      </c>
      <c r="S99" s="1239" t="s">
        <v>91</v>
      </c>
      <c r="T99" s="1239" t="s">
        <v>91</v>
      </c>
      <c r="U99" s="1188" t="s">
        <v>91</v>
      </c>
      <c r="V99" s="1239" t="s">
        <v>91</v>
      </c>
      <c r="W99" s="1239" t="s">
        <v>91</v>
      </c>
      <c r="X99" s="1188" t="s">
        <v>91</v>
      </c>
      <c r="Y99" s="1188" t="s">
        <v>91</v>
      </c>
      <c r="Z99" s="1188" t="s">
        <v>91</v>
      </c>
      <c r="AA99" s="1242" t="s">
        <v>91</v>
      </c>
      <c r="AB99" s="1243" t="s">
        <v>91</v>
      </c>
      <c r="AC99" s="1244" t="s">
        <v>91</v>
      </c>
      <c r="AD99" s="1243" t="s">
        <v>91</v>
      </c>
      <c r="AE99" s="1245"/>
      <c r="AF99" s="1245"/>
      <c r="AG99" s="1245"/>
      <c r="AH99" s="1245"/>
      <c r="AI99" s="1245"/>
      <c r="AJ99" s="1245"/>
      <c r="AK99" s="1245"/>
      <c r="AL99" s="1474"/>
    </row>
    <row r="100" spans="1:38" s="1181" customFormat="1" ht="11.25" x14ac:dyDescent="0.15">
      <c r="A100" s="1246" t="s">
        <v>86</v>
      </c>
      <c r="B100" s="1246"/>
      <c r="C100" s="864"/>
      <c r="D100" s="864"/>
      <c r="E100" s="1248"/>
      <c r="F100" s="1248"/>
      <c r="G100" s="1248"/>
      <c r="H100" s="1248"/>
      <c r="I100" s="1248"/>
      <c r="J100" s="1248"/>
      <c r="K100" s="1248"/>
      <c r="L100" s="864"/>
      <c r="M100" s="864"/>
      <c r="N100" s="864"/>
      <c r="O100" s="864"/>
      <c r="P100" s="864"/>
      <c r="Q100" s="864"/>
      <c r="R100" s="1249"/>
      <c r="S100" s="864"/>
      <c r="T100" s="1250"/>
      <c r="U100" s="1193"/>
      <c r="V100" s="1213"/>
      <c r="W100" s="864"/>
      <c r="X100" s="1193"/>
      <c r="Y100" s="1193"/>
      <c r="Z100" s="980"/>
      <c r="AA100" s="980"/>
      <c r="AB100" s="980"/>
      <c r="AC100" s="1253"/>
      <c r="AD100" s="864"/>
      <c r="AE100" s="864"/>
      <c r="AF100" s="864"/>
      <c r="AG100" s="864"/>
      <c r="AH100" s="864"/>
      <c r="AI100" s="864"/>
      <c r="AJ100" s="864"/>
      <c r="AK100" s="864"/>
      <c r="AL100" s="1247">
        <f>SUM(C100:AK100)</f>
        <v>0</v>
      </c>
    </row>
    <row r="101" spans="1:38" s="1181" customFormat="1" ht="11.25" x14ac:dyDescent="0.15">
      <c r="A101" s="1246" t="s">
        <v>146</v>
      </c>
      <c r="B101" s="1246"/>
      <c r="C101" s="864"/>
      <c r="D101" s="864"/>
      <c r="E101" s="1248"/>
      <c r="F101" s="1248"/>
      <c r="G101" s="1248"/>
      <c r="H101" s="1248"/>
      <c r="I101" s="1248"/>
      <c r="J101" s="1248"/>
      <c r="K101" s="1248"/>
      <c r="L101" s="864"/>
      <c r="M101" s="864"/>
      <c r="N101" s="864"/>
      <c r="O101" s="1224"/>
      <c r="P101" s="864"/>
      <c r="Q101" s="864"/>
      <c r="R101" s="1249"/>
      <c r="S101" s="864"/>
      <c r="T101" s="1263"/>
      <c r="U101" s="1193"/>
      <c r="V101" s="1200"/>
      <c r="W101" s="864"/>
      <c r="X101" s="1193"/>
      <c r="Y101" s="1193"/>
      <c r="Z101" s="617"/>
      <c r="AA101" s="980"/>
      <c r="AB101" s="980"/>
      <c r="AC101" s="1253"/>
      <c r="AD101" s="864"/>
      <c r="AE101" s="864"/>
      <c r="AF101" s="864"/>
      <c r="AG101" s="864"/>
      <c r="AH101" s="864"/>
      <c r="AI101" s="864"/>
      <c r="AJ101" s="864"/>
      <c r="AK101" s="864"/>
      <c r="AL101" s="1247">
        <f t="shared" ref="AL101:AL111" si="7">SUM(C101:AK101)</f>
        <v>0</v>
      </c>
    </row>
    <row r="102" spans="1:38" s="1181" customFormat="1" ht="11.25" x14ac:dyDescent="0.15">
      <c r="A102" s="1246" t="s">
        <v>142</v>
      </c>
      <c r="B102" s="1246"/>
      <c r="C102" s="864"/>
      <c r="D102" s="864"/>
      <c r="E102" s="1248"/>
      <c r="F102" s="1248"/>
      <c r="G102" s="1248"/>
      <c r="H102" s="1248"/>
      <c r="I102" s="1248"/>
      <c r="J102" s="1248"/>
      <c r="K102" s="1248"/>
      <c r="L102" s="1248"/>
      <c r="M102" s="1248"/>
      <c r="N102" s="864"/>
      <c r="O102" s="1224"/>
      <c r="P102" s="864"/>
      <c r="Q102" s="864"/>
      <c r="R102" s="1249"/>
      <c r="S102" s="864"/>
      <c r="T102" s="1250"/>
      <c r="U102" s="1193"/>
      <c r="V102" s="1213"/>
      <c r="W102" s="864"/>
      <c r="X102" s="1193"/>
      <c r="Y102" s="1193"/>
      <c r="Z102" s="1193"/>
      <c r="AA102" s="980"/>
      <c r="AB102" s="864"/>
      <c r="AC102" s="1253"/>
      <c r="AD102" s="864"/>
      <c r="AE102" s="864"/>
      <c r="AF102" s="864"/>
      <c r="AG102" s="864"/>
      <c r="AH102" s="864"/>
      <c r="AI102" s="864"/>
      <c r="AJ102" s="864"/>
      <c r="AK102" s="864"/>
      <c r="AL102" s="1247">
        <f t="shared" si="7"/>
        <v>0</v>
      </c>
    </row>
    <row r="103" spans="1:38" s="1181" customFormat="1" ht="13.5" customHeight="1" x14ac:dyDescent="0.15">
      <c r="A103" s="1246" t="s">
        <v>149</v>
      </c>
      <c r="B103" s="1246"/>
      <c r="C103" s="864"/>
      <c r="D103" s="864"/>
      <c r="E103" s="1248"/>
      <c r="F103" s="1248"/>
      <c r="G103" s="1248"/>
      <c r="H103" s="1248"/>
      <c r="I103" s="1248"/>
      <c r="J103" s="1248"/>
      <c r="K103" s="1248"/>
      <c r="L103" s="864"/>
      <c r="N103" s="864"/>
      <c r="P103" s="864"/>
      <c r="Q103" s="864"/>
      <c r="R103" s="1249"/>
      <c r="S103" s="864"/>
      <c r="T103" s="1250"/>
      <c r="U103" s="1193"/>
      <c r="V103" s="1213"/>
      <c r="W103" s="864"/>
      <c r="X103" s="1193"/>
      <c r="Y103" s="1193"/>
      <c r="Z103" s="980"/>
      <c r="AA103" s="980"/>
      <c r="AB103" s="980"/>
      <c r="AC103" s="1253"/>
      <c r="AD103" s="864"/>
      <c r="AE103" s="864"/>
      <c r="AF103" s="864"/>
      <c r="AG103" s="864"/>
      <c r="AH103" s="864"/>
      <c r="AI103" s="864"/>
      <c r="AJ103" s="864"/>
      <c r="AK103" s="864"/>
      <c r="AL103" s="1247">
        <f t="shared" si="7"/>
        <v>0</v>
      </c>
    </row>
    <row r="104" spans="1:38" s="1181" customFormat="1" ht="11.25" x14ac:dyDescent="0.15">
      <c r="A104" s="1246" t="s">
        <v>148</v>
      </c>
      <c r="B104" s="1246"/>
      <c r="C104" s="864"/>
      <c r="D104" s="864"/>
      <c r="E104" s="1248"/>
      <c r="F104" s="1248"/>
      <c r="G104" s="1248"/>
      <c r="H104" s="1248"/>
      <c r="I104" s="1248"/>
      <c r="J104" s="1248"/>
      <c r="K104" s="943"/>
      <c r="L104" s="864"/>
      <c r="M104" s="864"/>
      <c r="N104" s="864"/>
      <c r="O104" s="1224"/>
      <c r="P104" s="864"/>
      <c r="Q104" s="864"/>
      <c r="R104" s="1249"/>
      <c r="S104" s="864"/>
      <c r="T104" s="1263"/>
      <c r="U104" s="1193"/>
      <c r="V104" s="1213"/>
      <c r="W104" s="864"/>
      <c r="X104" s="1193"/>
      <c r="Y104" s="1193"/>
      <c r="Z104" s="980"/>
      <c r="AA104" s="980"/>
      <c r="AB104" s="980"/>
      <c r="AC104" s="1253"/>
      <c r="AD104" s="864"/>
      <c r="AE104" s="864"/>
      <c r="AF104" s="864"/>
      <c r="AG104" s="864"/>
      <c r="AH104" s="864"/>
      <c r="AI104" s="864"/>
      <c r="AJ104" s="864"/>
      <c r="AK104" s="864"/>
      <c r="AL104" s="1247">
        <f t="shared" si="7"/>
        <v>0</v>
      </c>
    </row>
    <row r="105" spans="1:38" s="1181" customFormat="1" ht="12.75" customHeight="1" x14ac:dyDescent="0.25">
      <c r="A105" s="1246" t="s">
        <v>140</v>
      </c>
      <c r="B105" s="1246"/>
      <c r="C105" s="864"/>
      <c r="D105" s="864"/>
      <c r="E105" s="1248"/>
      <c r="F105" s="570"/>
      <c r="G105" s="1248"/>
      <c r="H105" s="1248"/>
      <c r="I105" s="1248"/>
      <c r="J105" s="1248"/>
      <c r="K105" s="1248"/>
      <c r="L105" s="864"/>
      <c r="M105" s="864"/>
      <c r="N105" s="864"/>
      <c r="O105" s="1224"/>
      <c r="P105" s="864"/>
      <c r="Q105" s="864"/>
      <c r="R105" s="1253"/>
      <c r="S105" s="864"/>
      <c r="T105" s="864"/>
      <c r="U105" s="1193"/>
      <c r="V105" s="1213"/>
      <c r="W105" s="864"/>
      <c r="X105" s="1193"/>
      <c r="Y105" s="1193"/>
      <c r="Z105" s="980"/>
      <c r="AA105" s="980"/>
      <c r="AB105" s="980"/>
      <c r="AC105" s="1253"/>
      <c r="AD105" s="864"/>
      <c r="AE105" s="864"/>
      <c r="AF105" s="864"/>
      <c r="AG105" s="864"/>
      <c r="AH105" s="864"/>
      <c r="AI105" s="864"/>
      <c r="AJ105" s="864"/>
      <c r="AK105" s="864"/>
      <c r="AL105" s="1247">
        <f t="shared" si="7"/>
        <v>0</v>
      </c>
    </row>
    <row r="106" spans="1:38" s="1181" customFormat="1" ht="11.25" x14ac:dyDescent="0.15">
      <c r="A106" s="1246" t="s">
        <v>145</v>
      </c>
      <c r="B106" s="1246"/>
      <c r="C106" s="864"/>
      <c r="D106" s="864"/>
      <c r="E106" s="1248"/>
      <c r="F106" s="1248"/>
      <c r="G106" s="1248"/>
      <c r="H106" s="1248"/>
      <c r="I106" s="1248"/>
      <c r="J106" s="1248"/>
      <c r="K106" s="1248"/>
      <c r="L106" s="864"/>
      <c r="M106" s="864"/>
      <c r="N106" s="864"/>
      <c r="O106" s="864"/>
      <c r="P106" s="864"/>
      <c r="Q106" s="864"/>
      <c r="R106" s="1249"/>
      <c r="S106" s="864"/>
      <c r="T106" s="864"/>
      <c r="U106" s="1193"/>
      <c r="V106" s="864"/>
      <c r="X106" s="1193"/>
      <c r="Y106" s="864"/>
      <c r="Z106" s="980"/>
      <c r="AA106" s="980"/>
      <c r="AB106" s="980"/>
      <c r="AC106" s="1253"/>
      <c r="AD106" s="864"/>
      <c r="AE106" s="864"/>
      <c r="AF106" s="864"/>
      <c r="AG106" s="864"/>
      <c r="AH106" s="864"/>
      <c r="AI106" s="864"/>
      <c r="AJ106" s="864"/>
      <c r="AK106" s="864"/>
      <c r="AL106" s="1247">
        <f t="shared" si="7"/>
        <v>0</v>
      </c>
    </row>
    <row r="107" spans="1:38" s="1181" customFormat="1" ht="11.25" x14ac:dyDescent="0.15">
      <c r="A107" s="1246" t="s">
        <v>141</v>
      </c>
      <c r="B107" s="1246"/>
      <c r="C107" s="864"/>
      <c r="D107" s="864"/>
      <c r="E107" s="1248"/>
      <c r="F107" s="1248"/>
      <c r="G107" s="1248"/>
      <c r="H107" s="1248"/>
      <c r="I107" s="1248"/>
      <c r="J107" s="1248"/>
      <c r="K107" s="1248"/>
      <c r="L107" s="864"/>
      <c r="M107" s="864"/>
      <c r="N107" s="864"/>
      <c r="O107" s="864"/>
      <c r="P107" s="864"/>
      <c r="Q107" s="864"/>
      <c r="R107" s="1249"/>
      <c r="S107" s="864"/>
      <c r="T107" s="864"/>
      <c r="U107" s="1193"/>
      <c r="V107" s="864"/>
      <c r="W107" s="864"/>
      <c r="X107" s="1193"/>
      <c r="Y107" s="1193"/>
      <c r="Z107" s="980"/>
      <c r="AA107" s="980"/>
      <c r="AB107" s="1253"/>
      <c r="AC107" s="1253"/>
      <c r="AD107" s="864"/>
      <c r="AE107" s="864"/>
      <c r="AF107" s="864"/>
      <c r="AG107" s="864"/>
      <c r="AH107" s="864"/>
      <c r="AI107" s="864"/>
      <c r="AJ107" s="864"/>
      <c r="AK107" s="864"/>
      <c r="AL107" s="1247">
        <f t="shared" si="7"/>
        <v>0</v>
      </c>
    </row>
    <row r="108" spans="1:38" s="1181" customFormat="1" ht="11.25" x14ac:dyDescent="0.15">
      <c r="A108" s="1246" t="s">
        <v>144</v>
      </c>
      <c r="B108" s="1246"/>
      <c r="C108" s="864"/>
      <c r="D108" s="864"/>
      <c r="E108" s="1248"/>
      <c r="F108" s="1248"/>
      <c r="G108" s="1248"/>
      <c r="H108" s="1248"/>
      <c r="I108" s="1248"/>
      <c r="J108" s="1248"/>
      <c r="K108" s="1248"/>
      <c r="L108" s="864"/>
      <c r="M108" s="864"/>
      <c r="N108" s="864"/>
      <c r="O108" s="864"/>
      <c r="P108" s="864"/>
      <c r="Q108" s="864"/>
      <c r="R108" s="1249"/>
      <c r="S108" s="864"/>
      <c r="T108" s="864"/>
      <c r="U108" s="1193"/>
      <c r="V108" s="864"/>
      <c r="W108" s="864"/>
      <c r="X108" s="1193"/>
      <c r="Y108" s="1193"/>
      <c r="Z108" s="980"/>
      <c r="AA108" s="980"/>
      <c r="AB108" s="1253"/>
      <c r="AC108" s="1253"/>
      <c r="AD108" s="864"/>
      <c r="AE108" s="864"/>
      <c r="AF108" s="864"/>
      <c r="AG108" s="864"/>
      <c r="AH108" s="864"/>
      <c r="AI108" s="864"/>
      <c r="AJ108" s="864"/>
      <c r="AK108" s="864"/>
      <c r="AL108" s="1247">
        <f t="shared" si="7"/>
        <v>0</v>
      </c>
    </row>
    <row r="109" spans="1:38" s="1181" customFormat="1" ht="12.75" customHeight="1" x14ac:dyDescent="0.15">
      <c r="A109" s="1246" t="s">
        <v>147</v>
      </c>
      <c r="B109" s="1246"/>
      <c r="C109" s="864"/>
      <c r="D109" s="864"/>
      <c r="E109" s="1248"/>
      <c r="F109" s="1248"/>
      <c r="G109" s="1248"/>
      <c r="H109" s="1248"/>
      <c r="I109" s="1248"/>
      <c r="J109" s="1248"/>
      <c r="K109" s="1248"/>
      <c r="L109" s="864"/>
      <c r="M109" s="864"/>
      <c r="N109" s="864"/>
      <c r="O109" s="864"/>
      <c r="P109" s="864"/>
      <c r="Q109" s="864"/>
      <c r="R109" s="1249"/>
      <c r="S109" s="864"/>
      <c r="T109" s="864"/>
      <c r="U109" s="1193"/>
      <c r="V109" s="864"/>
      <c r="W109" s="864"/>
      <c r="X109" s="1193"/>
      <c r="Y109" s="1193"/>
      <c r="Z109" s="980"/>
      <c r="AA109" s="980"/>
      <c r="AB109" s="1253"/>
      <c r="AC109" s="1253"/>
      <c r="AD109" s="864"/>
      <c r="AE109" s="864"/>
      <c r="AF109" s="864"/>
      <c r="AG109" s="864"/>
      <c r="AH109" s="864"/>
      <c r="AI109" s="1256"/>
      <c r="AJ109" s="864"/>
      <c r="AK109" s="864"/>
      <c r="AL109" s="1247">
        <f t="shared" si="7"/>
        <v>0</v>
      </c>
    </row>
    <row r="110" spans="1:38" s="1181" customFormat="1" ht="11.25" x14ac:dyDescent="0.15">
      <c r="A110" s="1246" t="s">
        <v>143</v>
      </c>
      <c r="B110" s="1246"/>
      <c r="C110" s="864"/>
      <c r="D110" s="864"/>
      <c r="E110" s="1248"/>
      <c r="F110" s="1248"/>
      <c r="G110" s="1248"/>
      <c r="H110" s="1248"/>
      <c r="I110" s="1248"/>
      <c r="J110" s="1248"/>
      <c r="K110" s="1248"/>
      <c r="L110" s="864"/>
      <c r="M110" s="864"/>
      <c r="N110" s="864"/>
      <c r="O110" s="864"/>
      <c r="P110" s="864"/>
      <c r="Q110" s="864"/>
      <c r="R110" s="1249"/>
      <c r="S110" s="864"/>
      <c r="T110" s="864"/>
      <c r="U110" s="1193"/>
      <c r="V110" s="864"/>
      <c r="W110" s="864"/>
      <c r="X110" s="1193"/>
      <c r="Y110" s="1193"/>
      <c r="Z110" s="980"/>
      <c r="AA110" s="980"/>
      <c r="AB110" s="1253"/>
      <c r="AC110" s="1253"/>
      <c r="AD110" s="864"/>
      <c r="AE110" s="864"/>
      <c r="AF110" s="864"/>
      <c r="AG110" s="864"/>
      <c r="AH110" s="864"/>
      <c r="AI110" s="864"/>
      <c r="AJ110" s="864"/>
      <c r="AK110" s="864"/>
      <c r="AL110" s="1247">
        <f t="shared" si="7"/>
        <v>0</v>
      </c>
    </row>
    <row r="111" spans="1:38" s="1181" customFormat="1" ht="14.25" customHeight="1" x14ac:dyDescent="0.25">
      <c r="A111" s="1246" t="s">
        <v>4751</v>
      </c>
      <c r="B111" s="1246"/>
      <c r="C111" s="864"/>
      <c r="D111" s="864"/>
      <c r="E111" s="1248"/>
      <c r="F111" s="1248"/>
      <c r="G111" s="1248"/>
      <c r="H111" s="1248"/>
      <c r="I111" s="1248"/>
      <c r="J111" s="1248"/>
      <c r="K111" s="1248"/>
      <c r="L111" s="1264"/>
      <c r="M111" s="864"/>
      <c r="N111" s="864"/>
      <c r="O111" s="864"/>
      <c r="P111" s="864"/>
      <c r="Q111" s="864"/>
      <c r="R111" s="1253"/>
      <c r="S111" s="864"/>
      <c r="T111" s="864"/>
      <c r="U111" s="1193"/>
      <c r="V111" s="864"/>
      <c r="W111" s="864"/>
      <c r="X111" s="1193"/>
      <c r="Y111" s="1193"/>
      <c r="Z111" s="559"/>
      <c r="AA111" s="980"/>
      <c r="AB111" s="1253"/>
      <c r="AC111" s="1253"/>
      <c r="AD111" s="864"/>
      <c r="AE111" s="864"/>
      <c r="AF111" s="864"/>
      <c r="AG111" s="864"/>
      <c r="AH111" s="864"/>
      <c r="AI111" s="864"/>
      <c r="AJ111" s="864"/>
      <c r="AK111" s="864"/>
      <c r="AL111" s="1247">
        <f t="shared" si="7"/>
        <v>0</v>
      </c>
    </row>
    <row r="112" spans="1:38" s="1181" customFormat="1" ht="12.75" x14ac:dyDescent="0.25">
      <c r="A112" s="1265" t="s">
        <v>203</v>
      </c>
      <c r="B112" s="1265"/>
      <c r="C112" s="1266">
        <f t="shared" ref="C112:AK112" si="8">SUM(C100:C111)</f>
        <v>0</v>
      </c>
      <c r="D112" s="1266">
        <f t="shared" si="8"/>
        <v>0</v>
      </c>
      <c r="E112" s="1266">
        <f t="shared" si="8"/>
        <v>0</v>
      </c>
      <c r="F112" s="1266">
        <f t="shared" si="8"/>
        <v>0</v>
      </c>
      <c r="G112" s="1266">
        <f t="shared" si="8"/>
        <v>0</v>
      </c>
      <c r="H112" s="1266">
        <f t="shared" si="8"/>
        <v>0</v>
      </c>
      <c r="I112" s="1266">
        <f t="shared" si="8"/>
        <v>0</v>
      </c>
      <c r="J112" s="1266">
        <f t="shared" si="8"/>
        <v>0</v>
      </c>
      <c r="K112" s="1266">
        <f t="shared" si="8"/>
        <v>0</v>
      </c>
      <c r="L112" s="1266">
        <f t="shared" si="8"/>
        <v>0</v>
      </c>
      <c r="M112" s="1266">
        <f t="shared" si="8"/>
        <v>0</v>
      </c>
      <c r="N112" s="1266">
        <f t="shared" si="8"/>
        <v>0</v>
      </c>
      <c r="O112" s="1266">
        <f t="shared" si="8"/>
        <v>0</v>
      </c>
      <c r="P112" s="1266">
        <f t="shared" si="8"/>
        <v>0</v>
      </c>
      <c r="Q112" s="1266">
        <f t="shared" si="8"/>
        <v>0</v>
      </c>
      <c r="R112" s="1266">
        <f t="shared" si="8"/>
        <v>0</v>
      </c>
      <c r="S112" s="1266">
        <f t="shared" si="8"/>
        <v>0</v>
      </c>
      <c r="T112" s="1266">
        <f t="shared" si="8"/>
        <v>0</v>
      </c>
      <c r="U112" s="1266">
        <f t="shared" si="8"/>
        <v>0</v>
      </c>
      <c r="V112" s="1266">
        <f t="shared" si="8"/>
        <v>0</v>
      </c>
      <c r="W112" s="1266">
        <f t="shared" si="8"/>
        <v>0</v>
      </c>
      <c r="X112" s="1266">
        <f t="shared" si="8"/>
        <v>0</v>
      </c>
      <c r="Y112" s="1266">
        <f>SUM(Y100:Y111)</f>
        <v>0</v>
      </c>
      <c r="Z112" s="1266">
        <f>SUM(Z100:Z111)</f>
        <v>0</v>
      </c>
      <c r="AA112" s="1266">
        <f t="shared" si="8"/>
        <v>0</v>
      </c>
      <c r="AB112" s="1266">
        <f t="shared" si="8"/>
        <v>0</v>
      </c>
      <c r="AC112" s="1266">
        <f t="shared" si="8"/>
        <v>0</v>
      </c>
      <c r="AD112" s="1266">
        <f t="shared" si="8"/>
        <v>0</v>
      </c>
      <c r="AE112" s="1266">
        <f t="shared" si="8"/>
        <v>0</v>
      </c>
      <c r="AF112" s="1266">
        <f t="shared" si="8"/>
        <v>0</v>
      </c>
      <c r="AG112" s="1266">
        <f t="shared" si="8"/>
        <v>0</v>
      </c>
      <c r="AH112" s="1266">
        <f t="shared" si="8"/>
        <v>0</v>
      </c>
      <c r="AI112" s="1266">
        <f t="shared" si="8"/>
        <v>0</v>
      </c>
      <c r="AJ112" s="1266">
        <f t="shared" si="8"/>
        <v>0</v>
      </c>
      <c r="AK112" s="1266">
        <f t="shared" si="8"/>
        <v>0</v>
      </c>
      <c r="AL112" s="1266">
        <f>SUM(AL100:AL111)</f>
        <v>0</v>
      </c>
    </row>
    <row r="113" spans="1:38" s="1181" customFormat="1" ht="12.75" x14ac:dyDescent="0.25">
      <c r="A113" s="1267"/>
      <c r="B113" s="1267"/>
      <c r="C113" s="1268"/>
      <c r="D113" s="1268"/>
      <c r="E113" s="1268"/>
      <c r="F113" s="1268"/>
      <c r="G113" s="1268"/>
      <c r="H113" s="1268"/>
      <c r="I113" s="1268"/>
      <c r="J113" s="1268"/>
      <c r="K113" s="1268"/>
      <c r="L113" s="1268"/>
      <c r="M113" s="1269"/>
      <c r="N113" s="1268"/>
      <c r="O113" s="1268"/>
      <c r="P113" s="1268"/>
      <c r="Q113" s="1268"/>
      <c r="R113" s="1268"/>
      <c r="S113" s="1268"/>
      <c r="T113" s="1268"/>
      <c r="U113" s="1270"/>
      <c r="V113" s="1268"/>
      <c r="W113" s="1268"/>
      <c r="X113" s="1270"/>
      <c r="Y113" s="1270"/>
      <c r="Z113" s="1270"/>
      <c r="AA113" s="1271"/>
      <c r="AB113" s="1272"/>
      <c r="AC113" s="1273"/>
      <c r="AD113" s="1272"/>
      <c r="AE113" s="1272"/>
      <c r="AF113" s="1272"/>
      <c r="AG113" s="1272"/>
      <c r="AH113" s="1272"/>
      <c r="AI113" s="1272"/>
      <c r="AJ113" s="1272"/>
      <c r="AK113" s="1272"/>
      <c r="AL113" s="1268"/>
    </row>
    <row r="114" spans="1:38" s="1181" customFormat="1" ht="18" x14ac:dyDescent="0.25">
      <c r="A114" s="1274" t="s">
        <v>92</v>
      </c>
      <c r="B114" s="1274"/>
      <c r="C114" s="1268"/>
      <c r="D114" s="1268"/>
      <c r="E114" s="1268"/>
      <c r="F114" s="1268"/>
      <c r="G114" s="1268"/>
      <c r="H114" s="1268"/>
      <c r="I114" s="1268"/>
      <c r="J114" s="1268"/>
      <c r="K114" s="1268"/>
      <c r="L114" s="1268"/>
      <c r="M114" s="1269"/>
      <c r="N114" s="1268"/>
      <c r="O114" s="1268"/>
      <c r="P114" s="1268"/>
      <c r="Q114" s="1268"/>
      <c r="R114" s="1268"/>
      <c r="S114" s="1268"/>
      <c r="T114" s="1268"/>
      <c r="U114" s="1270"/>
      <c r="V114" s="1268"/>
      <c r="W114" s="1268"/>
      <c r="X114" s="1270"/>
      <c r="Y114" s="1270"/>
      <c r="Z114" s="1270"/>
      <c r="AA114" s="1271"/>
      <c r="AB114" s="1272"/>
      <c r="AC114" s="1273"/>
      <c r="AD114" s="1272"/>
      <c r="AE114" s="1272"/>
      <c r="AF114" s="1272"/>
      <c r="AG114" s="1272"/>
      <c r="AH114" s="1272"/>
      <c r="AI114" s="1272"/>
      <c r="AJ114" s="1272"/>
      <c r="AK114" s="1272"/>
      <c r="AL114" s="1268"/>
    </row>
    <row r="115" spans="1:38" s="1181" customFormat="1" x14ac:dyDescent="0.25">
      <c r="A115" s="1275" t="s">
        <v>6257</v>
      </c>
      <c r="B115" s="1275"/>
      <c r="C115" s="1230"/>
      <c r="D115" s="1230"/>
      <c r="E115" s="1276"/>
      <c r="F115" s="1230"/>
      <c r="G115" s="1230"/>
      <c r="H115" s="1230"/>
      <c r="I115" s="1230"/>
      <c r="J115" s="1230"/>
      <c r="K115" s="1230"/>
      <c r="L115" s="1230"/>
      <c r="M115" s="1230"/>
      <c r="N115" s="1230"/>
      <c r="O115" s="1230"/>
      <c r="P115" s="1230"/>
      <c r="Q115" s="1230"/>
      <c r="R115" s="1230"/>
      <c r="S115" s="1230"/>
      <c r="T115" s="1230"/>
      <c r="U115" s="1190"/>
      <c r="V115" s="1230"/>
      <c r="W115" s="1230"/>
      <c r="X115" s="1190"/>
      <c r="Y115" s="1190"/>
      <c r="Z115" s="1190"/>
      <c r="AA115" s="1232"/>
      <c r="AB115" s="1234"/>
      <c r="AC115" s="1233"/>
      <c r="AD115" s="1234"/>
      <c r="AE115" s="1234"/>
      <c r="AF115" s="1234"/>
      <c r="AG115" s="1234"/>
      <c r="AH115" s="1234"/>
      <c r="AI115" s="1234"/>
      <c r="AJ115" s="1234"/>
      <c r="AK115" s="1234"/>
      <c r="AL115" s="1230"/>
    </row>
    <row r="116" spans="1:38" s="1181" customFormat="1" ht="14.25" x14ac:dyDescent="0.25">
      <c r="A116" s="1478" t="s">
        <v>132</v>
      </c>
      <c r="B116" s="1277"/>
      <c r="C116" s="1277"/>
      <c r="D116" s="1277"/>
      <c r="E116" s="1471" t="s">
        <v>109</v>
      </c>
      <c r="F116" s="1472"/>
      <c r="G116" s="1472"/>
      <c r="H116" s="1472"/>
      <c r="I116" s="1472"/>
      <c r="J116" s="1472"/>
      <c r="K116" s="1472"/>
      <c r="L116" s="1472"/>
      <c r="M116" s="1472"/>
      <c r="N116" s="1472"/>
      <c r="O116" s="1472"/>
      <c r="P116" s="1472"/>
      <c r="Q116" s="1472"/>
      <c r="R116" s="1472"/>
      <c r="S116" s="1472"/>
      <c r="T116" s="1472"/>
      <c r="U116" s="1472"/>
      <c r="V116" s="1472"/>
      <c r="W116" s="1472"/>
      <c r="X116" s="1472"/>
      <c r="Y116" s="1472"/>
      <c r="Z116" s="1472"/>
      <c r="AA116" s="1472"/>
      <c r="AB116" s="1472"/>
      <c r="AC116" s="1472"/>
      <c r="AD116" s="1472"/>
      <c r="AE116" s="1278"/>
      <c r="AF116" s="1278"/>
      <c r="AG116" s="1278"/>
      <c r="AH116" s="1278"/>
      <c r="AI116" s="1278"/>
      <c r="AJ116" s="1278"/>
      <c r="AK116" s="1278"/>
      <c r="AL116" s="1479" t="s">
        <v>24</v>
      </c>
    </row>
    <row r="117" spans="1:38" s="1181" customFormat="1" ht="14.25" x14ac:dyDescent="0.25">
      <c r="A117" s="1478"/>
      <c r="B117" s="1279"/>
      <c r="C117" s="1188">
        <v>1</v>
      </c>
      <c r="D117" s="1188">
        <v>2</v>
      </c>
      <c r="E117" s="1188">
        <v>3</v>
      </c>
      <c r="F117" s="1188">
        <v>4</v>
      </c>
      <c r="G117" s="1188">
        <v>5</v>
      </c>
      <c r="H117" s="1188">
        <v>6</v>
      </c>
      <c r="I117" s="1188">
        <v>7</v>
      </c>
      <c r="J117" s="1188">
        <v>8</v>
      </c>
      <c r="K117" s="1188">
        <v>9</v>
      </c>
      <c r="L117" s="1188">
        <v>10</v>
      </c>
      <c r="M117" s="1188">
        <v>11</v>
      </c>
      <c r="N117" s="1188">
        <v>12</v>
      </c>
      <c r="O117" s="1188">
        <v>13</v>
      </c>
      <c r="P117" s="1188">
        <v>14</v>
      </c>
      <c r="Q117" s="1188">
        <v>15</v>
      </c>
      <c r="R117" s="1188">
        <v>16</v>
      </c>
      <c r="S117" s="1188">
        <v>17</v>
      </c>
      <c r="T117" s="1188">
        <v>18</v>
      </c>
      <c r="U117" s="1188">
        <v>19</v>
      </c>
      <c r="V117" s="1188">
        <v>20</v>
      </c>
      <c r="W117" s="1188">
        <v>21</v>
      </c>
      <c r="X117" s="1188">
        <v>22</v>
      </c>
      <c r="Y117" s="1188">
        <v>23</v>
      </c>
      <c r="Z117" s="1188">
        <v>24</v>
      </c>
      <c r="AA117" s="1188">
        <v>25</v>
      </c>
      <c r="AB117" s="1188">
        <v>26</v>
      </c>
      <c r="AC117" s="1188">
        <v>27</v>
      </c>
      <c r="AD117" s="1188">
        <v>28</v>
      </c>
      <c r="AE117" s="1188">
        <v>29</v>
      </c>
      <c r="AF117" s="1188">
        <v>30</v>
      </c>
      <c r="AG117" s="1188">
        <v>31</v>
      </c>
      <c r="AH117" s="1188">
        <v>32</v>
      </c>
      <c r="AI117" s="1188">
        <v>33</v>
      </c>
      <c r="AJ117" s="1188">
        <v>34</v>
      </c>
      <c r="AK117" s="1188">
        <v>35</v>
      </c>
      <c r="AL117" s="1479"/>
    </row>
    <row r="118" spans="1:38" s="1181" customFormat="1" ht="12.75" x14ac:dyDescent="0.25">
      <c r="A118" s="1280" t="s">
        <v>223</v>
      </c>
      <c r="B118" s="1280"/>
      <c r="C118" s="864"/>
      <c r="D118" s="864"/>
      <c r="E118" s="864"/>
      <c r="F118" s="864"/>
      <c r="G118" s="864"/>
      <c r="H118" s="864"/>
      <c r="I118" s="864"/>
      <c r="J118" s="864"/>
      <c r="K118" s="864"/>
      <c r="L118" s="864"/>
      <c r="M118" s="864"/>
      <c r="N118" s="1281"/>
      <c r="O118" s="864"/>
      <c r="P118" s="864"/>
      <c r="Q118" s="864"/>
      <c r="R118" s="864"/>
      <c r="S118" s="864"/>
      <c r="T118" s="864"/>
      <c r="U118" s="1193"/>
      <c r="V118" s="864"/>
      <c r="W118" s="864"/>
      <c r="X118" s="1193"/>
      <c r="Y118" s="1193"/>
      <c r="Z118" s="1193"/>
      <c r="AA118" s="980"/>
      <c r="AB118" s="1251"/>
      <c r="AC118" s="1282"/>
      <c r="AD118" s="1251"/>
      <c r="AE118" s="1251"/>
      <c r="AF118" s="1251"/>
      <c r="AG118" s="1251"/>
      <c r="AH118" s="1251"/>
      <c r="AI118" s="1251"/>
      <c r="AJ118" s="1251"/>
      <c r="AK118" s="1251"/>
      <c r="AL118" s="1247">
        <f>SUM(C118:AK118)</f>
        <v>0</v>
      </c>
    </row>
    <row r="119" spans="1:38" s="1181" customFormat="1" ht="12.75" x14ac:dyDescent="0.25">
      <c r="A119" s="1280" t="s">
        <v>222</v>
      </c>
      <c r="B119" s="1280"/>
      <c r="C119" s="864"/>
      <c r="D119" s="864"/>
      <c r="E119" s="864"/>
      <c r="F119" s="864"/>
      <c r="G119" s="864"/>
      <c r="H119" s="864"/>
      <c r="I119" s="864"/>
      <c r="J119" s="864"/>
      <c r="K119" s="864"/>
      <c r="L119" s="864"/>
      <c r="M119" s="864"/>
      <c r="N119" s="864"/>
      <c r="O119" s="864"/>
      <c r="P119" s="864"/>
      <c r="Q119" s="864"/>
      <c r="R119" s="864"/>
      <c r="S119" s="864"/>
      <c r="T119" s="864"/>
      <c r="U119" s="1193"/>
      <c r="V119" s="864"/>
      <c r="W119" s="864"/>
      <c r="X119" s="1193"/>
      <c r="Y119" s="1193"/>
      <c r="Z119" s="1193"/>
      <c r="AA119" s="980"/>
      <c r="AB119" s="1251"/>
      <c r="AC119" s="1282"/>
      <c r="AD119" s="1251"/>
      <c r="AE119" s="1251"/>
      <c r="AF119" s="1251"/>
      <c r="AG119" s="1251"/>
      <c r="AH119" s="1251"/>
      <c r="AI119" s="1251"/>
      <c r="AJ119" s="1251"/>
      <c r="AK119" s="1251"/>
      <c r="AL119" s="1247">
        <f t="shared" ref="AL119:AL167" si="9">SUM(C119:AK119)</f>
        <v>0</v>
      </c>
    </row>
    <row r="120" spans="1:38" s="1181" customFormat="1" ht="12.75" x14ac:dyDescent="0.2">
      <c r="A120" s="1280" t="s">
        <v>221</v>
      </c>
      <c r="B120" s="1280"/>
      <c r="C120" s="864"/>
      <c r="D120" s="1095"/>
      <c r="E120" s="864"/>
      <c r="F120" s="864"/>
      <c r="G120" s="1095">
        <f>27759800+27759800+27759800</f>
        <v>83279400</v>
      </c>
      <c r="H120" s="1283"/>
      <c r="I120" s="864"/>
      <c r="J120" s="864"/>
      <c r="K120" s="864"/>
      <c r="L120" s="864"/>
      <c r="M120" s="864"/>
      <c r="N120" s="864"/>
      <c r="O120" s="864"/>
      <c r="P120" s="864"/>
      <c r="Q120" s="980"/>
      <c r="R120" s="864"/>
      <c r="S120" s="864"/>
      <c r="T120" s="864"/>
      <c r="U120" s="864"/>
      <c r="V120" s="980"/>
      <c r="W120" s="864"/>
      <c r="X120" s="1193"/>
      <c r="Y120" s="1193"/>
      <c r="Z120" s="1193"/>
      <c r="AA120" s="980"/>
      <c r="AB120" s="1251"/>
      <c r="AC120" s="1282"/>
      <c r="AD120" s="1251"/>
      <c r="AE120" s="1251"/>
      <c r="AF120" s="1251"/>
      <c r="AG120" s="1251"/>
      <c r="AH120" s="1251"/>
      <c r="AI120" s="1251"/>
      <c r="AJ120" s="1251"/>
      <c r="AK120" s="1251"/>
      <c r="AL120" s="1247">
        <f t="shared" si="9"/>
        <v>83279400</v>
      </c>
    </row>
    <row r="121" spans="1:38" s="1181" customFormat="1" ht="12.75" x14ac:dyDescent="0.2">
      <c r="A121" s="1280" t="s">
        <v>220</v>
      </c>
      <c r="B121" s="1280"/>
      <c r="C121" s="864"/>
      <c r="D121" s="864"/>
      <c r="E121" s="864"/>
      <c r="F121" s="864"/>
      <c r="G121" s="1095"/>
      <c r="H121" s="1283"/>
      <c r="I121" s="864"/>
      <c r="J121" s="864"/>
      <c r="K121" s="864"/>
      <c r="L121" s="864"/>
      <c r="M121" s="864"/>
      <c r="N121" s="864"/>
      <c r="O121" s="864"/>
      <c r="P121" s="864"/>
      <c r="Q121" s="864"/>
      <c r="R121" s="864"/>
      <c r="S121" s="864"/>
      <c r="T121" s="864"/>
      <c r="U121" s="1193"/>
      <c r="V121" s="980"/>
      <c r="W121" s="864"/>
      <c r="X121" s="1193"/>
      <c r="Y121" s="1193"/>
      <c r="Z121" s="1193"/>
      <c r="AA121" s="980"/>
      <c r="AB121" s="1251"/>
      <c r="AC121" s="1282"/>
      <c r="AD121" s="1251"/>
      <c r="AE121" s="1251"/>
      <c r="AF121" s="1251"/>
      <c r="AG121" s="1251"/>
      <c r="AH121" s="1251"/>
      <c r="AI121" s="1251"/>
      <c r="AJ121" s="1251"/>
      <c r="AK121" s="1251"/>
      <c r="AL121" s="1247">
        <f t="shared" si="9"/>
        <v>0</v>
      </c>
    </row>
    <row r="122" spans="1:38" s="1181" customFormat="1" ht="12.75" x14ac:dyDescent="0.25">
      <c r="A122" s="1280" t="s">
        <v>219</v>
      </c>
      <c r="B122" s="1280" t="s">
        <v>218</v>
      </c>
      <c r="C122" s="864"/>
      <c r="E122" s="864"/>
      <c r="F122" s="864"/>
      <c r="G122" s="864"/>
      <c r="H122" s="864"/>
      <c r="I122" s="864"/>
      <c r="J122" s="864"/>
      <c r="K122" s="864"/>
      <c r="L122" s="864"/>
      <c r="M122" s="864"/>
      <c r="N122" s="864"/>
      <c r="O122" s="864"/>
      <c r="P122" s="864"/>
      <c r="Q122" s="864"/>
      <c r="R122" s="864"/>
      <c r="S122" s="864"/>
      <c r="T122" s="864"/>
      <c r="U122" s="1193"/>
      <c r="V122" s="864"/>
      <c r="W122" s="864"/>
      <c r="X122" s="1193"/>
      <c r="Y122" s="1193"/>
      <c r="Z122" s="1193"/>
      <c r="AA122" s="980"/>
      <c r="AB122" s="1251"/>
      <c r="AC122" s="1282"/>
      <c r="AD122" s="1251"/>
      <c r="AE122" s="1251"/>
      <c r="AF122" s="1251"/>
      <c r="AG122" s="1251"/>
      <c r="AH122" s="1251"/>
      <c r="AI122" s="1251"/>
      <c r="AJ122" s="1251"/>
      <c r="AK122" s="1251"/>
      <c r="AL122" s="1247">
        <f t="shared" si="9"/>
        <v>0</v>
      </c>
    </row>
    <row r="123" spans="1:38" s="1181" customFormat="1" ht="12.75" x14ac:dyDescent="0.25">
      <c r="A123" s="1280"/>
      <c r="B123" s="1280" t="s">
        <v>217</v>
      </c>
      <c r="C123" s="864"/>
      <c r="D123" s="864"/>
      <c r="E123" s="864"/>
      <c r="F123" s="864"/>
      <c r="G123" s="864"/>
      <c r="H123" s="864"/>
      <c r="I123" s="864"/>
      <c r="J123" s="864"/>
      <c r="K123" s="864"/>
      <c r="L123" s="864"/>
      <c r="M123" s="864"/>
      <c r="N123" s="864"/>
      <c r="O123" s="864"/>
      <c r="P123" s="864"/>
      <c r="Q123" s="864"/>
      <c r="R123" s="864"/>
      <c r="S123" s="864"/>
      <c r="T123" s="864"/>
      <c r="U123" s="1193"/>
      <c r="V123" s="864"/>
      <c r="W123" s="864"/>
      <c r="X123" s="1193"/>
      <c r="Y123" s="1193"/>
      <c r="Z123" s="1193"/>
      <c r="AA123" s="980"/>
      <c r="AB123" s="1251"/>
      <c r="AC123" s="1282"/>
      <c r="AD123" s="1251"/>
      <c r="AE123" s="1251"/>
      <c r="AF123" s="1251"/>
      <c r="AG123" s="1251"/>
      <c r="AH123" s="1251"/>
      <c r="AI123" s="1251"/>
      <c r="AJ123" s="1251"/>
      <c r="AK123" s="1251"/>
      <c r="AL123" s="1247">
        <f t="shared" si="9"/>
        <v>0</v>
      </c>
    </row>
    <row r="124" spans="1:38" s="1181" customFormat="1" ht="12.75" x14ac:dyDescent="0.15">
      <c r="A124" s="1280" t="s">
        <v>216</v>
      </c>
      <c r="B124" s="1280" t="s">
        <v>215</v>
      </c>
      <c r="C124" s="864"/>
      <c r="D124" s="864"/>
      <c r="E124" s="864"/>
      <c r="F124" s="864"/>
      <c r="G124" s="864"/>
      <c r="H124" s="864"/>
      <c r="I124" s="864"/>
      <c r="J124" s="864"/>
      <c r="K124" s="864"/>
      <c r="L124" s="864"/>
      <c r="M124" s="864"/>
      <c r="N124" s="864"/>
      <c r="O124" s="864"/>
      <c r="P124" s="864"/>
      <c r="Q124" s="864"/>
      <c r="R124" s="864"/>
      <c r="S124" s="864"/>
      <c r="T124" s="864"/>
      <c r="U124" s="1193"/>
      <c r="V124" s="864"/>
      <c r="W124" s="864"/>
      <c r="X124" s="1284"/>
      <c r="Y124" s="1193"/>
      <c r="Z124" s="1193"/>
      <c r="AA124" s="980"/>
      <c r="AB124" s="1251"/>
      <c r="AC124" s="1282"/>
      <c r="AD124" s="1251"/>
      <c r="AE124" s="1251"/>
      <c r="AF124" s="1251"/>
      <c r="AG124" s="1251"/>
      <c r="AH124" s="1251"/>
      <c r="AI124" s="1251"/>
      <c r="AJ124" s="1251"/>
      <c r="AK124" s="1251"/>
      <c r="AL124" s="1247">
        <f t="shared" si="9"/>
        <v>0</v>
      </c>
    </row>
    <row r="125" spans="1:38" s="1181" customFormat="1" ht="12.75" x14ac:dyDescent="0.25">
      <c r="A125" s="1280"/>
      <c r="B125" s="1280" t="s">
        <v>214</v>
      </c>
      <c r="C125" s="864"/>
      <c r="D125" s="864"/>
      <c r="E125" s="864"/>
      <c r="F125" s="864"/>
      <c r="G125" s="864"/>
      <c r="H125" s="864"/>
      <c r="I125" s="864"/>
      <c r="J125" s="864"/>
      <c r="K125" s="864"/>
      <c r="L125" s="864"/>
      <c r="M125" s="864"/>
      <c r="N125" s="864"/>
      <c r="O125" s="864"/>
      <c r="P125" s="864"/>
      <c r="Q125" s="864"/>
      <c r="R125" s="864"/>
      <c r="S125" s="864"/>
      <c r="T125" s="864"/>
      <c r="U125" s="1193"/>
      <c r="V125" s="864"/>
      <c r="W125" s="864"/>
      <c r="X125" s="1193"/>
      <c r="Y125" s="1193"/>
      <c r="Z125" s="1193"/>
      <c r="AA125" s="980"/>
      <c r="AB125" s="1251"/>
      <c r="AC125" s="1282"/>
      <c r="AD125" s="1251"/>
      <c r="AE125" s="1251"/>
      <c r="AF125" s="1251"/>
      <c r="AG125" s="1251"/>
      <c r="AH125" s="1251"/>
      <c r="AI125" s="1251"/>
      <c r="AJ125" s="1251"/>
      <c r="AK125" s="1251"/>
      <c r="AL125" s="1247">
        <f t="shared" si="9"/>
        <v>0</v>
      </c>
    </row>
    <row r="126" spans="1:38" s="1181" customFormat="1" ht="12.75" x14ac:dyDescent="0.15">
      <c r="A126" s="1280"/>
      <c r="B126" s="1280" t="s">
        <v>213</v>
      </c>
      <c r="C126" s="864"/>
      <c r="D126" s="864"/>
      <c r="E126" s="864"/>
      <c r="F126" s="864"/>
      <c r="G126" s="864"/>
      <c r="H126" s="864"/>
      <c r="I126" s="864"/>
      <c r="J126" s="864"/>
      <c r="K126" s="864"/>
      <c r="L126" s="864"/>
      <c r="M126" s="864"/>
      <c r="N126" s="864"/>
      <c r="O126" s="864"/>
      <c r="P126" s="864"/>
      <c r="Q126" s="864"/>
      <c r="R126" s="864"/>
      <c r="S126" s="864"/>
      <c r="T126" s="864"/>
      <c r="U126" s="1193"/>
      <c r="V126" s="864"/>
      <c r="W126" s="864"/>
      <c r="X126" s="1284"/>
      <c r="Y126" s="1193"/>
      <c r="Z126" s="1193"/>
      <c r="AA126" s="980"/>
      <c r="AB126" s="1251"/>
      <c r="AC126" s="1282"/>
      <c r="AD126" s="1251"/>
      <c r="AE126" s="1251"/>
      <c r="AF126" s="1251"/>
      <c r="AG126" s="1251"/>
      <c r="AH126" s="1251"/>
      <c r="AI126" s="1251"/>
      <c r="AJ126" s="1251"/>
      <c r="AK126" s="1251"/>
      <c r="AL126" s="1247">
        <f t="shared" si="9"/>
        <v>0</v>
      </c>
    </row>
    <row r="127" spans="1:38" s="1181" customFormat="1" ht="12.75" x14ac:dyDescent="0.25">
      <c r="A127" s="1280"/>
      <c r="B127" s="1280" t="s">
        <v>212</v>
      </c>
      <c r="C127" s="864"/>
      <c r="D127" s="864"/>
      <c r="E127" s="864"/>
      <c r="F127" s="864"/>
      <c r="G127" s="864"/>
      <c r="H127" s="864"/>
      <c r="I127" s="864"/>
      <c r="J127" s="864"/>
      <c r="K127" s="864"/>
      <c r="L127" s="864"/>
      <c r="M127" s="864"/>
      <c r="N127" s="864"/>
      <c r="O127" s="864"/>
      <c r="P127" s="864"/>
      <c r="Q127" s="864"/>
      <c r="R127" s="864"/>
      <c r="S127" s="864"/>
      <c r="T127" s="864"/>
      <c r="U127" s="1193"/>
      <c r="V127" s="864"/>
      <c r="W127" s="864"/>
      <c r="X127" s="1193"/>
      <c r="Y127" s="1193"/>
      <c r="Z127" s="1193"/>
      <c r="AA127" s="980"/>
      <c r="AB127" s="1251"/>
      <c r="AC127" s="1282"/>
      <c r="AD127" s="1251"/>
      <c r="AE127" s="1251"/>
      <c r="AF127" s="1251"/>
      <c r="AG127" s="1251"/>
      <c r="AH127" s="1251"/>
      <c r="AI127" s="1251"/>
      <c r="AJ127" s="1251"/>
      <c r="AK127" s="1251"/>
      <c r="AL127" s="1247">
        <f t="shared" si="9"/>
        <v>0</v>
      </c>
    </row>
    <row r="128" spans="1:38" s="1181" customFormat="1" ht="12.75" x14ac:dyDescent="0.25">
      <c r="A128" s="1280"/>
      <c r="B128" s="1280" t="s">
        <v>6101</v>
      </c>
      <c r="C128" s="864"/>
      <c r="D128" s="864"/>
      <c r="E128" s="864"/>
      <c r="F128" s="864"/>
      <c r="G128" s="864"/>
      <c r="H128" s="864"/>
      <c r="I128" s="864"/>
      <c r="J128" s="864"/>
      <c r="K128" s="864"/>
      <c r="L128" s="864"/>
      <c r="M128" s="864"/>
      <c r="N128" s="864"/>
      <c r="O128" s="864"/>
      <c r="P128" s="864"/>
      <c r="Q128" s="864"/>
      <c r="R128" s="864"/>
      <c r="S128" s="864"/>
      <c r="T128" s="864"/>
      <c r="U128" s="1193"/>
      <c r="V128" s="864"/>
      <c r="W128" s="864"/>
      <c r="X128" s="1193"/>
      <c r="Y128" s="1193"/>
      <c r="Z128" s="1193"/>
      <c r="AA128" s="980"/>
      <c r="AB128" s="1251"/>
      <c r="AC128" s="1282"/>
      <c r="AD128" s="1251"/>
      <c r="AE128" s="1251"/>
      <c r="AF128" s="1251"/>
      <c r="AG128" s="1251"/>
      <c r="AH128" s="1251"/>
      <c r="AI128" s="1251"/>
      <c r="AJ128" s="1251"/>
      <c r="AK128" s="1251"/>
      <c r="AL128" s="1247">
        <f t="shared" si="9"/>
        <v>0</v>
      </c>
    </row>
    <row r="129" spans="1:38" s="1181" customFormat="1" ht="12.75" x14ac:dyDescent="0.25">
      <c r="A129" s="1280"/>
      <c r="B129" s="1280" t="s">
        <v>5989</v>
      </c>
      <c r="C129" s="864"/>
      <c r="D129" s="864"/>
      <c r="E129" s="864"/>
      <c r="F129" s="864"/>
      <c r="G129" s="864"/>
      <c r="H129" s="864"/>
      <c r="I129" s="864"/>
      <c r="J129" s="864"/>
      <c r="K129" s="864"/>
      <c r="L129" s="864"/>
      <c r="M129" s="864"/>
      <c r="N129" s="864"/>
      <c r="O129" s="864"/>
      <c r="P129" s="864"/>
      <c r="Q129" s="864"/>
      <c r="R129" s="864"/>
      <c r="S129" s="864"/>
      <c r="T129" s="864"/>
      <c r="U129" s="1193"/>
      <c r="V129" s="864"/>
      <c r="W129" s="864"/>
      <c r="X129" s="1193"/>
      <c r="Y129" s="1193"/>
      <c r="Z129" s="1193"/>
      <c r="AA129" s="980"/>
      <c r="AB129" s="1251"/>
      <c r="AC129" s="1282"/>
      <c r="AD129" s="1251"/>
      <c r="AE129" s="1251"/>
      <c r="AF129" s="1251"/>
      <c r="AG129" s="1251"/>
      <c r="AH129" s="1251"/>
      <c r="AI129" s="1251"/>
      <c r="AJ129" s="1251"/>
      <c r="AK129" s="1251"/>
      <c r="AL129" s="1247">
        <f t="shared" si="9"/>
        <v>0</v>
      </c>
    </row>
    <row r="130" spans="1:38" s="1181" customFormat="1" ht="12.75" x14ac:dyDescent="0.25">
      <c r="A130" s="1280" t="s">
        <v>25</v>
      </c>
      <c r="B130" s="1280" t="s">
        <v>22</v>
      </c>
      <c r="C130" s="864"/>
      <c r="D130" s="899"/>
      <c r="E130" s="864">
        <v>74606138</v>
      </c>
      <c r="F130" s="616"/>
      <c r="G130" s="864"/>
      <c r="H130" s="864"/>
      <c r="I130" s="864"/>
      <c r="J130" s="864"/>
      <c r="K130" s="616"/>
      <c r="L130" s="864"/>
      <c r="M130" s="864"/>
      <c r="N130" s="864"/>
      <c r="O130" s="864"/>
      <c r="P130" s="864"/>
      <c r="Q130" s="864"/>
      <c r="R130" s="864"/>
      <c r="S130" s="864"/>
      <c r="T130" s="864"/>
      <c r="U130" s="1193"/>
      <c r="V130" s="864"/>
      <c r="W130" s="980"/>
      <c r="X130" s="1193"/>
      <c r="Y130" s="570"/>
      <c r="Z130" s="1193"/>
      <c r="AA130" s="1251"/>
      <c r="AB130" s="616"/>
      <c r="AC130" s="1251"/>
      <c r="AD130" s="1251"/>
      <c r="AE130" s="1251"/>
      <c r="AF130" s="1251"/>
      <c r="AG130" s="1251"/>
      <c r="AH130" s="1251"/>
      <c r="AI130" s="1251"/>
      <c r="AJ130" s="1251"/>
      <c r="AK130" s="1251"/>
      <c r="AL130" s="1247">
        <f t="shared" si="9"/>
        <v>74606138</v>
      </c>
    </row>
    <row r="131" spans="1:38" s="1181" customFormat="1" ht="12.75" x14ac:dyDescent="0.25">
      <c r="A131" s="1280"/>
      <c r="B131" s="1280" t="s">
        <v>153</v>
      </c>
      <c r="C131" s="864"/>
      <c r="D131" s="864"/>
      <c r="E131" s="864"/>
      <c r="F131" s="864"/>
      <c r="G131" s="864"/>
      <c r="H131" s="864">
        <v>16295247</v>
      </c>
      <c r="I131" s="864"/>
      <c r="J131" s="864"/>
      <c r="K131" s="864"/>
      <c r="L131" s="864"/>
      <c r="M131" s="864"/>
      <c r="N131" s="864"/>
      <c r="O131" s="864"/>
      <c r="P131" s="864"/>
      <c r="Q131" s="864"/>
      <c r="R131" s="864"/>
      <c r="S131" s="864"/>
      <c r="T131" s="864"/>
      <c r="U131" s="1193"/>
      <c r="V131" s="864"/>
      <c r="W131" s="980"/>
      <c r="X131" s="1193"/>
      <c r="Y131" s="570"/>
      <c r="Z131" s="1193"/>
      <c r="AA131" s="1251"/>
      <c r="AB131" s="616"/>
      <c r="AC131" s="1251"/>
      <c r="AD131" s="1251"/>
      <c r="AE131" s="1251"/>
      <c r="AF131" s="1251"/>
      <c r="AG131" s="1251"/>
      <c r="AH131" s="1251"/>
      <c r="AI131" s="1251"/>
      <c r="AJ131" s="1251"/>
      <c r="AK131" s="1251"/>
      <c r="AL131" s="1247">
        <f t="shared" si="9"/>
        <v>16295247</v>
      </c>
    </row>
    <row r="132" spans="1:38" s="1181" customFormat="1" ht="12.75" x14ac:dyDescent="0.25">
      <c r="A132" s="1280"/>
      <c r="B132" s="1280" t="s">
        <v>6091</v>
      </c>
      <c r="C132" s="864"/>
      <c r="D132" s="864"/>
      <c r="E132" s="864"/>
      <c r="F132" s="864"/>
      <c r="G132" s="864"/>
      <c r="H132" s="864"/>
      <c r="I132" s="864"/>
      <c r="J132" s="864"/>
      <c r="K132" s="864"/>
      <c r="L132" s="864"/>
      <c r="M132" s="864"/>
      <c r="N132" s="864"/>
      <c r="O132" s="864"/>
      <c r="P132" s="864"/>
      <c r="Q132" s="1193"/>
      <c r="R132" s="864"/>
      <c r="S132" s="864"/>
      <c r="T132" s="864"/>
      <c r="U132" s="1193"/>
      <c r="V132" s="864"/>
      <c r="W132" s="980"/>
      <c r="X132" s="1193"/>
      <c r="Y132" s="617"/>
      <c r="Z132" s="1193"/>
      <c r="AA132" s="980"/>
      <c r="AB132" s="1251"/>
      <c r="AC132" s="1251"/>
      <c r="AD132" s="1251"/>
      <c r="AE132" s="1251"/>
      <c r="AF132" s="1251"/>
      <c r="AG132" s="1251"/>
      <c r="AH132" s="1251"/>
      <c r="AI132" s="1251"/>
      <c r="AJ132" s="1251"/>
      <c r="AK132" s="1251"/>
      <c r="AL132" s="1247">
        <f t="shared" si="9"/>
        <v>0</v>
      </c>
    </row>
    <row r="133" spans="1:38" s="1181" customFormat="1" ht="12.75" x14ac:dyDescent="0.25">
      <c r="A133" s="1280"/>
      <c r="B133" s="1280" t="s">
        <v>23</v>
      </c>
      <c r="C133" s="864"/>
      <c r="D133" s="864"/>
      <c r="E133" s="864"/>
      <c r="F133" s="864"/>
      <c r="G133" s="864"/>
      <c r="H133" s="864">
        <v>21945261</v>
      </c>
      <c r="I133" s="864"/>
      <c r="J133" s="864"/>
      <c r="K133" s="864"/>
      <c r="L133" s="864"/>
      <c r="M133" s="864"/>
      <c r="N133" s="864"/>
      <c r="O133" s="864"/>
      <c r="P133" s="864"/>
      <c r="Q133" s="1193"/>
      <c r="R133" s="864"/>
      <c r="S133" s="864"/>
      <c r="T133" s="864"/>
      <c r="U133" s="1193"/>
      <c r="V133" s="864"/>
      <c r="W133" s="980"/>
      <c r="X133" s="1193"/>
      <c r="Y133" s="617"/>
      <c r="Z133" s="1193"/>
      <c r="AA133" s="980"/>
      <c r="AB133" s="1251"/>
      <c r="AC133" s="1251"/>
      <c r="AD133" s="1251"/>
      <c r="AE133" s="1251"/>
      <c r="AF133" s="1251"/>
      <c r="AG133" s="1251"/>
      <c r="AH133" s="1251"/>
      <c r="AI133" s="1251"/>
      <c r="AJ133" s="1251"/>
      <c r="AK133" s="1251"/>
      <c r="AL133" s="1247">
        <f t="shared" si="9"/>
        <v>21945261</v>
      </c>
    </row>
    <row r="134" spans="1:38" s="1181" customFormat="1" ht="12" customHeight="1" x14ac:dyDescent="0.25">
      <c r="A134" s="1280" t="s">
        <v>211</v>
      </c>
      <c r="B134" s="1280" t="s">
        <v>210</v>
      </c>
      <c r="C134" s="864"/>
      <c r="D134" s="864"/>
      <c r="E134" s="864"/>
      <c r="F134" s="864"/>
      <c r="G134" s="864"/>
      <c r="H134" s="864"/>
      <c r="I134" s="864"/>
      <c r="J134" s="864"/>
      <c r="K134" s="864"/>
      <c r="L134" s="864"/>
      <c r="M134" s="864"/>
      <c r="N134" s="864"/>
      <c r="O134" s="864"/>
      <c r="P134" s="864"/>
      <c r="Q134" s="864"/>
      <c r="R134" s="864"/>
      <c r="S134" s="864"/>
      <c r="T134" s="864"/>
      <c r="U134" s="1193"/>
      <c r="V134" s="864"/>
      <c r="W134" s="980"/>
      <c r="X134" s="1193"/>
      <c r="Y134" s="1285"/>
      <c r="Z134" s="1193"/>
      <c r="AA134" s="980"/>
      <c r="AB134" s="1251"/>
      <c r="AC134" s="1251"/>
      <c r="AD134" s="1251"/>
      <c r="AE134" s="1251"/>
      <c r="AF134" s="1251"/>
      <c r="AG134" s="1251"/>
      <c r="AH134" s="1251"/>
      <c r="AI134" s="1251"/>
      <c r="AJ134" s="1251"/>
      <c r="AK134" s="1251"/>
      <c r="AL134" s="1247">
        <f t="shared" si="9"/>
        <v>0</v>
      </c>
    </row>
    <row r="135" spans="1:38" s="1181" customFormat="1" ht="12.75" x14ac:dyDescent="0.25">
      <c r="A135" s="1280"/>
      <c r="B135" s="1280" t="s">
        <v>62</v>
      </c>
      <c r="C135" s="864"/>
      <c r="D135" s="864"/>
      <c r="E135" s="864"/>
      <c r="F135" s="864"/>
      <c r="G135" s="864"/>
      <c r="H135" s="864"/>
      <c r="I135" s="864"/>
      <c r="J135" s="864"/>
      <c r="K135" s="864"/>
      <c r="L135" s="864"/>
      <c r="M135" s="864"/>
      <c r="N135" s="864"/>
      <c r="O135" s="864"/>
      <c r="P135" s="864"/>
      <c r="Q135" s="864"/>
      <c r="R135" s="864"/>
      <c r="S135" s="864"/>
      <c r="T135" s="864"/>
      <c r="U135" s="1193"/>
      <c r="V135" s="864"/>
      <c r="W135" s="980"/>
      <c r="X135" s="1193"/>
      <c r="Y135" s="1200"/>
      <c r="Z135" s="1193"/>
      <c r="AA135" s="980"/>
      <c r="AB135" s="1251"/>
      <c r="AC135" s="1251"/>
      <c r="AD135" s="1251"/>
      <c r="AE135" s="1251"/>
      <c r="AF135" s="1251"/>
      <c r="AG135" s="1251"/>
      <c r="AH135" s="1251"/>
      <c r="AI135" s="1251"/>
      <c r="AJ135" s="1251"/>
      <c r="AK135" s="1251"/>
      <c r="AL135" s="1247">
        <f t="shared" si="9"/>
        <v>0</v>
      </c>
    </row>
    <row r="136" spans="1:38" s="1181" customFormat="1" ht="12.75" x14ac:dyDescent="0.25">
      <c r="A136" s="1280"/>
      <c r="B136" s="1280" t="s">
        <v>61</v>
      </c>
      <c r="C136" s="864"/>
      <c r="D136" s="864"/>
      <c r="E136" s="864"/>
      <c r="F136" s="864"/>
      <c r="G136" s="864"/>
      <c r="H136" s="864"/>
      <c r="I136" s="864"/>
      <c r="J136" s="864"/>
      <c r="K136" s="864"/>
      <c r="L136" s="864"/>
      <c r="M136" s="864"/>
      <c r="N136" s="864"/>
      <c r="O136" s="864"/>
      <c r="P136" s="864"/>
      <c r="Q136" s="864"/>
      <c r="R136" s="864"/>
      <c r="S136" s="864"/>
      <c r="T136" s="864"/>
      <c r="U136" s="1193"/>
      <c r="V136" s="864"/>
      <c r="W136" s="980"/>
      <c r="X136" s="1193"/>
      <c r="Y136" s="1200"/>
      <c r="Z136" s="1193"/>
      <c r="AA136" s="980"/>
      <c r="AB136" s="1251"/>
      <c r="AC136" s="1251"/>
      <c r="AD136" s="1251"/>
      <c r="AE136" s="1251"/>
      <c r="AF136" s="1251"/>
      <c r="AG136" s="1251"/>
      <c r="AH136" s="1251"/>
      <c r="AI136" s="1251"/>
      <c r="AJ136" s="1251"/>
      <c r="AK136" s="1251"/>
      <c r="AL136" s="1247">
        <f t="shared" si="9"/>
        <v>0</v>
      </c>
    </row>
    <row r="137" spans="1:38" s="1181" customFormat="1" ht="12.75" x14ac:dyDescent="0.25">
      <c r="A137" s="1280"/>
      <c r="B137" s="1280" t="s">
        <v>44</v>
      </c>
      <c r="C137" s="864"/>
      <c r="D137" s="864"/>
      <c r="E137" s="864"/>
      <c r="F137" s="864"/>
      <c r="G137" s="864"/>
      <c r="H137" s="864"/>
      <c r="I137" s="864"/>
      <c r="J137" s="864"/>
      <c r="K137" s="864"/>
      <c r="L137" s="864"/>
      <c r="M137" s="864"/>
      <c r="N137" s="864"/>
      <c r="O137" s="864"/>
      <c r="P137" s="864"/>
      <c r="Q137" s="1193"/>
      <c r="R137" s="864"/>
      <c r="S137" s="864"/>
      <c r="T137" s="864"/>
      <c r="U137" s="1193"/>
      <c r="V137" s="864"/>
      <c r="W137" s="980"/>
      <c r="X137" s="1193"/>
      <c r="Y137" s="1200"/>
      <c r="Z137" s="1193"/>
      <c r="AA137" s="980"/>
      <c r="AB137" s="1251"/>
      <c r="AC137" s="1251"/>
      <c r="AD137" s="1251"/>
      <c r="AE137" s="1251"/>
      <c r="AF137" s="1251"/>
      <c r="AG137" s="1251"/>
      <c r="AH137" s="1251"/>
      <c r="AI137" s="1251"/>
      <c r="AJ137" s="1251"/>
      <c r="AK137" s="1251"/>
      <c r="AL137" s="1247">
        <f t="shared" si="9"/>
        <v>0</v>
      </c>
    </row>
    <row r="138" spans="1:38" s="1181" customFormat="1" ht="12.75" x14ac:dyDescent="0.25">
      <c r="A138" s="1280"/>
      <c r="B138" s="1280" t="s">
        <v>57</v>
      </c>
      <c r="C138" s="864"/>
      <c r="D138" s="864"/>
      <c r="E138" s="864">
        <v>61141246</v>
      </c>
      <c r="F138" s="864"/>
      <c r="G138" s="864"/>
      <c r="H138" s="864"/>
      <c r="I138" s="864"/>
      <c r="J138" s="864"/>
      <c r="K138" s="864"/>
      <c r="L138" s="864"/>
      <c r="M138" s="864"/>
      <c r="N138" s="864"/>
      <c r="O138" s="864"/>
      <c r="P138" s="864"/>
      <c r="Q138" s="864"/>
      <c r="R138" s="864"/>
      <c r="S138" s="864"/>
      <c r="T138" s="864"/>
      <c r="U138" s="1193"/>
      <c r="V138" s="864"/>
      <c r="W138" s="980"/>
      <c r="X138" s="1193"/>
      <c r="Y138" s="617"/>
      <c r="Z138" s="1193"/>
      <c r="AA138" s="980"/>
      <c r="AB138" s="1251"/>
      <c r="AC138" s="1251"/>
      <c r="AD138" s="1251"/>
      <c r="AE138" s="1251"/>
      <c r="AF138" s="1251"/>
      <c r="AG138" s="1251"/>
      <c r="AH138" s="1251"/>
      <c r="AI138" s="1251"/>
      <c r="AJ138" s="1251"/>
      <c r="AK138" s="1251"/>
      <c r="AL138" s="1247">
        <f t="shared" si="9"/>
        <v>61141246</v>
      </c>
    </row>
    <row r="139" spans="1:38" s="1181" customFormat="1" ht="12.75" x14ac:dyDescent="0.25">
      <c r="A139" s="1280"/>
      <c r="B139" s="1280" t="s">
        <v>68</v>
      </c>
      <c r="C139" s="864"/>
      <c r="D139" s="864"/>
      <c r="E139" s="864">
        <f>30000+82786472</f>
        <v>82816472</v>
      </c>
      <c r="F139" s="864"/>
      <c r="G139" s="864"/>
      <c r="H139" s="864"/>
      <c r="I139" s="864"/>
      <c r="J139" s="864"/>
      <c r="K139" s="864"/>
      <c r="L139" s="864"/>
      <c r="M139" s="864"/>
      <c r="N139" s="864"/>
      <c r="O139" s="864"/>
      <c r="P139" s="864"/>
      <c r="Q139" s="864"/>
      <c r="R139" s="864"/>
      <c r="S139" s="864"/>
      <c r="T139" s="864"/>
      <c r="U139" s="1193"/>
      <c r="V139" s="864"/>
      <c r="W139" s="980"/>
      <c r="X139" s="1193"/>
      <c r="Y139" s="1200"/>
      <c r="Z139" s="1193"/>
      <c r="AA139" s="1222"/>
      <c r="AB139" s="1251"/>
      <c r="AC139" s="1251"/>
      <c r="AD139" s="1251"/>
      <c r="AE139" s="1251"/>
      <c r="AF139" s="1251"/>
      <c r="AG139" s="1251"/>
      <c r="AH139" s="1251"/>
      <c r="AI139" s="1251"/>
      <c r="AJ139" s="1251"/>
      <c r="AK139" s="1251"/>
      <c r="AL139" s="1247">
        <f t="shared" si="9"/>
        <v>82816472</v>
      </c>
    </row>
    <row r="140" spans="1:38" s="1181" customFormat="1" ht="12.75" x14ac:dyDescent="0.25">
      <c r="A140" s="1280" t="s">
        <v>1574</v>
      </c>
      <c r="B140" s="1280"/>
      <c r="C140" s="864"/>
      <c r="D140" s="864"/>
      <c r="E140" s="864">
        <v>7000000</v>
      </c>
      <c r="F140" s="864"/>
      <c r="G140" s="864"/>
      <c r="H140" s="864"/>
      <c r="I140" s="864"/>
      <c r="J140" s="864"/>
      <c r="K140" s="864"/>
      <c r="L140" s="864"/>
      <c r="M140" s="864"/>
      <c r="N140" s="864"/>
      <c r="O140" s="864"/>
      <c r="P140" s="864"/>
      <c r="Q140" s="864"/>
      <c r="R140" s="864"/>
      <c r="S140" s="864"/>
      <c r="T140" s="864"/>
      <c r="U140" s="1193"/>
      <c r="V140" s="864"/>
      <c r="W140" s="980"/>
      <c r="X140" s="1193"/>
      <c r="Y140" s="1200"/>
      <c r="Z140" s="1193"/>
      <c r="AA140" s="1222"/>
      <c r="AB140" s="1251"/>
      <c r="AC140" s="1251"/>
      <c r="AD140" s="1251"/>
      <c r="AE140" s="1251"/>
      <c r="AF140" s="1251"/>
      <c r="AG140" s="1251"/>
      <c r="AH140" s="1251"/>
      <c r="AI140" s="1251"/>
      <c r="AJ140" s="1251"/>
      <c r="AK140" s="1251"/>
      <c r="AL140" s="1247">
        <f t="shared" si="9"/>
        <v>7000000</v>
      </c>
    </row>
    <row r="141" spans="1:38" s="1181" customFormat="1" ht="12.75" x14ac:dyDescent="0.25">
      <c r="A141" s="1280" t="s">
        <v>6119</v>
      </c>
      <c r="B141" s="1280"/>
      <c r="C141" s="864"/>
      <c r="D141" s="864"/>
      <c r="E141" s="1224"/>
      <c r="F141" s="619"/>
      <c r="G141" s="864"/>
      <c r="H141" s="864"/>
      <c r="I141" s="864"/>
      <c r="J141" s="864"/>
      <c r="K141" s="864"/>
      <c r="L141" s="864"/>
      <c r="M141" s="864"/>
      <c r="N141" s="864"/>
      <c r="O141" s="864"/>
      <c r="P141" s="864"/>
      <c r="Q141" s="864"/>
      <c r="R141" s="864"/>
      <c r="S141" s="864"/>
      <c r="T141" s="864"/>
      <c r="U141" s="1193"/>
      <c r="V141" s="864"/>
      <c r="W141" s="980"/>
      <c r="X141" s="1193"/>
      <c r="Y141" s="1200"/>
      <c r="Z141" s="1193"/>
      <c r="AA141" s="1222"/>
      <c r="AB141" s="1251"/>
      <c r="AC141" s="1251"/>
      <c r="AD141" s="1251"/>
      <c r="AE141" s="1251"/>
      <c r="AF141" s="1251"/>
      <c r="AG141" s="1251"/>
      <c r="AH141" s="1251"/>
      <c r="AI141" s="1251"/>
      <c r="AJ141" s="1251"/>
      <c r="AK141" s="1251"/>
      <c r="AL141" s="1247">
        <f t="shared" si="9"/>
        <v>0</v>
      </c>
    </row>
    <row r="142" spans="1:38" s="1181" customFormat="1" ht="12.75" x14ac:dyDescent="0.25">
      <c r="A142" s="1280" t="s">
        <v>5988</v>
      </c>
      <c r="B142" s="1280"/>
      <c r="C142" s="864"/>
      <c r="D142" s="864"/>
      <c r="E142" s="864">
        <v>6081804</v>
      </c>
      <c r="F142" s="616"/>
      <c r="G142" s="864"/>
      <c r="H142" s="864"/>
      <c r="I142" s="864"/>
      <c r="J142" s="864"/>
      <c r="K142" s="864"/>
      <c r="L142" s="864"/>
      <c r="M142" s="864"/>
      <c r="N142" s="864"/>
      <c r="O142" s="864"/>
      <c r="P142" s="864"/>
      <c r="Q142" s="864"/>
      <c r="R142" s="864"/>
      <c r="S142" s="864"/>
      <c r="T142" s="864"/>
      <c r="U142" s="1193"/>
      <c r="V142" s="864"/>
      <c r="W142" s="980"/>
      <c r="X142" s="1193"/>
      <c r="Y142" s="1200"/>
      <c r="Z142" s="1193"/>
      <c r="AA142" s="1222"/>
      <c r="AB142" s="1251"/>
      <c r="AC142" s="1251"/>
      <c r="AD142" s="1251"/>
      <c r="AE142" s="1251"/>
      <c r="AF142" s="1251"/>
      <c r="AG142" s="1251"/>
      <c r="AH142" s="1251"/>
      <c r="AI142" s="1251"/>
      <c r="AJ142" s="1251"/>
      <c r="AK142" s="1251"/>
      <c r="AL142" s="1247">
        <f t="shared" si="9"/>
        <v>6081804</v>
      </c>
    </row>
    <row r="143" spans="1:38" s="1181" customFormat="1" ht="12.75" x14ac:dyDescent="0.25">
      <c r="A143" s="1280" t="s">
        <v>5992</v>
      </c>
      <c r="B143" s="1280"/>
      <c r="C143" s="864"/>
      <c r="D143" s="864"/>
      <c r="E143" s="864"/>
      <c r="F143" s="619"/>
      <c r="G143" s="864">
        <f>110000</f>
        <v>110000</v>
      </c>
      <c r="H143" s="864"/>
      <c r="I143" s="864"/>
      <c r="J143" s="864"/>
      <c r="K143" s="864"/>
      <c r="L143" s="864"/>
      <c r="M143" s="864"/>
      <c r="N143" s="864"/>
      <c r="O143" s="864"/>
      <c r="P143" s="864"/>
      <c r="Q143" s="864"/>
      <c r="R143" s="1253"/>
      <c r="S143" s="864"/>
      <c r="T143" s="864"/>
      <c r="U143" s="1193"/>
      <c r="V143" s="864"/>
      <c r="W143" s="980"/>
      <c r="X143" s="1193"/>
      <c r="Y143" s="1200"/>
      <c r="Z143" s="1193"/>
      <c r="AA143" s="1222"/>
      <c r="AB143" s="1251"/>
      <c r="AC143" s="1251"/>
      <c r="AD143" s="1251"/>
      <c r="AE143" s="1251"/>
      <c r="AF143" s="1251"/>
      <c r="AG143" s="1251"/>
      <c r="AH143" s="1251"/>
      <c r="AI143" s="1251"/>
      <c r="AJ143" s="1251"/>
      <c r="AK143" s="1251"/>
      <c r="AL143" s="1247">
        <f t="shared" si="9"/>
        <v>110000</v>
      </c>
    </row>
    <row r="144" spans="1:38" s="1181" customFormat="1" ht="12.75" x14ac:dyDescent="0.25">
      <c r="A144" s="1280" t="s">
        <v>6111</v>
      </c>
      <c r="B144" s="1280"/>
      <c r="C144" s="864"/>
      <c r="D144" s="864"/>
      <c r="E144" s="864"/>
      <c r="F144" s="619"/>
      <c r="G144" s="864"/>
      <c r="H144" s="864"/>
      <c r="I144" s="864"/>
      <c r="J144" s="864"/>
      <c r="K144" s="864"/>
      <c r="L144" s="864"/>
      <c r="M144" s="864"/>
      <c r="N144" s="864"/>
      <c r="O144" s="864"/>
      <c r="P144" s="864"/>
      <c r="Q144" s="864"/>
      <c r="R144" s="864"/>
      <c r="S144" s="864"/>
      <c r="T144" s="864"/>
      <c r="U144" s="1193"/>
      <c r="V144" s="864"/>
      <c r="W144" s="980"/>
      <c r="X144" s="1193"/>
      <c r="Y144" s="617"/>
      <c r="Z144" s="1193"/>
      <c r="AA144" s="1222"/>
      <c r="AB144" s="1251"/>
      <c r="AC144" s="1251"/>
      <c r="AD144" s="1251"/>
      <c r="AE144" s="1251"/>
      <c r="AF144" s="1251"/>
      <c r="AG144" s="1251"/>
      <c r="AH144" s="1251"/>
      <c r="AI144" s="1251"/>
      <c r="AJ144" s="1251"/>
      <c r="AK144" s="1251"/>
      <c r="AL144" s="1247">
        <f t="shared" si="9"/>
        <v>0</v>
      </c>
    </row>
    <row r="145" spans="1:38" s="1181" customFormat="1" ht="12.75" x14ac:dyDescent="0.25">
      <c r="A145" s="1280" t="s">
        <v>677</v>
      </c>
      <c r="B145" s="1280"/>
      <c r="C145" s="864"/>
      <c r="D145" s="864"/>
      <c r="E145" s="864"/>
      <c r="F145" s="619"/>
      <c r="G145" s="864"/>
      <c r="H145" s="864"/>
      <c r="I145" s="864"/>
      <c r="J145" s="864"/>
      <c r="K145" s="864"/>
      <c r="L145" s="864"/>
      <c r="M145" s="864"/>
      <c r="N145" s="864"/>
      <c r="O145" s="864"/>
      <c r="P145" s="864"/>
      <c r="Q145" s="864"/>
      <c r="R145" s="864"/>
      <c r="S145" s="864"/>
      <c r="T145" s="864"/>
      <c r="U145" s="1193"/>
      <c r="V145" s="864"/>
      <c r="W145" s="980"/>
      <c r="X145" s="1193"/>
      <c r="Y145" s="617"/>
      <c r="Z145" s="1193"/>
      <c r="AA145" s="1222"/>
      <c r="AB145" s="1251"/>
      <c r="AC145" s="1251"/>
      <c r="AD145" s="1251"/>
      <c r="AE145" s="1251"/>
      <c r="AF145" s="1251"/>
      <c r="AG145" s="1251"/>
      <c r="AH145" s="1251"/>
      <c r="AI145" s="1251"/>
      <c r="AJ145" s="1251"/>
      <c r="AK145" s="1251"/>
      <c r="AL145" s="1247">
        <f t="shared" si="9"/>
        <v>0</v>
      </c>
    </row>
    <row r="146" spans="1:38" s="1181" customFormat="1" ht="12.75" x14ac:dyDescent="0.25">
      <c r="A146" s="1280" t="s">
        <v>5933</v>
      </c>
      <c r="B146" s="1280"/>
      <c r="C146" s="864"/>
      <c r="D146" s="864"/>
      <c r="E146" s="864"/>
      <c r="F146" s="864"/>
      <c r="G146" s="864"/>
      <c r="H146" s="864"/>
      <c r="I146" s="864"/>
      <c r="J146" s="864"/>
      <c r="K146" s="864"/>
      <c r="L146" s="864"/>
      <c r="M146" s="864"/>
      <c r="N146" s="864"/>
      <c r="O146" s="864"/>
      <c r="P146" s="864"/>
      <c r="Q146" s="864"/>
      <c r="R146" s="864"/>
      <c r="S146" s="864"/>
      <c r="T146" s="864"/>
      <c r="U146" s="1193"/>
      <c r="V146" s="864"/>
      <c r="W146" s="980"/>
      <c r="X146" s="1193"/>
      <c r="Y146" s="617"/>
      <c r="Z146" s="1193"/>
      <c r="AA146" s="1222"/>
      <c r="AB146" s="1251"/>
      <c r="AC146" s="1251"/>
      <c r="AD146" s="1251"/>
      <c r="AE146" s="1251"/>
      <c r="AF146" s="1251"/>
      <c r="AG146" s="1251"/>
      <c r="AH146" s="1251"/>
      <c r="AI146" s="1251"/>
      <c r="AJ146" s="1251"/>
      <c r="AK146" s="1251"/>
      <c r="AL146" s="1247">
        <f t="shared" si="9"/>
        <v>0</v>
      </c>
    </row>
    <row r="147" spans="1:38" s="1181" customFormat="1" ht="12.75" x14ac:dyDescent="0.25">
      <c r="A147" s="1280" t="s">
        <v>4291</v>
      </c>
      <c r="B147" s="1280"/>
      <c r="C147" s="864"/>
      <c r="D147" s="864"/>
      <c r="E147" s="864"/>
      <c r="F147" s="864"/>
      <c r="G147" s="864"/>
      <c r="H147" s="864"/>
      <c r="I147" s="864"/>
      <c r="J147" s="864"/>
      <c r="K147" s="864"/>
      <c r="L147" s="864"/>
      <c r="M147" s="864"/>
      <c r="N147" s="864"/>
      <c r="O147" s="864"/>
      <c r="P147" s="864"/>
      <c r="Q147" s="864"/>
      <c r="R147" s="864"/>
      <c r="S147" s="864"/>
      <c r="T147" s="864"/>
      <c r="U147" s="1193"/>
      <c r="V147" s="864"/>
      <c r="W147" s="980"/>
      <c r="X147" s="1193"/>
      <c r="Y147" s="1200"/>
      <c r="Z147" s="1193"/>
      <c r="AA147" s="1222"/>
      <c r="AB147" s="1251"/>
      <c r="AC147" s="1251"/>
      <c r="AD147" s="1251"/>
      <c r="AE147" s="1251"/>
      <c r="AF147" s="1251"/>
      <c r="AG147" s="1251"/>
      <c r="AH147" s="1251"/>
      <c r="AI147" s="1251"/>
      <c r="AJ147" s="1251"/>
      <c r="AK147" s="1251"/>
      <c r="AL147" s="1247">
        <f t="shared" si="9"/>
        <v>0</v>
      </c>
    </row>
    <row r="148" spans="1:38" s="1181" customFormat="1" ht="12.75" x14ac:dyDescent="0.25">
      <c r="A148" s="1280" t="s">
        <v>5934</v>
      </c>
      <c r="B148" s="1280"/>
      <c r="C148" s="864"/>
      <c r="D148" s="864"/>
      <c r="E148" s="864"/>
      <c r="F148" s="864"/>
      <c r="G148" s="864"/>
      <c r="H148" s="864"/>
      <c r="I148" s="864"/>
      <c r="J148" s="864"/>
      <c r="K148" s="864"/>
      <c r="L148" s="864"/>
      <c r="M148" s="864"/>
      <c r="N148" s="864"/>
      <c r="O148" s="864"/>
      <c r="P148" s="864"/>
      <c r="Q148" s="864"/>
      <c r="R148" s="864"/>
      <c r="S148" s="864"/>
      <c r="T148" s="864"/>
      <c r="U148" s="1193"/>
      <c r="V148" s="864"/>
      <c r="W148" s="980"/>
      <c r="X148" s="1193"/>
      <c r="Y148" s="1200"/>
      <c r="Z148" s="1193"/>
      <c r="AA148" s="1222"/>
      <c r="AB148" s="1251"/>
      <c r="AC148" s="1251"/>
      <c r="AD148" s="1251"/>
      <c r="AE148" s="1251"/>
      <c r="AF148" s="1251"/>
      <c r="AG148" s="1251"/>
      <c r="AH148" s="1251"/>
      <c r="AI148" s="1251"/>
      <c r="AJ148" s="1251"/>
      <c r="AK148" s="1251"/>
      <c r="AL148" s="1247">
        <f t="shared" si="9"/>
        <v>0</v>
      </c>
    </row>
    <row r="149" spans="1:38" s="1181" customFormat="1" ht="12.75" x14ac:dyDescent="0.25">
      <c r="A149" s="1280" t="s">
        <v>3947</v>
      </c>
      <c r="B149" s="1280"/>
      <c r="C149" s="864"/>
      <c r="D149" s="864"/>
      <c r="E149" s="864"/>
      <c r="F149" s="864"/>
      <c r="G149" s="864"/>
      <c r="H149" s="864"/>
      <c r="I149" s="864"/>
      <c r="J149" s="864"/>
      <c r="K149" s="864"/>
      <c r="L149" s="864"/>
      <c r="M149" s="864"/>
      <c r="N149" s="864"/>
      <c r="O149" s="864"/>
      <c r="P149" s="864"/>
      <c r="Q149" s="864"/>
      <c r="R149" s="864"/>
      <c r="S149" s="864"/>
      <c r="T149" s="864"/>
      <c r="U149" s="1193"/>
      <c r="V149" s="864"/>
      <c r="W149" s="980"/>
      <c r="X149" s="1193"/>
      <c r="Y149" s="617"/>
      <c r="Z149" s="1193"/>
      <c r="AA149" s="1222"/>
      <c r="AB149" s="1251"/>
      <c r="AC149" s="1251"/>
      <c r="AD149" s="1251"/>
      <c r="AE149" s="1251"/>
      <c r="AF149" s="1251"/>
      <c r="AG149" s="1251"/>
      <c r="AH149" s="1251"/>
      <c r="AI149" s="1251"/>
      <c r="AJ149" s="1251"/>
      <c r="AK149" s="1251"/>
      <c r="AL149" s="1247">
        <f t="shared" si="9"/>
        <v>0</v>
      </c>
    </row>
    <row r="150" spans="1:38" s="1181" customFormat="1" ht="12.75" x14ac:dyDescent="0.25">
      <c r="A150" s="1280" t="s">
        <v>3420</v>
      </c>
      <c r="B150" s="1280"/>
      <c r="C150" s="864"/>
      <c r="D150" s="864"/>
      <c r="E150" s="864"/>
      <c r="F150" s="864"/>
      <c r="G150" s="864"/>
      <c r="H150" s="864"/>
      <c r="I150" s="864"/>
      <c r="J150" s="864"/>
      <c r="K150" s="864"/>
      <c r="L150" s="864"/>
      <c r="M150" s="864"/>
      <c r="N150" s="864"/>
      <c r="O150" s="864"/>
      <c r="P150" s="864"/>
      <c r="Q150" s="864"/>
      <c r="R150" s="864"/>
      <c r="S150" s="864"/>
      <c r="T150" s="864"/>
      <c r="U150" s="1193"/>
      <c r="V150" s="864"/>
      <c r="W150" s="980"/>
      <c r="X150" s="1193"/>
      <c r="Y150" s="617"/>
      <c r="Z150" s="1193"/>
      <c r="AA150" s="1222"/>
      <c r="AB150" s="1251"/>
      <c r="AC150" s="1251"/>
      <c r="AD150" s="1251"/>
      <c r="AE150" s="1251"/>
      <c r="AF150" s="1251"/>
      <c r="AG150" s="1251"/>
      <c r="AH150" s="1251"/>
      <c r="AI150" s="1251"/>
      <c r="AJ150" s="1251"/>
      <c r="AK150" s="1251"/>
      <c r="AL150" s="1247">
        <f t="shared" si="9"/>
        <v>0</v>
      </c>
    </row>
    <row r="151" spans="1:38" s="1181" customFormat="1" ht="13.5" customHeight="1" x14ac:dyDescent="0.25">
      <c r="A151" s="1280" t="s">
        <v>5937</v>
      </c>
      <c r="B151" s="1280"/>
      <c r="C151" s="864"/>
      <c r="D151" s="864"/>
      <c r="E151" s="864"/>
      <c r="F151" s="864"/>
      <c r="G151" s="864"/>
      <c r="H151" s="864"/>
      <c r="I151" s="864"/>
      <c r="J151" s="864"/>
      <c r="K151" s="864"/>
      <c r="L151" s="864"/>
      <c r="M151" s="864"/>
      <c r="N151" s="864"/>
      <c r="O151" s="864"/>
      <c r="P151" s="864"/>
      <c r="Q151" s="864"/>
      <c r="R151" s="864"/>
      <c r="S151" s="864"/>
      <c r="T151" s="864"/>
      <c r="U151" s="1193"/>
      <c r="V151" s="864"/>
      <c r="W151" s="980"/>
      <c r="X151" s="1193"/>
      <c r="Y151" s="617"/>
      <c r="Z151" s="1193"/>
      <c r="AA151" s="1222"/>
      <c r="AB151" s="1251"/>
      <c r="AC151" s="1251"/>
      <c r="AD151" s="1251"/>
      <c r="AE151" s="1251"/>
      <c r="AF151" s="1251"/>
      <c r="AG151" s="1251"/>
      <c r="AH151" s="1251"/>
      <c r="AI151" s="1251"/>
      <c r="AJ151" s="1251"/>
      <c r="AK151" s="1251"/>
      <c r="AL151" s="1247">
        <f t="shared" si="9"/>
        <v>0</v>
      </c>
    </row>
    <row r="152" spans="1:38" s="1181" customFormat="1" ht="13.5" customHeight="1" x14ac:dyDescent="0.25">
      <c r="A152" s="1280" t="s">
        <v>6221</v>
      </c>
      <c r="B152" s="1280"/>
      <c r="C152" s="864"/>
      <c r="D152" s="864"/>
      <c r="E152" s="864"/>
      <c r="F152" s="864"/>
      <c r="G152" s="864"/>
      <c r="H152" s="864"/>
      <c r="I152" s="864"/>
      <c r="J152" s="864"/>
      <c r="K152" s="864"/>
      <c r="L152" s="864"/>
      <c r="M152" s="864"/>
      <c r="N152" s="864"/>
      <c r="O152" s="864"/>
      <c r="P152" s="864"/>
      <c r="Q152" s="864"/>
      <c r="R152" s="864"/>
      <c r="S152" s="864"/>
      <c r="T152" s="864"/>
      <c r="U152" s="1193"/>
      <c r="V152" s="864"/>
      <c r="W152" s="980"/>
      <c r="X152" s="1193"/>
      <c r="Y152" s="617"/>
      <c r="Z152" s="1193"/>
      <c r="AA152" s="1222"/>
      <c r="AB152" s="1251"/>
      <c r="AC152" s="1251"/>
      <c r="AD152" s="1251"/>
      <c r="AE152" s="1251"/>
      <c r="AF152" s="1251"/>
      <c r="AG152" s="1251"/>
      <c r="AH152" s="1251"/>
      <c r="AI152" s="1251"/>
      <c r="AJ152" s="1251"/>
      <c r="AK152" s="1251"/>
      <c r="AL152" s="1247">
        <f t="shared" si="9"/>
        <v>0</v>
      </c>
    </row>
    <row r="153" spans="1:38" s="1181" customFormat="1" ht="12.75" x14ac:dyDescent="0.25">
      <c r="A153" s="1280" t="s">
        <v>5935</v>
      </c>
      <c r="B153" s="1280"/>
      <c r="C153" s="864"/>
      <c r="D153" s="864"/>
      <c r="E153" s="864"/>
      <c r="F153" s="864"/>
      <c r="G153" s="864">
        <f>8225003+1990000</f>
        <v>10215003</v>
      </c>
      <c r="H153" s="864"/>
      <c r="I153" s="864"/>
      <c r="J153" s="864"/>
      <c r="K153" s="864"/>
      <c r="L153" s="864"/>
      <c r="M153" s="864"/>
      <c r="N153" s="864"/>
      <c r="O153" s="864"/>
      <c r="P153" s="864"/>
      <c r="Q153" s="864"/>
      <c r="R153" s="864"/>
      <c r="S153" s="864"/>
      <c r="T153" s="864"/>
      <c r="U153" s="1193"/>
      <c r="V153" s="864"/>
      <c r="W153" s="980"/>
      <c r="X153" s="1193"/>
      <c r="Y153" s="617"/>
      <c r="Z153" s="1193"/>
      <c r="AA153" s="1222"/>
      <c r="AB153" s="1251"/>
      <c r="AC153" s="1251"/>
      <c r="AD153" s="1251"/>
      <c r="AE153" s="1251"/>
      <c r="AF153" s="1251"/>
      <c r="AG153" s="1251"/>
      <c r="AH153" s="1251"/>
      <c r="AI153" s="1251"/>
      <c r="AJ153" s="1251"/>
      <c r="AK153" s="1251"/>
      <c r="AL153" s="1247">
        <f t="shared" si="9"/>
        <v>10215003</v>
      </c>
    </row>
    <row r="154" spans="1:38" s="1181" customFormat="1" ht="12.75" x14ac:dyDescent="0.25">
      <c r="A154" s="1280" t="s">
        <v>6125</v>
      </c>
      <c r="B154" s="1280"/>
      <c r="C154" s="864"/>
      <c r="D154" s="864"/>
      <c r="E154" s="864"/>
      <c r="F154" s="864"/>
      <c r="G154" s="864"/>
      <c r="H154" s="864"/>
      <c r="I154" s="864"/>
      <c r="J154" s="864"/>
      <c r="K154" s="864"/>
      <c r="L154" s="864"/>
      <c r="M154" s="864"/>
      <c r="N154" s="864"/>
      <c r="O154" s="864"/>
      <c r="P154" s="864"/>
      <c r="Q154" s="864"/>
      <c r="R154" s="864"/>
      <c r="S154" s="864"/>
      <c r="T154" s="864"/>
      <c r="U154" s="1193"/>
      <c r="V154" s="864"/>
      <c r="W154" s="980"/>
      <c r="X154" s="1193"/>
      <c r="Y154" s="617"/>
      <c r="Z154" s="1193"/>
      <c r="AA154" s="1222"/>
      <c r="AB154" s="1251"/>
      <c r="AC154" s="1251"/>
      <c r="AD154" s="1251"/>
      <c r="AE154" s="1251"/>
      <c r="AF154" s="1251"/>
      <c r="AG154" s="1251"/>
      <c r="AH154" s="1251"/>
      <c r="AI154" s="1251"/>
      <c r="AJ154" s="1251"/>
      <c r="AK154" s="1251"/>
      <c r="AL154" s="1247">
        <f t="shared" si="9"/>
        <v>0</v>
      </c>
    </row>
    <row r="155" spans="1:38" s="1181" customFormat="1" ht="12.75" x14ac:dyDescent="0.25">
      <c r="A155" s="1280" t="s">
        <v>5936</v>
      </c>
      <c r="B155" s="1280"/>
      <c r="C155" s="864"/>
      <c r="D155" s="864"/>
      <c r="E155" s="864"/>
      <c r="F155" s="864"/>
      <c r="G155" s="864"/>
      <c r="H155" s="864"/>
      <c r="I155" s="864"/>
      <c r="J155" s="864"/>
      <c r="K155" s="864"/>
      <c r="L155" s="864"/>
      <c r="M155" s="864"/>
      <c r="N155" s="864"/>
      <c r="O155" s="864"/>
      <c r="P155" s="864"/>
      <c r="Q155" s="864"/>
      <c r="R155" s="864"/>
      <c r="S155" s="864"/>
      <c r="T155" s="982"/>
      <c r="U155" s="1286"/>
      <c r="V155" s="864"/>
      <c r="W155" s="980"/>
      <c r="X155" s="1286"/>
      <c r="Y155" s="617"/>
      <c r="Z155" s="1193"/>
      <c r="AA155" s="1222"/>
      <c r="AB155" s="1251"/>
      <c r="AC155" s="1251"/>
      <c r="AD155" s="1251"/>
      <c r="AE155" s="1251"/>
      <c r="AF155" s="1251"/>
      <c r="AG155" s="1287"/>
      <c r="AH155" s="1251"/>
      <c r="AI155" s="1251"/>
      <c r="AJ155" s="1251"/>
      <c r="AK155" s="1251"/>
      <c r="AL155" s="1247">
        <f t="shared" si="9"/>
        <v>0</v>
      </c>
    </row>
    <row r="156" spans="1:38" s="1181" customFormat="1" ht="12.75" x14ac:dyDescent="0.25">
      <c r="A156" s="1280" t="s">
        <v>742</v>
      </c>
      <c r="B156" s="1280"/>
      <c r="C156" s="864"/>
      <c r="D156" s="864"/>
      <c r="E156" s="864"/>
      <c r="F156" s="864"/>
      <c r="G156" s="864"/>
      <c r="H156" s="864"/>
      <c r="I156" s="864"/>
      <c r="J156" s="864"/>
      <c r="K156" s="864"/>
      <c r="L156" s="864"/>
      <c r="M156" s="864"/>
      <c r="N156" s="864"/>
      <c r="O156" s="864"/>
      <c r="P156" s="864"/>
      <c r="Q156" s="864"/>
      <c r="R156" s="864"/>
      <c r="S156" s="864"/>
      <c r="T156" s="864"/>
      <c r="U156" s="1193"/>
      <c r="V156" s="864"/>
      <c r="W156" s="980"/>
      <c r="X156" s="1193"/>
      <c r="Y156" s="617"/>
      <c r="Z156" s="1193"/>
      <c r="AA156" s="1222"/>
      <c r="AB156" s="1251"/>
      <c r="AC156" s="1251"/>
      <c r="AD156" s="1251"/>
      <c r="AE156" s="1251"/>
      <c r="AF156" s="1251"/>
      <c r="AG156" s="1251"/>
      <c r="AH156" s="1251"/>
      <c r="AI156" s="1251"/>
      <c r="AJ156" s="1251"/>
      <c r="AK156" s="1251"/>
      <c r="AL156" s="1247">
        <f t="shared" si="9"/>
        <v>0</v>
      </c>
    </row>
    <row r="157" spans="1:38" s="1181" customFormat="1" ht="12.75" x14ac:dyDescent="0.25">
      <c r="A157" s="1280" t="s">
        <v>5938</v>
      </c>
      <c r="B157" s="1280"/>
      <c r="C157" s="864"/>
      <c r="D157" s="864"/>
      <c r="E157" s="864"/>
      <c r="F157" s="864"/>
      <c r="G157" s="864"/>
      <c r="H157" s="864"/>
      <c r="I157" s="864"/>
      <c r="J157" s="864"/>
      <c r="K157" s="864"/>
      <c r="L157" s="864"/>
      <c r="M157" s="864"/>
      <c r="N157" s="864"/>
      <c r="O157" s="864"/>
      <c r="P157" s="864"/>
      <c r="Q157" s="864"/>
      <c r="R157" s="864"/>
      <c r="S157" s="864"/>
      <c r="T157" s="864"/>
      <c r="U157" s="1193"/>
      <c r="V157" s="864"/>
      <c r="W157" s="980"/>
      <c r="X157" s="1193"/>
      <c r="Y157" s="1224"/>
      <c r="Z157" s="617"/>
      <c r="AA157" s="1222"/>
      <c r="AB157" s="1251"/>
      <c r="AC157" s="1251"/>
      <c r="AD157" s="1251"/>
      <c r="AE157" s="1251"/>
      <c r="AF157" s="1251"/>
      <c r="AG157" s="1251"/>
      <c r="AH157" s="1251"/>
      <c r="AI157" s="1251"/>
      <c r="AJ157" s="1251"/>
      <c r="AK157" s="1251"/>
      <c r="AL157" s="1247">
        <f t="shared" si="9"/>
        <v>0</v>
      </c>
    </row>
    <row r="158" spans="1:38" s="1181" customFormat="1" ht="12.75" x14ac:dyDescent="0.25">
      <c r="A158" s="1280" t="s">
        <v>3131</v>
      </c>
      <c r="B158" s="1280"/>
      <c r="C158" s="864"/>
      <c r="D158" s="864"/>
      <c r="E158" s="864"/>
      <c r="F158" s="864"/>
      <c r="G158" s="864">
        <f>500000000+500000000</f>
        <v>1000000000</v>
      </c>
      <c r="H158" s="864">
        <v>500000000</v>
      </c>
      <c r="I158" s="864"/>
      <c r="J158" s="864"/>
      <c r="K158" s="864"/>
      <c r="L158" s="864"/>
      <c r="M158" s="864"/>
      <c r="N158" s="864"/>
      <c r="O158" s="864"/>
      <c r="P158" s="864"/>
      <c r="Q158" s="864"/>
      <c r="R158" s="864"/>
      <c r="S158" s="864"/>
      <c r="T158" s="864"/>
      <c r="U158" s="1193"/>
      <c r="V158" s="864"/>
      <c r="W158" s="980"/>
      <c r="X158" s="1193"/>
      <c r="Y158" s="1224"/>
      <c r="Z158" s="1193"/>
      <c r="AA158" s="1222"/>
      <c r="AB158" s="1251"/>
      <c r="AC158" s="1251"/>
      <c r="AD158" s="1251"/>
      <c r="AE158" s="1251"/>
      <c r="AF158" s="1251"/>
      <c r="AG158" s="1251"/>
      <c r="AH158" s="1251"/>
      <c r="AI158" s="1251"/>
      <c r="AJ158" s="1251"/>
      <c r="AK158" s="1251"/>
      <c r="AL158" s="1247">
        <f t="shared" si="9"/>
        <v>1500000000</v>
      </c>
    </row>
    <row r="159" spans="1:38" s="1181" customFormat="1" ht="12.75" x14ac:dyDescent="0.15">
      <c r="A159" s="1280" t="s">
        <v>209</v>
      </c>
      <c r="B159" s="1280"/>
      <c r="C159" s="864"/>
      <c r="D159" s="864"/>
      <c r="E159" s="864">
        <f>3400000+100000</f>
        <v>3500000</v>
      </c>
      <c r="F159" s="864"/>
      <c r="G159" s="864"/>
      <c r="H159" s="864"/>
      <c r="I159" s="864"/>
      <c r="J159" s="864"/>
      <c r="K159" s="864"/>
      <c r="L159" s="864"/>
      <c r="M159" s="864"/>
      <c r="N159" s="864"/>
      <c r="O159" s="864"/>
      <c r="P159" s="864"/>
      <c r="Q159" s="864"/>
      <c r="R159" s="864"/>
      <c r="S159" s="864"/>
      <c r="T159" s="864"/>
      <c r="U159" s="1193"/>
      <c r="V159" s="864"/>
      <c r="W159" s="864"/>
      <c r="X159" s="1193"/>
      <c r="Y159" s="1193"/>
      <c r="Z159" s="1193"/>
      <c r="AA159" s="296"/>
      <c r="AB159" s="1251"/>
      <c r="AC159" s="1251"/>
      <c r="AD159" s="1251"/>
      <c r="AE159" s="1251"/>
      <c r="AF159" s="1251"/>
      <c r="AG159" s="1251"/>
      <c r="AH159" s="1251"/>
      <c r="AI159" s="1251"/>
      <c r="AJ159" s="1251"/>
      <c r="AK159" s="1251"/>
      <c r="AL159" s="1247">
        <f t="shared" si="9"/>
        <v>3500000</v>
      </c>
    </row>
    <row r="160" spans="1:38" s="1181" customFormat="1" ht="12.75" x14ac:dyDescent="0.15">
      <c r="A160" s="1280" t="s">
        <v>6155</v>
      </c>
      <c r="B160" s="1280"/>
      <c r="C160" s="864"/>
      <c r="D160" s="864"/>
      <c r="E160" s="864"/>
      <c r="F160" s="864"/>
      <c r="G160" s="864"/>
      <c r="H160" s="864"/>
      <c r="I160" s="864"/>
      <c r="J160" s="864"/>
      <c r="K160" s="864"/>
      <c r="L160" s="864"/>
      <c r="M160" s="864"/>
      <c r="N160" s="864"/>
      <c r="O160" s="864"/>
      <c r="P160" s="864"/>
      <c r="Q160" s="864"/>
      <c r="R160" s="864"/>
      <c r="S160" s="864"/>
      <c r="T160" s="864"/>
      <c r="U160" s="1193"/>
      <c r="V160" s="864"/>
      <c r="W160" s="864"/>
      <c r="X160" s="1193"/>
      <c r="Y160" s="1193"/>
      <c r="Z160" s="1193"/>
      <c r="AA160" s="296"/>
      <c r="AB160" s="1288"/>
      <c r="AC160" s="1251"/>
      <c r="AD160" s="1251"/>
      <c r="AE160" s="1251"/>
      <c r="AF160" s="1251"/>
      <c r="AG160" s="1251"/>
      <c r="AH160" s="1251"/>
      <c r="AI160" s="1251"/>
      <c r="AJ160" s="1251"/>
      <c r="AK160" s="1251"/>
      <c r="AL160" s="1247"/>
    </row>
    <row r="161" spans="1:101" s="1181" customFormat="1" ht="12.75" x14ac:dyDescent="0.25">
      <c r="A161" s="1280" t="s">
        <v>208</v>
      </c>
      <c r="B161" s="1280"/>
      <c r="C161" s="864"/>
      <c r="D161" s="864"/>
      <c r="E161" s="864"/>
      <c r="F161" s="864">
        <v>50000</v>
      </c>
      <c r="G161" s="864"/>
      <c r="H161" s="864">
        <v>50000</v>
      </c>
      <c r="I161" s="1224"/>
      <c r="J161" s="864"/>
      <c r="K161" s="864"/>
      <c r="L161" s="864"/>
      <c r="M161" s="864"/>
      <c r="N161" s="864"/>
      <c r="O161" s="864"/>
      <c r="P161" s="1224"/>
      <c r="Q161" s="616"/>
      <c r="R161" s="864"/>
      <c r="S161" s="864"/>
      <c r="T161" s="864"/>
      <c r="U161" s="616"/>
      <c r="V161" s="864"/>
      <c r="W161" s="864"/>
      <c r="X161" s="1193"/>
      <c r="Y161" s="616"/>
      <c r="Z161" s="1193"/>
      <c r="AA161" s="1193"/>
      <c r="AB161" s="300"/>
      <c r="AC161" s="1251"/>
      <c r="AD161" s="1251"/>
      <c r="AE161" s="1251"/>
      <c r="AF161" s="1251"/>
      <c r="AG161" s="1251"/>
      <c r="AH161" s="1251"/>
      <c r="AI161" s="1251"/>
      <c r="AJ161" s="1251"/>
      <c r="AK161" s="1251"/>
      <c r="AL161" s="1247">
        <f t="shared" si="9"/>
        <v>100000</v>
      </c>
    </row>
    <row r="162" spans="1:101" s="1181" customFormat="1" ht="12.75" x14ac:dyDescent="0.25">
      <c r="A162" s="1289" t="s">
        <v>207</v>
      </c>
      <c r="B162" s="1290"/>
      <c r="C162" s="559"/>
      <c r="D162" s="864"/>
      <c r="E162" s="1175"/>
      <c r="F162" s="864"/>
      <c r="G162" s="864"/>
      <c r="H162" s="864"/>
      <c r="I162" s="864"/>
      <c r="J162" s="864"/>
      <c r="K162" s="864"/>
      <c r="L162" s="864"/>
      <c r="M162" s="864"/>
      <c r="N162" s="864"/>
      <c r="O162" s="864"/>
      <c r="P162" s="864"/>
      <c r="Q162" s="864"/>
      <c r="R162" s="864"/>
      <c r="S162" s="864"/>
      <c r="T162" s="864"/>
      <c r="U162" s="1193"/>
      <c r="V162" s="980"/>
      <c r="W162" s="864"/>
      <c r="X162" s="1193"/>
      <c r="Y162" s="1193"/>
      <c r="Z162" s="1193"/>
      <c r="AA162" s="980"/>
      <c r="AB162" s="1251"/>
      <c r="AC162" s="1251"/>
      <c r="AD162" s="1251"/>
      <c r="AF162" s="1251"/>
      <c r="AG162" s="1251"/>
      <c r="AH162" s="1251"/>
      <c r="AI162" s="1251"/>
      <c r="AJ162" s="1251"/>
      <c r="AK162" s="1251"/>
      <c r="AL162" s="1247">
        <f t="shared" si="9"/>
        <v>0</v>
      </c>
    </row>
    <row r="163" spans="1:101" s="1181" customFormat="1" ht="12.75" x14ac:dyDescent="0.25">
      <c r="A163" s="1289" t="s">
        <v>206</v>
      </c>
      <c r="B163" s="1289"/>
      <c r="C163" s="1251"/>
      <c r="D163" s="864"/>
      <c r="E163" s="864"/>
      <c r="F163" s="864"/>
      <c r="G163" s="864"/>
      <c r="H163" s="864"/>
      <c r="I163" s="864"/>
      <c r="J163" s="864"/>
      <c r="K163" s="864"/>
      <c r="L163" s="864"/>
      <c r="M163" s="864"/>
      <c r="N163" s="864"/>
      <c r="O163" s="1224"/>
      <c r="P163" s="864"/>
      <c r="Q163" s="864"/>
      <c r="R163" s="864"/>
      <c r="S163" s="864"/>
      <c r="T163" s="864"/>
      <c r="U163" s="1193"/>
      <c r="V163" s="980"/>
      <c r="W163" s="864"/>
      <c r="X163" s="1193"/>
      <c r="Y163" s="1193"/>
      <c r="Z163" s="1193"/>
      <c r="AA163" s="980"/>
      <c r="AB163" s="1251"/>
      <c r="AC163" s="1251"/>
      <c r="AD163" s="1251"/>
      <c r="AE163" s="1251"/>
      <c r="AF163" s="1251"/>
      <c r="AG163" s="1251"/>
      <c r="AH163" s="1251"/>
      <c r="AI163" s="1251"/>
      <c r="AJ163" s="1251"/>
      <c r="AK163" s="1251"/>
      <c r="AL163" s="1247">
        <f t="shared" si="9"/>
        <v>0</v>
      </c>
    </row>
    <row r="164" spans="1:101" s="1181" customFormat="1" ht="12.75" x14ac:dyDescent="0.25">
      <c r="A164" s="1289" t="s">
        <v>205</v>
      </c>
      <c r="B164" s="1289"/>
      <c r="C164" s="1332"/>
      <c r="D164" s="1291"/>
      <c r="E164" s="864"/>
      <c r="F164" s="864"/>
      <c r="G164" s="864"/>
      <c r="H164" s="864"/>
      <c r="I164" s="864"/>
      <c r="J164" s="864"/>
      <c r="K164" s="864"/>
      <c r="L164" s="864"/>
      <c r="M164" s="864"/>
      <c r="N164" s="864"/>
      <c r="O164" s="1224"/>
      <c r="P164" s="864"/>
      <c r="Q164" s="864"/>
      <c r="R164" s="864"/>
      <c r="S164" s="864"/>
      <c r="T164" s="864"/>
      <c r="U164" s="1193"/>
      <c r="V164" s="864"/>
      <c r="W164" s="864"/>
      <c r="X164" s="1193"/>
      <c r="Y164" s="1193"/>
      <c r="Z164" s="1193"/>
      <c r="AA164" s="980"/>
      <c r="AB164" s="1251"/>
      <c r="AC164" s="1251"/>
      <c r="AD164" s="1251"/>
      <c r="AF164" s="1251"/>
      <c r="AG164" s="1287"/>
      <c r="AH164" s="1251"/>
      <c r="AI164" s="1287"/>
      <c r="AJ164" s="1251"/>
      <c r="AK164" s="1251"/>
      <c r="AL164" s="1247">
        <f t="shared" si="9"/>
        <v>0</v>
      </c>
    </row>
    <row r="165" spans="1:101" s="1181" customFormat="1" ht="12.75" x14ac:dyDescent="0.25">
      <c r="A165" s="1289" t="s">
        <v>6250</v>
      </c>
      <c r="B165" s="1289"/>
      <c r="C165" s="1291"/>
      <c r="D165" s="1291"/>
      <c r="E165" s="864"/>
      <c r="F165" s="864"/>
      <c r="G165" s="864"/>
      <c r="H165" s="864"/>
      <c r="I165" s="864"/>
      <c r="J165" s="864"/>
      <c r="K165" s="864"/>
      <c r="L165" s="864"/>
      <c r="M165" s="864"/>
      <c r="N165" s="864"/>
      <c r="O165" s="1224"/>
      <c r="P165" s="864"/>
      <c r="Q165" s="864"/>
      <c r="R165" s="864"/>
      <c r="S165" s="864"/>
      <c r="T165" s="864"/>
      <c r="U165" s="1193"/>
      <c r="V165" s="864"/>
      <c r="W165" s="864"/>
      <c r="X165" s="1193"/>
      <c r="Y165" s="1215"/>
      <c r="Z165" s="1193"/>
      <c r="AA165" s="1328"/>
      <c r="AB165" s="1251"/>
      <c r="AC165" s="1251"/>
      <c r="AD165" s="1251"/>
      <c r="AF165" s="1251"/>
      <c r="AG165" s="1287"/>
      <c r="AH165" s="1251"/>
      <c r="AI165" s="1287"/>
      <c r="AJ165" s="1251"/>
      <c r="AK165" s="1251"/>
      <c r="AL165" s="1247"/>
    </row>
    <row r="166" spans="1:101" s="1181" customFormat="1" ht="12.75" x14ac:dyDescent="0.15">
      <c r="A166" s="1289" t="s">
        <v>204</v>
      </c>
      <c r="B166" s="1289"/>
      <c r="C166" s="864"/>
      <c r="D166" s="864"/>
      <c r="E166" s="864"/>
      <c r="F166" s="864"/>
      <c r="G166" s="864"/>
      <c r="H166" s="864"/>
      <c r="I166" s="864"/>
      <c r="J166" s="864"/>
      <c r="K166" s="864"/>
      <c r="L166" s="864"/>
      <c r="M166" s="864"/>
      <c r="N166" s="864"/>
      <c r="O166" s="1224"/>
      <c r="P166" s="864"/>
      <c r="Q166" s="864"/>
      <c r="R166" s="864"/>
      <c r="S166" s="864"/>
      <c r="T166" s="864"/>
      <c r="U166" s="1193"/>
      <c r="V166" s="864"/>
      <c r="W166" s="864"/>
      <c r="X166" s="1292"/>
      <c r="Y166" s="218"/>
      <c r="Z166" s="1193"/>
      <c r="AB166" s="980"/>
      <c r="AC166" s="1251"/>
      <c r="AD166" s="1251"/>
      <c r="AE166" s="1251"/>
      <c r="AF166" s="1251"/>
      <c r="AG166" s="1287"/>
      <c r="AH166" s="1251"/>
      <c r="AI166" s="1251"/>
      <c r="AJ166" s="1251"/>
      <c r="AK166" s="1251"/>
      <c r="AL166" s="1247">
        <f t="shared" si="9"/>
        <v>0</v>
      </c>
    </row>
    <row r="167" spans="1:101" s="1181" customFormat="1" ht="12.75" x14ac:dyDescent="0.15">
      <c r="A167" s="1289" t="s">
        <v>92</v>
      </c>
      <c r="B167" s="1289"/>
      <c r="C167" s="864"/>
      <c r="D167" s="864"/>
      <c r="E167" s="864">
        <f>2832000+1545000+6800000</f>
        <v>11177000</v>
      </c>
      <c r="F167" s="864"/>
      <c r="G167" s="864">
        <v>7840000</v>
      </c>
      <c r="H167" s="864">
        <v>14092204</v>
      </c>
      <c r="I167" s="864"/>
      <c r="J167" s="864"/>
      <c r="K167" s="559"/>
      <c r="L167" s="864"/>
      <c r="M167" s="864"/>
      <c r="N167" s="864"/>
      <c r="O167" s="616"/>
      <c r="P167" s="864"/>
      <c r="Q167" s="864"/>
      <c r="R167" s="864"/>
      <c r="S167" s="864"/>
      <c r="T167" s="864"/>
      <c r="U167" s="1193"/>
      <c r="V167" s="864"/>
      <c r="W167" s="864"/>
      <c r="X167" s="218"/>
      <c r="Y167" s="296"/>
      <c r="Z167" s="1193"/>
      <c r="AA167" s="571"/>
      <c r="AB167" s="1251"/>
      <c r="AC167" s="1196"/>
      <c r="AD167" s="1196"/>
      <c r="AE167" s="1196"/>
      <c r="AF167" s="1196"/>
      <c r="AG167" s="1196"/>
      <c r="AH167" s="1196"/>
      <c r="AI167" s="1196"/>
      <c r="AJ167" s="1196"/>
      <c r="AK167" s="1196"/>
      <c r="AL167" s="1247">
        <f t="shared" si="9"/>
        <v>33109204</v>
      </c>
    </row>
    <row r="168" spans="1:101" s="1181" customFormat="1" ht="14.25" x14ac:dyDescent="0.25">
      <c r="A168" s="1293" t="s">
        <v>203</v>
      </c>
      <c r="B168" s="1293"/>
      <c r="C168" s="1294">
        <f>SUM(C118:C167)</f>
        <v>0</v>
      </c>
      <c r="D168" s="1294">
        <f>SUM(D118:D167)</f>
        <v>0</v>
      </c>
      <c r="E168" s="1294">
        <f>SUM(E118:E167)</f>
        <v>246322660</v>
      </c>
      <c r="F168" s="1294">
        <f>SUM(F118:F167)</f>
        <v>50000</v>
      </c>
      <c r="G168" s="1294">
        <f>SUM(G118:G167)</f>
        <v>1101444403</v>
      </c>
      <c r="H168" s="1294">
        <f t="shared" ref="H168:AC168" si="10">SUM(H118:H167)</f>
        <v>552382712</v>
      </c>
      <c r="I168" s="1294">
        <f t="shared" si="10"/>
        <v>0</v>
      </c>
      <c r="J168" s="1294">
        <f>SUM(J118:J167)</f>
        <v>0</v>
      </c>
      <c r="K168" s="1294">
        <f t="shared" si="10"/>
        <v>0</v>
      </c>
      <c r="L168" s="1294">
        <f>SUM(L118:L167)</f>
        <v>0</v>
      </c>
      <c r="M168" s="1294">
        <f t="shared" si="10"/>
        <v>0</v>
      </c>
      <c r="N168" s="1294">
        <f t="shared" si="10"/>
        <v>0</v>
      </c>
      <c r="O168" s="1294">
        <f t="shared" si="10"/>
        <v>0</v>
      </c>
      <c r="P168" s="1294">
        <f t="shared" si="10"/>
        <v>0</v>
      </c>
      <c r="Q168" s="1294">
        <f>SUM(Q118:Q167)</f>
        <v>0</v>
      </c>
      <c r="R168" s="1294">
        <f t="shared" si="10"/>
        <v>0</v>
      </c>
      <c r="S168" s="1294">
        <f>SUM(S118:S167)</f>
        <v>0</v>
      </c>
      <c r="T168" s="1294">
        <f t="shared" si="10"/>
        <v>0</v>
      </c>
      <c r="U168" s="1294">
        <f t="shared" si="10"/>
        <v>0</v>
      </c>
      <c r="V168" s="1294">
        <f t="shared" si="10"/>
        <v>0</v>
      </c>
      <c r="W168" s="1294">
        <f t="shared" si="10"/>
        <v>0</v>
      </c>
      <c r="X168" s="1294">
        <f>SUM(X118:X167)</f>
        <v>0</v>
      </c>
      <c r="Y168" s="1294">
        <f t="shared" si="10"/>
        <v>0</v>
      </c>
      <c r="Z168" s="1294">
        <f t="shared" si="10"/>
        <v>0</v>
      </c>
      <c r="AA168" s="1294">
        <f t="shared" si="10"/>
        <v>0</v>
      </c>
      <c r="AB168" s="1294">
        <f>SUM(AB118:AB167)</f>
        <v>0</v>
      </c>
      <c r="AC168" s="1294">
        <f t="shared" si="10"/>
        <v>0</v>
      </c>
      <c r="AD168" s="1294">
        <f>SUM(AD118:AD167)</f>
        <v>0</v>
      </c>
      <c r="AE168" s="1294">
        <f t="shared" ref="AE168:AK168" si="11">SUM(AE118:AE167)</f>
        <v>0</v>
      </c>
      <c r="AF168" s="1294">
        <f t="shared" si="11"/>
        <v>0</v>
      </c>
      <c r="AG168" s="1294">
        <f t="shared" si="11"/>
        <v>0</v>
      </c>
      <c r="AH168" s="1294">
        <f t="shared" si="11"/>
        <v>0</v>
      </c>
      <c r="AI168" s="1294">
        <f t="shared" si="11"/>
        <v>0</v>
      </c>
      <c r="AJ168" s="1294">
        <f t="shared" si="11"/>
        <v>0</v>
      </c>
      <c r="AK168" s="1294">
        <f t="shared" si="11"/>
        <v>0</v>
      </c>
      <c r="AL168" s="1294">
        <f>SUM(AL118:AL167)</f>
        <v>1900199775</v>
      </c>
    </row>
    <row r="169" spans="1:101" s="1181" customFormat="1" ht="12" x14ac:dyDescent="0.25">
      <c r="AA169" s="1183"/>
      <c r="AB169" s="1184"/>
      <c r="AC169" s="1185"/>
      <c r="AD169" s="1184"/>
      <c r="AE169" s="1184"/>
      <c r="AF169" s="1184"/>
      <c r="AG169" s="1184"/>
      <c r="AH169" s="1184"/>
      <c r="AI169" s="1184"/>
      <c r="AJ169" s="1184"/>
      <c r="AK169" s="1184"/>
    </row>
    <row r="170" spans="1:101" s="1297" customFormat="1" ht="14.25" x14ac:dyDescent="0.25">
      <c r="A170" s="1295" t="s">
        <v>170</v>
      </c>
      <c r="B170" s="1295"/>
      <c r="C170" s="1296">
        <f t="shared" ref="C170:AL170" si="12">C11+C24+C73+C93+C112+C168</f>
        <v>0</v>
      </c>
      <c r="D170" s="1296">
        <f t="shared" si="12"/>
        <v>0</v>
      </c>
      <c r="E170" s="1296">
        <f t="shared" si="12"/>
        <v>20928847485</v>
      </c>
      <c r="F170" s="1296">
        <f t="shared" si="12"/>
        <v>4133219416</v>
      </c>
      <c r="G170" s="1296">
        <f t="shared" si="12"/>
        <v>12362307491</v>
      </c>
      <c r="H170" s="1296">
        <f t="shared" si="12"/>
        <v>8038208447</v>
      </c>
      <c r="I170" s="1296">
        <f t="shared" si="12"/>
        <v>0</v>
      </c>
      <c r="J170" s="1296">
        <f t="shared" si="12"/>
        <v>0</v>
      </c>
      <c r="K170" s="1296">
        <f t="shared" si="12"/>
        <v>0</v>
      </c>
      <c r="L170" s="1296">
        <f t="shared" si="12"/>
        <v>0</v>
      </c>
      <c r="M170" s="1296">
        <f t="shared" si="12"/>
        <v>0</v>
      </c>
      <c r="N170" s="1296">
        <f t="shared" si="12"/>
        <v>0</v>
      </c>
      <c r="O170" s="1296">
        <f t="shared" si="12"/>
        <v>0</v>
      </c>
      <c r="P170" s="1296">
        <f t="shared" si="12"/>
        <v>0</v>
      </c>
      <c r="Q170" s="1296">
        <f t="shared" si="12"/>
        <v>0</v>
      </c>
      <c r="R170" s="1296">
        <f t="shared" si="12"/>
        <v>0</v>
      </c>
      <c r="S170" s="1296">
        <f t="shared" si="12"/>
        <v>0</v>
      </c>
      <c r="T170" s="1296">
        <f t="shared" si="12"/>
        <v>0</v>
      </c>
      <c r="U170" s="1296">
        <f t="shared" si="12"/>
        <v>0</v>
      </c>
      <c r="V170" s="1296">
        <f t="shared" si="12"/>
        <v>0</v>
      </c>
      <c r="W170" s="1296">
        <f t="shared" si="12"/>
        <v>0</v>
      </c>
      <c r="X170" s="1296">
        <f t="shared" si="12"/>
        <v>0</v>
      </c>
      <c r="Y170" s="1296">
        <f t="shared" si="12"/>
        <v>0</v>
      </c>
      <c r="Z170" s="1296">
        <f t="shared" si="12"/>
        <v>0</v>
      </c>
      <c r="AA170" s="1296">
        <f t="shared" si="12"/>
        <v>0</v>
      </c>
      <c r="AB170" s="1296">
        <f t="shared" si="12"/>
        <v>0</v>
      </c>
      <c r="AC170" s="1296">
        <f t="shared" si="12"/>
        <v>0</v>
      </c>
      <c r="AD170" s="1296">
        <f t="shared" si="12"/>
        <v>0</v>
      </c>
      <c r="AE170" s="1296">
        <f t="shared" si="12"/>
        <v>0</v>
      </c>
      <c r="AF170" s="1296">
        <f t="shared" si="12"/>
        <v>0</v>
      </c>
      <c r="AG170" s="1296">
        <f t="shared" si="12"/>
        <v>0</v>
      </c>
      <c r="AH170" s="1296">
        <f t="shared" si="12"/>
        <v>0</v>
      </c>
      <c r="AI170" s="1296">
        <f t="shared" si="12"/>
        <v>0</v>
      </c>
      <c r="AJ170" s="1296">
        <f t="shared" si="12"/>
        <v>0</v>
      </c>
      <c r="AK170" s="1296">
        <f t="shared" si="12"/>
        <v>0</v>
      </c>
      <c r="AL170" s="1296">
        <f t="shared" si="12"/>
        <v>42700025317</v>
      </c>
      <c r="CN170" s="1298"/>
      <c r="CO170" s="1298"/>
      <c r="CP170" s="1298"/>
      <c r="CQ170" s="1298"/>
      <c r="CR170" s="1298"/>
      <c r="CS170" s="1298"/>
      <c r="CT170" s="1298"/>
      <c r="CU170" s="1298"/>
      <c r="CV170" s="1298"/>
      <c r="CW170" s="1298"/>
    </row>
    <row r="171" spans="1:101" s="1181" customFormat="1" ht="12" x14ac:dyDescent="0.25">
      <c r="C171" s="1299"/>
      <c r="I171" s="1300"/>
      <c r="J171" s="1300"/>
      <c r="Q171" s="1301"/>
      <c r="R171" s="559"/>
      <c r="S171" s="1300"/>
      <c r="AA171" s="1183"/>
      <c r="AB171" s="1184"/>
      <c r="AC171" s="1185"/>
      <c r="AD171" s="1184"/>
      <c r="AE171" s="1184"/>
      <c r="AF171" s="1184"/>
      <c r="AG171" s="1184"/>
      <c r="AH171" s="1184"/>
      <c r="AI171" s="1184"/>
      <c r="AJ171" s="1184"/>
      <c r="AK171" s="1184"/>
      <c r="AL171" s="1181">
        <f>'[2]BANK STAT'!AL31</f>
        <v>84840919434.520004</v>
      </c>
    </row>
    <row r="172" spans="1:101" s="1181" customFormat="1" ht="12" x14ac:dyDescent="0.25">
      <c r="C172" s="1301"/>
      <c r="E172" s="1299">
        <f>E170+1000000000</f>
        <v>21928847485</v>
      </c>
      <c r="F172" s="1300"/>
      <c r="G172" s="1301"/>
      <c r="H172" s="1301"/>
      <c r="I172" s="1302"/>
      <c r="J172" s="559"/>
      <c r="K172" s="1206"/>
      <c r="L172" s="1300"/>
      <c r="M172" s="1300"/>
      <c r="N172" s="1301"/>
      <c r="O172" s="1301"/>
      <c r="P172" s="1301"/>
      <c r="Q172" s="559"/>
      <c r="S172" s="1300"/>
      <c r="T172" s="1301"/>
      <c r="X172" s="1301"/>
      <c r="Y172" s="1301"/>
      <c r="Z172" s="1301"/>
      <c r="AA172" s="1183"/>
      <c r="AB172" s="1303"/>
      <c r="AC172" s="1185"/>
      <c r="AD172" s="1184"/>
      <c r="AE172" s="1184"/>
      <c r="AF172" s="1184"/>
      <c r="AG172" s="1184"/>
      <c r="AH172" s="1184"/>
      <c r="AI172" s="1184"/>
      <c r="AJ172" s="1184"/>
      <c r="AK172" s="1184"/>
      <c r="AL172" s="1300">
        <f>AL170-AL171</f>
        <v>-42140894117.520004</v>
      </c>
    </row>
    <row r="173" spans="1:101" s="1181" customFormat="1" ht="10.5" x14ac:dyDescent="0.25">
      <c r="C173" s="1300"/>
      <c r="D173" s="1300"/>
      <c r="E173" s="1300"/>
      <c r="F173" s="1300"/>
      <c r="G173" s="1300"/>
      <c r="H173" s="1300"/>
      <c r="I173" s="1300"/>
      <c r="J173" s="1300"/>
      <c r="K173" s="1300"/>
      <c r="L173" s="1300"/>
      <c r="M173" s="1300"/>
      <c r="N173" s="1300"/>
      <c r="O173" s="1300"/>
      <c r="P173" s="1300"/>
      <c r="Q173" s="1300"/>
      <c r="R173" s="1300"/>
      <c r="S173" s="1300"/>
      <c r="T173" s="1300"/>
      <c r="U173" s="1300"/>
      <c r="V173" s="1300"/>
      <c r="W173" s="1300"/>
      <c r="X173" s="1300"/>
      <c r="Y173" s="1300"/>
      <c r="Z173" s="1300"/>
      <c r="AA173" s="1300"/>
      <c r="AB173" s="1300"/>
      <c r="AC173" s="1300"/>
      <c r="AD173" s="1300"/>
      <c r="AE173" s="1300"/>
      <c r="AF173" s="1300"/>
      <c r="AG173" s="1300"/>
      <c r="AH173" s="1300"/>
      <c r="AI173" s="1300"/>
      <c r="AJ173" s="1300"/>
      <c r="AK173" s="1300"/>
      <c r="AL173" s="1300">
        <f>AL170-AL172</f>
        <v>84840919434.520004</v>
      </c>
    </row>
    <row r="174" spans="1:101" s="1181" customFormat="1" ht="12" x14ac:dyDescent="0.25">
      <c r="C174" s="1301"/>
      <c r="D174" s="1300"/>
      <c r="E174" s="1300"/>
      <c r="F174" s="1206"/>
      <c r="G174" s="219"/>
      <c r="H174" s="219"/>
      <c r="J174" s="1301"/>
      <c r="K174" s="1301"/>
      <c r="M174" s="1301"/>
      <c r="N174" s="301"/>
      <c r="Q174" s="1304"/>
      <c r="R174" s="1301"/>
      <c r="U174" s="1300"/>
      <c r="X174" s="219"/>
      <c r="Z174" s="1301"/>
      <c r="AA174" s="1183"/>
      <c r="AB174" s="1303"/>
      <c r="AC174" s="1185"/>
      <c r="AD174" s="1184"/>
      <c r="AE174" s="1184"/>
      <c r="AF174" s="1184"/>
      <c r="AG174" s="1184"/>
      <c r="AH174" s="1184"/>
      <c r="AI174" s="1184"/>
      <c r="AJ174" s="1184"/>
      <c r="AK174" s="1184"/>
    </row>
    <row r="175" spans="1:101" s="1181" customFormat="1" ht="12" x14ac:dyDescent="0.25">
      <c r="C175" s="1299"/>
      <c r="D175" s="1301"/>
      <c r="E175" s="1301"/>
      <c r="F175" s="1206"/>
      <c r="G175" s="1300"/>
      <c r="H175" s="1305"/>
      <c r="I175" s="1301"/>
      <c r="J175" s="1301"/>
      <c r="M175" s="1301"/>
      <c r="N175" s="1206"/>
      <c r="O175" s="1301"/>
      <c r="Q175" s="1301"/>
      <c r="R175" s="1301"/>
      <c r="S175" s="1301"/>
      <c r="T175" s="1301"/>
      <c r="U175" s="1301"/>
      <c r="V175" s="1301"/>
      <c r="W175" s="1301"/>
      <c r="X175" s="219"/>
      <c r="Z175" s="1300"/>
      <c r="AA175" s="1183"/>
      <c r="AB175" s="1303"/>
      <c r="AC175" s="1185"/>
      <c r="AD175" s="1303"/>
      <c r="AE175" s="1303"/>
      <c r="AF175" s="1303"/>
      <c r="AG175" s="1303"/>
      <c r="AH175" s="1303"/>
      <c r="AI175" s="1303"/>
      <c r="AJ175" s="1303"/>
      <c r="AK175" s="1303"/>
    </row>
    <row r="176" spans="1:101" s="1181" customFormat="1" ht="12" x14ac:dyDescent="0.25">
      <c r="C176" s="1206"/>
      <c r="D176" s="1206"/>
      <c r="E176" s="1301"/>
      <c r="F176" s="1206"/>
      <c r="G176" s="1305"/>
      <c r="K176" s="1206"/>
      <c r="M176" s="1306"/>
      <c r="O176" s="1206"/>
      <c r="Q176" s="1301"/>
      <c r="U176" s="219"/>
      <c r="X176" s="219"/>
      <c r="AA176" s="1183"/>
      <c r="AB176" s="1184"/>
      <c r="AC176" s="1185"/>
      <c r="AD176" s="1303"/>
      <c r="AE176" s="1303"/>
      <c r="AF176" s="1303"/>
      <c r="AG176" s="1303"/>
      <c r="AH176" s="1303"/>
      <c r="AI176" s="1303"/>
      <c r="AJ176" s="1303"/>
      <c r="AK176" s="1303"/>
    </row>
    <row r="177" spans="3:37" s="1181" customFormat="1" ht="12" x14ac:dyDescent="0.25">
      <c r="C177" s="559"/>
      <c r="D177" s="1301"/>
      <c r="G177" s="1206"/>
      <c r="H177" s="1206"/>
      <c r="J177" s="1306"/>
      <c r="O177" s="1301"/>
      <c r="P177" s="1301"/>
      <c r="U177" s="1305"/>
      <c r="W177" s="1301"/>
      <c r="X177" s="1305"/>
      <c r="Z177" s="1301"/>
      <c r="AA177" s="1183"/>
      <c r="AB177" s="1184"/>
      <c r="AC177" s="1185"/>
      <c r="AD177" s="1184"/>
      <c r="AE177" s="1184"/>
      <c r="AF177" s="1184"/>
      <c r="AG177" s="1307"/>
      <c r="AH177" s="1184"/>
      <c r="AI177" s="1184"/>
      <c r="AJ177" s="1184"/>
      <c r="AK177" s="1184"/>
    </row>
    <row r="178" spans="3:37" s="1181" customFormat="1" ht="12" x14ac:dyDescent="0.25">
      <c r="C178" s="1206"/>
      <c r="F178" s="1206"/>
      <c r="G178" s="1301"/>
      <c r="J178" s="219"/>
      <c r="K178" s="1206"/>
      <c r="M178" s="1306"/>
      <c r="O178" s="219"/>
      <c r="W178" s="1206"/>
      <c r="X178" s="1305"/>
      <c r="AA178" s="1183"/>
      <c r="AB178" s="1184"/>
      <c r="AC178" s="1185"/>
      <c r="AD178" s="1184"/>
      <c r="AE178" s="1184"/>
      <c r="AF178" s="1184"/>
      <c r="AG178" s="1184"/>
      <c r="AH178" s="1184"/>
      <c r="AI178" s="1184"/>
      <c r="AJ178" s="1184"/>
      <c r="AK178" s="1184"/>
    </row>
    <row r="179" spans="3:37" s="1181" customFormat="1" ht="12" x14ac:dyDescent="0.25">
      <c r="D179" s="1299"/>
      <c r="F179" s="1301"/>
      <c r="H179" s="1206"/>
      <c r="J179" s="1306"/>
      <c r="M179" s="1306"/>
      <c r="AA179" s="1183"/>
      <c r="AB179" s="1184"/>
      <c r="AC179" s="1185"/>
      <c r="AD179" s="1184"/>
      <c r="AE179" s="1184"/>
      <c r="AF179" s="1184"/>
      <c r="AG179" s="1184"/>
      <c r="AH179" s="1184"/>
      <c r="AI179" s="1184"/>
      <c r="AJ179" s="1184"/>
      <c r="AK179" s="1184"/>
    </row>
    <row r="180" spans="3:37" s="1181" customFormat="1" ht="12" x14ac:dyDescent="0.25">
      <c r="F180" s="1301"/>
      <c r="J180" s="1304"/>
      <c r="K180" s="1304"/>
      <c r="M180" s="1306"/>
      <c r="O180" s="219"/>
      <c r="AA180" s="1183"/>
      <c r="AB180" s="1184"/>
      <c r="AC180" s="1185"/>
      <c r="AD180" s="302"/>
      <c r="AE180" s="302"/>
      <c r="AF180" s="302"/>
      <c r="AG180" s="302"/>
      <c r="AH180" s="302"/>
      <c r="AI180" s="302"/>
      <c r="AJ180" s="302"/>
      <c r="AK180" s="302"/>
    </row>
    <row r="181" spans="3:37" s="1181" customFormat="1" ht="12" x14ac:dyDescent="0.25">
      <c r="F181" s="1206"/>
      <c r="G181" s="1301"/>
      <c r="H181" s="1206"/>
      <c r="J181" s="1301"/>
      <c r="M181" s="1300"/>
      <c r="O181" s="1305"/>
      <c r="AA181" s="1183"/>
      <c r="AB181" s="1184"/>
      <c r="AC181" s="1185"/>
      <c r="AD181" s="1308"/>
      <c r="AE181" s="1308"/>
      <c r="AF181" s="1308"/>
      <c r="AG181" s="1308"/>
      <c r="AH181" s="1308"/>
      <c r="AI181" s="1308"/>
      <c r="AJ181" s="1308"/>
      <c r="AK181" s="1308"/>
    </row>
    <row r="182" spans="3:37" s="1181" customFormat="1" ht="12" x14ac:dyDescent="0.25">
      <c r="F182" s="1301"/>
      <c r="G182" s="1206"/>
      <c r="K182" s="1304"/>
      <c r="O182" s="1305"/>
      <c r="AA182" s="1183"/>
      <c r="AB182" s="1184"/>
      <c r="AC182" s="1185"/>
      <c r="AD182" s="1308"/>
      <c r="AE182" s="1308"/>
      <c r="AF182" s="1308"/>
      <c r="AG182" s="1308"/>
      <c r="AH182" s="1308"/>
      <c r="AI182" s="1308"/>
      <c r="AJ182" s="1308"/>
      <c r="AK182" s="1308"/>
    </row>
    <row r="183" spans="3:37" s="1181" customFormat="1" ht="12" x14ac:dyDescent="0.25">
      <c r="F183" s="1206"/>
      <c r="H183" s="1206">
        <f>H167+H118</f>
        <v>14092204</v>
      </c>
      <c r="AA183" s="1183"/>
      <c r="AB183" s="1184"/>
      <c r="AC183" s="1185"/>
      <c r="AD183" s="1184"/>
      <c r="AE183" s="1184"/>
      <c r="AF183" s="1184"/>
      <c r="AG183" s="1184"/>
      <c r="AH183" s="1184"/>
      <c r="AI183" s="1184"/>
      <c r="AJ183" s="1184"/>
      <c r="AK183" s="1184"/>
    </row>
    <row r="184" spans="3:37" s="1181" customFormat="1" ht="12" x14ac:dyDescent="0.25">
      <c r="G184" s="1206"/>
      <c r="AA184" s="1183"/>
      <c r="AB184" s="1184"/>
      <c r="AC184" s="1185"/>
      <c r="AD184" s="1184"/>
      <c r="AE184" s="1184"/>
      <c r="AF184" s="1184"/>
      <c r="AG184" s="1184"/>
      <c r="AH184" s="1184"/>
      <c r="AI184" s="1184"/>
      <c r="AJ184" s="1184"/>
      <c r="AK184" s="1184"/>
    </row>
    <row r="185" spans="3:37" s="1181" customFormat="1" ht="12" x14ac:dyDescent="0.25">
      <c r="F185" s="1304"/>
      <c r="G185" s="1306"/>
      <c r="AA185" s="1183"/>
      <c r="AB185" s="1184"/>
      <c r="AC185" s="1185"/>
      <c r="AD185" s="1184"/>
      <c r="AE185" s="1184"/>
      <c r="AF185" s="1184"/>
      <c r="AG185" s="1184"/>
      <c r="AH185" s="1184"/>
      <c r="AI185" s="1184"/>
      <c r="AJ185" s="1184"/>
      <c r="AK185" s="1184"/>
    </row>
    <row r="186" spans="3:37" s="1181" customFormat="1" ht="12" x14ac:dyDescent="0.25">
      <c r="AA186" s="1183"/>
      <c r="AB186" s="1184"/>
      <c r="AC186" s="1185"/>
      <c r="AD186" s="1184"/>
      <c r="AE186" s="1184"/>
      <c r="AF186" s="1184"/>
      <c r="AG186" s="1184"/>
      <c r="AH186" s="1184"/>
      <c r="AI186" s="1184"/>
      <c r="AJ186" s="1184"/>
      <c r="AK186" s="1184"/>
    </row>
    <row r="187" spans="3:37" s="1181" customFormat="1" ht="12" x14ac:dyDescent="0.25">
      <c r="F187" s="1304"/>
      <c r="G187" s="1306"/>
      <c r="AA187" s="1183"/>
      <c r="AB187" s="1184"/>
      <c r="AC187" s="1185"/>
      <c r="AD187" s="1184"/>
      <c r="AE187" s="1184"/>
      <c r="AF187" s="1184"/>
      <c r="AG187" s="1184"/>
      <c r="AH187" s="1184"/>
      <c r="AI187" s="1184"/>
      <c r="AJ187" s="1184"/>
      <c r="AK187" s="1184"/>
    </row>
    <row r="188" spans="3:37" s="1181" customFormat="1" ht="12" x14ac:dyDescent="0.25">
      <c r="G188" s="1206"/>
      <c r="AA188" s="1183"/>
      <c r="AB188" s="1184"/>
      <c r="AC188" s="1185"/>
      <c r="AD188" s="1184"/>
      <c r="AE188" s="1184"/>
      <c r="AF188" s="1184"/>
      <c r="AG188" s="1184"/>
      <c r="AH188" s="1184"/>
      <c r="AI188" s="1184"/>
      <c r="AJ188" s="1184"/>
      <c r="AK188" s="1184"/>
    </row>
    <row r="189" spans="3:37" s="1181" customFormat="1" ht="12" x14ac:dyDescent="0.25">
      <c r="AA189" s="1183"/>
      <c r="AB189" s="1184"/>
      <c r="AC189" s="1185"/>
      <c r="AD189" s="1184"/>
      <c r="AE189" s="1184"/>
      <c r="AF189" s="1184"/>
      <c r="AG189" s="1184"/>
      <c r="AH189" s="1184"/>
      <c r="AI189" s="1184"/>
      <c r="AJ189" s="1184"/>
      <c r="AK189" s="1184"/>
    </row>
    <row r="190" spans="3:37" s="1181" customFormat="1" ht="12" x14ac:dyDescent="0.25">
      <c r="G190" s="1206"/>
      <c r="AA190" s="1183"/>
      <c r="AB190" s="1184"/>
      <c r="AC190" s="1185"/>
      <c r="AD190" s="1184"/>
      <c r="AE190" s="1184"/>
      <c r="AF190" s="1184"/>
      <c r="AG190" s="1184"/>
      <c r="AH190" s="1184"/>
      <c r="AI190" s="1184"/>
      <c r="AJ190" s="1184"/>
      <c r="AK190" s="1184"/>
    </row>
    <row r="191" spans="3:37" s="1181" customFormat="1" ht="12" x14ac:dyDescent="0.25">
      <c r="H191" s="1181" t="s">
        <v>6000</v>
      </c>
      <c r="AA191" s="1183"/>
      <c r="AB191" s="1184"/>
      <c r="AC191" s="1185"/>
      <c r="AD191" s="1184"/>
      <c r="AE191" s="1184"/>
      <c r="AF191" s="1184"/>
      <c r="AG191" s="1184"/>
      <c r="AH191" s="1184"/>
      <c r="AI191" s="1184"/>
      <c r="AJ191" s="1184"/>
      <c r="AK191" s="1184"/>
    </row>
    <row r="192" spans="3:37" s="1181" customFormat="1" ht="12" x14ac:dyDescent="0.25">
      <c r="AA192" s="1183"/>
      <c r="AB192" s="1184"/>
      <c r="AC192" s="1185"/>
      <c r="AD192" s="1184"/>
      <c r="AE192" s="1184"/>
      <c r="AF192" s="1184"/>
      <c r="AG192" s="1184"/>
      <c r="AH192" s="1184"/>
      <c r="AI192" s="1184"/>
      <c r="AJ192" s="1184"/>
      <c r="AK192" s="1184"/>
    </row>
    <row r="193" spans="7:37" s="1181" customFormat="1" ht="12" x14ac:dyDescent="0.25">
      <c r="AA193" s="1183"/>
      <c r="AB193" s="1184"/>
      <c r="AC193" s="1185"/>
      <c r="AD193" s="1184"/>
      <c r="AE193" s="1184"/>
      <c r="AF193" s="1184"/>
      <c r="AG193" s="1184"/>
      <c r="AH193" s="1184"/>
      <c r="AI193" s="1184"/>
      <c r="AJ193" s="1184"/>
      <c r="AK193" s="1184"/>
    </row>
    <row r="194" spans="7:37" s="1181" customFormat="1" ht="12" x14ac:dyDescent="0.25">
      <c r="AA194" s="1183"/>
      <c r="AB194" s="1184"/>
      <c r="AC194" s="1185"/>
      <c r="AD194" s="1184"/>
      <c r="AE194" s="1184"/>
      <c r="AF194" s="1184"/>
      <c r="AG194" s="1184"/>
      <c r="AH194" s="1184"/>
      <c r="AI194" s="1184"/>
      <c r="AJ194" s="1184"/>
      <c r="AK194" s="1184"/>
    </row>
    <row r="195" spans="7:37" s="1181" customFormat="1" ht="12" x14ac:dyDescent="0.25">
      <c r="AA195" s="1183"/>
      <c r="AB195" s="1184"/>
      <c r="AC195" s="1185"/>
      <c r="AD195" s="1184"/>
      <c r="AE195" s="1184"/>
      <c r="AF195" s="1184"/>
      <c r="AG195" s="1184"/>
      <c r="AH195" s="1184"/>
      <c r="AI195" s="1184"/>
      <c r="AJ195" s="1184"/>
      <c r="AK195" s="1184"/>
    </row>
    <row r="196" spans="7:37" s="1181" customFormat="1" ht="12" x14ac:dyDescent="0.25">
      <c r="AA196" s="1183"/>
      <c r="AB196" s="1184"/>
      <c r="AC196" s="1185"/>
      <c r="AD196" s="1184"/>
      <c r="AE196" s="1184"/>
      <c r="AF196" s="1184"/>
      <c r="AG196" s="1184"/>
      <c r="AH196" s="1184"/>
      <c r="AI196" s="1184"/>
      <c r="AJ196" s="1184"/>
      <c r="AK196" s="1184"/>
    </row>
    <row r="197" spans="7:37" s="1181" customFormat="1" ht="12" x14ac:dyDescent="0.25">
      <c r="AA197" s="1183"/>
      <c r="AB197" s="1184"/>
      <c r="AC197" s="1185"/>
      <c r="AD197" s="1184"/>
      <c r="AE197" s="1184"/>
      <c r="AF197" s="1184"/>
      <c r="AG197" s="1184"/>
      <c r="AH197" s="1184"/>
      <c r="AI197" s="1184"/>
      <c r="AJ197" s="1184"/>
      <c r="AK197" s="1184"/>
    </row>
    <row r="198" spans="7:37" s="1181" customFormat="1" ht="12" x14ac:dyDescent="0.25">
      <c r="AA198" s="1183"/>
      <c r="AB198" s="1184"/>
      <c r="AC198" s="1185"/>
      <c r="AD198" s="1184"/>
      <c r="AE198" s="1184"/>
      <c r="AF198" s="1184"/>
      <c r="AG198" s="1184"/>
      <c r="AH198" s="1184"/>
      <c r="AI198" s="1184"/>
      <c r="AJ198" s="1184"/>
      <c r="AK198" s="1184"/>
    </row>
    <row r="199" spans="7:37" s="1181" customFormat="1" ht="12" x14ac:dyDescent="0.25">
      <c r="AA199" s="1183"/>
      <c r="AB199" s="1184"/>
      <c r="AC199" s="1185"/>
      <c r="AD199" s="1184"/>
      <c r="AE199" s="1184"/>
      <c r="AF199" s="1184"/>
      <c r="AG199" s="1184"/>
      <c r="AH199" s="1184"/>
      <c r="AI199" s="1184"/>
      <c r="AJ199" s="1184"/>
      <c r="AK199" s="1184"/>
    </row>
    <row r="200" spans="7:37" s="1181" customFormat="1" ht="12" x14ac:dyDescent="0.25">
      <c r="AA200" s="1183"/>
      <c r="AB200" s="1184"/>
      <c r="AC200" s="1185"/>
      <c r="AD200" s="1184"/>
      <c r="AE200" s="1184"/>
      <c r="AF200" s="1184"/>
      <c r="AG200" s="1184"/>
      <c r="AH200" s="1184"/>
      <c r="AI200" s="1184"/>
      <c r="AJ200" s="1184"/>
      <c r="AK200" s="1184"/>
    </row>
    <row r="201" spans="7:37" s="1181" customFormat="1" ht="12" x14ac:dyDescent="0.25">
      <c r="AA201" s="1183"/>
      <c r="AB201" s="1184"/>
      <c r="AC201" s="1185"/>
      <c r="AD201" s="1184"/>
      <c r="AE201" s="1184"/>
      <c r="AF201" s="1184"/>
      <c r="AG201" s="1184"/>
      <c r="AH201" s="1184"/>
      <c r="AI201" s="1184"/>
      <c r="AJ201" s="1184"/>
      <c r="AK201" s="1184"/>
    </row>
    <row r="202" spans="7:37" s="1181" customFormat="1" ht="12" x14ac:dyDescent="0.25">
      <c r="AA202" s="1183"/>
      <c r="AB202" s="1184"/>
      <c r="AC202" s="1185"/>
      <c r="AD202" s="1184"/>
      <c r="AE202" s="1184"/>
      <c r="AF202" s="1184"/>
      <c r="AG202" s="1184"/>
      <c r="AH202" s="1184"/>
      <c r="AI202" s="1184"/>
      <c r="AJ202" s="1184"/>
      <c r="AK202" s="1184"/>
    </row>
    <row r="203" spans="7:37" s="1181" customFormat="1" ht="12" x14ac:dyDescent="0.25">
      <c r="AA203" s="1183"/>
      <c r="AB203" s="1184"/>
      <c r="AC203" s="1185"/>
      <c r="AD203" s="1184"/>
      <c r="AE203" s="1184"/>
      <c r="AF203" s="1184"/>
      <c r="AG203" s="1184"/>
      <c r="AH203" s="1184"/>
      <c r="AI203" s="1184"/>
      <c r="AJ203" s="1184"/>
      <c r="AK203" s="1184"/>
    </row>
    <row r="204" spans="7:37" s="1181" customFormat="1" ht="12" x14ac:dyDescent="0.25">
      <c r="G204" s="1181" t="s">
        <v>6100</v>
      </c>
      <c r="AA204" s="1183"/>
      <c r="AB204" s="1184"/>
      <c r="AC204" s="1185"/>
      <c r="AD204" s="1184"/>
      <c r="AE204" s="1184"/>
      <c r="AF204" s="1184"/>
      <c r="AG204" s="1184"/>
      <c r="AH204" s="1184"/>
      <c r="AI204" s="1184"/>
      <c r="AJ204" s="1184"/>
      <c r="AK204" s="1184"/>
    </row>
    <row r="205" spans="7:37" s="1181" customFormat="1" ht="12" x14ac:dyDescent="0.25">
      <c r="AA205" s="1183"/>
      <c r="AB205" s="1184"/>
      <c r="AC205" s="1185"/>
      <c r="AD205" s="1184"/>
      <c r="AE205" s="1184"/>
      <c r="AF205" s="1184"/>
      <c r="AG205" s="1184"/>
      <c r="AH205" s="1184"/>
      <c r="AI205" s="1184"/>
      <c r="AJ205" s="1184"/>
      <c r="AK205" s="1184"/>
    </row>
    <row r="206" spans="7:37" s="1181" customFormat="1" ht="12" x14ac:dyDescent="0.25">
      <c r="AA206" s="1183"/>
      <c r="AB206" s="1184"/>
      <c r="AC206" s="1185"/>
      <c r="AD206" s="1184"/>
      <c r="AE206" s="1184"/>
      <c r="AF206" s="1184"/>
      <c r="AG206" s="1184"/>
      <c r="AH206" s="1184"/>
      <c r="AI206" s="1184"/>
      <c r="AJ206" s="1184"/>
      <c r="AK206" s="1184"/>
    </row>
    <row r="207" spans="7:37" s="1181" customFormat="1" ht="12" x14ac:dyDescent="0.25">
      <c r="AA207" s="1183"/>
      <c r="AB207" s="1184"/>
      <c r="AC207" s="1185"/>
      <c r="AD207" s="1184"/>
      <c r="AE207" s="1184"/>
      <c r="AF207" s="1184"/>
      <c r="AG207" s="1184"/>
      <c r="AH207" s="1184"/>
      <c r="AI207" s="1184"/>
      <c r="AJ207" s="1184"/>
      <c r="AK207" s="1184"/>
    </row>
    <row r="208" spans="7:37" s="1181" customFormat="1" ht="12" x14ac:dyDescent="0.25">
      <c r="AA208" s="1183"/>
      <c r="AB208" s="1184"/>
      <c r="AC208" s="1185"/>
      <c r="AD208" s="1184"/>
      <c r="AE208" s="1184"/>
      <c r="AF208" s="1184"/>
      <c r="AG208" s="1184"/>
      <c r="AH208" s="1184"/>
      <c r="AI208" s="1184"/>
      <c r="AJ208" s="1184"/>
      <c r="AK208" s="1184"/>
    </row>
    <row r="209" spans="27:37" s="1181" customFormat="1" ht="12" x14ac:dyDescent="0.25">
      <c r="AA209" s="1183"/>
      <c r="AB209" s="1184"/>
      <c r="AC209" s="1185"/>
      <c r="AD209" s="1184"/>
      <c r="AE209" s="1184"/>
      <c r="AF209" s="1184"/>
      <c r="AG209" s="1184"/>
      <c r="AH209" s="1184"/>
      <c r="AI209" s="1184"/>
      <c r="AJ209" s="1184"/>
      <c r="AK209" s="1184"/>
    </row>
    <row r="210" spans="27:37" s="1181" customFormat="1" ht="12" x14ac:dyDescent="0.25">
      <c r="AA210" s="1183"/>
      <c r="AB210" s="1184"/>
      <c r="AC210" s="1185"/>
      <c r="AD210" s="1184"/>
      <c r="AE210" s="1184"/>
      <c r="AF210" s="1184"/>
      <c r="AG210" s="1184"/>
      <c r="AH210" s="1184"/>
      <c r="AI210" s="1184"/>
      <c r="AJ210" s="1184"/>
      <c r="AK210" s="1184"/>
    </row>
    <row r="211" spans="27:37" s="1181" customFormat="1" ht="12" x14ac:dyDescent="0.25">
      <c r="AA211" s="1183"/>
      <c r="AB211" s="1184"/>
      <c r="AC211" s="1185"/>
      <c r="AD211" s="1184"/>
      <c r="AE211" s="1184"/>
      <c r="AF211" s="1184"/>
      <c r="AG211" s="1184"/>
      <c r="AH211" s="1184"/>
      <c r="AI211" s="1184"/>
      <c r="AJ211" s="1184"/>
      <c r="AK211" s="1184"/>
    </row>
    <row r="212" spans="27:37" s="1181" customFormat="1" ht="12" x14ac:dyDescent="0.25">
      <c r="AA212" s="1183"/>
      <c r="AB212" s="1184"/>
      <c r="AC212" s="1185"/>
      <c r="AD212" s="1184"/>
      <c r="AE212" s="1184"/>
      <c r="AF212" s="1184"/>
      <c r="AG212" s="1184"/>
      <c r="AH212" s="1184"/>
      <c r="AI212" s="1184"/>
      <c r="AJ212" s="1184"/>
      <c r="AK212" s="1184"/>
    </row>
    <row r="213" spans="27:37" s="1181" customFormat="1" ht="12" x14ac:dyDescent="0.25">
      <c r="AA213" s="1183"/>
      <c r="AB213" s="1184"/>
      <c r="AC213" s="1185"/>
      <c r="AD213" s="1184"/>
      <c r="AE213" s="1184"/>
      <c r="AF213" s="1184"/>
      <c r="AG213" s="1184"/>
      <c r="AH213" s="1184"/>
      <c r="AI213" s="1184"/>
      <c r="AJ213" s="1184"/>
      <c r="AK213" s="1184"/>
    </row>
    <row r="214" spans="27:37" s="1181" customFormat="1" ht="12" x14ac:dyDescent="0.25">
      <c r="AA214" s="1183"/>
      <c r="AB214" s="1184"/>
      <c r="AC214" s="1185"/>
      <c r="AD214" s="1184"/>
      <c r="AE214" s="1184"/>
      <c r="AF214" s="1184"/>
      <c r="AG214" s="1184"/>
      <c r="AH214" s="1184"/>
      <c r="AI214" s="1184"/>
      <c r="AJ214" s="1184"/>
      <c r="AK214" s="1184"/>
    </row>
    <row r="215" spans="27:37" s="1181" customFormat="1" ht="12" x14ac:dyDescent="0.25">
      <c r="AA215" s="1183"/>
      <c r="AB215" s="1184"/>
      <c r="AC215" s="1185"/>
      <c r="AD215" s="1184"/>
      <c r="AE215" s="1184"/>
      <c r="AF215" s="1184"/>
      <c r="AG215" s="1184"/>
      <c r="AH215" s="1184"/>
      <c r="AI215" s="1184"/>
      <c r="AJ215" s="1184"/>
      <c r="AK215" s="1184"/>
    </row>
    <row r="216" spans="27:37" s="1181" customFormat="1" ht="12" x14ac:dyDescent="0.25">
      <c r="AA216" s="1183"/>
      <c r="AB216" s="1184"/>
      <c r="AC216" s="1185"/>
      <c r="AD216" s="1184"/>
      <c r="AE216" s="1184"/>
      <c r="AF216" s="1184"/>
      <c r="AG216" s="1184"/>
      <c r="AH216" s="1184"/>
      <c r="AI216" s="1184"/>
      <c r="AJ216" s="1184"/>
      <c r="AK216" s="1184"/>
    </row>
    <row r="217" spans="27:37" s="1181" customFormat="1" ht="12" x14ac:dyDescent="0.25">
      <c r="AA217" s="1183"/>
      <c r="AB217" s="1184"/>
      <c r="AC217" s="1185"/>
      <c r="AD217" s="1184"/>
      <c r="AE217" s="1184"/>
      <c r="AF217" s="1184"/>
      <c r="AG217" s="1184"/>
      <c r="AH217" s="1184"/>
      <c r="AI217" s="1184"/>
      <c r="AJ217" s="1184"/>
      <c r="AK217" s="1184"/>
    </row>
    <row r="218" spans="27:37" s="1181" customFormat="1" ht="12" x14ac:dyDescent="0.25">
      <c r="AA218" s="1183"/>
      <c r="AB218" s="1184"/>
      <c r="AC218" s="1185"/>
      <c r="AD218" s="1184"/>
      <c r="AE218" s="1184"/>
      <c r="AF218" s="1184"/>
      <c r="AG218" s="1184"/>
      <c r="AH218" s="1184"/>
      <c r="AI218" s="1184"/>
      <c r="AJ218" s="1184"/>
      <c r="AK218" s="1184"/>
    </row>
    <row r="219" spans="27:37" s="1181" customFormat="1" ht="12" x14ac:dyDescent="0.25">
      <c r="AA219" s="1183"/>
      <c r="AB219" s="1184"/>
      <c r="AC219" s="1185"/>
      <c r="AD219" s="1184"/>
      <c r="AE219" s="1184"/>
      <c r="AF219" s="1184"/>
      <c r="AG219" s="1184"/>
      <c r="AH219" s="1184"/>
      <c r="AI219" s="1184"/>
      <c r="AJ219" s="1184"/>
      <c r="AK219" s="1184"/>
    </row>
    <row r="220" spans="27:37" s="1181" customFormat="1" ht="12" x14ac:dyDescent="0.25">
      <c r="AA220" s="1183"/>
      <c r="AB220" s="1184"/>
      <c r="AC220" s="1185"/>
      <c r="AD220" s="1184"/>
      <c r="AE220" s="1184"/>
      <c r="AF220" s="1184"/>
      <c r="AG220" s="1184"/>
      <c r="AH220" s="1184"/>
      <c r="AI220" s="1184"/>
      <c r="AJ220" s="1184"/>
      <c r="AK220" s="1184"/>
    </row>
    <row r="221" spans="27:37" s="1181" customFormat="1" ht="12" x14ac:dyDescent="0.25">
      <c r="AA221" s="1183"/>
      <c r="AB221" s="1184"/>
      <c r="AC221" s="1185"/>
      <c r="AD221" s="1184"/>
      <c r="AE221" s="1184"/>
      <c r="AF221" s="1184"/>
      <c r="AG221" s="1184"/>
      <c r="AH221" s="1184"/>
      <c r="AI221" s="1184"/>
      <c r="AJ221" s="1184"/>
      <c r="AK221" s="1184"/>
    </row>
    <row r="222" spans="27:37" s="1181" customFormat="1" ht="12" x14ac:dyDescent="0.25">
      <c r="AA222" s="1183"/>
      <c r="AB222" s="1184"/>
      <c r="AC222" s="1185"/>
      <c r="AD222" s="1184"/>
      <c r="AE222" s="1184"/>
      <c r="AF222" s="1184"/>
      <c r="AG222" s="1184"/>
      <c r="AH222" s="1184"/>
      <c r="AI222" s="1184"/>
      <c r="AJ222" s="1184"/>
      <c r="AK222" s="1184"/>
    </row>
    <row r="223" spans="27:37" s="1181" customFormat="1" ht="12" x14ac:dyDescent="0.25">
      <c r="AA223" s="1183"/>
      <c r="AB223" s="1184"/>
      <c r="AC223" s="1185"/>
      <c r="AD223" s="1184"/>
      <c r="AE223" s="1184"/>
      <c r="AF223" s="1184"/>
      <c r="AG223" s="1184"/>
      <c r="AH223" s="1184"/>
      <c r="AI223" s="1184"/>
      <c r="AJ223" s="1184"/>
      <c r="AK223" s="1184"/>
    </row>
    <row r="224" spans="27:37" s="1181" customFormat="1" ht="12" x14ac:dyDescent="0.25">
      <c r="AA224" s="1183"/>
      <c r="AB224" s="1184"/>
      <c r="AC224" s="1185"/>
      <c r="AD224" s="1184"/>
      <c r="AE224" s="1184"/>
      <c r="AF224" s="1184"/>
      <c r="AG224" s="1184"/>
      <c r="AH224" s="1184"/>
      <c r="AI224" s="1184"/>
      <c r="AJ224" s="1184"/>
      <c r="AK224" s="1184"/>
    </row>
    <row r="225" spans="27:37" s="1181" customFormat="1" ht="12" x14ac:dyDescent="0.25">
      <c r="AA225" s="1183"/>
      <c r="AB225" s="1184"/>
      <c r="AC225" s="1185"/>
      <c r="AD225" s="1184"/>
      <c r="AE225" s="1184"/>
      <c r="AF225" s="1184"/>
      <c r="AG225" s="1184"/>
      <c r="AH225" s="1184"/>
      <c r="AI225" s="1184"/>
      <c r="AJ225" s="1184"/>
      <c r="AK225" s="1184"/>
    </row>
    <row r="226" spans="27:37" s="1181" customFormat="1" ht="12" x14ac:dyDescent="0.25">
      <c r="AA226" s="1183"/>
      <c r="AB226" s="1184"/>
      <c r="AC226" s="1185"/>
      <c r="AD226" s="1184"/>
      <c r="AE226" s="1184"/>
      <c r="AF226" s="1184"/>
      <c r="AG226" s="1184"/>
      <c r="AH226" s="1184"/>
      <c r="AI226" s="1184"/>
      <c r="AJ226" s="1184"/>
      <c r="AK226" s="1184"/>
    </row>
    <row r="227" spans="27:37" s="1181" customFormat="1" ht="12" x14ac:dyDescent="0.25">
      <c r="AA227" s="1183"/>
      <c r="AB227" s="1184"/>
      <c r="AC227" s="1185"/>
      <c r="AD227" s="1184"/>
      <c r="AE227" s="1184"/>
      <c r="AF227" s="1184"/>
      <c r="AG227" s="1184"/>
      <c r="AH227" s="1184"/>
      <c r="AI227" s="1184"/>
      <c r="AJ227" s="1184"/>
      <c r="AK227" s="1184"/>
    </row>
    <row r="228" spans="27:37" s="1181" customFormat="1" ht="12" x14ac:dyDescent="0.25">
      <c r="AA228" s="1183"/>
      <c r="AB228" s="1184"/>
      <c r="AC228" s="1185"/>
      <c r="AD228" s="1184"/>
      <c r="AE228" s="1184"/>
      <c r="AF228" s="1184"/>
      <c r="AG228" s="1184"/>
      <c r="AH228" s="1184"/>
      <c r="AI228" s="1184"/>
      <c r="AJ228" s="1184"/>
      <c r="AK228" s="1184"/>
    </row>
    <row r="229" spans="27:37" s="1181" customFormat="1" ht="12" x14ac:dyDescent="0.25">
      <c r="AA229" s="1183"/>
      <c r="AB229" s="1184"/>
      <c r="AC229" s="1185"/>
      <c r="AD229" s="1184"/>
      <c r="AE229" s="1184"/>
      <c r="AF229" s="1184"/>
      <c r="AG229" s="1184"/>
      <c r="AH229" s="1184"/>
      <c r="AI229" s="1184"/>
      <c r="AJ229" s="1184"/>
      <c r="AK229" s="1184"/>
    </row>
    <row r="230" spans="27:37" s="1181" customFormat="1" ht="12" x14ac:dyDescent="0.25">
      <c r="AA230" s="1183"/>
      <c r="AB230" s="1184"/>
      <c r="AC230" s="1185"/>
      <c r="AD230" s="1184"/>
      <c r="AE230" s="1184"/>
      <c r="AF230" s="1184"/>
      <c r="AG230" s="1184"/>
      <c r="AH230" s="1184"/>
      <c r="AI230" s="1184"/>
      <c r="AJ230" s="1184"/>
      <c r="AK230" s="1184"/>
    </row>
    <row r="231" spans="27:37" s="1181" customFormat="1" ht="12" x14ac:dyDescent="0.25">
      <c r="AA231" s="1183"/>
      <c r="AB231" s="1184"/>
      <c r="AC231" s="1185"/>
      <c r="AD231" s="1184"/>
      <c r="AE231" s="1184"/>
      <c r="AF231" s="1184"/>
      <c r="AG231" s="1184"/>
      <c r="AH231" s="1184"/>
      <c r="AI231" s="1184"/>
      <c r="AJ231" s="1184"/>
      <c r="AK231" s="1184"/>
    </row>
    <row r="232" spans="27:37" s="1181" customFormat="1" ht="12" x14ac:dyDescent="0.25">
      <c r="AA232" s="1183"/>
      <c r="AB232" s="1184"/>
      <c r="AC232" s="1185"/>
      <c r="AD232" s="1184"/>
      <c r="AE232" s="1184"/>
      <c r="AF232" s="1184"/>
      <c r="AG232" s="1184"/>
      <c r="AH232" s="1184"/>
      <c r="AI232" s="1184"/>
      <c r="AJ232" s="1184"/>
      <c r="AK232" s="1184"/>
    </row>
    <row r="233" spans="27:37" s="1181" customFormat="1" ht="12" x14ac:dyDescent="0.25">
      <c r="AA233" s="1183"/>
      <c r="AB233" s="1184"/>
      <c r="AC233" s="1185"/>
      <c r="AD233" s="1184"/>
      <c r="AE233" s="1184"/>
      <c r="AF233" s="1184"/>
      <c r="AG233" s="1184"/>
      <c r="AH233" s="1184"/>
      <c r="AI233" s="1184"/>
      <c r="AJ233" s="1184"/>
      <c r="AK233" s="1184"/>
    </row>
    <row r="234" spans="27:37" s="1181" customFormat="1" ht="12" x14ac:dyDescent="0.25">
      <c r="AA234" s="1183"/>
      <c r="AB234" s="1184"/>
      <c r="AC234" s="1185"/>
      <c r="AD234" s="1184"/>
      <c r="AE234" s="1184"/>
      <c r="AF234" s="1184"/>
      <c r="AG234" s="1184"/>
      <c r="AH234" s="1184"/>
      <c r="AI234" s="1184"/>
      <c r="AJ234" s="1184"/>
      <c r="AK234" s="1184"/>
    </row>
    <row r="235" spans="27:37" s="1181" customFormat="1" ht="12" x14ac:dyDescent="0.25">
      <c r="AA235" s="1183"/>
      <c r="AB235" s="1184"/>
      <c r="AC235" s="1185"/>
      <c r="AD235" s="1184"/>
      <c r="AE235" s="1184"/>
      <c r="AF235" s="1184"/>
      <c r="AG235" s="1184"/>
      <c r="AH235" s="1184"/>
      <c r="AI235" s="1184"/>
      <c r="AJ235" s="1184"/>
      <c r="AK235" s="1184"/>
    </row>
    <row r="236" spans="27:37" s="1181" customFormat="1" ht="12" x14ac:dyDescent="0.25">
      <c r="AA236" s="1183"/>
      <c r="AB236" s="1184"/>
      <c r="AC236" s="1185"/>
      <c r="AD236" s="1184"/>
      <c r="AE236" s="1184"/>
      <c r="AF236" s="1184"/>
      <c r="AG236" s="1184"/>
      <c r="AH236" s="1184"/>
      <c r="AI236" s="1184"/>
      <c r="AJ236" s="1184"/>
      <c r="AK236" s="1184"/>
    </row>
  </sheetData>
  <sortState ref="A90:A96">
    <sortCondition ref="A90:A96"/>
  </sortState>
  <mergeCells count="16">
    <mergeCell ref="E116:AD116"/>
    <mergeCell ref="AL78:AL79"/>
    <mergeCell ref="AL98:AL99"/>
    <mergeCell ref="A5:A6"/>
    <mergeCell ref="A14:A15"/>
    <mergeCell ref="A77:A79"/>
    <mergeCell ref="A97:A99"/>
    <mergeCell ref="A116:A117"/>
    <mergeCell ref="AL116:AL117"/>
    <mergeCell ref="E5:AL5"/>
    <mergeCell ref="E14:AL14"/>
    <mergeCell ref="E77:AL77"/>
    <mergeCell ref="E97:AL97"/>
    <mergeCell ref="A26:B26"/>
    <mergeCell ref="A27:A28"/>
    <mergeCell ref="E27:AL27"/>
  </mergeCells>
  <conditionalFormatting sqref="Z80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308"/>
  <sheetViews>
    <sheetView topLeftCell="M160" zoomScale="90" zoomScaleNormal="90" workbookViewId="0">
      <selection activeCell="T161" sqref="T161"/>
    </sheetView>
  </sheetViews>
  <sheetFormatPr defaultColWidth="9.140625" defaultRowHeight="15" x14ac:dyDescent="0.25"/>
  <cols>
    <col min="1" max="1" width="9.140625" style="163"/>
    <col min="2" max="2" width="11.28515625" style="163" customWidth="1"/>
    <col min="3" max="3" width="42.7109375" style="163" customWidth="1"/>
    <col min="4" max="4" width="18" style="164" bestFit="1" customWidth="1"/>
    <col min="5" max="5" width="18.85546875" style="397" customWidth="1"/>
    <col min="6" max="6" width="9.140625" style="163"/>
    <col min="7" max="7" width="3" style="163" customWidth="1"/>
    <col min="8" max="8" width="3.42578125" style="163" customWidth="1"/>
    <col min="9" max="9" width="7.7109375" style="163" customWidth="1"/>
    <col min="10" max="10" width="12.7109375" style="163" customWidth="1"/>
    <col min="11" max="11" width="31.42578125" style="163" customWidth="1"/>
    <col min="12" max="12" width="17.28515625" style="164" bestFit="1" customWidth="1"/>
    <col min="13" max="13" width="14.5703125" style="163" customWidth="1"/>
    <col min="14" max="14" width="9.140625" style="163"/>
    <col min="15" max="15" width="3" style="163" customWidth="1"/>
    <col min="16" max="16" width="2.85546875" style="163" customWidth="1"/>
    <col min="17" max="17" width="9.140625" style="163"/>
    <col min="18" max="18" width="11.7109375" style="163" customWidth="1"/>
    <col min="19" max="19" width="50.28515625" style="163" customWidth="1"/>
    <col min="20" max="20" width="19.140625" style="164" customWidth="1"/>
    <col min="21" max="21" width="15.7109375" style="163" customWidth="1"/>
    <col min="22" max="16384" width="9.140625" style="163"/>
  </cols>
  <sheetData>
    <row r="1" spans="1:21" ht="21" x14ac:dyDescent="0.35">
      <c r="A1" s="175" t="s">
        <v>3128</v>
      </c>
      <c r="B1" s="175"/>
      <c r="C1" s="174"/>
      <c r="D1" s="390"/>
      <c r="E1" s="392"/>
      <c r="I1" s="175" t="s">
        <v>3128</v>
      </c>
      <c r="J1" s="175"/>
      <c r="K1" s="174"/>
      <c r="L1" s="173"/>
      <c r="Q1" s="175" t="s">
        <v>3127</v>
      </c>
      <c r="R1" s="175"/>
      <c r="S1" s="174"/>
      <c r="T1" s="173"/>
    </row>
    <row r="2" spans="1:21" ht="21" x14ac:dyDescent="0.35">
      <c r="A2" s="175" t="s">
        <v>3125</v>
      </c>
      <c r="B2" s="175"/>
      <c r="C2" s="174"/>
      <c r="D2" s="390"/>
      <c r="E2" s="392"/>
      <c r="I2" s="175" t="s">
        <v>3126</v>
      </c>
      <c r="J2" s="175"/>
      <c r="K2" s="174"/>
      <c r="L2" s="173"/>
      <c r="Q2" s="175" t="s">
        <v>3125</v>
      </c>
      <c r="R2" s="175"/>
      <c r="S2" s="174"/>
      <c r="T2" s="173"/>
    </row>
    <row r="3" spans="1:21" ht="21" x14ac:dyDescent="0.35">
      <c r="A3" s="175" t="s">
        <v>3123</v>
      </c>
      <c r="B3" s="175"/>
      <c r="C3" s="174"/>
      <c r="D3" s="390"/>
      <c r="E3" s="392"/>
      <c r="I3" s="175" t="s">
        <v>3124</v>
      </c>
      <c r="J3" s="175"/>
      <c r="K3" s="174"/>
      <c r="L3" s="173"/>
      <c r="Q3" s="175" t="s">
        <v>3123</v>
      </c>
      <c r="R3" s="175"/>
      <c r="S3" s="174"/>
      <c r="T3" s="173"/>
    </row>
    <row r="4" spans="1:21" ht="21" x14ac:dyDescent="0.35">
      <c r="A4" s="175" t="s">
        <v>3121</v>
      </c>
      <c r="B4" s="175"/>
      <c r="C4" s="174"/>
      <c r="D4" s="390"/>
      <c r="E4" s="392"/>
      <c r="I4" s="175" t="s">
        <v>3122</v>
      </c>
      <c r="J4" s="175"/>
      <c r="K4" s="174"/>
      <c r="L4" s="173"/>
      <c r="Q4" s="175" t="s">
        <v>3121</v>
      </c>
      <c r="R4" s="175"/>
      <c r="S4" s="174"/>
      <c r="T4" s="173"/>
    </row>
    <row r="5" spans="1:21" ht="31.5" x14ac:dyDescent="0.25">
      <c r="A5" s="409" t="s">
        <v>3119</v>
      </c>
      <c r="B5" s="409" t="s">
        <v>3120</v>
      </c>
      <c r="C5" s="409" t="s">
        <v>3117</v>
      </c>
      <c r="D5" s="410" t="s">
        <v>3116</v>
      </c>
      <c r="E5" s="428" t="s">
        <v>3115</v>
      </c>
      <c r="I5" s="408" t="s">
        <v>3119</v>
      </c>
      <c r="J5" s="408" t="s">
        <v>3120</v>
      </c>
      <c r="K5" s="409" t="s">
        <v>3117</v>
      </c>
      <c r="L5" s="410" t="s">
        <v>3116</v>
      </c>
      <c r="M5" s="411" t="s">
        <v>3115</v>
      </c>
      <c r="Q5" s="172" t="s">
        <v>3119</v>
      </c>
      <c r="R5" s="172" t="s">
        <v>3118</v>
      </c>
      <c r="S5" s="171" t="s">
        <v>3117</v>
      </c>
      <c r="T5" s="170" t="s">
        <v>3116</v>
      </c>
      <c r="U5" s="169" t="s">
        <v>3115</v>
      </c>
    </row>
    <row r="6" spans="1:21" x14ac:dyDescent="0.25">
      <c r="A6" s="373">
        <v>1</v>
      </c>
      <c r="B6" s="373" t="s">
        <v>3114</v>
      </c>
      <c r="C6" s="373" t="s">
        <v>3113</v>
      </c>
      <c r="D6" s="374">
        <v>90305000</v>
      </c>
      <c r="E6" s="393">
        <v>43634</v>
      </c>
      <c r="I6" s="373">
        <v>6</v>
      </c>
      <c r="J6" s="412" t="s">
        <v>3112</v>
      </c>
      <c r="K6" s="373" t="s">
        <v>2939</v>
      </c>
      <c r="L6" s="376">
        <v>6863645</v>
      </c>
      <c r="M6" s="375">
        <v>43626</v>
      </c>
      <c r="Q6" s="162">
        <v>1</v>
      </c>
      <c r="R6" s="168" t="s">
        <v>3111</v>
      </c>
      <c r="S6" s="162" t="s">
        <v>2853</v>
      </c>
      <c r="T6" s="167">
        <v>320000000</v>
      </c>
      <c r="U6" s="165">
        <v>43626</v>
      </c>
    </row>
    <row r="7" spans="1:21" x14ac:dyDescent="0.25">
      <c r="A7" s="373">
        <v>2</v>
      </c>
      <c r="B7" s="373" t="s">
        <v>3110</v>
      </c>
      <c r="C7" s="373" t="s">
        <v>3109</v>
      </c>
      <c r="D7" s="374">
        <v>148757000</v>
      </c>
      <c r="E7" s="393">
        <v>43629</v>
      </c>
      <c r="I7" s="373">
        <v>13</v>
      </c>
      <c r="J7" s="373" t="s">
        <v>3108</v>
      </c>
      <c r="K7" s="373" t="s">
        <v>3107</v>
      </c>
      <c r="L7" s="374">
        <v>28154029</v>
      </c>
      <c r="M7" s="375">
        <v>43626</v>
      </c>
      <c r="Q7" s="162">
        <v>2</v>
      </c>
      <c r="R7" s="162" t="s">
        <v>3106</v>
      </c>
      <c r="S7" s="162" t="s">
        <v>2853</v>
      </c>
      <c r="T7" s="166">
        <v>20000000</v>
      </c>
      <c r="U7" s="165">
        <v>43629</v>
      </c>
    </row>
    <row r="8" spans="1:21" x14ac:dyDescent="0.25">
      <c r="A8" s="373">
        <v>3</v>
      </c>
      <c r="B8" s="373" t="s">
        <v>3105</v>
      </c>
      <c r="C8" s="373" t="s">
        <v>3104</v>
      </c>
      <c r="D8" s="374">
        <v>1254565</v>
      </c>
      <c r="E8" s="393">
        <v>43629</v>
      </c>
      <c r="I8" s="373">
        <v>12</v>
      </c>
      <c r="J8" s="373" t="s">
        <v>3103</v>
      </c>
      <c r="K8" s="373" t="s">
        <v>3102</v>
      </c>
      <c r="L8" s="374">
        <v>23319417</v>
      </c>
      <c r="M8" s="375">
        <v>43626</v>
      </c>
      <c r="Q8" s="162">
        <v>3</v>
      </c>
      <c r="R8" s="162" t="s">
        <v>3101</v>
      </c>
      <c r="S8" s="162" t="s">
        <v>2853</v>
      </c>
      <c r="T8" s="166">
        <v>300000000</v>
      </c>
      <c r="U8" s="165">
        <v>43633</v>
      </c>
    </row>
    <row r="9" spans="1:21" x14ac:dyDescent="0.25">
      <c r="A9" s="373">
        <v>4</v>
      </c>
      <c r="B9" s="373" t="s">
        <v>3100</v>
      </c>
      <c r="C9" s="373" t="s">
        <v>322</v>
      </c>
      <c r="D9" s="376"/>
      <c r="E9" s="393"/>
      <c r="I9" s="373">
        <v>5</v>
      </c>
      <c r="J9" s="373" t="s">
        <v>3099</v>
      </c>
      <c r="K9" s="373" t="s">
        <v>2965</v>
      </c>
      <c r="L9" s="376">
        <v>6769945</v>
      </c>
      <c r="M9" s="375">
        <v>43626</v>
      </c>
      <c r="Q9" s="162"/>
      <c r="R9" s="162" t="s">
        <v>3098</v>
      </c>
      <c r="S9" s="162" t="s">
        <v>2853</v>
      </c>
      <c r="T9" s="166">
        <v>180000000</v>
      </c>
      <c r="U9" s="165">
        <v>43644</v>
      </c>
    </row>
    <row r="10" spans="1:21" x14ac:dyDescent="0.25">
      <c r="A10" s="373">
        <v>5</v>
      </c>
      <c r="B10" s="373" t="s">
        <v>3097</v>
      </c>
      <c r="C10" s="373" t="s">
        <v>3096</v>
      </c>
      <c r="D10" s="374">
        <v>35611258</v>
      </c>
      <c r="E10" s="393">
        <v>43629</v>
      </c>
      <c r="I10" s="373">
        <v>7</v>
      </c>
      <c r="J10" s="413" t="s">
        <v>3095</v>
      </c>
      <c r="K10" s="373" t="s">
        <v>3094</v>
      </c>
      <c r="L10" s="374">
        <v>19856421</v>
      </c>
      <c r="M10" s="375">
        <v>43626</v>
      </c>
      <c r="Q10" s="162"/>
      <c r="R10" s="162" t="s">
        <v>3093</v>
      </c>
      <c r="S10" s="162" t="s">
        <v>2853</v>
      </c>
      <c r="T10" s="166">
        <v>300000000</v>
      </c>
      <c r="U10" s="165">
        <v>43647</v>
      </c>
    </row>
    <row r="11" spans="1:21" x14ac:dyDescent="0.25">
      <c r="A11" s="373">
        <v>6</v>
      </c>
      <c r="B11" s="373" t="s">
        <v>3092</v>
      </c>
      <c r="C11" s="373" t="s">
        <v>949</v>
      </c>
      <c r="D11" s="374">
        <v>560185712</v>
      </c>
      <c r="E11" s="393">
        <v>43630</v>
      </c>
      <c r="I11" s="373">
        <v>15</v>
      </c>
      <c r="J11" s="373" t="s">
        <v>3091</v>
      </c>
      <c r="K11" s="373" t="s">
        <v>964</v>
      </c>
      <c r="L11" s="374">
        <v>18960739</v>
      </c>
      <c r="M11" s="375">
        <v>43626</v>
      </c>
      <c r="Q11" s="162"/>
      <c r="R11" s="162" t="s">
        <v>3090</v>
      </c>
      <c r="S11" s="162" t="s">
        <v>2853</v>
      </c>
      <c r="T11" s="166">
        <v>100000000</v>
      </c>
      <c r="U11" s="165">
        <v>43648</v>
      </c>
    </row>
    <row r="12" spans="1:21" x14ac:dyDescent="0.25">
      <c r="A12" s="373">
        <v>7</v>
      </c>
      <c r="B12" s="373" t="s">
        <v>3089</v>
      </c>
      <c r="C12" s="373" t="s">
        <v>875</v>
      </c>
      <c r="D12" s="374">
        <v>2131947723</v>
      </c>
      <c r="E12" s="393">
        <v>43630</v>
      </c>
      <c r="I12" s="373">
        <v>9</v>
      </c>
      <c r="J12" s="373" t="s">
        <v>3088</v>
      </c>
      <c r="K12" s="373" t="s">
        <v>2948</v>
      </c>
      <c r="L12" s="374">
        <v>15957995</v>
      </c>
      <c r="M12" s="375">
        <v>43626</v>
      </c>
      <c r="Q12" s="162"/>
      <c r="R12" s="162" t="s">
        <v>3087</v>
      </c>
      <c r="S12" s="162" t="s">
        <v>2853</v>
      </c>
      <c r="T12" s="166">
        <v>20000000</v>
      </c>
      <c r="U12" s="165">
        <v>43650</v>
      </c>
    </row>
    <row r="13" spans="1:21" x14ac:dyDescent="0.25">
      <c r="A13" s="373">
        <v>8</v>
      </c>
      <c r="B13" s="373" t="s">
        <v>3086</v>
      </c>
      <c r="C13" s="373" t="s">
        <v>2923</v>
      </c>
      <c r="D13" s="374">
        <v>1362250651</v>
      </c>
      <c r="E13" s="393">
        <v>43630</v>
      </c>
      <c r="I13" s="373">
        <v>8</v>
      </c>
      <c r="J13" s="373" t="s">
        <v>3085</v>
      </c>
      <c r="K13" s="373" t="s">
        <v>3084</v>
      </c>
      <c r="L13" s="374">
        <v>26706193</v>
      </c>
      <c r="M13" s="375">
        <v>43626</v>
      </c>
      <c r="Q13" s="162"/>
      <c r="R13" s="162" t="s">
        <v>3083</v>
      </c>
      <c r="S13" s="162" t="s">
        <v>2853</v>
      </c>
      <c r="T13" s="166">
        <v>15000000</v>
      </c>
      <c r="U13" s="165">
        <v>43651</v>
      </c>
    </row>
    <row r="14" spans="1:21" x14ac:dyDescent="0.25">
      <c r="A14" s="373">
        <v>9</v>
      </c>
      <c r="B14" s="373" t="s">
        <v>3082</v>
      </c>
      <c r="C14" s="373" t="s">
        <v>3081</v>
      </c>
      <c r="D14" s="374">
        <v>326226412</v>
      </c>
      <c r="E14" s="393">
        <v>43630</v>
      </c>
      <c r="I14" s="373">
        <v>4</v>
      </c>
      <c r="J14" s="373" t="s">
        <v>3080</v>
      </c>
      <c r="K14" s="373" t="s">
        <v>2960</v>
      </c>
      <c r="L14" s="376">
        <v>19520677</v>
      </c>
      <c r="M14" s="375">
        <v>43626</v>
      </c>
      <c r="Q14" s="162"/>
      <c r="R14" s="162" t="s">
        <v>3079</v>
      </c>
      <c r="S14" s="162" t="s">
        <v>2853</v>
      </c>
      <c r="T14" s="166">
        <v>240000000</v>
      </c>
      <c r="U14" s="165">
        <v>43654</v>
      </c>
    </row>
    <row r="15" spans="1:21" x14ac:dyDescent="0.25">
      <c r="A15" s="373">
        <v>10</v>
      </c>
      <c r="B15" s="373" t="s">
        <v>3078</v>
      </c>
      <c r="C15" s="373" t="s">
        <v>3077</v>
      </c>
      <c r="D15" s="374">
        <v>82669255</v>
      </c>
      <c r="E15" s="393">
        <v>43630</v>
      </c>
      <c r="I15" s="373">
        <v>1</v>
      </c>
      <c r="J15" s="414" t="s">
        <v>3076</v>
      </c>
      <c r="K15" s="373" t="s">
        <v>3075</v>
      </c>
      <c r="L15" s="376">
        <v>4754430</v>
      </c>
      <c r="M15" s="375">
        <v>43626</v>
      </c>
      <c r="Q15" s="162"/>
      <c r="R15" s="162" t="s">
        <v>3074</v>
      </c>
      <c r="S15" s="162" t="s">
        <v>2853</v>
      </c>
      <c r="T15" s="166">
        <v>110000000</v>
      </c>
      <c r="U15" s="165">
        <v>43655</v>
      </c>
    </row>
    <row r="16" spans="1:21" x14ac:dyDescent="0.25">
      <c r="A16" s="373">
        <v>11</v>
      </c>
      <c r="B16" s="373" t="s">
        <v>3073</v>
      </c>
      <c r="C16" s="373" t="s">
        <v>3072</v>
      </c>
      <c r="D16" s="374">
        <v>3032146</v>
      </c>
      <c r="E16" s="393">
        <v>43630</v>
      </c>
      <c r="I16" s="373">
        <v>2</v>
      </c>
      <c r="J16" s="414" t="s">
        <v>3071</v>
      </c>
      <c r="K16" s="373" t="s">
        <v>2952</v>
      </c>
      <c r="L16" s="376">
        <v>21118844</v>
      </c>
      <c r="M16" s="375">
        <v>43626</v>
      </c>
      <c r="Q16" s="162"/>
      <c r="R16" s="162" t="s">
        <v>3070</v>
      </c>
      <c r="S16" s="162" t="s">
        <v>388</v>
      </c>
      <c r="T16" s="166"/>
      <c r="U16" s="162"/>
    </row>
    <row r="17" spans="1:21" x14ac:dyDescent="0.25">
      <c r="A17" s="373">
        <v>12</v>
      </c>
      <c r="B17" s="373" t="s">
        <v>3069</v>
      </c>
      <c r="C17" s="373" t="s">
        <v>3068</v>
      </c>
      <c r="D17" s="374">
        <v>37422772</v>
      </c>
      <c r="E17" s="393">
        <v>43630</v>
      </c>
      <c r="I17" s="373">
        <v>3</v>
      </c>
      <c r="J17" s="414" t="s">
        <v>3067</v>
      </c>
      <c r="K17" s="373" t="s">
        <v>2983</v>
      </c>
      <c r="L17" s="376">
        <v>11723645</v>
      </c>
      <c r="M17" s="375">
        <v>43626</v>
      </c>
      <c r="Q17" s="162"/>
      <c r="R17" s="162" t="s">
        <v>3066</v>
      </c>
      <c r="S17" s="162" t="s">
        <v>2853</v>
      </c>
      <c r="T17" s="166">
        <v>122000000</v>
      </c>
      <c r="U17" s="165">
        <v>43656</v>
      </c>
    </row>
    <row r="18" spans="1:21" x14ac:dyDescent="0.25">
      <c r="A18" s="373">
        <v>13</v>
      </c>
      <c r="B18" s="373" t="s">
        <v>3065</v>
      </c>
      <c r="C18" s="373" t="s">
        <v>3064</v>
      </c>
      <c r="D18" s="374">
        <v>295111913</v>
      </c>
      <c r="E18" s="393">
        <v>43633</v>
      </c>
      <c r="I18" s="373">
        <v>10</v>
      </c>
      <c r="J18" s="414" t="s">
        <v>3063</v>
      </c>
      <c r="K18" s="373" t="s">
        <v>3062</v>
      </c>
      <c r="L18" s="374">
        <v>65338332</v>
      </c>
      <c r="M18" s="375">
        <v>43626</v>
      </c>
      <c r="Q18" s="162"/>
      <c r="R18" s="162" t="s">
        <v>3061</v>
      </c>
      <c r="S18" s="162" t="s">
        <v>2853</v>
      </c>
      <c r="T18" s="166">
        <v>188000000</v>
      </c>
      <c r="U18" s="165">
        <v>43657</v>
      </c>
    </row>
    <row r="19" spans="1:21" x14ac:dyDescent="0.25">
      <c r="A19" s="373">
        <v>14</v>
      </c>
      <c r="B19" s="373" t="s">
        <v>3060</v>
      </c>
      <c r="C19" s="373" t="s">
        <v>3059</v>
      </c>
      <c r="D19" s="374">
        <v>460632750</v>
      </c>
      <c r="E19" s="393">
        <v>43634</v>
      </c>
      <c r="I19" s="373">
        <v>11</v>
      </c>
      <c r="J19" s="373" t="s">
        <v>3058</v>
      </c>
      <c r="K19" s="373" t="s">
        <v>3057</v>
      </c>
      <c r="L19" s="374">
        <v>17545000</v>
      </c>
      <c r="M19" s="375">
        <v>43626</v>
      </c>
      <c r="Q19" s="162"/>
      <c r="R19" s="162" t="s">
        <v>3056</v>
      </c>
      <c r="S19" s="162" t="s">
        <v>2853</v>
      </c>
      <c r="T19" s="166">
        <v>90000000</v>
      </c>
      <c r="U19" s="165">
        <v>43661</v>
      </c>
    </row>
    <row r="20" spans="1:21" x14ac:dyDescent="0.25">
      <c r="A20" s="373">
        <v>15</v>
      </c>
      <c r="B20" s="373" t="s">
        <v>3055</v>
      </c>
      <c r="C20" s="373" t="s">
        <v>3054</v>
      </c>
      <c r="D20" s="374"/>
      <c r="E20" s="393"/>
      <c r="I20" s="373">
        <v>14</v>
      </c>
      <c r="J20" s="373" t="s">
        <v>3053</v>
      </c>
      <c r="K20" s="373" t="s">
        <v>3052</v>
      </c>
      <c r="L20" s="374">
        <v>63939613</v>
      </c>
      <c r="M20" s="375">
        <v>43626</v>
      </c>
      <c r="Q20" s="162"/>
      <c r="R20" s="162" t="s">
        <v>3051</v>
      </c>
      <c r="S20" s="162" t="s">
        <v>2853</v>
      </c>
      <c r="T20" s="166">
        <v>50000000</v>
      </c>
      <c r="U20" s="165">
        <v>43661</v>
      </c>
    </row>
    <row r="21" spans="1:21" x14ac:dyDescent="0.25">
      <c r="A21" s="373">
        <v>16</v>
      </c>
      <c r="B21" s="373" t="s">
        <v>3050</v>
      </c>
      <c r="C21" s="373" t="s">
        <v>3049</v>
      </c>
      <c r="D21" s="374"/>
      <c r="E21" s="393"/>
      <c r="I21" s="373">
        <v>18</v>
      </c>
      <c r="J21" s="373" t="s">
        <v>3048</v>
      </c>
      <c r="K21" s="373" t="s">
        <v>3047</v>
      </c>
      <c r="L21" s="374">
        <v>1655000</v>
      </c>
      <c r="M21" s="375">
        <v>43627</v>
      </c>
      <c r="Q21" s="162"/>
      <c r="R21" s="162" t="s">
        <v>3046</v>
      </c>
      <c r="S21" s="162" t="s">
        <v>2853</v>
      </c>
      <c r="T21" s="166">
        <v>150000000</v>
      </c>
      <c r="U21" s="165">
        <v>43662</v>
      </c>
    </row>
    <row r="22" spans="1:21" x14ac:dyDescent="0.25">
      <c r="A22" s="373">
        <v>17</v>
      </c>
      <c r="B22" s="373" t="s">
        <v>3045</v>
      </c>
      <c r="C22" s="373" t="s">
        <v>3044</v>
      </c>
      <c r="D22" s="374">
        <v>1293320</v>
      </c>
      <c r="E22" s="393">
        <v>43633</v>
      </c>
      <c r="I22" s="373">
        <v>16</v>
      </c>
      <c r="J22" s="373" t="s">
        <v>3043</v>
      </c>
      <c r="K22" s="373" t="s">
        <v>3042</v>
      </c>
      <c r="L22" s="374">
        <v>1005000</v>
      </c>
      <c r="M22" s="375">
        <v>43627</v>
      </c>
      <c r="Q22" s="162"/>
      <c r="R22" s="162" t="s">
        <v>3041</v>
      </c>
      <c r="S22" s="162" t="s">
        <v>2853</v>
      </c>
      <c r="T22" s="166">
        <v>250000000</v>
      </c>
      <c r="U22" s="165">
        <v>43665</v>
      </c>
    </row>
    <row r="23" spans="1:21" x14ac:dyDescent="0.25">
      <c r="A23" s="373">
        <v>18</v>
      </c>
      <c r="B23" s="373" t="s">
        <v>3040</v>
      </c>
      <c r="C23" s="373" t="s">
        <v>3039</v>
      </c>
      <c r="D23" s="374">
        <v>173405000</v>
      </c>
      <c r="E23" s="393">
        <v>43634</v>
      </c>
      <c r="I23" s="373">
        <v>17</v>
      </c>
      <c r="J23" s="373" t="s">
        <v>3038</v>
      </c>
      <c r="K23" s="373" t="s">
        <v>3037</v>
      </c>
      <c r="L23" s="374">
        <v>3000500</v>
      </c>
      <c r="M23" s="375">
        <v>43627</v>
      </c>
      <c r="Q23" s="162"/>
      <c r="R23" s="162" t="s">
        <v>3036</v>
      </c>
      <c r="S23" s="162" t="s">
        <v>2853</v>
      </c>
      <c r="T23" s="166">
        <v>120000000</v>
      </c>
      <c r="U23" s="165">
        <v>43668</v>
      </c>
    </row>
    <row r="24" spans="1:21" x14ac:dyDescent="0.25">
      <c r="A24" s="373">
        <v>19</v>
      </c>
      <c r="B24" s="373" t="s">
        <v>3035</v>
      </c>
      <c r="C24" s="373" t="s">
        <v>3034</v>
      </c>
      <c r="D24" s="374">
        <v>288830149</v>
      </c>
      <c r="E24" s="393">
        <v>43633</v>
      </c>
      <c r="I24" s="373">
        <v>19</v>
      </c>
      <c r="J24" s="373" t="s">
        <v>3033</v>
      </c>
      <c r="K24" s="373" t="s">
        <v>3032</v>
      </c>
      <c r="L24" s="374">
        <v>13842668</v>
      </c>
      <c r="M24" s="375">
        <v>43629</v>
      </c>
      <c r="Q24" s="162"/>
      <c r="R24" s="162" t="s">
        <v>3031</v>
      </c>
      <c r="S24" s="162" t="s">
        <v>388</v>
      </c>
      <c r="T24" s="166"/>
      <c r="U24" s="162"/>
    </row>
    <row r="25" spans="1:21" x14ac:dyDescent="0.25">
      <c r="A25" s="373">
        <v>20</v>
      </c>
      <c r="B25" s="373" t="s">
        <v>3030</v>
      </c>
      <c r="C25" s="373" t="s">
        <v>3029</v>
      </c>
      <c r="D25" s="374">
        <v>11755000</v>
      </c>
      <c r="E25" s="393">
        <v>43633</v>
      </c>
      <c r="I25" s="373">
        <v>20</v>
      </c>
      <c r="J25" s="373" t="s">
        <v>3028</v>
      </c>
      <c r="K25" s="373" t="s">
        <v>3027</v>
      </c>
      <c r="L25" s="374">
        <v>3900000</v>
      </c>
      <c r="M25" s="375">
        <v>43629</v>
      </c>
      <c r="Q25" s="162"/>
      <c r="R25" s="162" t="s">
        <v>3026</v>
      </c>
      <c r="S25" s="162" t="s">
        <v>2853</v>
      </c>
      <c r="T25" s="166">
        <v>180000000</v>
      </c>
      <c r="U25" s="165">
        <v>43669</v>
      </c>
    </row>
    <row r="26" spans="1:21" x14ac:dyDescent="0.25">
      <c r="A26" s="373">
        <v>21</v>
      </c>
      <c r="B26" s="373" t="s">
        <v>3025</v>
      </c>
      <c r="C26" s="373" t="s">
        <v>875</v>
      </c>
      <c r="D26" s="374">
        <v>2950500289</v>
      </c>
      <c r="E26" s="393">
        <v>43633</v>
      </c>
      <c r="I26" s="373"/>
      <c r="J26" s="373" t="s">
        <v>3024</v>
      </c>
      <c r="K26" s="373" t="s">
        <v>3023</v>
      </c>
      <c r="L26" s="374">
        <v>2005000</v>
      </c>
      <c r="M26" s="375">
        <v>43630</v>
      </c>
      <c r="Q26" s="162"/>
      <c r="R26" s="162" t="s">
        <v>3022</v>
      </c>
      <c r="S26" s="162" t="s">
        <v>2853</v>
      </c>
      <c r="T26" s="166">
        <v>30000000</v>
      </c>
      <c r="U26" s="165">
        <v>43671</v>
      </c>
    </row>
    <row r="27" spans="1:21" x14ac:dyDescent="0.25">
      <c r="A27" s="373">
        <v>22</v>
      </c>
      <c r="B27" s="373" t="s">
        <v>3021</v>
      </c>
      <c r="C27" s="373" t="s">
        <v>2923</v>
      </c>
      <c r="D27" s="374">
        <v>991891798</v>
      </c>
      <c r="E27" s="393">
        <v>43633</v>
      </c>
      <c r="I27" s="373"/>
      <c r="J27" s="373" t="s">
        <v>3020</v>
      </c>
      <c r="K27" s="373" t="s">
        <v>3019</v>
      </c>
      <c r="L27" s="374">
        <v>10905000</v>
      </c>
      <c r="M27" s="375">
        <v>43630</v>
      </c>
      <c r="Q27" s="162"/>
      <c r="R27" s="162" t="s">
        <v>3018</v>
      </c>
      <c r="S27" s="162" t="s">
        <v>2853</v>
      </c>
      <c r="T27" s="166">
        <v>260000000</v>
      </c>
      <c r="U27" s="165">
        <v>43672</v>
      </c>
    </row>
    <row r="28" spans="1:21" x14ac:dyDescent="0.25">
      <c r="A28" s="373">
        <v>23</v>
      </c>
      <c r="B28" s="373" t="s">
        <v>3017</v>
      </c>
      <c r="C28" s="373" t="s">
        <v>3016</v>
      </c>
      <c r="D28" s="374">
        <v>3298546680</v>
      </c>
      <c r="E28" s="393">
        <v>43634</v>
      </c>
      <c r="I28" s="373"/>
      <c r="J28" s="373" t="s">
        <v>3015</v>
      </c>
      <c r="K28" s="373" t="s">
        <v>3014</v>
      </c>
      <c r="L28" s="374">
        <v>7599700</v>
      </c>
      <c r="M28" s="375">
        <v>43630</v>
      </c>
      <c r="Q28" s="162"/>
      <c r="R28" s="162" t="s">
        <v>3013</v>
      </c>
      <c r="S28" s="162" t="s">
        <v>2853</v>
      </c>
      <c r="T28" s="166">
        <v>250000000</v>
      </c>
      <c r="U28" s="165">
        <v>43675</v>
      </c>
    </row>
    <row r="29" spans="1:21" x14ac:dyDescent="0.25">
      <c r="A29" s="373">
        <v>24</v>
      </c>
      <c r="B29" s="373" t="s">
        <v>3012</v>
      </c>
      <c r="C29" s="373" t="s">
        <v>3011</v>
      </c>
      <c r="D29" s="374">
        <v>4523961172</v>
      </c>
      <c r="E29" s="393">
        <v>43634</v>
      </c>
      <c r="I29" s="373"/>
      <c r="J29" s="373" t="s">
        <v>3010</v>
      </c>
      <c r="K29" s="373" t="s">
        <v>3009</v>
      </c>
      <c r="L29" s="374">
        <v>8432833</v>
      </c>
      <c r="M29" s="375">
        <v>43630</v>
      </c>
      <c r="Q29" s="162"/>
      <c r="R29" s="162" t="s">
        <v>3008</v>
      </c>
      <c r="S29" s="162" t="s">
        <v>388</v>
      </c>
      <c r="T29" s="166"/>
      <c r="U29" s="162"/>
    </row>
    <row r="30" spans="1:21" x14ac:dyDescent="0.25">
      <c r="A30" s="373">
        <v>25</v>
      </c>
      <c r="B30" s="373" t="s">
        <v>3007</v>
      </c>
      <c r="C30" s="373" t="s">
        <v>949</v>
      </c>
      <c r="D30" s="374">
        <v>507539371</v>
      </c>
      <c r="E30" s="393">
        <v>43634</v>
      </c>
      <c r="I30" s="373"/>
      <c r="J30" s="373" t="s">
        <v>3006</v>
      </c>
      <c r="K30" s="373" t="s">
        <v>3005</v>
      </c>
      <c r="L30" s="374">
        <v>2505000</v>
      </c>
      <c r="M30" s="375">
        <v>43630</v>
      </c>
      <c r="Q30" s="162"/>
      <c r="R30" s="162" t="s">
        <v>3004</v>
      </c>
      <c r="S30" s="162" t="s">
        <v>2909</v>
      </c>
      <c r="T30" s="166">
        <v>17070000</v>
      </c>
      <c r="U30" s="165">
        <v>43677</v>
      </c>
    </row>
    <row r="31" spans="1:21" x14ac:dyDescent="0.25">
      <c r="A31" s="373">
        <v>26</v>
      </c>
      <c r="B31" s="377" t="s">
        <v>3003</v>
      </c>
      <c r="C31" s="373" t="s">
        <v>3002</v>
      </c>
      <c r="D31" s="376">
        <v>157091615</v>
      </c>
      <c r="E31" s="393">
        <v>43626</v>
      </c>
      <c r="I31" s="373"/>
      <c r="J31" s="373" t="s">
        <v>3001</v>
      </c>
      <c r="K31" s="373" t="s">
        <v>3000</v>
      </c>
      <c r="L31" s="374">
        <v>11453375</v>
      </c>
      <c r="M31" s="375">
        <v>43630</v>
      </c>
      <c r="Q31" s="162"/>
      <c r="R31" s="162" t="s">
        <v>2999</v>
      </c>
      <c r="S31" s="162" t="s">
        <v>2853</v>
      </c>
      <c r="T31" s="166">
        <v>110000000</v>
      </c>
      <c r="U31" s="165">
        <v>43677</v>
      </c>
    </row>
    <row r="32" spans="1:21" x14ac:dyDescent="0.25">
      <c r="A32" s="373">
        <v>27</v>
      </c>
      <c r="B32" s="377" t="s">
        <v>2998</v>
      </c>
      <c r="C32" s="373" t="s">
        <v>875</v>
      </c>
      <c r="D32" s="376">
        <v>4328973593</v>
      </c>
      <c r="E32" s="393">
        <v>43626</v>
      </c>
      <c r="I32" s="373"/>
      <c r="J32" s="373" t="s">
        <v>2997</v>
      </c>
      <c r="K32" s="373" t="s">
        <v>2996</v>
      </c>
      <c r="L32" s="374">
        <v>2600000</v>
      </c>
      <c r="M32" s="375">
        <v>43630</v>
      </c>
      <c r="Q32" s="162"/>
      <c r="R32" s="162" t="s">
        <v>2995</v>
      </c>
      <c r="S32" s="162" t="s">
        <v>2853</v>
      </c>
      <c r="T32" s="166">
        <v>70000000</v>
      </c>
      <c r="U32" s="165">
        <v>43677</v>
      </c>
    </row>
    <row r="33" spans="1:21" x14ac:dyDescent="0.25">
      <c r="A33" s="373">
        <v>28</v>
      </c>
      <c r="B33" s="377" t="s">
        <v>2994</v>
      </c>
      <c r="C33" s="373" t="s">
        <v>2923</v>
      </c>
      <c r="D33" s="376">
        <v>676335010</v>
      </c>
      <c r="E33" s="393">
        <v>43626</v>
      </c>
      <c r="I33" s="373"/>
      <c r="J33" s="373" t="s">
        <v>2993</v>
      </c>
      <c r="K33" s="373" t="s">
        <v>2992</v>
      </c>
      <c r="L33" s="374">
        <v>26914604</v>
      </c>
      <c r="M33" s="375">
        <v>43633</v>
      </c>
      <c r="Q33" s="162"/>
      <c r="R33" s="162" t="s">
        <v>2991</v>
      </c>
      <c r="S33" s="162" t="s">
        <v>2853</v>
      </c>
      <c r="T33" s="166">
        <v>60000000</v>
      </c>
      <c r="U33" s="165">
        <v>43679</v>
      </c>
    </row>
    <row r="34" spans="1:21" x14ac:dyDescent="0.25">
      <c r="A34" s="373">
        <v>29</v>
      </c>
      <c r="B34" s="377" t="s">
        <v>2990</v>
      </c>
      <c r="C34" s="373" t="s">
        <v>949</v>
      </c>
      <c r="D34" s="376">
        <v>766841216</v>
      </c>
      <c r="E34" s="393">
        <v>43626</v>
      </c>
      <c r="I34" s="373"/>
      <c r="J34" s="373" t="s">
        <v>2989</v>
      </c>
      <c r="K34" s="373" t="s">
        <v>2988</v>
      </c>
      <c r="L34" s="374">
        <v>18223813</v>
      </c>
      <c r="M34" s="375">
        <v>43633</v>
      </c>
      <c r="Q34" s="162"/>
      <c r="R34" s="162" t="s">
        <v>2987</v>
      </c>
      <c r="S34" s="162" t="s">
        <v>2853</v>
      </c>
      <c r="T34" s="166">
        <v>110000000</v>
      </c>
      <c r="U34" s="165">
        <v>43682</v>
      </c>
    </row>
    <row r="35" spans="1:21" x14ac:dyDescent="0.25">
      <c r="A35" s="373">
        <v>30</v>
      </c>
      <c r="B35" s="378" t="s">
        <v>2986</v>
      </c>
      <c r="C35" s="373" t="s">
        <v>2985</v>
      </c>
      <c r="D35" s="376">
        <v>2822917</v>
      </c>
      <c r="E35" s="393">
        <v>43626</v>
      </c>
      <c r="I35" s="373"/>
      <c r="J35" s="373" t="s">
        <v>2984</v>
      </c>
      <c r="K35" s="373" t="s">
        <v>2983</v>
      </c>
      <c r="L35" s="374">
        <v>9135986</v>
      </c>
      <c r="M35" s="375">
        <v>43633</v>
      </c>
      <c r="Q35" s="162"/>
      <c r="R35" s="162" t="s">
        <v>2982</v>
      </c>
      <c r="S35" s="162" t="s">
        <v>2853</v>
      </c>
      <c r="T35" s="166">
        <v>180000000</v>
      </c>
      <c r="U35" s="165">
        <v>43683</v>
      </c>
    </row>
    <row r="36" spans="1:21" x14ac:dyDescent="0.25">
      <c r="A36" s="373">
        <v>31</v>
      </c>
      <c r="B36" s="373" t="s">
        <v>2981</v>
      </c>
      <c r="C36" s="373" t="s">
        <v>875</v>
      </c>
      <c r="D36" s="374">
        <v>1200321663</v>
      </c>
      <c r="E36" s="393">
        <v>43627</v>
      </c>
      <c r="I36" s="373"/>
      <c r="J36" s="373" t="s">
        <v>2980</v>
      </c>
      <c r="K36" s="373" t="s">
        <v>2979</v>
      </c>
      <c r="L36" s="374">
        <v>4857150</v>
      </c>
      <c r="M36" s="375">
        <v>43633</v>
      </c>
      <c r="Q36" s="162"/>
      <c r="R36" s="162" t="s">
        <v>2978</v>
      </c>
      <c r="S36" s="162" t="s">
        <v>2853</v>
      </c>
      <c r="T36" s="166">
        <v>100000000</v>
      </c>
      <c r="U36" s="165">
        <v>43684</v>
      </c>
    </row>
    <row r="37" spans="1:21" x14ac:dyDescent="0.25">
      <c r="A37" s="373">
        <v>32</v>
      </c>
      <c r="B37" s="373" t="s">
        <v>2977</v>
      </c>
      <c r="C37" s="373" t="s">
        <v>2976</v>
      </c>
      <c r="D37" s="374">
        <v>453628500</v>
      </c>
      <c r="E37" s="393">
        <v>43627</v>
      </c>
      <c r="I37" s="373"/>
      <c r="J37" s="373" t="s">
        <v>2975</v>
      </c>
      <c r="K37" s="373" t="s">
        <v>2974</v>
      </c>
      <c r="L37" s="374">
        <v>26072277</v>
      </c>
      <c r="M37" s="375">
        <v>43633</v>
      </c>
      <c r="Q37" s="162"/>
      <c r="R37" s="162" t="s">
        <v>2973</v>
      </c>
      <c r="S37" s="162" t="s">
        <v>2853</v>
      </c>
      <c r="T37" s="166">
        <v>15000000</v>
      </c>
      <c r="U37" s="165">
        <v>43685</v>
      </c>
    </row>
    <row r="38" spans="1:21" x14ac:dyDescent="0.25">
      <c r="A38" s="373">
        <v>33</v>
      </c>
      <c r="B38" s="373" t="s">
        <v>2972</v>
      </c>
      <c r="C38" s="373" t="s">
        <v>949</v>
      </c>
      <c r="D38" s="374">
        <v>1290437139</v>
      </c>
      <c r="E38" s="393">
        <v>43627</v>
      </c>
      <c r="I38" s="373"/>
      <c r="J38" s="373" t="s">
        <v>2971</v>
      </c>
      <c r="K38" s="373" t="s">
        <v>2970</v>
      </c>
      <c r="L38" s="374">
        <v>19090400</v>
      </c>
      <c r="M38" s="375">
        <v>43633</v>
      </c>
      <c r="Q38" s="162"/>
      <c r="R38" s="162" t="s">
        <v>2969</v>
      </c>
      <c r="S38" s="162" t="s">
        <v>2853</v>
      </c>
      <c r="T38" s="166">
        <v>180000000</v>
      </c>
      <c r="U38" s="165">
        <v>43686</v>
      </c>
    </row>
    <row r="39" spans="1:21" x14ac:dyDescent="0.25">
      <c r="A39" s="373">
        <v>34</v>
      </c>
      <c r="B39" s="373" t="s">
        <v>2968</v>
      </c>
      <c r="C39" s="373" t="s">
        <v>2967</v>
      </c>
      <c r="D39" s="374">
        <v>35005000</v>
      </c>
      <c r="E39" s="393">
        <v>43627</v>
      </c>
      <c r="I39" s="373"/>
      <c r="J39" s="373" t="s">
        <v>2966</v>
      </c>
      <c r="K39" s="373" t="s">
        <v>2965</v>
      </c>
      <c r="L39" s="374">
        <v>6530441</v>
      </c>
      <c r="M39" s="375">
        <v>43633</v>
      </c>
      <c r="Q39" s="162"/>
      <c r="R39" s="162" t="s">
        <v>2964</v>
      </c>
      <c r="S39" s="162" t="s">
        <v>2853</v>
      </c>
      <c r="T39" s="166">
        <v>180000000</v>
      </c>
      <c r="U39" s="165">
        <v>43689</v>
      </c>
    </row>
    <row r="40" spans="1:21" x14ac:dyDescent="0.25">
      <c r="A40" s="373">
        <v>35</v>
      </c>
      <c r="B40" s="373" t="s">
        <v>2963</v>
      </c>
      <c r="C40" s="373" t="s">
        <v>2962</v>
      </c>
      <c r="D40" s="374">
        <v>193505000</v>
      </c>
      <c r="E40" s="393">
        <v>43628</v>
      </c>
      <c r="I40" s="373"/>
      <c r="J40" s="373" t="s">
        <v>2961</v>
      </c>
      <c r="K40" s="373" t="s">
        <v>2960</v>
      </c>
      <c r="L40" s="374">
        <v>19262416</v>
      </c>
      <c r="M40" s="375">
        <v>43633</v>
      </c>
      <c r="Q40" s="162"/>
      <c r="R40" s="162" t="s">
        <v>2959</v>
      </c>
      <c r="S40" s="162" t="s">
        <v>2853</v>
      </c>
      <c r="T40" s="166">
        <v>480000000</v>
      </c>
      <c r="U40" s="165">
        <v>43690</v>
      </c>
    </row>
    <row r="41" spans="1:21" x14ac:dyDescent="0.25">
      <c r="A41" s="373">
        <v>36</v>
      </c>
      <c r="B41" s="373" t="s">
        <v>2958</v>
      </c>
      <c r="C41" s="373" t="s">
        <v>875</v>
      </c>
      <c r="D41" s="374">
        <v>1781958322</v>
      </c>
      <c r="E41" s="393">
        <v>43628</v>
      </c>
      <c r="I41" s="373"/>
      <c r="J41" s="373" t="s">
        <v>2957</v>
      </c>
      <c r="K41" s="373" t="s">
        <v>2956</v>
      </c>
      <c r="L41" s="374">
        <v>51583742</v>
      </c>
      <c r="M41" s="375">
        <v>43633</v>
      </c>
      <c r="Q41" s="162"/>
      <c r="R41" s="162" t="s">
        <v>2955</v>
      </c>
      <c r="S41" s="162" t="s">
        <v>2853</v>
      </c>
      <c r="T41" s="166">
        <v>250000000</v>
      </c>
      <c r="U41" s="165">
        <v>43691</v>
      </c>
    </row>
    <row r="42" spans="1:21" x14ac:dyDescent="0.25">
      <c r="A42" s="373">
        <v>37</v>
      </c>
      <c r="B42" s="373" t="s">
        <v>2954</v>
      </c>
      <c r="C42" s="373" t="s">
        <v>322</v>
      </c>
      <c r="D42" s="374"/>
      <c r="E42" s="393"/>
      <c r="I42" s="373"/>
      <c r="J42" s="373" t="s">
        <v>2953</v>
      </c>
      <c r="K42" s="373" t="s">
        <v>2952</v>
      </c>
      <c r="L42" s="374">
        <v>18040769</v>
      </c>
      <c r="M42" s="375">
        <v>43633</v>
      </c>
      <c r="Q42" s="162"/>
      <c r="R42" s="162" t="s">
        <v>2951</v>
      </c>
      <c r="S42" s="162" t="s">
        <v>2853</v>
      </c>
      <c r="T42" s="166">
        <v>10000000</v>
      </c>
      <c r="U42" s="165">
        <v>43692</v>
      </c>
    </row>
    <row r="43" spans="1:21" x14ac:dyDescent="0.25">
      <c r="A43" s="373">
        <v>38</v>
      </c>
      <c r="B43" s="373" t="s">
        <v>2950</v>
      </c>
      <c r="C43" s="373" t="s">
        <v>322</v>
      </c>
      <c r="D43" s="374"/>
      <c r="E43" s="393"/>
      <c r="I43" s="373"/>
      <c r="J43" s="373" t="s">
        <v>2949</v>
      </c>
      <c r="K43" s="373" t="s">
        <v>2948</v>
      </c>
      <c r="L43" s="374">
        <v>15705356</v>
      </c>
      <c r="M43" s="375">
        <v>43633</v>
      </c>
      <c r="Q43" s="162"/>
      <c r="R43" s="162" t="s">
        <v>2947</v>
      </c>
      <c r="S43" s="162" t="s">
        <v>2853</v>
      </c>
      <c r="T43" s="166">
        <v>160000000</v>
      </c>
      <c r="U43" s="165">
        <v>43693</v>
      </c>
    </row>
    <row r="44" spans="1:21" x14ac:dyDescent="0.25">
      <c r="A44" s="373">
        <v>39</v>
      </c>
      <c r="B44" s="373" t="s">
        <v>2946</v>
      </c>
      <c r="C44" s="373" t="s">
        <v>322</v>
      </c>
      <c r="D44" s="374"/>
      <c r="E44" s="393"/>
      <c r="I44" s="373"/>
      <c r="J44" s="373" t="s">
        <v>2945</v>
      </c>
      <c r="K44" s="373" t="s">
        <v>2944</v>
      </c>
      <c r="L44" s="374">
        <v>14889711</v>
      </c>
      <c r="M44" s="375">
        <v>43633</v>
      </c>
      <c r="Q44" s="162"/>
      <c r="R44" s="162" t="s">
        <v>2943</v>
      </c>
      <c r="S44" s="162" t="s">
        <v>2853</v>
      </c>
      <c r="T44" s="166">
        <v>100000000</v>
      </c>
      <c r="U44" s="165">
        <v>43696</v>
      </c>
    </row>
    <row r="45" spans="1:21" x14ac:dyDescent="0.25">
      <c r="A45" s="373">
        <v>40</v>
      </c>
      <c r="B45" s="373" t="s">
        <v>2942</v>
      </c>
      <c r="C45" s="373" t="s">
        <v>2941</v>
      </c>
      <c r="D45" s="374">
        <v>615353954</v>
      </c>
      <c r="E45" s="393">
        <v>43628</v>
      </c>
      <c r="I45" s="373"/>
      <c r="J45" s="373" t="s">
        <v>2940</v>
      </c>
      <c r="K45" s="373" t="s">
        <v>2939</v>
      </c>
      <c r="L45" s="374">
        <v>6862129</v>
      </c>
      <c r="M45" s="375">
        <v>43633</v>
      </c>
      <c r="Q45" s="162"/>
      <c r="R45" s="162" t="s">
        <v>2938</v>
      </c>
      <c r="S45" s="162" t="s">
        <v>388</v>
      </c>
      <c r="T45" s="166"/>
      <c r="U45" s="162"/>
    </row>
    <row r="46" spans="1:21" x14ac:dyDescent="0.25">
      <c r="A46" s="373">
        <v>41</v>
      </c>
      <c r="B46" s="373" t="s">
        <v>2937</v>
      </c>
      <c r="C46" s="373" t="s">
        <v>2936</v>
      </c>
      <c r="D46" s="374">
        <v>39343285</v>
      </c>
      <c r="E46" s="393">
        <v>43629</v>
      </c>
      <c r="I46" s="373"/>
      <c r="J46" s="373" t="s">
        <v>2935</v>
      </c>
      <c r="K46" s="373" t="s">
        <v>2934</v>
      </c>
      <c r="L46" s="374">
        <v>4519750</v>
      </c>
      <c r="M46" s="375">
        <v>43635</v>
      </c>
      <c r="Q46" s="162"/>
      <c r="R46" s="162" t="s">
        <v>2933</v>
      </c>
      <c r="S46" s="162" t="s">
        <v>2853</v>
      </c>
      <c r="T46" s="166">
        <v>225000000</v>
      </c>
      <c r="U46" s="165">
        <v>43697</v>
      </c>
    </row>
    <row r="47" spans="1:21" x14ac:dyDescent="0.25">
      <c r="A47" s="373">
        <v>42</v>
      </c>
      <c r="B47" s="373" t="s">
        <v>2932</v>
      </c>
      <c r="C47" s="373" t="s">
        <v>2931</v>
      </c>
      <c r="D47" s="374">
        <v>1494503638</v>
      </c>
      <c r="E47" s="393">
        <v>43629</v>
      </c>
      <c r="I47" s="373"/>
      <c r="J47" s="373" t="s">
        <v>2930</v>
      </c>
      <c r="K47" s="373" t="s">
        <v>2929</v>
      </c>
      <c r="L47" s="374">
        <v>4128635</v>
      </c>
      <c r="M47" s="375">
        <v>43635</v>
      </c>
      <c r="Q47" s="162"/>
      <c r="R47" s="162" t="s">
        <v>2928</v>
      </c>
      <c r="S47" s="162" t="s">
        <v>2853</v>
      </c>
      <c r="T47" s="166">
        <v>70000000</v>
      </c>
      <c r="U47" s="165">
        <v>43699</v>
      </c>
    </row>
    <row r="48" spans="1:21" x14ac:dyDescent="0.25">
      <c r="A48" s="373">
        <v>43</v>
      </c>
      <c r="B48" s="373" t="s">
        <v>2927</v>
      </c>
      <c r="C48" s="373" t="s">
        <v>949</v>
      </c>
      <c r="D48" s="374">
        <v>491572342</v>
      </c>
      <c r="E48" s="393">
        <v>43629</v>
      </c>
      <c r="I48" s="373"/>
      <c r="J48" s="373" t="s">
        <v>2926</v>
      </c>
      <c r="K48" s="373" t="s">
        <v>1025</v>
      </c>
      <c r="L48" s="374">
        <v>6874283</v>
      </c>
      <c r="M48" s="375">
        <v>43626</v>
      </c>
      <c r="Q48" s="162"/>
      <c r="R48" s="162" t="s">
        <v>2925</v>
      </c>
      <c r="S48" s="162" t="s">
        <v>2853</v>
      </c>
      <c r="T48" s="166">
        <v>100000000</v>
      </c>
      <c r="U48" s="165">
        <v>43700</v>
      </c>
    </row>
    <row r="49" spans="1:21" x14ac:dyDescent="0.25">
      <c r="A49" s="373">
        <v>44</v>
      </c>
      <c r="B49" s="373" t="s">
        <v>2924</v>
      </c>
      <c r="C49" s="373" t="s">
        <v>2923</v>
      </c>
      <c r="D49" s="374">
        <v>2439458740</v>
      </c>
      <c r="E49" s="393">
        <v>43629</v>
      </c>
      <c r="I49" s="373"/>
      <c r="J49" s="373" t="s">
        <v>2922</v>
      </c>
      <c r="K49" s="373" t="s">
        <v>388</v>
      </c>
      <c r="L49" s="374"/>
      <c r="M49" s="373"/>
      <c r="Q49" s="162"/>
      <c r="R49" s="162" t="s">
        <v>2921</v>
      </c>
      <c r="S49" s="162" t="s">
        <v>388</v>
      </c>
      <c r="T49" s="166"/>
      <c r="U49" s="162"/>
    </row>
    <row r="50" spans="1:21" x14ac:dyDescent="0.25">
      <c r="A50" s="373">
        <v>45</v>
      </c>
      <c r="B50" s="373" t="s">
        <v>2920</v>
      </c>
      <c r="C50" s="373" t="s">
        <v>875</v>
      </c>
      <c r="D50" s="374">
        <v>1258650524</v>
      </c>
      <c r="E50" s="393">
        <v>43629</v>
      </c>
      <c r="I50" s="373"/>
      <c r="J50" s="373" t="s">
        <v>2919</v>
      </c>
      <c r="K50" s="373" t="s">
        <v>388</v>
      </c>
      <c r="L50" s="374"/>
      <c r="M50" s="375"/>
      <c r="Q50" s="162"/>
      <c r="R50" s="162" t="s">
        <v>2918</v>
      </c>
      <c r="S50" s="162" t="s">
        <v>2853</v>
      </c>
      <c r="T50" s="166">
        <v>310000000</v>
      </c>
      <c r="U50" s="165">
        <v>43704</v>
      </c>
    </row>
    <row r="51" spans="1:21" x14ac:dyDescent="0.25">
      <c r="A51" s="373">
        <v>46</v>
      </c>
      <c r="B51" s="373" t="s">
        <v>2917</v>
      </c>
      <c r="C51" s="373" t="s">
        <v>2916</v>
      </c>
      <c r="D51" s="374">
        <v>131110800</v>
      </c>
      <c r="E51" s="393">
        <v>43629</v>
      </c>
      <c r="I51" s="373"/>
      <c r="J51" s="373" t="s">
        <v>2915</v>
      </c>
      <c r="K51" s="373" t="s">
        <v>2914</v>
      </c>
      <c r="L51" s="374">
        <v>1217750</v>
      </c>
      <c r="M51" s="375">
        <v>43630</v>
      </c>
      <c r="Q51" s="162"/>
      <c r="R51" s="162" t="s">
        <v>2913</v>
      </c>
      <c r="S51" s="162" t="s">
        <v>2853</v>
      </c>
      <c r="T51" s="166">
        <v>10000000</v>
      </c>
      <c r="U51" s="165">
        <v>43705</v>
      </c>
    </row>
    <row r="52" spans="1:21" x14ac:dyDescent="0.25">
      <c r="A52" s="373">
        <v>47</v>
      </c>
      <c r="B52" s="373" t="s">
        <v>2912</v>
      </c>
      <c r="C52" s="373" t="s">
        <v>322</v>
      </c>
      <c r="D52" s="374"/>
      <c r="E52" s="393"/>
      <c r="I52" s="373"/>
      <c r="J52" s="373" t="s">
        <v>2911</v>
      </c>
      <c r="K52" s="373" t="s">
        <v>964</v>
      </c>
      <c r="L52" s="374">
        <v>16313597</v>
      </c>
      <c r="M52" s="375">
        <v>43633</v>
      </c>
      <c r="Q52" s="162"/>
      <c r="R52" s="162" t="s">
        <v>2910</v>
      </c>
      <c r="S52" s="162" t="s">
        <v>2909</v>
      </c>
      <c r="T52" s="166">
        <v>17070000</v>
      </c>
      <c r="U52" s="165">
        <v>43707</v>
      </c>
    </row>
    <row r="53" spans="1:21" x14ac:dyDescent="0.25">
      <c r="A53" s="373">
        <v>48</v>
      </c>
      <c r="B53" s="373" t="s">
        <v>2908</v>
      </c>
      <c r="C53" s="373" t="s">
        <v>875</v>
      </c>
      <c r="D53" s="374">
        <v>525092164</v>
      </c>
      <c r="E53" s="393">
        <v>43634</v>
      </c>
      <c r="I53" s="373"/>
      <c r="J53" s="373" t="s">
        <v>2907</v>
      </c>
      <c r="K53" s="373" t="s">
        <v>388</v>
      </c>
      <c r="L53" s="374"/>
      <c r="M53" s="373"/>
      <c r="Q53" s="162"/>
      <c r="R53" s="162" t="s">
        <v>2906</v>
      </c>
      <c r="S53" s="162" t="s">
        <v>388</v>
      </c>
      <c r="T53" s="166"/>
      <c r="U53" s="162"/>
    </row>
    <row r="54" spans="1:21" x14ac:dyDescent="0.25">
      <c r="A54" s="373">
        <v>49</v>
      </c>
      <c r="B54" s="373" t="s">
        <v>2905</v>
      </c>
      <c r="C54" s="373" t="s">
        <v>2904</v>
      </c>
      <c r="D54" s="374">
        <v>61419304</v>
      </c>
      <c r="E54" s="393">
        <v>43634</v>
      </c>
      <c r="I54" s="373"/>
      <c r="J54" s="373" t="s">
        <v>2903</v>
      </c>
      <c r="K54" s="373" t="s">
        <v>2603</v>
      </c>
      <c r="L54" s="374">
        <v>3612510</v>
      </c>
      <c r="M54" s="375">
        <v>43636</v>
      </c>
      <c r="Q54" s="162"/>
      <c r="R54" s="162" t="s">
        <v>2902</v>
      </c>
      <c r="S54" s="162" t="s">
        <v>388</v>
      </c>
      <c r="T54" s="166"/>
      <c r="U54" s="162"/>
    </row>
    <row r="55" spans="1:21" x14ac:dyDescent="0.25">
      <c r="A55" s="373">
        <v>50</v>
      </c>
      <c r="B55" s="373" t="s">
        <v>2901</v>
      </c>
      <c r="C55" s="373" t="s">
        <v>910</v>
      </c>
      <c r="D55" s="374">
        <v>1018413579</v>
      </c>
      <c r="E55" s="393">
        <v>43635</v>
      </c>
      <c r="I55" s="373"/>
      <c r="J55" s="373" t="s">
        <v>2900</v>
      </c>
      <c r="K55" s="373" t="s">
        <v>2162</v>
      </c>
      <c r="L55" s="374">
        <v>15690000</v>
      </c>
      <c r="M55" s="375">
        <v>43637</v>
      </c>
      <c r="Q55" s="162"/>
      <c r="R55" s="162" t="s">
        <v>2899</v>
      </c>
      <c r="S55" s="162" t="s">
        <v>2853</v>
      </c>
      <c r="T55" s="166">
        <v>110000000</v>
      </c>
      <c r="U55" s="165">
        <v>43710</v>
      </c>
    </row>
    <row r="56" spans="1:21" x14ac:dyDescent="0.25">
      <c r="A56" s="373">
        <v>51</v>
      </c>
      <c r="B56" s="373" t="s">
        <v>2898</v>
      </c>
      <c r="C56" s="373" t="s">
        <v>2897</v>
      </c>
      <c r="D56" s="374">
        <v>208492250</v>
      </c>
      <c r="E56" s="393">
        <v>43634</v>
      </c>
      <c r="I56" s="373"/>
      <c r="J56" s="373" t="s">
        <v>2896</v>
      </c>
      <c r="K56" s="373" t="s">
        <v>1019</v>
      </c>
      <c r="L56" s="374">
        <v>11873000</v>
      </c>
      <c r="M56" s="375">
        <v>43637</v>
      </c>
      <c r="Q56" s="162"/>
      <c r="R56" s="162" t="s">
        <v>2895</v>
      </c>
      <c r="S56" s="162" t="s">
        <v>2853</v>
      </c>
      <c r="T56" s="166">
        <v>150000000</v>
      </c>
      <c r="U56" s="165">
        <v>43711</v>
      </c>
    </row>
    <row r="57" spans="1:21" x14ac:dyDescent="0.25">
      <c r="A57" s="373">
        <v>52</v>
      </c>
      <c r="B57" s="373" t="s">
        <v>2894</v>
      </c>
      <c r="C57" s="373" t="s">
        <v>322</v>
      </c>
      <c r="D57" s="374"/>
      <c r="E57" s="393"/>
      <c r="I57" s="373"/>
      <c r="J57" s="373" t="s">
        <v>2893</v>
      </c>
      <c r="K57" s="373" t="s">
        <v>2179</v>
      </c>
      <c r="L57" s="374">
        <v>4045000</v>
      </c>
      <c r="M57" s="375">
        <v>43637</v>
      </c>
      <c r="Q57" s="162"/>
      <c r="R57" s="162" t="s">
        <v>2892</v>
      </c>
      <c r="S57" s="162" t="s">
        <v>2853</v>
      </c>
      <c r="T57" s="166">
        <v>140000000</v>
      </c>
      <c r="U57" s="165">
        <v>43714</v>
      </c>
    </row>
    <row r="58" spans="1:21" x14ac:dyDescent="0.25">
      <c r="A58" s="373">
        <v>53</v>
      </c>
      <c r="B58" s="373" t="s">
        <v>2891</v>
      </c>
      <c r="C58" s="373" t="s">
        <v>2890</v>
      </c>
      <c r="D58" s="374">
        <v>101235360</v>
      </c>
      <c r="E58" s="393">
        <v>43635</v>
      </c>
      <c r="I58" s="373"/>
      <c r="J58" s="373" t="s">
        <v>2889</v>
      </c>
      <c r="K58" s="373" t="s">
        <v>2170</v>
      </c>
      <c r="L58" s="374">
        <v>2000000</v>
      </c>
      <c r="M58" s="375">
        <v>43637</v>
      </c>
      <c r="Q58" s="162"/>
      <c r="R58" s="162" t="s">
        <v>2888</v>
      </c>
      <c r="S58" s="162" t="s">
        <v>2853</v>
      </c>
      <c r="T58" s="166">
        <v>120000000</v>
      </c>
      <c r="U58" s="165">
        <v>43717</v>
      </c>
    </row>
    <row r="59" spans="1:21" x14ac:dyDescent="0.25">
      <c r="A59" s="373">
        <v>54</v>
      </c>
      <c r="B59" s="373" t="s">
        <v>2887</v>
      </c>
      <c r="C59" s="373" t="s">
        <v>2886</v>
      </c>
      <c r="D59" s="374">
        <v>134336580</v>
      </c>
      <c r="E59" s="393">
        <v>43635</v>
      </c>
      <c r="I59" s="373"/>
      <c r="J59" s="373" t="s">
        <v>2885</v>
      </c>
      <c r="K59" s="373" t="s">
        <v>2176</v>
      </c>
      <c r="L59" s="374">
        <v>9590000</v>
      </c>
      <c r="M59" s="375">
        <v>43637</v>
      </c>
      <c r="Q59" s="162"/>
      <c r="R59" s="162" t="s">
        <v>2884</v>
      </c>
      <c r="S59" s="162" t="s">
        <v>2853</v>
      </c>
      <c r="T59" s="166">
        <v>350000000</v>
      </c>
      <c r="U59" s="165">
        <v>43718</v>
      </c>
    </row>
    <row r="60" spans="1:21" x14ac:dyDescent="0.25">
      <c r="A60" s="373">
        <v>55</v>
      </c>
      <c r="B60" s="373" t="s">
        <v>2883</v>
      </c>
      <c r="C60" s="373" t="s">
        <v>2203</v>
      </c>
      <c r="D60" s="374">
        <v>10930929</v>
      </c>
      <c r="E60" s="393">
        <v>43636</v>
      </c>
      <c r="I60" s="373"/>
      <c r="J60" s="373" t="s">
        <v>2882</v>
      </c>
      <c r="K60" s="373" t="s">
        <v>2881</v>
      </c>
      <c r="L60" s="374">
        <v>9005000</v>
      </c>
      <c r="M60" s="375">
        <v>43637</v>
      </c>
      <c r="Q60" s="162"/>
      <c r="R60" s="162" t="s">
        <v>2880</v>
      </c>
      <c r="S60" s="162" t="s">
        <v>2853</v>
      </c>
      <c r="T60" s="166">
        <v>5000000</v>
      </c>
      <c r="U60" s="165">
        <v>43719</v>
      </c>
    </row>
    <row r="61" spans="1:21" x14ac:dyDescent="0.25">
      <c r="A61" s="373">
        <v>56</v>
      </c>
      <c r="B61" s="373" t="s">
        <v>2879</v>
      </c>
      <c r="C61" s="373" t="s">
        <v>498</v>
      </c>
      <c r="D61" s="374">
        <v>6951285</v>
      </c>
      <c r="E61" s="393">
        <v>43636</v>
      </c>
      <c r="I61" s="373"/>
      <c r="J61" s="373" t="s">
        <v>2878</v>
      </c>
      <c r="K61" s="373" t="s">
        <v>2877</v>
      </c>
      <c r="L61" s="374">
        <v>6980000</v>
      </c>
      <c r="M61" s="375">
        <v>43637</v>
      </c>
      <c r="Q61" s="162"/>
      <c r="R61" s="162" t="s">
        <v>2876</v>
      </c>
      <c r="S61" s="162" t="s">
        <v>2853</v>
      </c>
      <c r="T61" s="166">
        <v>15000000</v>
      </c>
      <c r="U61" s="165">
        <v>43720</v>
      </c>
    </row>
    <row r="62" spans="1:21" x14ac:dyDescent="0.25">
      <c r="A62" s="373">
        <v>57</v>
      </c>
      <c r="B62" s="373" t="s">
        <v>2875</v>
      </c>
      <c r="C62" s="373" t="s">
        <v>1845</v>
      </c>
      <c r="D62" s="374">
        <v>1433723822</v>
      </c>
      <c r="E62" s="393">
        <v>43636</v>
      </c>
      <c r="I62" s="373"/>
      <c r="J62" s="373" t="s">
        <v>2874</v>
      </c>
      <c r="K62" s="373" t="s">
        <v>2873</v>
      </c>
      <c r="L62" s="374">
        <v>9905000</v>
      </c>
      <c r="M62" s="375">
        <v>43637</v>
      </c>
      <c r="Q62" s="162"/>
      <c r="R62" s="162" t="s">
        <v>2872</v>
      </c>
      <c r="S62" s="162" t="s">
        <v>2853</v>
      </c>
      <c r="T62" s="166">
        <v>250000000</v>
      </c>
      <c r="U62" s="165">
        <v>43724</v>
      </c>
    </row>
    <row r="63" spans="1:21" x14ac:dyDescent="0.25">
      <c r="A63" s="373">
        <v>58</v>
      </c>
      <c r="B63" s="373" t="s">
        <v>2871</v>
      </c>
      <c r="C63" s="373" t="s">
        <v>431</v>
      </c>
      <c r="D63" s="374">
        <v>138446600</v>
      </c>
      <c r="E63" s="393">
        <v>43636</v>
      </c>
      <c r="I63" s="373"/>
      <c r="J63" s="373" t="s">
        <v>2870</v>
      </c>
      <c r="K63" s="373" t="s">
        <v>2869</v>
      </c>
      <c r="L63" s="374">
        <v>4045000</v>
      </c>
      <c r="M63" s="375">
        <v>43637</v>
      </c>
      <c r="Q63" s="162"/>
      <c r="R63" s="162" t="s">
        <v>2868</v>
      </c>
      <c r="S63" s="162" t="s">
        <v>2853</v>
      </c>
      <c r="T63" s="166">
        <v>200000000</v>
      </c>
      <c r="U63" s="165">
        <v>43725</v>
      </c>
    </row>
    <row r="64" spans="1:21" x14ac:dyDescent="0.25">
      <c r="A64" s="373">
        <v>59</v>
      </c>
      <c r="B64" s="373" t="s">
        <v>2867</v>
      </c>
      <c r="C64" s="373" t="s">
        <v>248</v>
      </c>
      <c r="D64" s="374">
        <v>247925000</v>
      </c>
      <c r="E64" s="393">
        <v>43636</v>
      </c>
      <c r="I64" s="373"/>
      <c r="J64" s="373" t="s">
        <v>2866</v>
      </c>
      <c r="K64" s="373" t="s">
        <v>2865</v>
      </c>
      <c r="L64" s="374">
        <v>11075000</v>
      </c>
      <c r="M64" s="375">
        <v>43637</v>
      </c>
      <c r="Q64" s="162"/>
      <c r="R64" s="162" t="s">
        <v>2864</v>
      </c>
      <c r="S64" s="162" t="s">
        <v>2853</v>
      </c>
      <c r="T64" s="166">
        <v>20000000</v>
      </c>
      <c r="U64" s="165">
        <v>43727</v>
      </c>
    </row>
    <row r="65" spans="1:21" x14ac:dyDescent="0.25">
      <c r="A65" s="373">
        <v>60</v>
      </c>
      <c r="B65" s="373" t="s">
        <v>2863</v>
      </c>
      <c r="C65" s="373" t="s">
        <v>283</v>
      </c>
      <c r="D65" s="374">
        <v>173405000</v>
      </c>
      <c r="E65" s="393">
        <v>43636</v>
      </c>
      <c r="I65" s="373"/>
      <c r="J65" s="373" t="s">
        <v>2862</v>
      </c>
      <c r="K65" s="373" t="s">
        <v>2861</v>
      </c>
      <c r="L65" s="374">
        <v>1540000</v>
      </c>
      <c r="M65" s="375">
        <v>43637</v>
      </c>
      <c r="Q65" s="162"/>
      <c r="R65" s="162" t="s">
        <v>2860</v>
      </c>
      <c r="S65" s="162" t="s">
        <v>2853</v>
      </c>
      <c r="T65" s="166">
        <v>120000000</v>
      </c>
      <c r="U65" s="165">
        <v>43728</v>
      </c>
    </row>
    <row r="66" spans="1:21" x14ac:dyDescent="0.25">
      <c r="A66" s="373">
        <v>61</v>
      </c>
      <c r="B66" s="373" t="s">
        <v>2859</v>
      </c>
      <c r="C66" s="373" t="s">
        <v>623</v>
      </c>
      <c r="D66" s="374">
        <v>297915954</v>
      </c>
      <c r="E66" s="393">
        <v>43636</v>
      </c>
      <c r="I66" s="373"/>
      <c r="J66" s="373" t="s">
        <v>2858</v>
      </c>
      <c r="K66" s="373" t="s">
        <v>1025</v>
      </c>
      <c r="L66" s="374">
        <v>76109938</v>
      </c>
      <c r="M66" s="375">
        <v>43640</v>
      </c>
      <c r="Q66" s="162"/>
      <c r="R66" s="162" t="s">
        <v>2857</v>
      </c>
      <c r="S66" s="162" t="s">
        <v>2853</v>
      </c>
      <c r="T66" s="166">
        <v>100000000</v>
      </c>
      <c r="U66" s="165">
        <v>43731</v>
      </c>
    </row>
    <row r="67" spans="1:21" x14ac:dyDescent="0.25">
      <c r="A67" s="373">
        <v>62</v>
      </c>
      <c r="B67" s="373" t="s">
        <v>2856</v>
      </c>
      <c r="C67" s="373" t="s">
        <v>276</v>
      </c>
      <c r="D67" s="374">
        <v>33969918</v>
      </c>
      <c r="E67" s="393">
        <v>43637</v>
      </c>
      <c r="I67" s="373"/>
      <c r="J67" s="373" t="s">
        <v>2855</v>
      </c>
      <c r="K67" s="373" t="s">
        <v>2159</v>
      </c>
      <c r="L67" s="374">
        <v>64573816</v>
      </c>
      <c r="M67" s="375">
        <v>43640</v>
      </c>
      <c r="Q67" s="162"/>
      <c r="R67" s="162" t="s">
        <v>2854</v>
      </c>
      <c r="S67" s="162" t="s">
        <v>2853</v>
      </c>
      <c r="T67" s="166">
        <v>250000000</v>
      </c>
      <c r="U67" s="165">
        <v>43732</v>
      </c>
    </row>
    <row r="68" spans="1:21" x14ac:dyDescent="0.25">
      <c r="A68" s="373">
        <v>63</v>
      </c>
      <c r="B68" s="373" t="s">
        <v>2852</v>
      </c>
      <c r="C68" s="373" t="s">
        <v>322</v>
      </c>
      <c r="D68" s="374"/>
      <c r="E68" s="393">
        <v>43637</v>
      </c>
      <c r="I68" s="373"/>
      <c r="J68" s="373" t="s">
        <v>2851</v>
      </c>
      <c r="K68" s="373" t="s">
        <v>2182</v>
      </c>
      <c r="L68" s="374">
        <v>15747710</v>
      </c>
      <c r="M68" s="375">
        <v>43640</v>
      </c>
      <c r="Q68" s="162"/>
      <c r="R68" s="162" t="s">
        <v>2850</v>
      </c>
      <c r="S68" s="162"/>
      <c r="T68" s="166"/>
      <c r="U68" s="162"/>
    </row>
    <row r="69" spans="1:21" x14ac:dyDescent="0.25">
      <c r="A69" s="373">
        <v>64</v>
      </c>
      <c r="B69" s="373" t="s">
        <v>2849</v>
      </c>
      <c r="C69" s="373" t="s">
        <v>427</v>
      </c>
      <c r="D69" s="374">
        <v>378127877</v>
      </c>
      <c r="E69" s="393">
        <v>43637</v>
      </c>
      <c r="I69" s="373"/>
      <c r="J69" s="373" t="s">
        <v>2848</v>
      </c>
      <c r="K69" s="373" t="s">
        <v>2179</v>
      </c>
      <c r="L69" s="374">
        <v>45586876</v>
      </c>
      <c r="M69" s="375">
        <v>43640</v>
      </c>
      <c r="Q69" s="162"/>
      <c r="R69" s="162" t="s">
        <v>2847</v>
      </c>
      <c r="S69" s="162"/>
      <c r="T69" s="166"/>
      <c r="U69" s="162"/>
    </row>
    <row r="70" spans="1:21" x14ac:dyDescent="0.25">
      <c r="A70" s="373">
        <v>65</v>
      </c>
      <c r="B70" s="373" t="s">
        <v>2846</v>
      </c>
      <c r="C70" s="373" t="s">
        <v>283</v>
      </c>
      <c r="D70" s="374">
        <v>173405000</v>
      </c>
      <c r="E70" s="393">
        <v>43637</v>
      </c>
      <c r="I70" s="373"/>
      <c r="J70" s="373" t="s">
        <v>2845</v>
      </c>
      <c r="K70" s="373" t="s">
        <v>2176</v>
      </c>
      <c r="L70" s="374">
        <v>51118706</v>
      </c>
      <c r="M70" s="375">
        <v>43640</v>
      </c>
      <c r="Q70" s="162"/>
      <c r="R70" s="162" t="s">
        <v>2844</v>
      </c>
      <c r="S70" s="162"/>
      <c r="T70" s="166"/>
      <c r="U70" s="162"/>
    </row>
    <row r="71" spans="1:21" x14ac:dyDescent="0.25">
      <c r="A71" s="373">
        <v>66</v>
      </c>
      <c r="B71" s="373" t="s">
        <v>2843</v>
      </c>
      <c r="C71" s="373" t="s">
        <v>2199</v>
      </c>
      <c r="D71" s="374">
        <v>1913407995</v>
      </c>
      <c r="E71" s="393">
        <v>43637</v>
      </c>
      <c r="I71" s="373"/>
      <c r="J71" s="373" t="s">
        <v>2842</v>
      </c>
      <c r="K71" s="373" t="s">
        <v>2170</v>
      </c>
      <c r="L71" s="374">
        <v>13900691</v>
      </c>
      <c r="M71" s="375">
        <v>43640</v>
      </c>
      <c r="Q71" s="162"/>
      <c r="R71" s="162" t="s">
        <v>2841</v>
      </c>
      <c r="S71" s="162"/>
      <c r="T71" s="166"/>
      <c r="U71" s="162"/>
    </row>
    <row r="72" spans="1:21" x14ac:dyDescent="0.25">
      <c r="A72" s="373">
        <v>67</v>
      </c>
      <c r="B72" s="373" t="s">
        <v>2840</v>
      </c>
      <c r="C72" s="373" t="s">
        <v>2487</v>
      </c>
      <c r="D72" s="374">
        <v>70432103</v>
      </c>
      <c r="E72" s="393">
        <v>43637</v>
      </c>
      <c r="I72" s="373"/>
      <c r="J72" s="373" t="s">
        <v>2839</v>
      </c>
      <c r="K72" s="373" t="s">
        <v>1019</v>
      </c>
      <c r="L72" s="374">
        <v>52464556</v>
      </c>
      <c r="M72" s="375">
        <v>43640</v>
      </c>
      <c r="Q72" s="162"/>
      <c r="R72" s="162" t="s">
        <v>2838</v>
      </c>
      <c r="S72" s="162"/>
      <c r="T72" s="166"/>
      <c r="U72" s="162"/>
    </row>
    <row r="73" spans="1:21" x14ac:dyDescent="0.25">
      <c r="A73" s="373">
        <v>68</v>
      </c>
      <c r="B73" s="373" t="s">
        <v>2837</v>
      </c>
      <c r="C73" s="373" t="s">
        <v>2195</v>
      </c>
      <c r="D73" s="374">
        <v>104689623</v>
      </c>
      <c r="E73" s="393">
        <v>43637</v>
      </c>
      <c r="I73" s="373"/>
      <c r="J73" s="373" t="s">
        <v>2836</v>
      </c>
      <c r="K73" s="373" t="s">
        <v>2147</v>
      </c>
      <c r="L73" s="374">
        <v>34736903</v>
      </c>
      <c r="M73" s="375">
        <v>43640</v>
      </c>
      <c r="Q73" s="162"/>
      <c r="R73" s="162" t="s">
        <v>2835</v>
      </c>
      <c r="S73" s="162"/>
      <c r="T73" s="166"/>
      <c r="U73" s="162"/>
    </row>
    <row r="74" spans="1:21" x14ac:dyDescent="0.25">
      <c r="A74" s="373">
        <v>69</v>
      </c>
      <c r="B74" s="373" t="s">
        <v>2834</v>
      </c>
      <c r="C74" s="373" t="s">
        <v>1198</v>
      </c>
      <c r="D74" s="374">
        <v>4340302141</v>
      </c>
      <c r="E74" s="393">
        <v>43637</v>
      </c>
      <c r="I74" s="373"/>
      <c r="J74" s="373" t="s">
        <v>2833</v>
      </c>
      <c r="K74" s="373" t="s">
        <v>2156</v>
      </c>
      <c r="L74" s="374">
        <v>25534381</v>
      </c>
      <c r="M74" s="375">
        <v>43640</v>
      </c>
      <c r="Q74" s="162"/>
      <c r="R74" s="162" t="s">
        <v>2832</v>
      </c>
      <c r="S74" s="162"/>
      <c r="T74" s="166"/>
      <c r="U74" s="162"/>
    </row>
    <row r="75" spans="1:21" x14ac:dyDescent="0.25">
      <c r="A75" s="373">
        <v>70</v>
      </c>
      <c r="B75" s="373" t="s">
        <v>2831</v>
      </c>
      <c r="C75" s="373" t="s">
        <v>322</v>
      </c>
      <c r="D75" s="374"/>
      <c r="E75" s="393">
        <v>43637</v>
      </c>
      <c r="I75" s="373"/>
      <c r="J75" s="373" t="s">
        <v>2830</v>
      </c>
      <c r="K75" s="373" t="s">
        <v>2162</v>
      </c>
      <c r="L75" s="374">
        <v>56509437</v>
      </c>
      <c r="M75" s="375">
        <v>43640</v>
      </c>
      <c r="Q75" s="162"/>
      <c r="R75" s="162" t="s">
        <v>2829</v>
      </c>
      <c r="S75" s="162"/>
      <c r="T75" s="166"/>
      <c r="U75" s="162"/>
    </row>
    <row r="76" spans="1:21" x14ac:dyDescent="0.25">
      <c r="A76" s="373">
        <v>71</v>
      </c>
      <c r="B76" s="373" t="s">
        <v>2828</v>
      </c>
      <c r="C76" s="373" t="s">
        <v>1394</v>
      </c>
      <c r="D76" s="374">
        <v>315280699</v>
      </c>
      <c r="E76" s="393">
        <v>43640</v>
      </c>
      <c r="I76" s="373"/>
      <c r="J76" s="373" t="s">
        <v>2827</v>
      </c>
      <c r="K76" s="373" t="s">
        <v>2150</v>
      </c>
      <c r="L76" s="374">
        <v>6185250</v>
      </c>
      <c r="M76" s="375">
        <v>43640</v>
      </c>
      <c r="Q76" s="162"/>
      <c r="R76" s="162" t="s">
        <v>2826</v>
      </c>
      <c r="S76" s="162"/>
      <c r="T76" s="166"/>
      <c r="U76" s="162"/>
    </row>
    <row r="77" spans="1:21" x14ac:dyDescent="0.25">
      <c r="A77" s="373">
        <v>72</v>
      </c>
      <c r="B77" s="373" t="s">
        <v>2825</v>
      </c>
      <c r="C77" s="379" t="s">
        <v>623</v>
      </c>
      <c r="D77" s="374"/>
      <c r="E77" s="393">
        <v>43640</v>
      </c>
      <c r="I77" s="373"/>
      <c r="J77" s="373" t="s">
        <v>2824</v>
      </c>
      <c r="K77" s="373" t="s">
        <v>2167</v>
      </c>
      <c r="L77" s="374">
        <v>47226744</v>
      </c>
      <c r="M77" s="375">
        <v>43640</v>
      </c>
      <c r="Q77" s="162"/>
      <c r="R77" s="162" t="s">
        <v>2823</v>
      </c>
      <c r="S77" s="162"/>
      <c r="T77" s="166"/>
      <c r="U77" s="162"/>
    </row>
    <row r="78" spans="1:21" x14ac:dyDescent="0.25">
      <c r="A78" s="373">
        <v>73</v>
      </c>
      <c r="B78" s="373" t="s">
        <v>2822</v>
      </c>
      <c r="C78" s="373" t="s">
        <v>1424</v>
      </c>
      <c r="D78" s="374">
        <v>99858238</v>
      </c>
      <c r="E78" s="393">
        <v>43637</v>
      </c>
      <c r="I78" s="373"/>
      <c r="J78" s="373" t="s">
        <v>2821</v>
      </c>
      <c r="K78" s="373" t="s">
        <v>2820</v>
      </c>
      <c r="L78" s="374">
        <v>37540500</v>
      </c>
      <c r="M78" s="375">
        <v>43640</v>
      </c>
      <c r="Q78" s="162"/>
      <c r="R78" s="162" t="s">
        <v>2819</v>
      </c>
      <c r="S78" s="162"/>
      <c r="T78" s="166"/>
      <c r="U78" s="162"/>
    </row>
    <row r="79" spans="1:21" x14ac:dyDescent="0.25">
      <c r="A79" s="373">
        <v>74</v>
      </c>
      <c r="B79" s="373" t="s">
        <v>2818</v>
      </c>
      <c r="C79" s="373" t="s">
        <v>2199</v>
      </c>
      <c r="D79" s="374">
        <v>23986404</v>
      </c>
      <c r="E79" s="393">
        <v>43637</v>
      </c>
      <c r="I79" s="373"/>
      <c r="J79" s="373" t="s">
        <v>2817</v>
      </c>
      <c r="K79" s="373" t="s">
        <v>964</v>
      </c>
      <c r="L79" s="374">
        <v>9586524</v>
      </c>
      <c r="M79" s="375">
        <v>43640</v>
      </c>
      <c r="Q79" s="162"/>
      <c r="R79" s="162" t="s">
        <v>2816</v>
      </c>
      <c r="S79" s="162"/>
      <c r="T79" s="166"/>
      <c r="U79" s="162"/>
    </row>
    <row r="80" spans="1:21" x14ac:dyDescent="0.25">
      <c r="A80" s="373">
        <v>75</v>
      </c>
      <c r="B80" s="373" t="s">
        <v>2815</v>
      </c>
      <c r="C80" s="373" t="s">
        <v>331</v>
      </c>
      <c r="D80" s="374">
        <v>196755394</v>
      </c>
      <c r="E80" s="393">
        <v>43640</v>
      </c>
      <c r="I80" s="373"/>
      <c r="J80" s="373" t="s">
        <v>2814</v>
      </c>
      <c r="K80" s="373" t="s">
        <v>2173</v>
      </c>
      <c r="L80" s="374">
        <v>38742827</v>
      </c>
      <c r="M80" s="375">
        <v>43640</v>
      </c>
      <c r="Q80" s="162"/>
      <c r="R80" s="162" t="s">
        <v>2813</v>
      </c>
      <c r="S80" s="162"/>
      <c r="T80" s="166"/>
      <c r="U80" s="162"/>
    </row>
    <row r="81" spans="1:21" x14ac:dyDescent="0.25">
      <c r="A81" s="373">
        <v>76</v>
      </c>
      <c r="B81" s="373" t="s">
        <v>2812</v>
      </c>
      <c r="C81" s="373" t="s">
        <v>257</v>
      </c>
      <c r="D81" s="374">
        <v>593599100</v>
      </c>
      <c r="E81" s="393">
        <v>43640</v>
      </c>
      <c r="I81" s="373"/>
      <c r="J81" s="373" t="s">
        <v>2811</v>
      </c>
      <c r="K81" s="373"/>
      <c r="L81" s="374"/>
      <c r="M81" s="375">
        <v>43640</v>
      </c>
      <c r="Q81" s="162"/>
      <c r="R81" s="162" t="s">
        <v>2810</v>
      </c>
      <c r="S81" s="162"/>
      <c r="T81" s="166"/>
      <c r="U81" s="162"/>
    </row>
    <row r="82" spans="1:21" x14ac:dyDescent="0.25">
      <c r="A82" s="373">
        <v>77</v>
      </c>
      <c r="B82" s="373" t="s">
        <v>2809</v>
      </c>
      <c r="C82" s="373" t="s">
        <v>427</v>
      </c>
      <c r="D82" s="374">
        <v>488768036</v>
      </c>
      <c r="E82" s="393">
        <v>43640</v>
      </c>
      <c r="I82" s="373"/>
      <c r="J82" s="373" t="s">
        <v>2808</v>
      </c>
      <c r="K82" s="373" t="s">
        <v>2807</v>
      </c>
      <c r="L82" s="374">
        <v>3790000</v>
      </c>
      <c r="M82" s="375">
        <v>43642</v>
      </c>
      <c r="Q82" s="162"/>
      <c r="R82" s="162" t="s">
        <v>2806</v>
      </c>
      <c r="S82" s="162"/>
      <c r="T82" s="166"/>
      <c r="U82" s="162"/>
    </row>
    <row r="83" spans="1:21" x14ac:dyDescent="0.25">
      <c r="A83" s="373">
        <v>78</v>
      </c>
      <c r="B83" s="373" t="s">
        <v>2805</v>
      </c>
      <c r="C83" s="373" t="s">
        <v>1424</v>
      </c>
      <c r="D83" s="374">
        <v>109084500</v>
      </c>
      <c r="E83" s="393">
        <v>43640</v>
      </c>
      <c r="I83" s="373"/>
      <c r="J83" s="373" t="s">
        <v>2804</v>
      </c>
      <c r="K83" s="373" t="s">
        <v>2803</v>
      </c>
      <c r="L83" s="374">
        <v>538500</v>
      </c>
      <c r="M83" s="375">
        <v>43643</v>
      </c>
      <c r="Q83" s="162"/>
      <c r="R83" s="162" t="s">
        <v>2802</v>
      </c>
      <c r="S83" s="162"/>
      <c r="T83" s="166"/>
      <c r="U83" s="162"/>
    </row>
    <row r="84" spans="1:21" x14ac:dyDescent="0.25">
      <c r="A84" s="373">
        <v>79</v>
      </c>
      <c r="B84" s="373" t="s">
        <v>2801</v>
      </c>
      <c r="C84" s="373" t="s">
        <v>2800</v>
      </c>
      <c r="D84" s="374">
        <v>1000005000</v>
      </c>
      <c r="E84" s="393">
        <v>43641</v>
      </c>
      <c r="I84" s="373"/>
      <c r="J84" s="373" t="s">
        <v>2799</v>
      </c>
      <c r="K84" s="373" t="s">
        <v>2798</v>
      </c>
      <c r="L84" s="374">
        <v>2442044</v>
      </c>
      <c r="M84" s="375">
        <v>43643</v>
      </c>
      <c r="Q84" s="162"/>
      <c r="R84" s="162"/>
      <c r="S84" s="162"/>
      <c r="T84" s="166"/>
      <c r="U84" s="162"/>
    </row>
    <row r="85" spans="1:21" x14ac:dyDescent="0.25">
      <c r="A85" s="373">
        <v>80</v>
      </c>
      <c r="B85" s="373" t="s">
        <v>2797</v>
      </c>
      <c r="C85" s="373" t="s">
        <v>429</v>
      </c>
      <c r="D85" s="374">
        <v>42286883</v>
      </c>
      <c r="E85" s="393">
        <v>43641</v>
      </c>
      <c r="I85" s="373"/>
      <c r="J85" s="373" t="s">
        <v>2796</v>
      </c>
      <c r="K85" s="373"/>
      <c r="L85" s="374"/>
      <c r="M85" s="375"/>
      <c r="Q85" s="162"/>
      <c r="R85" s="243" t="s">
        <v>3827</v>
      </c>
      <c r="S85" s="162" t="s">
        <v>2853</v>
      </c>
      <c r="T85" s="166">
        <v>45000000</v>
      </c>
      <c r="U85" s="165">
        <v>43825</v>
      </c>
    </row>
    <row r="86" spans="1:21" x14ac:dyDescent="0.25">
      <c r="A86" s="373">
        <v>81</v>
      </c>
      <c r="B86" s="373" t="s">
        <v>2795</v>
      </c>
      <c r="C86" s="373" t="s">
        <v>522</v>
      </c>
      <c r="D86" s="374">
        <v>502905290</v>
      </c>
      <c r="E86" s="393">
        <v>43641</v>
      </c>
      <c r="I86" s="373"/>
      <c r="J86" s="373" t="s">
        <v>2794</v>
      </c>
      <c r="K86" s="373" t="s">
        <v>2495</v>
      </c>
      <c r="L86" s="374">
        <v>410600</v>
      </c>
      <c r="M86" s="375">
        <v>43643</v>
      </c>
      <c r="Q86" s="162"/>
      <c r="R86" s="243" t="s">
        <v>3828</v>
      </c>
      <c r="S86" s="162" t="s">
        <v>2853</v>
      </c>
      <c r="T86" s="166">
        <v>35000000</v>
      </c>
      <c r="U86" s="243" t="s">
        <v>3852</v>
      </c>
    </row>
    <row r="87" spans="1:21" x14ac:dyDescent="0.25">
      <c r="A87" s="373">
        <v>82</v>
      </c>
      <c r="B87" s="373" t="s">
        <v>2793</v>
      </c>
      <c r="C87" s="373" t="s">
        <v>623</v>
      </c>
      <c r="D87" s="374">
        <v>241466920</v>
      </c>
      <c r="E87" s="393">
        <v>43641</v>
      </c>
      <c r="I87" s="373"/>
      <c r="J87" s="373" t="s">
        <v>2792</v>
      </c>
      <c r="K87" s="373" t="s">
        <v>2439</v>
      </c>
      <c r="L87" s="374">
        <v>3846160</v>
      </c>
      <c r="M87" s="375">
        <v>43643</v>
      </c>
      <c r="Q87" s="162"/>
      <c r="R87" s="243" t="s">
        <v>3829</v>
      </c>
      <c r="S87" s="162" t="s">
        <v>2853</v>
      </c>
      <c r="T87" s="166"/>
      <c r="U87" s="165">
        <v>43829</v>
      </c>
    </row>
    <row r="88" spans="1:21" x14ac:dyDescent="0.25">
      <c r="A88" s="373">
        <v>83</v>
      </c>
      <c r="B88" s="373" t="s">
        <v>2791</v>
      </c>
      <c r="C88" s="373" t="s">
        <v>551</v>
      </c>
      <c r="D88" s="374">
        <v>297703940</v>
      </c>
      <c r="E88" s="393">
        <v>43641</v>
      </c>
      <c r="I88" s="373"/>
      <c r="J88" s="373" t="s">
        <v>2790</v>
      </c>
      <c r="K88" s="373" t="s">
        <v>2789</v>
      </c>
      <c r="L88" s="374">
        <v>14030000</v>
      </c>
      <c r="M88" s="375">
        <v>43644</v>
      </c>
      <c r="Q88" s="162"/>
      <c r="R88" s="243" t="s">
        <v>3830</v>
      </c>
      <c r="S88" s="162" t="s">
        <v>2853</v>
      </c>
      <c r="T88" s="166">
        <v>5000000</v>
      </c>
      <c r="U88" s="165">
        <v>43830</v>
      </c>
    </row>
    <row r="89" spans="1:21" x14ac:dyDescent="0.25">
      <c r="A89" s="373">
        <v>84</v>
      </c>
      <c r="B89" s="373" t="s">
        <v>2788</v>
      </c>
      <c r="C89" s="373" t="s">
        <v>431</v>
      </c>
      <c r="D89" s="374">
        <v>124720966</v>
      </c>
      <c r="E89" s="393">
        <v>43641</v>
      </c>
      <c r="I89" s="373"/>
      <c r="J89" s="373" t="s">
        <v>2787</v>
      </c>
      <c r="K89" s="373" t="s">
        <v>2786</v>
      </c>
      <c r="L89" s="374">
        <v>5435000</v>
      </c>
      <c r="M89" s="375">
        <v>43644</v>
      </c>
      <c r="Q89" s="162"/>
      <c r="R89" s="243" t="s">
        <v>3831</v>
      </c>
      <c r="S89" s="243" t="s">
        <v>388</v>
      </c>
      <c r="T89" s="166"/>
      <c r="U89" s="162"/>
    </row>
    <row r="90" spans="1:21" x14ac:dyDescent="0.25">
      <c r="A90" s="373">
        <v>85</v>
      </c>
      <c r="B90" s="373" t="s">
        <v>2785</v>
      </c>
      <c r="C90" s="373" t="s">
        <v>702</v>
      </c>
      <c r="D90" s="374">
        <v>948273640</v>
      </c>
      <c r="E90" s="393">
        <v>43641</v>
      </c>
      <c r="I90" s="373"/>
      <c r="J90" s="373" t="s">
        <v>2784</v>
      </c>
      <c r="K90" s="373" t="s">
        <v>2783</v>
      </c>
      <c r="L90" s="374">
        <v>132158995</v>
      </c>
      <c r="M90" s="375">
        <v>43644</v>
      </c>
      <c r="Q90" s="162"/>
      <c r="R90" s="243" t="s">
        <v>3832</v>
      </c>
      <c r="S90" s="243" t="s">
        <v>3853</v>
      </c>
      <c r="T90" s="166">
        <v>17070000</v>
      </c>
      <c r="U90" s="165">
        <v>43829</v>
      </c>
    </row>
    <row r="91" spans="1:21" x14ac:dyDescent="0.25">
      <c r="A91" s="373">
        <v>86</v>
      </c>
      <c r="B91" s="373" t="s">
        <v>2782</v>
      </c>
      <c r="C91" s="373" t="s">
        <v>709</v>
      </c>
      <c r="D91" s="374">
        <v>290859662</v>
      </c>
      <c r="E91" s="393">
        <v>43641</v>
      </c>
      <c r="I91" s="373"/>
      <c r="J91" s="379" t="s">
        <v>2781</v>
      </c>
      <c r="K91" s="379" t="s">
        <v>1013</v>
      </c>
      <c r="L91" s="415">
        <v>18199999</v>
      </c>
      <c r="M91" s="416">
        <v>43644</v>
      </c>
      <c r="Q91" s="162"/>
      <c r="R91" s="243" t="s">
        <v>3833</v>
      </c>
      <c r="S91" s="162" t="s">
        <v>2853</v>
      </c>
      <c r="T91" s="166">
        <v>200000000</v>
      </c>
      <c r="U91" s="165">
        <v>43836</v>
      </c>
    </row>
    <row r="92" spans="1:21" x14ac:dyDescent="0.25">
      <c r="A92" s="373">
        <v>87</v>
      </c>
      <c r="B92" s="373" t="s">
        <v>2780</v>
      </c>
      <c r="C92" s="373" t="s">
        <v>385</v>
      </c>
      <c r="D92" s="374">
        <v>96495790</v>
      </c>
      <c r="E92" s="393">
        <v>43641</v>
      </c>
      <c r="I92" s="373"/>
      <c r="J92" s="379" t="s">
        <v>2779</v>
      </c>
      <c r="K92" s="379" t="s">
        <v>2778</v>
      </c>
      <c r="L92" s="415">
        <v>855000</v>
      </c>
      <c r="M92" s="416">
        <v>43644</v>
      </c>
      <c r="Q92" s="162"/>
      <c r="R92" s="243" t="s">
        <v>3834</v>
      </c>
      <c r="S92" s="243" t="s">
        <v>388</v>
      </c>
      <c r="T92" s="166"/>
      <c r="U92" s="165"/>
    </row>
    <row r="93" spans="1:21" x14ac:dyDescent="0.25">
      <c r="A93" s="373">
        <v>88</v>
      </c>
      <c r="B93" s="373" t="s">
        <v>2777</v>
      </c>
      <c r="C93" s="373" t="s">
        <v>1845</v>
      </c>
      <c r="D93" s="374">
        <v>2221711715</v>
      </c>
      <c r="E93" s="393">
        <v>43641</v>
      </c>
      <c r="I93" s="373"/>
      <c r="J93" s="379" t="s">
        <v>2776</v>
      </c>
      <c r="K93" s="379" t="s">
        <v>2775</v>
      </c>
      <c r="L93" s="415">
        <v>2475000</v>
      </c>
      <c r="M93" s="416">
        <v>43644</v>
      </c>
      <c r="Q93" s="162"/>
      <c r="R93" s="243" t="s">
        <v>3835</v>
      </c>
      <c r="S93" s="162" t="s">
        <v>2853</v>
      </c>
      <c r="T93" s="166">
        <v>150000000</v>
      </c>
      <c r="U93" s="244">
        <v>43837</v>
      </c>
    </row>
    <row r="94" spans="1:21" x14ac:dyDescent="0.25">
      <c r="A94" s="373">
        <v>89</v>
      </c>
      <c r="B94" s="373" t="s">
        <v>2774</v>
      </c>
      <c r="C94" s="373" t="s">
        <v>248</v>
      </c>
      <c r="D94" s="374">
        <v>247925000</v>
      </c>
      <c r="E94" s="393">
        <v>43641</v>
      </c>
      <c r="I94" s="373"/>
      <c r="J94" s="379" t="s">
        <v>2773</v>
      </c>
      <c r="K94" s="379" t="s">
        <v>2772</v>
      </c>
      <c r="L94" s="415">
        <v>4515000</v>
      </c>
      <c r="M94" s="416">
        <v>43644</v>
      </c>
      <c r="Q94" s="162"/>
      <c r="R94" s="243" t="s">
        <v>3836</v>
      </c>
      <c r="S94" s="162" t="s">
        <v>2853</v>
      </c>
      <c r="T94" s="166">
        <v>75000000</v>
      </c>
      <c r="U94" s="165">
        <v>43838</v>
      </c>
    </row>
    <row r="95" spans="1:21" x14ac:dyDescent="0.25">
      <c r="A95" s="373">
        <v>90</v>
      </c>
      <c r="B95" s="373" t="s">
        <v>2771</v>
      </c>
      <c r="C95" s="373" t="s">
        <v>2199</v>
      </c>
      <c r="D95" s="374">
        <v>4524818</v>
      </c>
      <c r="E95" s="393">
        <v>43642</v>
      </c>
      <c r="I95" s="373"/>
      <c r="J95" s="379" t="s">
        <v>2770</v>
      </c>
      <c r="K95" s="379" t="s">
        <v>2769</v>
      </c>
      <c r="L95" s="415">
        <v>2084500</v>
      </c>
      <c r="M95" s="416">
        <v>43644</v>
      </c>
      <c r="Q95" s="162"/>
      <c r="R95" s="243" t="s">
        <v>3837</v>
      </c>
      <c r="S95" s="162" t="s">
        <v>2853</v>
      </c>
      <c r="T95" s="166">
        <v>140000000</v>
      </c>
      <c r="U95" s="165">
        <v>43840</v>
      </c>
    </row>
    <row r="96" spans="1:21" x14ac:dyDescent="0.25">
      <c r="A96" s="373">
        <v>91</v>
      </c>
      <c r="B96" s="373" t="s">
        <v>2768</v>
      </c>
      <c r="C96" s="373" t="s">
        <v>2199</v>
      </c>
      <c r="D96" s="374">
        <v>1355980268</v>
      </c>
      <c r="E96" s="393">
        <v>43642</v>
      </c>
      <c r="I96" s="373"/>
      <c r="J96" s="379" t="s">
        <v>2767</v>
      </c>
      <c r="K96" s="379" t="s">
        <v>2170</v>
      </c>
      <c r="L96" s="415">
        <v>8981499</v>
      </c>
      <c r="M96" s="416">
        <v>43647</v>
      </c>
      <c r="Q96" s="162"/>
      <c r="R96" s="243" t="s">
        <v>3838</v>
      </c>
      <c r="S96" s="162" t="s">
        <v>2853</v>
      </c>
      <c r="T96" s="166">
        <v>70000000</v>
      </c>
      <c r="U96" s="165">
        <v>43839</v>
      </c>
    </row>
    <row r="97" spans="1:21" x14ac:dyDescent="0.25">
      <c r="A97" s="373">
        <v>92</v>
      </c>
      <c r="B97" s="373" t="s">
        <v>2766</v>
      </c>
      <c r="C97" s="373" t="s">
        <v>2487</v>
      </c>
      <c r="D97" s="374">
        <v>875872305</v>
      </c>
      <c r="E97" s="393">
        <v>43642</v>
      </c>
      <c r="I97" s="373"/>
      <c r="J97" s="379" t="s">
        <v>2765</v>
      </c>
      <c r="K97" s="379" t="s">
        <v>2147</v>
      </c>
      <c r="L97" s="374">
        <v>24447679</v>
      </c>
      <c r="M97" s="416">
        <v>43647</v>
      </c>
      <c r="Q97" s="162"/>
      <c r="R97" s="243" t="s">
        <v>3839</v>
      </c>
      <c r="S97" s="162" t="s">
        <v>2853</v>
      </c>
      <c r="T97" s="166">
        <v>130000000</v>
      </c>
      <c r="U97" s="165">
        <v>43844</v>
      </c>
    </row>
    <row r="98" spans="1:21" x14ac:dyDescent="0.25">
      <c r="A98" s="373">
        <v>93</v>
      </c>
      <c r="B98" s="373" t="s">
        <v>2764</v>
      </c>
      <c r="C98" s="373" t="s">
        <v>709</v>
      </c>
      <c r="D98" s="374">
        <v>17505700</v>
      </c>
      <c r="E98" s="393">
        <v>43642</v>
      </c>
      <c r="I98" s="373"/>
      <c r="J98" s="379" t="s">
        <v>2763</v>
      </c>
      <c r="K98" s="379" t="s">
        <v>1019</v>
      </c>
      <c r="L98" s="415">
        <v>4912786</v>
      </c>
      <c r="M98" s="416">
        <v>43647</v>
      </c>
      <c r="Q98" s="162"/>
      <c r="R98" s="243" t="s">
        <v>3840</v>
      </c>
      <c r="S98" s="162" t="s">
        <v>2853</v>
      </c>
      <c r="T98" s="166">
        <v>440000000</v>
      </c>
      <c r="U98" s="165">
        <v>43845</v>
      </c>
    </row>
    <row r="99" spans="1:21" x14ac:dyDescent="0.25">
      <c r="A99" s="373">
        <v>94</v>
      </c>
      <c r="B99" s="373" t="s">
        <v>2762</v>
      </c>
      <c r="C99" s="373" t="s">
        <v>429</v>
      </c>
      <c r="D99" s="374">
        <v>8779975</v>
      </c>
      <c r="E99" s="393">
        <v>43642</v>
      </c>
      <c r="I99" s="373"/>
      <c r="J99" s="379" t="s">
        <v>2761</v>
      </c>
      <c r="K99" s="379" t="s">
        <v>2156</v>
      </c>
      <c r="L99" s="415">
        <v>8058420</v>
      </c>
      <c r="M99" s="416">
        <v>43647</v>
      </c>
      <c r="Q99" s="162"/>
      <c r="R99" s="243" t="s">
        <v>3841</v>
      </c>
      <c r="S99" s="162" t="s">
        <v>2853</v>
      </c>
      <c r="T99" s="166">
        <v>35000000</v>
      </c>
      <c r="U99" s="165">
        <v>43846</v>
      </c>
    </row>
    <row r="100" spans="1:21" x14ac:dyDescent="0.25">
      <c r="A100" s="373">
        <v>95</v>
      </c>
      <c r="B100" s="373" t="s">
        <v>2760</v>
      </c>
      <c r="C100" s="373" t="s">
        <v>431</v>
      </c>
      <c r="D100" s="374">
        <v>126606200</v>
      </c>
      <c r="E100" s="393">
        <v>43642</v>
      </c>
      <c r="I100" s="373"/>
      <c r="J100" s="379" t="s">
        <v>2759</v>
      </c>
      <c r="K100" s="379" t="s">
        <v>2182</v>
      </c>
      <c r="L100" s="415">
        <v>12715875</v>
      </c>
      <c r="M100" s="416">
        <v>43647</v>
      </c>
      <c r="Q100" s="162"/>
      <c r="R100" s="243" t="s">
        <v>3842</v>
      </c>
      <c r="S100" s="162" t="s">
        <v>2853</v>
      </c>
      <c r="T100" s="166">
        <v>150000000</v>
      </c>
      <c r="U100" s="165">
        <v>43847</v>
      </c>
    </row>
    <row r="101" spans="1:21" x14ac:dyDescent="0.25">
      <c r="A101" s="373">
        <v>96</v>
      </c>
      <c r="B101" s="373" t="s">
        <v>2758</v>
      </c>
      <c r="C101" s="373" t="s">
        <v>702</v>
      </c>
      <c r="D101" s="374">
        <v>723053326</v>
      </c>
      <c r="E101" s="393">
        <v>43642</v>
      </c>
      <c r="I101" s="373"/>
      <c r="J101" s="379" t="s">
        <v>2757</v>
      </c>
      <c r="K101" s="379" t="s">
        <v>2150</v>
      </c>
      <c r="L101" s="415">
        <v>17013224</v>
      </c>
      <c r="M101" s="416">
        <v>43647</v>
      </c>
      <c r="Q101" s="162"/>
      <c r="R101" s="243" t="s">
        <v>3843</v>
      </c>
      <c r="S101" s="162" t="s">
        <v>2853</v>
      </c>
      <c r="T101" s="166">
        <v>145000000</v>
      </c>
      <c r="U101" s="165">
        <v>43850</v>
      </c>
    </row>
    <row r="102" spans="1:21" x14ac:dyDescent="0.25">
      <c r="A102" s="373">
        <v>97</v>
      </c>
      <c r="B102" s="373" t="s">
        <v>2756</v>
      </c>
      <c r="C102" s="373" t="s">
        <v>1374</v>
      </c>
      <c r="D102" s="374">
        <v>612616914</v>
      </c>
      <c r="E102" s="393">
        <v>43643</v>
      </c>
      <c r="I102" s="373"/>
      <c r="J102" s="379" t="s">
        <v>2755</v>
      </c>
      <c r="K102" s="379" t="s">
        <v>1025</v>
      </c>
      <c r="L102" s="415">
        <v>38935188</v>
      </c>
      <c r="M102" s="416">
        <v>43647</v>
      </c>
      <c r="Q102" s="162"/>
      <c r="R102" s="243" t="s">
        <v>3844</v>
      </c>
      <c r="S102" s="162" t="s">
        <v>2853</v>
      </c>
      <c r="T102" s="166">
        <v>105000000</v>
      </c>
      <c r="U102" s="165">
        <v>43851</v>
      </c>
    </row>
    <row r="103" spans="1:21" x14ac:dyDescent="0.25">
      <c r="A103" s="373">
        <v>98</v>
      </c>
      <c r="B103" s="373" t="s">
        <v>2754</v>
      </c>
      <c r="C103" s="373" t="s">
        <v>702</v>
      </c>
      <c r="D103" s="374">
        <v>413101659</v>
      </c>
      <c r="E103" s="393">
        <v>43643</v>
      </c>
      <c r="I103" s="373"/>
      <c r="J103" s="379" t="s">
        <v>2753</v>
      </c>
      <c r="K103" s="379" t="s">
        <v>2176</v>
      </c>
      <c r="L103" s="415">
        <v>23468371</v>
      </c>
      <c r="M103" s="416">
        <v>43647</v>
      </c>
      <c r="Q103" s="162"/>
      <c r="R103" s="243" t="s">
        <v>3845</v>
      </c>
      <c r="S103" s="162" t="s">
        <v>2853</v>
      </c>
      <c r="T103" s="166">
        <v>155000000</v>
      </c>
      <c r="U103" s="165">
        <v>43852</v>
      </c>
    </row>
    <row r="104" spans="1:21" x14ac:dyDescent="0.25">
      <c r="A104" s="373">
        <v>99</v>
      </c>
      <c r="B104" s="373" t="s">
        <v>2752</v>
      </c>
      <c r="C104" s="373" t="s">
        <v>2751</v>
      </c>
      <c r="D104" s="374">
        <v>352120385</v>
      </c>
      <c r="E104" s="393">
        <v>43643</v>
      </c>
      <c r="I104" s="373"/>
      <c r="J104" s="379" t="s">
        <v>2750</v>
      </c>
      <c r="K104" s="379" t="s">
        <v>2173</v>
      </c>
      <c r="L104" s="415">
        <v>22433930</v>
      </c>
      <c r="M104" s="416">
        <v>43647</v>
      </c>
      <c r="Q104" s="162"/>
      <c r="R104" s="243" t="s">
        <v>3846</v>
      </c>
      <c r="S104" s="162" t="s">
        <v>2853</v>
      </c>
      <c r="T104" s="166">
        <v>130000000</v>
      </c>
      <c r="U104" s="165">
        <v>43853</v>
      </c>
    </row>
    <row r="105" spans="1:21" x14ac:dyDescent="0.25">
      <c r="A105" s="373">
        <v>100</v>
      </c>
      <c r="B105" s="373" t="s">
        <v>2749</v>
      </c>
      <c r="C105" s="373" t="s">
        <v>331</v>
      </c>
      <c r="D105" s="374">
        <v>264307871</v>
      </c>
      <c r="E105" s="393">
        <v>43643</v>
      </c>
      <c r="I105" s="373"/>
      <c r="J105" s="379" t="s">
        <v>2748</v>
      </c>
      <c r="K105" s="379" t="s">
        <v>2179</v>
      </c>
      <c r="L105" s="415">
        <v>28245350</v>
      </c>
      <c r="M105" s="416">
        <v>43647</v>
      </c>
      <c r="Q105" s="162"/>
      <c r="R105" s="243" t="s">
        <v>3847</v>
      </c>
      <c r="S105" s="162" t="s">
        <v>2853</v>
      </c>
      <c r="T105" s="166">
        <v>85000000</v>
      </c>
      <c r="U105" s="165">
        <v>43854</v>
      </c>
    </row>
    <row r="106" spans="1:21" x14ac:dyDescent="0.25">
      <c r="A106" s="373">
        <v>101</v>
      </c>
      <c r="B106" s="373" t="s">
        <v>2747</v>
      </c>
      <c r="C106" s="373" t="s">
        <v>522</v>
      </c>
      <c r="D106" s="374">
        <v>95012955</v>
      </c>
      <c r="E106" s="393">
        <v>43643</v>
      </c>
      <c r="I106" s="373"/>
      <c r="J106" s="379" t="s">
        <v>2746</v>
      </c>
      <c r="K106" s="379" t="s">
        <v>2162</v>
      </c>
      <c r="L106" s="415">
        <v>54618624</v>
      </c>
      <c r="M106" s="416">
        <v>43647</v>
      </c>
      <c r="Q106" s="162"/>
      <c r="R106" s="243" t="s">
        <v>3848</v>
      </c>
      <c r="S106" s="604" t="s">
        <v>388</v>
      </c>
      <c r="T106" s="166"/>
      <c r="U106" s="165"/>
    </row>
    <row r="107" spans="1:21" x14ac:dyDescent="0.25">
      <c r="A107" s="373">
        <v>102</v>
      </c>
      <c r="B107" s="373" t="s">
        <v>2745</v>
      </c>
      <c r="C107" s="373" t="s">
        <v>2487</v>
      </c>
      <c r="D107" s="374">
        <v>435829141</v>
      </c>
      <c r="E107" s="393">
        <v>43643</v>
      </c>
      <c r="I107" s="373"/>
      <c r="J107" s="379" t="s">
        <v>2744</v>
      </c>
      <c r="K107" s="379" t="s">
        <v>2167</v>
      </c>
      <c r="L107" s="415">
        <v>41374650</v>
      </c>
      <c r="M107" s="416">
        <v>43647</v>
      </c>
      <c r="Q107" s="162"/>
      <c r="R107" s="243" t="s">
        <v>3849</v>
      </c>
      <c r="S107" s="162" t="s">
        <v>2853</v>
      </c>
      <c r="T107" s="166">
        <v>100000000</v>
      </c>
      <c r="U107" s="165">
        <v>43857</v>
      </c>
    </row>
    <row r="108" spans="1:21" x14ac:dyDescent="0.25">
      <c r="A108" s="373">
        <v>103</v>
      </c>
      <c r="B108" s="373" t="s">
        <v>2743</v>
      </c>
      <c r="C108" s="373" t="s">
        <v>2199</v>
      </c>
      <c r="D108" s="374">
        <v>1974264190</v>
      </c>
      <c r="E108" s="393">
        <v>43643</v>
      </c>
      <c r="I108" s="373"/>
      <c r="J108" s="379" t="s">
        <v>2742</v>
      </c>
      <c r="K108" s="379" t="s">
        <v>2159</v>
      </c>
      <c r="L108" s="415">
        <v>27206727</v>
      </c>
      <c r="M108" s="416">
        <v>43647</v>
      </c>
      <c r="Q108" s="162"/>
      <c r="R108" s="258" t="s">
        <v>3850</v>
      </c>
      <c r="S108" s="255" t="s">
        <v>2853</v>
      </c>
      <c r="T108" s="256">
        <v>130000000</v>
      </c>
      <c r="U108" s="257">
        <v>43858</v>
      </c>
    </row>
    <row r="109" spans="1:21" x14ac:dyDescent="0.25">
      <c r="A109" s="373">
        <v>104</v>
      </c>
      <c r="B109" s="373" t="s">
        <v>2741</v>
      </c>
      <c r="C109" s="373" t="s">
        <v>1845</v>
      </c>
      <c r="D109" s="374">
        <v>979607686</v>
      </c>
      <c r="E109" s="393">
        <v>43643</v>
      </c>
      <c r="I109" s="373"/>
      <c r="J109" s="379" t="s">
        <v>2740</v>
      </c>
      <c r="K109" s="379" t="s">
        <v>964</v>
      </c>
      <c r="L109" s="415">
        <v>15679357</v>
      </c>
      <c r="M109" s="416">
        <v>43647</v>
      </c>
      <c r="Q109" s="162"/>
      <c r="R109" s="258" t="s">
        <v>3851</v>
      </c>
      <c r="S109" s="255" t="s">
        <v>2853</v>
      </c>
      <c r="T109" s="256">
        <v>180000000</v>
      </c>
      <c r="U109" s="257">
        <v>43859</v>
      </c>
    </row>
    <row r="110" spans="1:21" x14ac:dyDescent="0.25">
      <c r="A110" s="373">
        <v>105</v>
      </c>
      <c r="B110" s="373" t="s">
        <v>2739</v>
      </c>
      <c r="C110" s="373" t="s">
        <v>385</v>
      </c>
      <c r="D110" s="374">
        <v>402581296</v>
      </c>
      <c r="E110" s="393">
        <v>43643</v>
      </c>
      <c r="I110" s="373"/>
      <c r="J110" s="379" t="s">
        <v>2738</v>
      </c>
      <c r="K110" s="373" t="s">
        <v>1013</v>
      </c>
      <c r="L110" s="374">
        <v>54549998</v>
      </c>
      <c r="M110" s="375">
        <v>43648</v>
      </c>
      <c r="Q110" s="162"/>
      <c r="R110" s="362" t="s">
        <v>4004</v>
      </c>
      <c r="S110" s="362" t="s">
        <v>4005</v>
      </c>
      <c r="T110" s="387">
        <v>5000000</v>
      </c>
      <c r="U110" s="371">
        <v>43860</v>
      </c>
    </row>
    <row r="111" spans="1:21" x14ac:dyDescent="0.25">
      <c r="A111" s="373">
        <v>106</v>
      </c>
      <c r="B111" s="373" t="s">
        <v>2737</v>
      </c>
      <c r="C111" s="373" t="s">
        <v>276</v>
      </c>
      <c r="D111" s="374">
        <v>13549250</v>
      </c>
      <c r="E111" s="393">
        <v>43643</v>
      </c>
      <c r="I111" s="373"/>
      <c r="J111" s="379" t="s">
        <v>2736</v>
      </c>
      <c r="K111" s="373" t="s">
        <v>1794</v>
      </c>
      <c r="L111" s="374">
        <v>309130</v>
      </c>
      <c r="M111" s="375">
        <v>43649</v>
      </c>
      <c r="Q111" s="162"/>
      <c r="R111" s="362" t="s">
        <v>4006</v>
      </c>
      <c r="S111" s="362" t="s">
        <v>4007</v>
      </c>
      <c r="T111" s="387">
        <v>17070000</v>
      </c>
      <c r="U111" s="371">
        <v>43861</v>
      </c>
    </row>
    <row r="112" spans="1:21" x14ac:dyDescent="0.25">
      <c r="A112" s="373">
        <v>107</v>
      </c>
      <c r="B112" s="373" t="s">
        <v>2735</v>
      </c>
      <c r="C112" s="373" t="s">
        <v>248</v>
      </c>
      <c r="D112" s="374">
        <v>116945000</v>
      </c>
      <c r="E112" s="393">
        <v>43644</v>
      </c>
      <c r="I112" s="373"/>
      <c r="J112" s="379" t="s">
        <v>2734</v>
      </c>
      <c r="K112" s="373" t="s">
        <v>2733</v>
      </c>
      <c r="L112" s="374">
        <v>1755000</v>
      </c>
      <c r="M112" s="375">
        <v>43650</v>
      </c>
      <c r="Q112" s="162"/>
      <c r="R112" s="362" t="s">
        <v>4008</v>
      </c>
      <c r="S112" s="362" t="s">
        <v>4005</v>
      </c>
      <c r="T112" s="387">
        <v>10000000</v>
      </c>
      <c r="U112" s="371">
        <v>43861</v>
      </c>
    </row>
    <row r="113" spans="1:21" x14ac:dyDescent="0.25">
      <c r="A113" s="373">
        <v>108</v>
      </c>
      <c r="B113" s="373" t="s">
        <v>2732</v>
      </c>
      <c r="C113" s="373" t="s">
        <v>429</v>
      </c>
      <c r="D113" s="374">
        <v>7902478</v>
      </c>
      <c r="E113" s="393">
        <v>43644</v>
      </c>
      <c r="I113" s="373"/>
      <c r="J113" s="379" t="s">
        <v>2731</v>
      </c>
      <c r="K113" s="373" t="s">
        <v>2730</v>
      </c>
      <c r="L113" s="374">
        <v>17070000</v>
      </c>
      <c r="M113" s="375">
        <v>43650</v>
      </c>
      <c r="Q113" s="162"/>
      <c r="R113" s="362" t="s">
        <v>4009</v>
      </c>
      <c r="S113" s="362" t="s">
        <v>4005</v>
      </c>
      <c r="T113" s="387">
        <v>40000000</v>
      </c>
      <c r="U113" s="371"/>
    </row>
    <row r="114" spans="1:21" x14ac:dyDescent="0.25">
      <c r="A114" s="373">
        <v>109</v>
      </c>
      <c r="B114" s="373" t="s">
        <v>2729</v>
      </c>
      <c r="C114" s="373" t="s">
        <v>709</v>
      </c>
      <c r="D114" s="374">
        <v>204515110</v>
      </c>
      <c r="E114" s="393">
        <v>43644</v>
      </c>
      <c r="I114" s="373"/>
      <c r="J114" s="379" t="s">
        <v>2728</v>
      </c>
      <c r="K114" s="373" t="s">
        <v>2727</v>
      </c>
      <c r="L114" s="374">
        <v>2216600</v>
      </c>
      <c r="M114" s="375">
        <v>43651</v>
      </c>
      <c r="Q114" s="162"/>
      <c r="R114" s="362" t="s">
        <v>4010</v>
      </c>
      <c r="S114" s="362" t="s">
        <v>4005</v>
      </c>
      <c r="T114" s="387">
        <v>140000000</v>
      </c>
      <c r="U114" s="371">
        <v>43864</v>
      </c>
    </row>
    <row r="115" spans="1:21" x14ac:dyDescent="0.25">
      <c r="A115" s="373">
        <v>110</v>
      </c>
      <c r="B115" s="373" t="s">
        <v>2726</v>
      </c>
      <c r="C115" s="373" t="s">
        <v>283</v>
      </c>
      <c r="D115" s="374">
        <v>353605000</v>
      </c>
      <c r="E115" s="393">
        <v>43644</v>
      </c>
      <c r="I115" s="373"/>
      <c r="J115" s="379" t="s">
        <v>2725</v>
      </c>
      <c r="K115" s="373" t="s">
        <v>2724</v>
      </c>
      <c r="L115" s="374"/>
      <c r="M115" s="375">
        <v>43647</v>
      </c>
      <c r="Q115" s="162"/>
      <c r="R115" s="362" t="s">
        <v>4011</v>
      </c>
      <c r="S115" s="362" t="s">
        <v>4005</v>
      </c>
      <c r="T115" s="387">
        <v>135000000</v>
      </c>
      <c r="U115" s="371">
        <v>43865</v>
      </c>
    </row>
    <row r="116" spans="1:21" x14ac:dyDescent="0.25">
      <c r="A116" s="373">
        <v>111</v>
      </c>
      <c r="B116" s="373" t="s">
        <v>2723</v>
      </c>
      <c r="C116" s="373" t="s">
        <v>1845</v>
      </c>
      <c r="D116" s="374">
        <v>768159685</v>
      </c>
      <c r="E116" s="393">
        <v>43644</v>
      </c>
      <c r="I116" s="373"/>
      <c r="J116" s="373" t="s">
        <v>2722</v>
      </c>
      <c r="K116" s="373" t="s">
        <v>2721</v>
      </c>
      <c r="L116" s="374">
        <v>1445000</v>
      </c>
      <c r="M116" s="375">
        <v>43651</v>
      </c>
      <c r="Q116" s="162"/>
      <c r="R116" s="362" t="s">
        <v>4012</v>
      </c>
      <c r="S116" s="362" t="s">
        <v>4005</v>
      </c>
      <c r="T116" s="387">
        <v>105000000</v>
      </c>
      <c r="U116" s="371">
        <v>43866</v>
      </c>
    </row>
    <row r="117" spans="1:21" x14ac:dyDescent="0.25">
      <c r="A117" s="373">
        <v>112</v>
      </c>
      <c r="B117" s="373" t="s">
        <v>2720</v>
      </c>
      <c r="C117" s="373" t="s">
        <v>322</v>
      </c>
      <c r="D117" s="374"/>
      <c r="E117" s="393">
        <v>43644</v>
      </c>
      <c r="I117" s="373"/>
      <c r="J117" s="373" t="s">
        <v>2719</v>
      </c>
      <c r="K117" s="373" t="s">
        <v>1013</v>
      </c>
      <c r="L117" s="374">
        <v>7800000</v>
      </c>
      <c r="M117" s="375">
        <v>43651</v>
      </c>
      <c r="Q117" s="162"/>
      <c r="R117" s="362" t="s">
        <v>4013</v>
      </c>
      <c r="S117" s="362" t="s">
        <v>4005</v>
      </c>
      <c r="T117" s="387">
        <v>235000000</v>
      </c>
      <c r="U117" s="371">
        <v>43871</v>
      </c>
    </row>
    <row r="118" spans="1:21" x14ac:dyDescent="0.25">
      <c r="A118" s="373">
        <v>113</v>
      </c>
      <c r="B118" s="373" t="s">
        <v>2718</v>
      </c>
      <c r="C118" s="373" t="s">
        <v>322</v>
      </c>
      <c r="D118" s="374"/>
      <c r="E118" s="393">
        <v>43644</v>
      </c>
      <c r="I118" s="373"/>
      <c r="J118" s="373" t="s">
        <v>2717</v>
      </c>
      <c r="K118" s="373" t="s">
        <v>2147</v>
      </c>
      <c r="L118" s="374">
        <v>17171834</v>
      </c>
      <c r="M118" s="375">
        <v>43654</v>
      </c>
      <c r="Q118" s="162"/>
      <c r="R118" s="362" t="s">
        <v>4014</v>
      </c>
      <c r="S118" s="362" t="s">
        <v>4005</v>
      </c>
      <c r="T118" s="387">
        <v>200000000</v>
      </c>
      <c r="U118" s="371">
        <v>43872</v>
      </c>
    </row>
    <row r="119" spans="1:21" x14ac:dyDescent="0.25">
      <c r="A119" s="373">
        <v>114</v>
      </c>
      <c r="B119" s="373" t="s">
        <v>2716</v>
      </c>
      <c r="C119" s="373" t="s">
        <v>702</v>
      </c>
      <c r="D119" s="374">
        <v>316783509</v>
      </c>
      <c r="E119" s="393">
        <v>43644</v>
      </c>
      <c r="I119" s="373"/>
      <c r="J119" s="373" t="s">
        <v>2715</v>
      </c>
      <c r="K119" s="373" t="s">
        <v>2182</v>
      </c>
      <c r="L119" s="374">
        <v>8158104</v>
      </c>
      <c r="M119" s="375">
        <v>43654</v>
      </c>
      <c r="Q119" s="162"/>
      <c r="R119" s="362" t="s">
        <v>4015</v>
      </c>
      <c r="S119" s="362" t="s">
        <v>4005</v>
      </c>
      <c r="T119" s="387">
        <v>25000000</v>
      </c>
      <c r="U119" s="371">
        <v>43873</v>
      </c>
    </row>
    <row r="120" spans="1:21" x14ac:dyDescent="0.25">
      <c r="A120" s="373">
        <v>115</v>
      </c>
      <c r="B120" s="373" t="s">
        <v>2714</v>
      </c>
      <c r="C120" s="373" t="s">
        <v>276</v>
      </c>
      <c r="D120" s="374">
        <v>1969717865</v>
      </c>
      <c r="E120" s="393">
        <v>43644</v>
      </c>
      <c r="I120" s="373"/>
      <c r="J120" s="373" t="s">
        <v>2713</v>
      </c>
      <c r="K120" s="373" t="s">
        <v>2156</v>
      </c>
      <c r="L120" s="374">
        <v>6535633</v>
      </c>
      <c r="M120" s="375">
        <v>43654</v>
      </c>
      <c r="Q120" s="162"/>
      <c r="R120" s="362" t="s">
        <v>4016</v>
      </c>
      <c r="S120" s="362" t="s">
        <v>4005</v>
      </c>
      <c r="T120" s="387">
        <v>55000000</v>
      </c>
      <c r="U120" s="371">
        <v>43874</v>
      </c>
    </row>
    <row r="121" spans="1:21" x14ac:dyDescent="0.25">
      <c r="A121" s="373">
        <v>116</v>
      </c>
      <c r="B121" s="373" t="s">
        <v>2712</v>
      </c>
      <c r="C121" s="373" t="s">
        <v>2199</v>
      </c>
      <c r="D121" s="374">
        <v>1134547060</v>
      </c>
      <c r="E121" s="393">
        <v>43644</v>
      </c>
      <c r="I121" s="373"/>
      <c r="J121" s="373" t="s">
        <v>2711</v>
      </c>
      <c r="K121" s="373" t="s">
        <v>2150</v>
      </c>
      <c r="L121" s="374">
        <v>5084360</v>
      </c>
      <c r="M121" s="375">
        <v>43654</v>
      </c>
      <c r="Q121" s="162"/>
      <c r="R121" s="362" t="s">
        <v>4017</v>
      </c>
      <c r="S121" s="362" t="s">
        <v>4005</v>
      </c>
      <c r="T121" s="387">
        <v>40000000</v>
      </c>
      <c r="U121" s="371">
        <v>43875</v>
      </c>
    </row>
    <row r="122" spans="1:21" x14ac:dyDescent="0.25">
      <c r="A122" s="373">
        <v>117</v>
      </c>
      <c r="B122" s="373" t="s">
        <v>2710</v>
      </c>
      <c r="C122" s="373" t="s">
        <v>322</v>
      </c>
      <c r="D122" s="374"/>
      <c r="E122" s="393">
        <v>43644</v>
      </c>
      <c r="I122" s="373"/>
      <c r="J122" s="373" t="s">
        <v>2709</v>
      </c>
      <c r="K122" s="373" t="s">
        <v>2170</v>
      </c>
      <c r="L122" s="374">
        <v>6900191</v>
      </c>
      <c r="M122" s="375">
        <v>43654</v>
      </c>
      <c r="Q122" s="162"/>
      <c r="R122" s="362" t="s">
        <v>4018</v>
      </c>
      <c r="S122" s="362" t="s">
        <v>4005</v>
      </c>
      <c r="T122" s="387">
        <v>130000000</v>
      </c>
      <c r="U122" s="371">
        <v>43878</v>
      </c>
    </row>
    <row r="123" spans="1:21" x14ac:dyDescent="0.25">
      <c r="A123" s="373">
        <v>118</v>
      </c>
      <c r="B123" s="373" t="s">
        <v>2708</v>
      </c>
      <c r="C123" s="373" t="s">
        <v>2487</v>
      </c>
      <c r="D123" s="374"/>
      <c r="E123" s="393">
        <v>43644</v>
      </c>
      <c r="I123" s="373"/>
      <c r="J123" s="373" t="s">
        <v>2707</v>
      </c>
      <c r="K123" s="373" t="s">
        <v>1019</v>
      </c>
      <c r="L123" s="374">
        <v>19395951</v>
      </c>
      <c r="M123" s="375">
        <v>43654</v>
      </c>
      <c r="Q123" s="162"/>
      <c r="R123" s="362" t="s">
        <v>4019</v>
      </c>
      <c r="S123" s="362" t="s">
        <v>4005</v>
      </c>
      <c r="T123" s="387">
        <v>180000000</v>
      </c>
      <c r="U123" s="371">
        <v>43879</v>
      </c>
    </row>
    <row r="124" spans="1:21" x14ac:dyDescent="0.25">
      <c r="A124" s="373">
        <v>119</v>
      </c>
      <c r="B124" s="373" t="s">
        <v>2706</v>
      </c>
      <c r="C124" s="373" t="s">
        <v>1374</v>
      </c>
      <c r="D124" s="374">
        <v>1272777251</v>
      </c>
      <c r="E124" s="393">
        <v>43647</v>
      </c>
      <c r="I124" s="373"/>
      <c r="J124" s="373" t="s">
        <v>2705</v>
      </c>
      <c r="K124" s="373" t="s">
        <v>2162</v>
      </c>
      <c r="L124" s="374">
        <v>25244122</v>
      </c>
      <c r="M124" s="375">
        <v>43654</v>
      </c>
      <c r="Q124" s="162"/>
      <c r="R124" s="362" t="s">
        <v>4020</v>
      </c>
      <c r="S124" s="362" t="s">
        <v>4005</v>
      </c>
      <c r="T124" s="387">
        <v>10000000</v>
      </c>
      <c r="U124" s="371">
        <v>43880</v>
      </c>
    </row>
    <row r="125" spans="1:21" x14ac:dyDescent="0.25">
      <c r="A125" s="373">
        <v>120</v>
      </c>
      <c r="B125" s="373" t="s">
        <v>2704</v>
      </c>
      <c r="C125" s="379" t="s">
        <v>702</v>
      </c>
      <c r="D125" s="374">
        <v>1018014479</v>
      </c>
      <c r="E125" s="393">
        <v>43647</v>
      </c>
      <c r="I125" s="373"/>
      <c r="J125" s="373" t="s">
        <v>2703</v>
      </c>
      <c r="K125" s="373" t="s">
        <v>2159</v>
      </c>
      <c r="L125" s="374">
        <v>14202159</v>
      </c>
      <c r="M125" s="375">
        <v>43654</v>
      </c>
      <c r="Q125" s="162"/>
      <c r="R125" s="362" t="s">
        <v>4021</v>
      </c>
      <c r="S125" s="362" t="s">
        <v>4005</v>
      </c>
      <c r="T125" s="387">
        <v>1190000000</v>
      </c>
      <c r="U125" s="371">
        <v>43881</v>
      </c>
    </row>
    <row r="126" spans="1:21" x14ac:dyDescent="0.25">
      <c r="A126" s="373">
        <v>121</v>
      </c>
      <c r="B126" s="373" t="s">
        <v>2702</v>
      </c>
      <c r="C126" s="373" t="s">
        <v>283</v>
      </c>
      <c r="D126" s="374">
        <v>176805000</v>
      </c>
      <c r="E126" s="393">
        <v>43647</v>
      </c>
      <c r="I126" s="373"/>
      <c r="J126" s="373" t="s">
        <v>2701</v>
      </c>
      <c r="K126" s="373" t="s">
        <v>1025</v>
      </c>
      <c r="L126" s="374">
        <v>23992881</v>
      </c>
      <c r="M126" s="375">
        <v>43654</v>
      </c>
      <c r="Q126" s="162"/>
      <c r="R126" s="362" t="s">
        <v>4022</v>
      </c>
      <c r="S126" s="362" t="s">
        <v>4005</v>
      </c>
      <c r="T126" s="387">
        <v>520000000</v>
      </c>
      <c r="U126" s="371">
        <v>43882</v>
      </c>
    </row>
    <row r="127" spans="1:21" x14ac:dyDescent="0.25">
      <c r="A127" s="373">
        <v>122</v>
      </c>
      <c r="B127" s="373" t="s">
        <v>2700</v>
      </c>
      <c r="C127" s="373" t="s">
        <v>1424</v>
      </c>
      <c r="D127" s="374">
        <v>100544851</v>
      </c>
      <c r="E127" s="393">
        <v>43647</v>
      </c>
      <c r="I127" s="373"/>
      <c r="J127" s="373" t="s">
        <v>2699</v>
      </c>
      <c r="K127" s="373" t="s">
        <v>2176</v>
      </c>
      <c r="L127" s="374">
        <v>15374887</v>
      </c>
      <c r="M127" s="375">
        <v>43654</v>
      </c>
      <c r="Q127" s="162"/>
      <c r="R127" s="362" t="s">
        <v>4023</v>
      </c>
      <c r="S127" s="362" t="s">
        <v>388</v>
      </c>
      <c r="T127" s="387"/>
      <c r="U127" s="371"/>
    </row>
    <row r="128" spans="1:21" x14ac:dyDescent="0.25">
      <c r="A128" s="373">
        <v>123</v>
      </c>
      <c r="B128" s="373" t="s">
        <v>2698</v>
      </c>
      <c r="C128" s="373" t="s">
        <v>522</v>
      </c>
      <c r="D128" s="374">
        <v>111310782</v>
      </c>
      <c r="E128" s="393">
        <v>43647</v>
      </c>
      <c r="I128" s="373"/>
      <c r="J128" s="373" t="s">
        <v>2697</v>
      </c>
      <c r="K128" s="373" t="s">
        <v>2173</v>
      </c>
      <c r="L128" s="374">
        <v>13553320</v>
      </c>
      <c r="M128" s="375">
        <v>43654</v>
      </c>
      <c r="Q128" s="162"/>
      <c r="R128" s="362" t="s">
        <v>4024</v>
      </c>
      <c r="S128" s="362" t="s">
        <v>4005</v>
      </c>
      <c r="T128" s="387">
        <v>145000000</v>
      </c>
      <c r="U128" s="371">
        <v>43885</v>
      </c>
    </row>
    <row r="129" spans="1:21" x14ac:dyDescent="0.25">
      <c r="A129" s="373">
        <v>124</v>
      </c>
      <c r="B129" s="373" t="s">
        <v>2696</v>
      </c>
      <c r="C129" s="373" t="s">
        <v>2199</v>
      </c>
      <c r="D129" s="374">
        <v>1000035000</v>
      </c>
      <c r="E129" s="393">
        <v>43647</v>
      </c>
      <c r="I129" s="373"/>
      <c r="J129" s="373" t="s">
        <v>2695</v>
      </c>
      <c r="K129" s="373" t="s">
        <v>2179</v>
      </c>
      <c r="L129" s="374">
        <v>18740704</v>
      </c>
      <c r="M129" s="375">
        <v>43654</v>
      </c>
      <c r="Q129" s="162"/>
      <c r="R129" s="362" t="s">
        <v>4025</v>
      </c>
      <c r="S129" s="362" t="s">
        <v>4005</v>
      </c>
      <c r="T129" s="387">
        <v>105000000</v>
      </c>
      <c r="U129" s="371">
        <v>43886</v>
      </c>
    </row>
    <row r="130" spans="1:21" x14ac:dyDescent="0.25">
      <c r="A130" s="373">
        <v>125</v>
      </c>
      <c r="B130" s="373" t="s">
        <v>2694</v>
      </c>
      <c r="C130" s="373" t="s">
        <v>322</v>
      </c>
      <c r="D130" s="374"/>
      <c r="E130" s="393">
        <v>43647</v>
      </c>
      <c r="I130" s="373"/>
      <c r="J130" s="373" t="s">
        <v>2693</v>
      </c>
      <c r="K130" s="373" t="s">
        <v>2167</v>
      </c>
      <c r="L130" s="374">
        <v>26460985</v>
      </c>
      <c r="M130" s="375">
        <v>43654</v>
      </c>
      <c r="Q130" s="162"/>
      <c r="R130" s="362" t="s">
        <v>4026</v>
      </c>
      <c r="S130" s="362" t="s">
        <v>4005</v>
      </c>
      <c r="T130" s="387">
        <v>30000000</v>
      </c>
      <c r="U130" s="371">
        <v>43887</v>
      </c>
    </row>
    <row r="131" spans="1:21" x14ac:dyDescent="0.25">
      <c r="A131" s="373">
        <v>126</v>
      </c>
      <c r="B131" s="373" t="s">
        <v>2692</v>
      </c>
      <c r="C131" s="373" t="s">
        <v>551</v>
      </c>
      <c r="D131" s="374">
        <v>228002000</v>
      </c>
      <c r="E131" s="393">
        <v>43648</v>
      </c>
      <c r="I131" s="373"/>
      <c r="J131" s="373" t="s">
        <v>2691</v>
      </c>
      <c r="K131" s="373" t="s">
        <v>2690</v>
      </c>
      <c r="L131" s="374">
        <v>23005000</v>
      </c>
      <c r="M131" s="375">
        <v>43654</v>
      </c>
      <c r="Q131" s="162"/>
      <c r="R131" s="362" t="s">
        <v>4027</v>
      </c>
      <c r="S131" s="362" t="s">
        <v>4005</v>
      </c>
      <c r="T131" s="387">
        <v>155000000</v>
      </c>
      <c r="U131" s="371">
        <v>43888</v>
      </c>
    </row>
    <row r="132" spans="1:21" x14ac:dyDescent="0.25">
      <c r="A132" s="373">
        <v>127</v>
      </c>
      <c r="B132" s="373" t="s">
        <v>2689</v>
      </c>
      <c r="C132" s="373" t="s">
        <v>322</v>
      </c>
      <c r="D132" s="374"/>
      <c r="E132" s="393">
        <v>43648</v>
      </c>
      <c r="I132" s="373"/>
      <c r="J132" s="373" t="s">
        <v>2688</v>
      </c>
      <c r="K132" s="373" t="s">
        <v>964</v>
      </c>
      <c r="L132" s="374">
        <v>18692339</v>
      </c>
      <c r="M132" s="375">
        <v>43654</v>
      </c>
      <c r="Q132" s="162"/>
      <c r="R132" s="362" t="s">
        <v>4028</v>
      </c>
      <c r="S132" s="362" t="s">
        <v>4029</v>
      </c>
      <c r="T132" s="387">
        <v>17070000</v>
      </c>
      <c r="U132" s="371">
        <v>43889</v>
      </c>
    </row>
    <row r="133" spans="1:21" x14ac:dyDescent="0.25">
      <c r="A133" s="373">
        <v>128</v>
      </c>
      <c r="B133" s="373" t="s">
        <v>2687</v>
      </c>
      <c r="C133" s="373" t="s">
        <v>522</v>
      </c>
      <c r="D133" s="374">
        <v>256926208</v>
      </c>
      <c r="E133" s="393">
        <v>43648</v>
      </c>
      <c r="I133" s="373"/>
      <c r="J133" s="373" t="s">
        <v>2686</v>
      </c>
      <c r="K133" s="373" t="s">
        <v>2685</v>
      </c>
      <c r="L133" s="374">
        <v>9355000</v>
      </c>
      <c r="M133" s="375">
        <v>43655</v>
      </c>
      <c r="Q133" s="162"/>
      <c r="R133" s="362" t="s">
        <v>4030</v>
      </c>
      <c r="S133" s="362" t="s">
        <v>4005</v>
      </c>
      <c r="T133" s="387">
        <v>15000000</v>
      </c>
      <c r="U133" s="371">
        <v>43889</v>
      </c>
    </row>
    <row r="134" spans="1:21" x14ac:dyDescent="0.25">
      <c r="A134" s="373">
        <v>129</v>
      </c>
      <c r="B134" s="373" t="s">
        <v>2684</v>
      </c>
      <c r="C134" s="373" t="s">
        <v>283</v>
      </c>
      <c r="D134" s="374">
        <v>192955000</v>
      </c>
      <c r="E134" s="393">
        <v>43648</v>
      </c>
      <c r="I134" s="373"/>
      <c r="J134" s="373" t="s">
        <v>2683</v>
      </c>
      <c r="K134" s="373" t="s">
        <v>2682</v>
      </c>
      <c r="L134" s="374">
        <v>1987200</v>
      </c>
      <c r="M134" s="375">
        <v>43655</v>
      </c>
      <c r="Q134" s="162"/>
      <c r="R134" s="362" t="s">
        <v>4031</v>
      </c>
      <c r="S134" s="362" t="s">
        <v>4005</v>
      </c>
      <c r="T134" s="387">
        <v>175000000</v>
      </c>
      <c r="U134" s="371">
        <v>43892</v>
      </c>
    </row>
    <row r="135" spans="1:21" x14ac:dyDescent="0.25">
      <c r="A135" s="373">
        <v>130</v>
      </c>
      <c r="B135" s="373" t="s">
        <v>2681</v>
      </c>
      <c r="C135" s="373" t="s">
        <v>623</v>
      </c>
      <c r="D135" s="374">
        <v>852380919</v>
      </c>
      <c r="E135" s="393">
        <v>43648</v>
      </c>
      <c r="I135" s="373"/>
      <c r="J135" s="373" t="s">
        <v>2680</v>
      </c>
      <c r="K135" s="373" t="s">
        <v>2671</v>
      </c>
      <c r="L135" s="374">
        <v>52871000</v>
      </c>
      <c r="M135" s="375">
        <v>43655</v>
      </c>
      <c r="Q135" s="162"/>
      <c r="R135" s="604" t="s">
        <v>5124</v>
      </c>
      <c r="S135" s="362" t="s">
        <v>4005</v>
      </c>
      <c r="T135" s="166">
        <v>190000000</v>
      </c>
      <c r="U135" s="165">
        <v>43893</v>
      </c>
    </row>
    <row r="136" spans="1:21" x14ac:dyDescent="0.25">
      <c r="A136" s="373">
        <v>131</v>
      </c>
      <c r="B136" s="373" t="s">
        <v>2679</v>
      </c>
      <c r="C136" s="373" t="s">
        <v>601</v>
      </c>
      <c r="D136" s="374">
        <v>1039636121</v>
      </c>
      <c r="E136" s="393">
        <v>43648</v>
      </c>
      <c r="I136" s="373"/>
      <c r="J136" s="373" t="s">
        <v>2678</v>
      </c>
      <c r="K136" s="373" t="s">
        <v>2677</v>
      </c>
      <c r="L136" s="374">
        <v>7800000</v>
      </c>
      <c r="M136" s="375">
        <v>43655</v>
      </c>
      <c r="Q136" s="162"/>
      <c r="R136" s="604" t="s">
        <v>5125</v>
      </c>
      <c r="S136" s="362" t="s">
        <v>4005</v>
      </c>
      <c r="T136" s="166">
        <v>20000000</v>
      </c>
      <c r="U136" s="165">
        <v>43894</v>
      </c>
    </row>
    <row r="137" spans="1:21" x14ac:dyDescent="0.25">
      <c r="A137" s="373">
        <v>132</v>
      </c>
      <c r="B137" s="373" t="s">
        <v>2676</v>
      </c>
      <c r="C137" s="373" t="s">
        <v>331</v>
      </c>
      <c r="D137" s="374">
        <v>427699511</v>
      </c>
      <c r="E137" s="393">
        <v>43648</v>
      </c>
      <c r="I137" s="373"/>
      <c r="J137" s="373" t="s">
        <v>2675</v>
      </c>
      <c r="K137" s="373" t="s">
        <v>2674</v>
      </c>
      <c r="L137" s="374">
        <v>37616286</v>
      </c>
      <c r="M137" s="375">
        <v>43655</v>
      </c>
      <c r="Q137" s="162"/>
      <c r="R137" s="604" t="s">
        <v>5126</v>
      </c>
      <c r="S137" s="362" t="s">
        <v>4005</v>
      </c>
      <c r="T137" s="166">
        <v>70000000</v>
      </c>
      <c r="U137" s="165">
        <v>43895</v>
      </c>
    </row>
    <row r="138" spans="1:21" x14ac:dyDescent="0.25">
      <c r="A138" s="373">
        <v>133</v>
      </c>
      <c r="B138" s="373" t="s">
        <v>2673</v>
      </c>
      <c r="C138" s="373" t="s">
        <v>702</v>
      </c>
      <c r="D138" s="374">
        <v>601837428</v>
      </c>
      <c r="E138" s="393">
        <v>43648</v>
      </c>
      <c r="I138" s="373"/>
      <c r="J138" s="373" t="s">
        <v>2672</v>
      </c>
      <c r="K138" s="373" t="s">
        <v>2671</v>
      </c>
      <c r="L138" s="374">
        <v>15576886</v>
      </c>
      <c r="M138" s="375">
        <v>43656</v>
      </c>
      <c r="Q138" s="162"/>
      <c r="R138" s="604" t="s">
        <v>5127</v>
      </c>
      <c r="S138" s="362" t="s">
        <v>4005</v>
      </c>
      <c r="T138" s="166">
        <v>135000000</v>
      </c>
      <c r="U138" s="165">
        <v>43899</v>
      </c>
    </row>
    <row r="139" spans="1:21" x14ac:dyDescent="0.25">
      <c r="A139" s="373">
        <v>134</v>
      </c>
      <c r="B139" s="373" t="s">
        <v>2670</v>
      </c>
      <c r="C139" s="373" t="s">
        <v>1845</v>
      </c>
      <c r="D139" s="374">
        <v>1830461446</v>
      </c>
      <c r="E139" s="393">
        <v>43648</v>
      </c>
      <c r="I139" s="373"/>
      <c r="J139" s="373" t="s">
        <v>2669</v>
      </c>
      <c r="K139" s="373" t="s">
        <v>2668</v>
      </c>
      <c r="L139" s="374">
        <v>13498277</v>
      </c>
      <c r="M139" s="375">
        <v>43656</v>
      </c>
      <c r="Q139" s="162"/>
      <c r="R139" s="604" t="s">
        <v>5128</v>
      </c>
      <c r="S139" s="362" t="s">
        <v>4005</v>
      </c>
      <c r="T139" s="166">
        <v>195000000</v>
      </c>
      <c r="U139" s="165">
        <v>43900</v>
      </c>
    </row>
    <row r="140" spans="1:21" x14ac:dyDescent="0.25">
      <c r="A140" s="373">
        <v>135</v>
      </c>
      <c r="B140" s="373" t="s">
        <v>2667</v>
      </c>
      <c r="C140" s="373" t="s">
        <v>1394</v>
      </c>
      <c r="D140" s="374">
        <v>447818619</v>
      </c>
      <c r="E140" s="393">
        <v>43648</v>
      </c>
      <c r="I140" s="373"/>
      <c r="J140" s="373" t="s">
        <v>2666</v>
      </c>
      <c r="K140" s="373" t="s">
        <v>2665</v>
      </c>
      <c r="L140" s="374">
        <v>24505385</v>
      </c>
      <c r="M140" s="375">
        <v>43656</v>
      </c>
      <c r="Q140" s="162"/>
      <c r="R140" s="604" t="s">
        <v>5129</v>
      </c>
      <c r="S140" s="362" t="s">
        <v>4005</v>
      </c>
      <c r="T140" s="166">
        <v>15000000</v>
      </c>
      <c r="U140" s="165">
        <v>43901</v>
      </c>
    </row>
    <row r="141" spans="1:21" x14ac:dyDescent="0.25">
      <c r="A141" s="373">
        <v>136</v>
      </c>
      <c r="B141" s="373" t="s">
        <v>2664</v>
      </c>
      <c r="C141" s="373" t="s">
        <v>498</v>
      </c>
      <c r="D141" s="374">
        <v>145538960</v>
      </c>
      <c r="E141" s="393">
        <v>43648</v>
      </c>
      <c r="I141" s="373"/>
      <c r="J141" s="373" t="s">
        <v>2663</v>
      </c>
      <c r="K141" s="373" t="s">
        <v>2662</v>
      </c>
      <c r="L141" s="374">
        <v>4005000</v>
      </c>
      <c r="M141" s="375">
        <v>43656</v>
      </c>
      <c r="Q141" s="162"/>
      <c r="R141" s="604" t="s">
        <v>5130</v>
      </c>
      <c r="S141" s="362" t="s">
        <v>4005</v>
      </c>
      <c r="T141" s="166">
        <v>40000000</v>
      </c>
      <c r="U141" s="165">
        <v>43902</v>
      </c>
    </row>
    <row r="142" spans="1:21" x14ac:dyDescent="0.25">
      <c r="A142" s="373">
        <v>137</v>
      </c>
      <c r="B142" s="373" t="s">
        <v>2661</v>
      </c>
      <c r="C142" s="373" t="s">
        <v>551</v>
      </c>
      <c r="D142" s="374">
        <v>317069924</v>
      </c>
      <c r="E142" s="393">
        <v>43649</v>
      </c>
      <c r="I142" s="373"/>
      <c r="J142" s="373" t="s">
        <v>2660</v>
      </c>
      <c r="K142" s="373" t="s">
        <v>813</v>
      </c>
      <c r="L142" s="374">
        <v>63749720</v>
      </c>
      <c r="M142" s="375">
        <v>43657</v>
      </c>
      <c r="Q142" s="162"/>
      <c r="R142" s="604" t="s">
        <v>5131</v>
      </c>
      <c r="S142" s="362" t="s">
        <v>4005</v>
      </c>
      <c r="T142" s="166">
        <v>15000000</v>
      </c>
      <c r="U142" s="165">
        <v>43903</v>
      </c>
    </row>
    <row r="143" spans="1:21" x14ac:dyDescent="0.25">
      <c r="A143" s="373">
        <v>138</v>
      </c>
      <c r="B143" s="373" t="s">
        <v>2659</v>
      </c>
      <c r="C143" s="373" t="s">
        <v>702</v>
      </c>
      <c r="D143" s="374">
        <v>320374252</v>
      </c>
      <c r="E143" s="393">
        <v>43649</v>
      </c>
      <c r="I143" s="373"/>
      <c r="J143" s="373" t="s">
        <v>2658</v>
      </c>
      <c r="K143" s="373" t="s">
        <v>2657</v>
      </c>
      <c r="L143" s="374">
        <v>6227900</v>
      </c>
      <c r="M143" s="375">
        <v>43657</v>
      </c>
      <c r="Q143" s="162"/>
      <c r="R143" s="604" t="s">
        <v>5132</v>
      </c>
      <c r="S143" s="362" t="s">
        <v>4005</v>
      </c>
      <c r="T143" s="605">
        <v>230000000</v>
      </c>
      <c r="U143" s="165">
        <v>43906</v>
      </c>
    </row>
    <row r="144" spans="1:21" x14ac:dyDescent="0.25">
      <c r="A144" s="373">
        <v>139</v>
      </c>
      <c r="B144" s="373" t="s">
        <v>2656</v>
      </c>
      <c r="C144" s="373" t="s">
        <v>2422</v>
      </c>
      <c r="D144" s="374">
        <v>1838373701</v>
      </c>
      <c r="E144" s="393">
        <v>43649</v>
      </c>
      <c r="I144" s="373"/>
      <c r="J144" s="373" t="s">
        <v>2655</v>
      </c>
      <c r="K144" s="373" t="s">
        <v>2654</v>
      </c>
      <c r="L144" s="374">
        <v>9756000</v>
      </c>
      <c r="M144" s="375">
        <v>43657</v>
      </c>
      <c r="Q144" s="162"/>
      <c r="R144" s="604" t="s">
        <v>5133</v>
      </c>
      <c r="S144" s="362" t="s">
        <v>4005</v>
      </c>
      <c r="T144" s="166">
        <v>255000000</v>
      </c>
      <c r="U144" s="165">
        <v>43907</v>
      </c>
    </row>
    <row r="145" spans="1:21" x14ac:dyDescent="0.25">
      <c r="A145" s="373">
        <v>140</v>
      </c>
      <c r="B145" s="373" t="s">
        <v>2653</v>
      </c>
      <c r="C145" s="373" t="s">
        <v>385</v>
      </c>
      <c r="D145" s="374">
        <v>254498294</v>
      </c>
      <c r="E145" s="393">
        <v>43649</v>
      </c>
      <c r="I145" s="373"/>
      <c r="J145" s="373" t="s">
        <v>2652</v>
      </c>
      <c r="K145" s="373" t="s">
        <v>2651</v>
      </c>
      <c r="L145" s="374">
        <v>1426000</v>
      </c>
      <c r="M145" s="375">
        <v>43657</v>
      </c>
      <c r="Q145" s="162"/>
      <c r="R145" s="604" t="s">
        <v>5134</v>
      </c>
      <c r="S145" s="362" t="s">
        <v>4005</v>
      </c>
      <c r="T145" s="166">
        <v>20000000</v>
      </c>
      <c r="U145" s="165">
        <v>43908</v>
      </c>
    </row>
    <row r="146" spans="1:21" x14ac:dyDescent="0.25">
      <c r="A146" s="373">
        <v>141</v>
      </c>
      <c r="B146" s="373" t="s">
        <v>2650</v>
      </c>
      <c r="C146" s="373" t="s">
        <v>1081</v>
      </c>
      <c r="D146" s="374">
        <v>17000333</v>
      </c>
      <c r="E146" s="393">
        <v>43649</v>
      </c>
      <c r="I146" s="373"/>
      <c r="J146" s="373" t="s">
        <v>2649</v>
      </c>
      <c r="K146" s="373" t="s">
        <v>2648</v>
      </c>
      <c r="L146" s="374">
        <v>5142650</v>
      </c>
      <c r="M146" s="375">
        <v>43657</v>
      </c>
      <c r="Q146" s="162"/>
      <c r="R146" s="604" t="s">
        <v>5135</v>
      </c>
      <c r="S146" s="362" t="s">
        <v>4005</v>
      </c>
      <c r="T146" s="166">
        <v>560000000</v>
      </c>
      <c r="U146" s="165">
        <v>43909</v>
      </c>
    </row>
    <row r="147" spans="1:21" x14ac:dyDescent="0.25">
      <c r="A147" s="373">
        <v>142</v>
      </c>
      <c r="B147" s="373" t="s">
        <v>2647</v>
      </c>
      <c r="C147" s="379" t="s">
        <v>2646</v>
      </c>
      <c r="D147" s="374">
        <v>6455470</v>
      </c>
      <c r="E147" s="393">
        <v>43649</v>
      </c>
      <c r="I147" s="373"/>
      <c r="J147" s="373" t="s">
        <v>2645</v>
      </c>
      <c r="K147" s="373" t="s">
        <v>2644</v>
      </c>
      <c r="L147" s="374">
        <v>6264750</v>
      </c>
      <c r="M147" s="375">
        <v>43657</v>
      </c>
      <c r="Q147" s="162"/>
      <c r="R147" s="604" t="s">
        <v>5136</v>
      </c>
      <c r="S147" s="362" t="s">
        <v>4005</v>
      </c>
      <c r="T147" s="166">
        <v>35000000</v>
      </c>
      <c r="U147" s="165">
        <v>43910</v>
      </c>
    </row>
    <row r="148" spans="1:21" x14ac:dyDescent="0.25">
      <c r="A148" s="373">
        <v>143</v>
      </c>
      <c r="B148" s="373" t="s">
        <v>2643</v>
      </c>
      <c r="C148" s="373" t="s">
        <v>2642</v>
      </c>
      <c r="D148" s="374">
        <v>97130000</v>
      </c>
      <c r="E148" s="393">
        <v>43649</v>
      </c>
      <c r="I148" s="373"/>
      <c r="J148" s="373" t="s">
        <v>2641</v>
      </c>
      <c r="K148" s="373" t="s">
        <v>2638</v>
      </c>
      <c r="L148" s="374">
        <v>4390500</v>
      </c>
      <c r="M148" s="375">
        <v>43657</v>
      </c>
      <c r="Q148" s="162"/>
      <c r="R148" s="604" t="s">
        <v>5137</v>
      </c>
      <c r="S148" s="362" t="s">
        <v>4005</v>
      </c>
      <c r="T148" s="166">
        <v>500000000</v>
      </c>
      <c r="U148" s="165">
        <v>43913</v>
      </c>
    </row>
    <row r="149" spans="1:21" x14ac:dyDescent="0.25">
      <c r="A149" s="373">
        <v>144</v>
      </c>
      <c r="B149" s="373" t="s">
        <v>2640</v>
      </c>
      <c r="C149" s="379" t="s">
        <v>702</v>
      </c>
      <c r="D149" s="374">
        <v>601388469</v>
      </c>
      <c r="E149" s="393">
        <v>43649</v>
      </c>
      <c r="I149" s="373"/>
      <c r="J149" s="373" t="s">
        <v>2639</v>
      </c>
      <c r="K149" s="373" t="s">
        <v>2638</v>
      </c>
      <c r="L149" s="374">
        <v>13248660</v>
      </c>
      <c r="M149" s="375">
        <v>43657</v>
      </c>
      <c r="Q149" s="162"/>
      <c r="R149" s="604" t="s">
        <v>5138</v>
      </c>
      <c r="S149" s="362" t="s">
        <v>4005</v>
      </c>
      <c r="T149" s="166">
        <v>175000000</v>
      </c>
      <c r="U149" s="165">
        <v>43913</v>
      </c>
    </row>
    <row r="150" spans="1:21" x14ac:dyDescent="0.25">
      <c r="A150" s="373">
        <v>145</v>
      </c>
      <c r="B150" s="373" t="s">
        <v>2637</v>
      </c>
      <c r="C150" s="373" t="s">
        <v>322</v>
      </c>
      <c r="D150" s="374"/>
      <c r="E150" s="393">
        <v>43649</v>
      </c>
      <c r="I150" s="373"/>
      <c r="J150" s="373" t="s">
        <v>2636</v>
      </c>
      <c r="K150" s="373" t="s">
        <v>2635</v>
      </c>
      <c r="L150" s="374">
        <v>4444400</v>
      </c>
      <c r="M150" s="375">
        <v>43657</v>
      </c>
      <c r="Q150" s="162"/>
      <c r="R150" s="604" t="s">
        <v>5139</v>
      </c>
      <c r="S150" s="362" t="s">
        <v>4005</v>
      </c>
      <c r="T150" s="166">
        <v>195000000</v>
      </c>
      <c r="U150" s="165">
        <v>43914</v>
      </c>
    </row>
    <row r="151" spans="1:21" x14ac:dyDescent="0.25">
      <c r="A151" s="373">
        <v>146</v>
      </c>
      <c r="B151" s="373" t="s">
        <v>2634</v>
      </c>
      <c r="C151" s="373" t="s">
        <v>543</v>
      </c>
      <c r="D151" s="374">
        <v>951965846</v>
      </c>
      <c r="E151" s="393">
        <v>43649</v>
      </c>
      <c r="I151" s="373"/>
      <c r="J151" s="373" t="s">
        <v>2633</v>
      </c>
      <c r="K151" s="373" t="s">
        <v>2632</v>
      </c>
      <c r="L151" s="374">
        <v>83794800</v>
      </c>
      <c r="M151" s="375">
        <v>43657</v>
      </c>
      <c r="Q151" s="162"/>
      <c r="R151" s="604" t="s">
        <v>5140</v>
      </c>
      <c r="S151" s="362" t="s">
        <v>4005</v>
      </c>
      <c r="T151" s="166">
        <v>110000000</v>
      </c>
      <c r="U151" s="165">
        <v>43916</v>
      </c>
    </row>
    <row r="152" spans="1:21" x14ac:dyDescent="0.25">
      <c r="A152" s="373">
        <v>147</v>
      </c>
      <c r="B152" s="373" t="s">
        <v>2631</v>
      </c>
      <c r="C152" s="373" t="s">
        <v>1845</v>
      </c>
      <c r="D152" s="374">
        <v>871872798</v>
      </c>
      <c r="E152" s="393">
        <v>43649</v>
      </c>
      <c r="I152" s="373"/>
      <c r="J152" s="373" t="s">
        <v>2630</v>
      </c>
      <c r="K152" s="373" t="s">
        <v>2629</v>
      </c>
      <c r="L152" s="374">
        <v>4598750</v>
      </c>
      <c r="M152" s="375">
        <v>43657</v>
      </c>
      <c r="Q152" s="162"/>
      <c r="R152" s="604" t="s">
        <v>5141</v>
      </c>
      <c r="S152" s="362" t="s">
        <v>4005</v>
      </c>
      <c r="T152" s="166">
        <v>15000000</v>
      </c>
      <c r="U152" s="165">
        <v>43917</v>
      </c>
    </row>
    <row r="153" spans="1:21" x14ac:dyDescent="0.25">
      <c r="A153" s="373">
        <v>148</v>
      </c>
      <c r="B153" s="373" t="s">
        <v>2628</v>
      </c>
      <c r="C153" s="373" t="s">
        <v>2199</v>
      </c>
      <c r="D153" s="374">
        <v>875145187</v>
      </c>
      <c r="E153" s="393">
        <v>43650</v>
      </c>
      <c r="I153" s="373"/>
      <c r="J153" s="373" t="s">
        <v>2627</v>
      </c>
      <c r="K153" s="373" t="s">
        <v>2626</v>
      </c>
      <c r="L153" s="374">
        <v>1655000</v>
      </c>
      <c r="M153" s="375">
        <v>43657</v>
      </c>
      <c r="Q153" s="162"/>
      <c r="R153" s="604" t="s">
        <v>5142</v>
      </c>
      <c r="S153" s="362" t="s">
        <v>4005</v>
      </c>
      <c r="T153" s="166">
        <v>165000000</v>
      </c>
      <c r="U153" s="165">
        <v>43920</v>
      </c>
    </row>
    <row r="154" spans="1:21" x14ac:dyDescent="0.25">
      <c r="A154" s="373">
        <v>149</v>
      </c>
      <c r="B154" s="373" t="s">
        <v>2625</v>
      </c>
      <c r="C154" s="373" t="s">
        <v>2422</v>
      </c>
      <c r="D154" s="374">
        <v>2922034</v>
      </c>
      <c r="E154" s="393">
        <v>43650</v>
      </c>
      <c r="I154" s="373"/>
      <c r="J154" s="373" t="s">
        <v>2624</v>
      </c>
      <c r="K154" s="373" t="s">
        <v>1652</v>
      </c>
      <c r="L154" s="374">
        <v>39969000</v>
      </c>
      <c r="M154" s="375">
        <v>43657</v>
      </c>
      <c r="Q154" s="162"/>
      <c r="R154" s="604" t="s">
        <v>5143</v>
      </c>
      <c r="S154" s="362" t="s">
        <v>4005</v>
      </c>
      <c r="T154" s="166">
        <v>190000000</v>
      </c>
      <c r="U154" s="165">
        <v>43921</v>
      </c>
    </row>
    <row r="155" spans="1:21" x14ac:dyDescent="0.25">
      <c r="A155" s="373">
        <v>150</v>
      </c>
      <c r="B155" s="373" t="s">
        <v>2623</v>
      </c>
      <c r="C155" s="373" t="s">
        <v>322</v>
      </c>
      <c r="D155" s="374"/>
      <c r="E155" s="393"/>
      <c r="I155" s="373"/>
      <c r="J155" s="373" t="s">
        <v>2622</v>
      </c>
      <c r="K155" s="373" t="s">
        <v>2074</v>
      </c>
      <c r="L155" s="374">
        <v>7054995</v>
      </c>
      <c r="M155" s="375">
        <v>43657</v>
      </c>
      <c r="Q155" s="162"/>
      <c r="R155" s="604" t="s">
        <v>5144</v>
      </c>
      <c r="S155" s="604" t="s">
        <v>3853</v>
      </c>
      <c r="T155" s="166">
        <v>17070000</v>
      </c>
      <c r="U155" s="165">
        <v>43921</v>
      </c>
    </row>
    <row r="156" spans="1:21" x14ac:dyDescent="0.25">
      <c r="A156" s="373">
        <v>151</v>
      </c>
      <c r="B156" s="373" t="s">
        <v>2621</v>
      </c>
      <c r="C156" s="373" t="s">
        <v>2195</v>
      </c>
      <c r="D156" s="374">
        <v>56689273</v>
      </c>
      <c r="E156" s="393">
        <v>43650</v>
      </c>
      <c r="I156" s="373"/>
      <c r="J156" s="373" t="s">
        <v>2620</v>
      </c>
      <c r="K156" s="373" t="s">
        <v>2167</v>
      </c>
      <c r="L156" s="374">
        <v>31055200</v>
      </c>
      <c r="M156" s="375">
        <v>43661</v>
      </c>
      <c r="Q156" s="162"/>
      <c r="R156" s="604" t="s">
        <v>5145</v>
      </c>
      <c r="S156" s="362" t="s">
        <v>4005</v>
      </c>
      <c r="T156" s="166">
        <v>25000000</v>
      </c>
      <c r="U156" s="165">
        <v>43922</v>
      </c>
    </row>
    <row r="157" spans="1:21" x14ac:dyDescent="0.25">
      <c r="A157" s="373">
        <v>152</v>
      </c>
      <c r="B157" s="373" t="s">
        <v>2619</v>
      </c>
      <c r="C157" s="373" t="s">
        <v>2394</v>
      </c>
      <c r="D157" s="374">
        <v>16072853</v>
      </c>
      <c r="E157" s="393">
        <v>43650</v>
      </c>
      <c r="I157" s="373"/>
      <c r="J157" s="373" t="s">
        <v>2618</v>
      </c>
      <c r="K157" s="373" t="s">
        <v>2182</v>
      </c>
      <c r="L157" s="374">
        <v>8821922</v>
      </c>
      <c r="M157" s="375">
        <v>43661</v>
      </c>
      <c r="Q157" s="162"/>
      <c r="R157" s="604" t="s">
        <v>5146</v>
      </c>
      <c r="S157" s="362" t="s">
        <v>4005</v>
      </c>
      <c r="T157" s="166">
        <v>160000000</v>
      </c>
      <c r="U157" s="165">
        <v>43927</v>
      </c>
    </row>
    <row r="158" spans="1:21" x14ac:dyDescent="0.25">
      <c r="A158" s="373">
        <v>153</v>
      </c>
      <c r="B158" s="373" t="s">
        <v>2617</v>
      </c>
      <c r="C158" s="373" t="s">
        <v>2487</v>
      </c>
      <c r="D158" s="374">
        <v>895538111</v>
      </c>
      <c r="E158" s="393">
        <v>43651</v>
      </c>
      <c r="I158" s="373"/>
      <c r="J158" s="373" t="s">
        <v>2616</v>
      </c>
      <c r="K158" s="373" t="s">
        <v>2176</v>
      </c>
      <c r="L158" s="374">
        <v>14211324</v>
      </c>
      <c r="M158" s="375">
        <v>43661</v>
      </c>
      <c r="Q158" s="162"/>
      <c r="R158" s="604" t="s">
        <v>5147</v>
      </c>
      <c r="S158" s="362" t="s">
        <v>4005</v>
      </c>
      <c r="T158" s="166">
        <v>105000000</v>
      </c>
      <c r="U158" s="165">
        <v>43928</v>
      </c>
    </row>
    <row r="159" spans="1:21" x14ac:dyDescent="0.25">
      <c r="A159" s="373">
        <v>154</v>
      </c>
      <c r="B159" s="373" t="s">
        <v>2615</v>
      </c>
      <c r="C159" s="373" t="s">
        <v>543</v>
      </c>
      <c r="D159" s="374">
        <v>879957282</v>
      </c>
      <c r="E159" s="393">
        <v>43651</v>
      </c>
      <c r="I159" s="373"/>
      <c r="J159" s="373" t="s">
        <v>2614</v>
      </c>
      <c r="K159" s="373" t="s">
        <v>2179</v>
      </c>
      <c r="L159" s="374">
        <v>19587050</v>
      </c>
      <c r="M159" s="375">
        <v>43661</v>
      </c>
      <c r="Q159" s="162"/>
      <c r="R159" s="604" t="s">
        <v>5148</v>
      </c>
      <c r="S159" s="362" t="s">
        <v>4005</v>
      </c>
      <c r="T159" s="166">
        <v>15000000</v>
      </c>
      <c r="U159" s="165">
        <v>43929</v>
      </c>
    </row>
    <row r="160" spans="1:21" x14ac:dyDescent="0.25">
      <c r="A160" s="373">
        <v>155</v>
      </c>
      <c r="B160" s="373" t="s">
        <v>2613</v>
      </c>
      <c r="C160" s="373" t="s">
        <v>623</v>
      </c>
      <c r="D160" s="374">
        <v>849153728</v>
      </c>
      <c r="E160" s="393">
        <v>43651</v>
      </c>
      <c r="I160" s="373"/>
      <c r="J160" s="373" t="s">
        <v>2612</v>
      </c>
      <c r="K160" s="373" t="s">
        <v>2173</v>
      </c>
      <c r="L160" s="374">
        <v>13330457</v>
      </c>
      <c r="M160" s="375">
        <v>43661</v>
      </c>
      <c r="Q160" s="162"/>
      <c r="R160" s="384" t="s">
        <v>5031</v>
      </c>
      <c r="S160" s="362" t="s">
        <v>4005</v>
      </c>
      <c r="T160" s="374">
        <v>70000000</v>
      </c>
      <c r="U160" s="375">
        <v>43930</v>
      </c>
    </row>
    <row r="161" spans="1:21" x14ac:dyDescent="0.25">
      <c r="A161" s="373">
        <v>156</v>
      </c>
      <c r="B161" s="373" t="s">
        <v>2611</v>
      </c>
      <c r="C161" s="373" t="s">
        <v>1198</v>
      </c>
      <c r="D161" s="374">
        <v>1221918040</v>
      </c>
      <c r="E161" s="393">
        <v>43651</v>
      </c>
      <c r="I161" s="373"/>
      <c r="J161" s="373" t="s">
        <v>2610</v>
      </c>
      <c r="K161" s="373" t="s">
        <v>2170</v>
      </c>
      <c r="L161" s="374">
        <v>6923619</v>
      </c>
      <c r="M161" s="375">
        <v>43661</v>
      </c>
      <c r="Q161" s="162"/>
      <c r="R161" s="384" t="s">
        <v>5032</v>
      </c>
      <c r="S161" s="362" t="s">
        <v>4005</v>
      </c>
      <c r="T161" s="374">
        <v>197000000</v>
      </c>
      <c r="U161" s="375">
        <v>43934</v>
      </c>
    </row>
    <row r="162" spans="1:21" x14ac:dyDescent="0.25">
      <c r="A162" s="373">
        <v>157</v>
      </c>
      <c r="B162" s="373" t="s">
        <v>2609</v>
      </c>
      <c r="C162" s="373" t="s">
        <v>2422</v>
      </c>
      <c r="D162" s="374">
        <v>4175369</v>
      </c>
      <c r="E162" s="393">
        <v>43654</v>
      </c>
      <c r="I162" s="373"/>
      <c r="J162" s="373" t="s">
        <v>2608</v>
      </c>
      <c r="K162" s="373" t="s">
        <v>388</v>
      </c>
      <c r="L162" s="374"/>
      <c r="M162" s="375"/>
      <c r="Q162" s="162"/>
      <c r="R162" s="384" t="s">
        <v>5033</v>
      </c>
      <c r="S162" s="362" t="s">
        <v>4005</v>
      </c>
      <c r="T162" s="374">
        <v>165000000</v>
      </c>
      <c r="U162" s="375">
        <v>43935</v>
      </c>
    </row>
    <row r="163" spans="1:21" x14ac:dyDescent="0.25">
      <c r="A163" s="373">
        <v>158</v>
      </c>
      <c r="B163" s="373" t="s">
        <v>2607</v>
      </c>
      <c r="C163" s="373" t="s">
        <v>1198</v>
      </c>
      <c r="D163" s="374">
        <v>1064276582</v>
      </c>
      <c r="E163" s="393">
        <v>43654</v>
      </c>
      <c r="I163" s="373"/>
      <c r="J163" s="373" t="s">
        <v>2606</v>
      </c>
      <c r="K163" s="373" t="s">
        <v>964</v>
      </c>
      <c r="L163" s="374">
        <v>17503818</v>
      </c>
      <c r="M163" s="375">
        <v>43661</v>
      </c>
      <c r="Q163" s="162"/>
      <c r="R163" s="384" t="s">
        <v>5034</v>
      </c>
      <c r="S163" s="362" t="s">
        <v>4005</v>
      </c>
      <c r="T163" s="374">
        <v>27000000</v>
      </c>
      <c r="U163" s="375">
        <v>43937</v>
      </c>
    </row>
    <row r="164" spans="1:21" x14ac:dyDescent="0.25">
      <c r="A164" s="373">
        <v>159</v>
      </c>
      <c r="B164" s="373" t="s">
        <v>2605</v>
      </c>
      <c r="C164" s="373" t="s">
        <v>248</v>
      </c>
      <c r="D164" s="374">
        <v>425601000</v>
      </c>
      <c r="E164" s="393">
        <v>43654</v>
      </c>
      <c r="I164" s="373"/>
      <c r="J164" s="373" t="s">
        <v>2604</v>
      </c>
      <c r="K164" s="373" t="s">
        <v>2603</v>
      </c>
      <c r="L164" s="374">
        <v>1542048</v>
      </c>
      <c r="M164" s="375">
        <v>43661</v>
      </c>
      <c r="Q164" s="162"/>
      <c r="R164" s="384" t="s">
        <v>5035</v>
      </c>
      <c r="S164" s="362" t="s">
        <v>4005</v>
      </c>
      <c r="T164" s="374">
        <v>32000000</v>
      </c>
      <c r="U164" s="375">
        <v>43938</v>
      </c>
    </row>
    <row r="165" spans="1:21" x14ac:dyDescent="0.25">
      <c r="A165" s="373">
        <v>160</v>
      </c>
      <c r="B165" s="373" t="s">
        <v>2602</v>
      </c>
      <c r="C165" s="373" t="s">
        <v>283</v>
      </c>
      <c r="D165" s="374">
        <v>193305000</v>
      </c>
      <c r="E165" s="393">
        <v>43654</v>
      </c>
      <c r="I165" s="373"/>
      <c r="J165" s="373" t="s">
        <v>2601</v>
      </c>
      <c r="K165" s="373" t="s">
        <v>1985</v>
      </c>
      <c r="L165" s="374">
        <v>2500000</v>
      </c>
      <c r="M165" s="375">
        <v>43661</v>
      </c>
      <c r="Q165" s="162"/>
      <c r="R165" s="384" t="s">
        <v>5036</v>
      </c>
      <c r="S165" s="362" t="s">
        <v>4005</v>
      </c>
      <c r="T165" s="374">
        <v>155000000</v>
      </c>
      <c r="U165" s="375">
        <v>43941</v>
      </c>
    </row>
    <row r="166" spans="1:21" x14ac:dyDescent="0.25">
      <c r="A166" s="373">
        <v>161</v>
      </c>
      <c r="B166" s="373" t="s">
        <v>2600</v>
      </c>
      <c r="C166" s="373" t="s">
        <v>331</v>
      </c>
      <c r="D166" s="374">
        <v>514560500</v>
      </c>
      <c r="E166" s="393">
        <v>43654</v>
      </c>
      <c r="I166" s="373"/>
      <c r="J166" s="373" t="s">
        <v>2599</v>
      </c>
      <c r="K166" s="373" t="s">
        <v>2598</v>
      </c>
      <c r="L166" s="374">
        <v>12910250</v>
      </c>
      <c r="M166" s="375">
        <v>43662</v>
      </c>
      <c r="Q166" s="162"/>
      <c r="R166" s="384" t="s">
        <v>5037</v>
      </c>
      <c r="S166" s="362" t="s">
        <v>4005</v>
      </c>
      <c r="T166" s="374">
        <v>200000000</v>
      </c>
      <c r="U166" s="375">
        <v>43942</v>
      </c>
    </row>
    <row r="167" spans="1:21" x14ac:dyDescent="0.25">
      <c r="A167" s="373">
        <v>162</v>
      </c>
      <c r="B167" s="373" t="s">
        <v>2597</v>
      </c>
      <c r="C167" s="373" t="s">
        <v>623</v>
      </c>
      <c r="D167" s="374">
        <v>981680839</v>
      </c>
      <c r="E167" s="393">
        <v>43654</v>
      </c>
      <c r="I167" s="373"/>
      <c r="J167" s="373" t="s">
        <v>2596</v>
      </c>
      <c r="K167" s="373" t="s">
        <v>2156</v>
      </c>
      <c r="L167" s="374">
        <v>5364989</v>
      </c>
      <c r="M167" s="375">
        <v>43662</v>
      </c>
      <c r="Q167" s="162"/>
      <c r="R167" s="384" t="s">
        <v>5038</v>
      </c>
      <c r="S167" s="362" t="s">
        <v>4005</v>
      </c>
      <c r="T167" s="374">
        <v>30000000</v>
      </c>
      <c r="U167" s="375">
        <v>43943</v>
      </c>
    </row>
    <row r="168" spans="1:21" x14ac:dyDescent="0.25">
      <c r="A168" s="373">
        <v>163</v>
      </c>
      <c r="B168" s="373" t="s">
        <v>2595</v>
      </c>
      <c r="C168" s="373" t="s">
        <v>709</v>
      </c>
      <c r="D168" s="374">
        <v>238085330</v>
      </c>
      <c r="E168" s="393">
        <v>43654</v>
      </c>
      <c r="I168" s="373"/>
      <c r="J168" s="373" t="s">
        <v>2594</v>
      </c>
      <c r="K168" s="373" t="s">
        <v>2150</v>
      </c>
      <c r="L168" s="374"/>
      <c r="M168" s="375">
        <v>43662</v>
      </c>
      <c r="Q168" s="162"/>
      <c r="R168" s="384" t="s">
        <v>5039</v>
      </c>
      <c r="S168" s="362" t="s">
        <v>4005</v>
      </c>
      <c r="T168" s="374">
        <v>5000000</v>
      </c>
      <c r="U168" s="375">
        <v>43944</v>
      </c>
    </row>
    <row r="169" spans="1:21" x14ac:dyDescent="0.25">
      <c r="A169" s="373">
        <v>164</v>
      </c>
      <c r="B169" s="373" t="s">
        <v>2593</v>
      </c>
      <c r="C169" s="373" t="s">
        <v>322</v>
      </c>
      <c r="D169" s="374"/>
      <c r="E169" s="393">
        <v>43654</v>
      </c>
      <c r="I169" s="373"/>
      <c r="J169" s="373" t="s">
        <v>2592</v>
      </c>
      <c r="K169" s="373" t="s">
        <v>2162</v>
      </c>
      <c r="L169" s="374"/>
      <c r="M169" s="375">
        <v>43662</v>
      </c>
      <c r="Q169" s="162"/>
      <c r="R169" s="384" t="s">
        <v>5040</v>
      </c>
      <c r="S169" s="362" t="s">
        <v>388</v>
      </c>
      <c r="T169" s="374"/>
      <c r="U169" s="375"/>
    </row>
    <row r="170" spans="1:21" x14ac:dyDescent="0.25">
      <c r="A170" s="373">
        <v>165</v>
      </c>
      <c r="B170" s="373" t="s">
        <v>2591</v>
      </c>
      <c r="C170" s="373" t="s">
        <v>2199</v>
      </c>
      <c r="D170" s="374">
        <v>1072415598</v>
      </c>
      <c r="E170" s="393">
        <v>43654</v>
      </c>
      <c r="I170" s="373"/>
      <c r="J170" s="373" t="s">
        <v>2590</v>
      </c>
      <c r="K170" s="373" t="s">
        <v>1019</v>
      </c>
      <c r="L170" s="374"/>
      <c r="M170" s="375">
        <v>43662</v>
      </c>
      <c r="Q170" s="162"/>
      <c r="R170" s="384" t="s">
        <v>5041</v>
      </c>
      <c r="S170" s="362" t="s">
        <v>4005</v>
      </c>
      <c r="T170" s="374">
        <v>30000000</v>
      </c>
      <c r="U170" s="375">
        <v>43945</v>
      </c>
    </row>
    <row r="171" spans="1:21" x14ac:dyDescent="0.25">
      <c r="A171" s="373">
        <v>166</v>
      </c>
      <c r="B171" s="373" t="s">
        <v>2589</v>
      </c>
      <c r="C171" s="373" t="s">
        <v>2487</v>
      </c>
      <c r="D171" s="374">
        <v>1293699345</v>
      </c>
      <c r="E171" s="393">
        <v>43654</v>
      </c>
      <c r="I171" s="373"/>
      <c r="J171" s="373" t="s">
        <v>2588</v>
      </c>
      <c r="K171" s="373" t="s">
        <v>1025</v>
      </c>
      <c r="L171" s="374"/>
      <c r="M171" s="375">
        <v>43662</v>
      </c>
      <c r="Q171" s="162"/>
      <c r="R171" s="384" t="s">
        <v>5042</v>
      </c>
      <c r="S171" s="362" t="s">
        <v>4005</v>
      </c>
      <c r="T171" s="374">
        <v>120000000</v>
      </c>
      <c r="U171" s="603">
        <v>43948</v>
      </c>
    </row>
    <row r="172" spans="1:21" x14ac:dyDescent="0.25">
      <c r="A172" s="373">
        <v>167</v>
      </c>
      <c r="B172" s="373" t="s">
        <v>2587</v>
      </c>
      <c r="C172" s="373" t="s">
        <v>1845</v>
      </c>
      <c r="D172" s="374">
        <v>519195784</v>
      </c>
      <c r="E172" s="393">
        <v>43654</v>
      </c>
      <c r="I172" s="373"/>
      <c r="J172" s="373" t="s">
        <v>2586</v>
      </c>
      <c r="K172" s="373" t="s">
        <v>2159</v>
      </c>
      <c r="L172" s="374">
        <v>29391811</v>
      </c>
      <c r="M172" s="375">
        <v>43662</v>
      </c>
      <c r="Q172" s="162"/>
      <c r="R172" s="384" t="s">
        <v>5043</v>
      </c>
      <c r="S172" s="362" t="s">
        <v>4005</v>
      </c>
      <c r="T172" s="374">
        <v>273000000</v>
      </c>
      <c r="U172" s="375">
        <v>43949</v>
      </c>
    </row>
    <row r="173" spans="1:21" x14ac:dyDescent="0.25">
      <c r="A173" s="373">
        <v>168</v>
      </c>
      <c r="B173" s="373" t="s">
        <v>2585</v>
      </c>
      <c r="C173" s="373" t="s">
        <v>276</v>
      </c>
      <c r="D173" s="374">
        <v>1535126011</v>
      </c>
      <c r="E173" s="393">
        <v>43654</v>
      </c>
      <c r="I173" s="373"/>
      <c r="J173" s="373" t="s">
        <v>2584</v>
      </c>
      <c r="K173" s="373" t="s">
        <v>2147</v>
      </c>
      <c r="L173" s="374">
        <v>25958676</v>
      </c>
      <c r="M173" s="375">
        <v>43662</v>
      </c>
      <c r="Q173" s="162"/>
      <c r="R173" s="384" t="s">
        <v>5044</v>
      </c>
      <c r="S173" s="384" t="s">
        <v>3853</v>
      </c>
      <c r="T173" s="374">
        <v>17070000</v>
      </c>
      <c r="U173" s="375">
        <v>43951</v>
      </c>
    </row>
    <row r="174" spans="1:21" x14ac:dyDescent="0.25">
      <c r="A174" s="373">
        <v>169</v>
      </c>
      <c r="B174" s="373" t="s">
        <v>2583</v>
      </c>
      <c r="C174" s="373" t="s">
        <v>1198</v>
      </c>
      <c r="D174" s="374">
        <v>1235428660</v>
      </c>
      <c r="E174" s="393">
        <v>43654</v>
      </c>
      <c r="I174" s="373"/>
      <c r="J174" s="373" t="s">
        <v>2582</v>
      </c>
      <c r="K174" s="373" t="s">
        <v>388</v>
      </c>
      <c r="L174" s="374"/>
      <c r="M174" s="375">
        <v>43662</v>
      </c>
      <c r="Q174" s="162"/>
      <c r="R174" s="384" t="s">
        <v>5045</v>
      </c>
      <c r="S174" s="362" t="s">
        <v>4005</v>
      </c>
      <c r="T174" s="374">
        <v>8000000</v>
      </c>
      <c r="U174" s="375">
        <v>43951</v>
      </c>
    </row>
    <row r="175" spans="1:21" x14ac:dyDescent="0.25">
      <c r="A175" s="373">
        <v>170</v>
      </c>
      <c r="B175" s="373" t="s">
        <v>2581</v>
      </c>
      <c r="C175" s="373" t="s">
        <v>1845</v>
      </c>
      <c r="D175" s="374">
        <v>1830318644</v>
      </c>
      <c r="E175" s="393">
        <v>43654</v>
      </c>
      <c r="I175" s="373"/>
      <c r="J175" s="373" t="s">
        <v>2580</v>
      </c>
      <c r="K175" s="373" t="s">
        <v>2167</v>
      </c>
      <c r="L175" s="374">
        <v>17722703</v>
      </c>
      <c r="M175" s="375">
        <v>43662</v>
      </c>
      <c r="Q175" s="162"/>
      <c r="R175" s="384" t="s">
        <v>5046</v>
      </c>
      <c r="S175" s="362" t="s">
        <v>4005</v>
      </c>
      <c r="T175" s="374">
        <v>105000000</v>
      </c>
      <c r="U175" s="375">
        <v>43955</v>
      </c>
    </row>
    <row r="176" spans="1:21" x14ac:dyDescent="0.25">
      <c r="A176" s="373">
        <v>171</v>
      </c>
      <c r="B176" s="373" t="s">
        <v>2579</v>
      </c>
      <c r="C176" s="373" t="s">
        <v>431</v>
      </c>
      <c r="D176" s="374">
        <v>133482335</v>
      </c>
      <c r="E176" s="393">
        <v>43654</v>
      </c>
      <c r="I176" s="373"/>
      <c r="J176" s="373" t="s">
        <v>2578</v>
      </c>
      <c r="K176" s="373" t="s">
        <v>2577</v>
      </c>
      <c r="L176" s="374">
        <v>2770850</v>
      </c>
      <c r="M176" s="375">
        <v>43663</v>
      </c>
      <c r="Q176" s="162"/>
      <c r="R176" s="384" t="s">
        <v>5047</v>
      </c>
      <c r="S176" s="362" t="s">
        <v>4005</v>
      </c>
      <c r="T176" s="374">
        <v>126000000</v>
      </c>
      <c r="U176" s="375">
        <v>43956</v>
      </c>
    </row>
    <row r="177" spans="1:21" x14ac:dyDescent="0.25">
      <c r="A177" s="373">
        <v>172</v>
      </c>
      <c r="B177" s="373" t="s">
        <v>2576</v>
      </c>
      <c r="C177" s="373" t="s">
        <v>322</v>
      </c>
      <c r="D177" s="374"/>
      <c r="E177" s="393">
        <v>43654</v>
      </c>
      <c r="I177" s="373"/>
      <c r="J177" s="373" t="s">
        <v>2575</v>
      </c>
      <c r="K177" s="373" t="s">
        <v>1707</v>
      </c>
      <c r="L177" s="374">
        <v>4204999</v>
      </c>
      <c r="M177" s="375">
        <v>43663</v>
      </c>
      <c r="Q177" s="162"/>
      <c r="R177" s="384" t="s">
        <v>5048</v>
      </c>
      <c r="S177" s="362" t="s">
        <v>4005</v>
      </c>
      <c r="T177" s="374">
        <v>43000000</v>
      </c>
      <c r="U177" s="375">
        <v>43957</v>
      </c>
    </row>
    <row r="178" spans="1:21" x14ac:dyDescent="0.25">
      <c r="A178" s="373">
        <v>173</v>
      </c>
      <c r="B178" s="373" t="s">
        <v>2574</v>
      </c>
      <c r="C178" s="373" t="s">
        <v>702</v>
      </c>
      <c r="D178" s="374">
        <v>485928743</v>
      </c>
      <c r="E178" s="393">
        <v>43655</v>
      </c>
      <c r="I178" s="373"/>
      <c r="J178" s="373" t="s">
        <v>2573</v>
      </c>
      <c r="K178" s="373" t="s">
        <v>2572</v>
      </c>
      <c r="L178" s="374">
        <v>27404492</v>
      </c>
      <c r="M178" s="375">
        <v>43665</v>
      </c>
      <c r="Q178" s="162"/>
      <c r="R178" s="384" t="s">
        <v>5049</v>
      </c>
      <c r="S178" s="384" t="s">
        <v>388</v>
      </c>
      <c r="T178" s="374"/>
      <c r="U178" s="373"/>
    </row>
    <row r="179" spans="1:21" x14ac:dyDescent="0.25">
      <c r="A179" s="373">
        <v>174</v>
      </c>
      <c r="B179" s="373" t="s">
        <v>2571</v>
      </c>
      <c r="C179" s="373" t="s">
        <v>322</v>
      </c>
      <c r="D179" s="374"/>
      <c r="E179" s="393">
        <v>43655</v>
      </c>
      <c r="I179" s="373"/>
      <c r="J179" s="373" t="s">
        <v>2570</v>
      </c>
      <c r="K179" s="373" t="s">
        <v>388</v>
      </c>
      <c r="L179" s="374"/>
      <c r="M179" s="375">
        <v>43665</v>
      </c>
      <c r="Q179" s="162"/>
      <c r="R179" s="384" t="s">
        <v>5050</v>
      </c>
      <c r="S179" s="362" t="s">
        <v>4005</v>
      </c>
      <c r="T179" s="374">
        <v>75000000</v>
      </c>
      <c r="U179" s="375">
        <v>43959</v>
      </c>
    </row>
    <row r="180" spans="1:21" x14ac:dyDescent="0.25">
      <c r="A180" s="373">
        <v>175</v>
      </c>
      <c r="B180" s="373" t="s">
        <v>2569</v>
      </c>
      <c r="C180" s="373" t="s">
        <v>1374</v>
      </c>
      <c r="D180" s="374">
        <v>560011764</v>
      </c>
      <c r="E180" s="393">
        <v>43655</v>
      </c>
      <c r="I180" s="373"/>
      <c r="J180" s="373" t="s">
        <v>2568</v>
      </c>
      <c r="K180" s="373" t="s">
        <v>2567</v>
      </c>
      <c r="L180" s="374">
        <v>2690539</v>
      </c>
      <c r="M180" s="375">
        <v>43665</v>
      </c>
      <c r="Q180" s="162"/>
      <c r="R180" s="384" t="s">
        <v>5051</v>
      </c>
      <c r="S180" s="362" t="s">
        <v>4005</v>
      </c>
      <c r="T180" s="374">
        <v>65000000</v>
      </c>
      <c r="U180" s="375">
        <v>43962</v>
      </c>
    </row>
    <row r="181" spans="1:21" x14ac:dyDescent="0.25">
      <c r="A181" s="373">
        <v>176</v>
      </c>
      <c r="B181" s="373" t="s">
        <v>2566</v>
      </c>
      <c r="C181" s="373" t="s">
        <v>2203</v>
      </c>
      <c r="D181" s="374">
        <v>92179893</v>
      </c>
      <c r="E181" s="393">
        <v>43656</v>
      </c>
      <c r="I181" s="373"/>
      <c r="J181" s="373" t="s">
        <v>2565</v>
      </c>
      <c r="K181" s="373" t="s">
        <v>2564</v>
      </c>
      <c r="L181" s="374">
        <v>3789229</v>
      </c>
      <c r="M181" s="375">
        <v>43665</v>
      </c>
      <c r="Q181" s="162"/>
      <c r="R181" s="384" t="s">
        <v>5052</v>
      </c>
      <c r="S181" s="362" t="s">
        <v>4005</v>
      </c>
      <c r="T181" s="374">
        <v>106000000</v>
      </c>
      <c r="U181" s="375">
        <v>43963</v>
      </c>
    </row>
    <row r="182" spans="1:21" x14ac:dyDescent="0.25">
      <c r="A182" s="373">
        <v>177</v>
      </c>
      <c r="B182" s="373" t="s">
        <v>2563</v>
      </c>
      <c r="C182" s="373" t="s">
        <v>2195</v>
      </c>
      <c r="D182" s="374">
        <v>98229574</v>
      </c>
      <c r="E182" s="393">
        <v>43656</v>
      </c>
      <c r="I182" s="373"/>
      <c r="J182" s="373" t="s">
        <v>2562</v>
      </c>
      <c r="K182" s="373" t="s">
        <v>2561</v>
      </c>
      <c r="L182" s="374">
        <v>32897971</v>
      </c>
      <c r="M182" s="375">
        <v>43665</v>
      </c>
      <c r="Q182" s="162"/>
      <c r="R182" s="384" t="s">
        <v>5053</v>
      </c>
      <c r="S182" s="362" t="s">
        <v>4005</v>
      </c>
      <c r="T182" s="374">
        <v>35000000</v>
      </c>
      <c r="U182" s="375">
        <v>43964</v>
      </c>
    </row>
    <row r="183" spans="1:21" x14ac:dyDescent="0.25">
      <c r="A183" s="373">
        <v>178</v>
      </c>
      <c r="B183" s="373" t="s">
        <v>2560</v>
      </c>
      <c r="C183" s="373" t="s">
        <v>1081</v>
      </c>
      <c r="D183" s="374">
        <v>27302667</v>
      </c>
      <c r="E183" s="393">
        <v>43656</v>
      </c>
      <c r="I183" s="373"/>
      <c r="J183" s="373" t="s">
        <v>2559</v>
      </c>
      <c r="K183" s="373" t="s">
        <v>2558</v>
      </c>
      <c r="L183" s="374">
        <v>7330396</v>
      </c>
      <c r="M183" s="375">
        <v>43665</v>
      </c>
      <c r="Q183" s="162"/>
      <c r="R183" s="384" t="s">
        <v>5054</v>
      </c>
      <c r="S183" s="362" t="s">
        <v>4005</v>
      </c>
      <c r="T183" s="374">
        <v>32000000</v>
      </c>
      <c r="U183" s="375">
        <v>43966</v>
      </c>
    </row>
    <row r="184" spans="1:21" x14ac:dyDescent="0.25">
      <c r="A184" s="373">
        <v>179</v>
      </c>
      <c r="B184" s="373" t="s">
        <v>2557</v>
      </c>
      <c r="C184" s="373" t="s">
        <v>1845</v>
      </c>
      <c r="D184" s="374">
        <v>704623515</v>
      </c>
      <c r="E184" s="393">
        <v>43656</v>
      </c>
      <c r="I184" s="373"/>
      <c r="J184" s="373" t="s">
        <v>2556</v>
      </c>
      <c r="K184" s="373" t="s">
        <v>2555</v>
      </c>
      <c r="L184" s="374"/>
      <c r="M184" s="375">
        <v>43665</v>
      </c>
      <c r="Q184" s="162"/>
      <c r="R184" s="384" t="s">
        <v>5055</v>
      </c>
      <c r="S184" s="362" t="s">
        <v>4005</v>
      </c>
      <c r="T184" s="374">
        <v>241000000</v>
      </c>
      <c r="U184" s="375">
        <v>43969</v>
      </c>
    </row>
    <row r="185" spans="1:21" x14ac:dyDescent="0.25">
      <c r="A185" s="373">
        <v>180</v>
      </c>
      <c r="B185" s="373" t="s">
        <v>2554</v>
      </c>
      <c r="C185" s="373" t="s">
        <v>417</v>
      </c>
      <c r="D185" s="374">
        <v>997204708</v>
      </c>
      <c r="E185" s="393">
        <v>43656</v>
      </c>
      <c r="I185" s="373"/>
      <c r="J185" s="373" t="s">
        <v>2553</v>
      </c>
      <c r="K185" s="373" t="s">
        <v>2552</v>
      </c>
      <c r="L185" s="374"/>
      <c r="M185" s="375">
        <v>43665</v>
      </c>
      <c r="Q185" s="162"/>
      <c r="R185" s="604" t="s">
        <v>5722</v>
      </c>
      <c r="S185" s="362" t="s">
        <v>4005</v>
      </c>
      <c r="T185" s="166">
        <v>870000000</v>
      </c>
      <c r="U185" s="165">
        <v>43970</v>
      </c>
    </row>
    <row r="186" spans="1:21" x14ac:dyDescent="0.25">
      <c r="A186" s="373">
        <v>181</v>
      </c>
      <c r="B186" s="373" t="s">
        <v>2551</v>
      </c>
      <c r="C186" s="373" t="s">
        <v>276</v>
      </c>
      <c r="D186" s="374">
        <v>164193925</v>
      </c>
      <c r="E186" s="393">
        <v>43656</v>
      </c>
      <c r="I186" s="373"/>
      <c r="J186" s="373" t="s">
        <v>2550</v>
      </c>
      <c r="K186" s="373" t="s">
        <v>2549</v>
      </c>
      <c r="L186" s="374">
        <v>30717428</v>
      </c>
      <c r="M186" s="375">
        <v>43665</v>
      </c>
      <c r="Q186" s="162"/>
      <c r="R186" s="604" t="s">
        <v>5723</v>
      </c>
      <c r="S186" s="362" t="s">
        <v>4005</v>
      </c>
      <c r="T186" s="166">
        <v>151000000</v>
      </c>
      <c r="U186" s="165">
        <v>43971</v>
      </c>
    </row>
    <row r="187" spans="1:21" x14ac:dyDescent="0.25">
      <c r="A187" s="373">
        <v>182</v>
      </c>
      <c r="B187" s="373" t="s">
        <v>2548</v>
      </c>
      <c r="C187" s="373" t="s">
        <v>2487</v>
      </c>
      <c r="D187" s="374">
        <v>21774406</v>
      </c>
      <c r="E187" s="393">
        <v>43656</v>
      </c>
      <c r="I187" s="373"/>
      <c r="J187" s="373" t="s">
        <v>2547</v>
      </c>
      <c r="K187" s="373" t="s">
        <v>2546</v>
      </c>
      <c r="L187" s="374">
        <v>27822453</v>
      </c>
      <c r="M187" s="375">
        <v>43665</v>
      </c>
      <c r="Q187" s="162"/>
      <c r="R187" s="604" t="s">
        <v>5724</v>
      </c>
      <c r="S187" s="362" t="s">
        <v>4005</v>
      </c>
      <c r="T187" s="166">
        <v>399000000</v>
      </c>
      <c r="U187" s="165">
        <v>43978</v>
      </c>
    </row>
    <row r="188" spans="1:21" x14ac:dyDescent="0.25">
      <c r="A188" s="373">
        <v>183</v>
      </c>
      <c r="B188" s="373" t="s">
        <v>2545</v>
      </c>
      <c r="C188" s="373" t="s">
        <v>543</v>
      </c>
      <c r="D188" s="374">
        <v>717797202</v>
      </c>
      <c r="E188" s="393">
        <v>43656</v>
      </c>
      <c r="I188" s="373"/>
      <c r="J188" s="373" t="s">
        <v>2544</v>
      </c>
      <c r="K188" s="373" t="s">
        <v>2543</v>
      </c>
      <c r="L188" s="374">
        <v>32268806</v>
      </c>
      <c r="M188" s="375">
        <v>43665</v>
      </c>
      <c r="Q188" s="162"/>
      <c r="R188" s="604" t="s">
        <v>5725</v>
      </c>
      <c r="S188" s="362" t="s">
        <v>4005</v>
      </c>
      <c r="T188" s="166">
        <v>11000000</v>
      </c>
      <c r="U188" s="165">
        <v>43979</v>
      </c>
    </row>
    <row r="189" spans="1:21" x14ac:dyDescent="0.25">
      <c r="A189" s="373">
        <v>184</v>
      </c>
      <c r="B189" s="373" t="s">
        <v>2542</v>
      </c>
      <c r="C189" s="373" t="s">
        <v>1198</v>
      </c>
      <c r="D189" s="374">
        <v>1067168953</v>
      </c>
      <c r="E189" s="393">
        <v>43658</v>
      </c>
      <c r="I189" s="373"/>
      <c r="J189" s="373" t="s">
        <v>2541</v>
      </c>
      <c r="K189" s="373" t="s">
        <v>2540</v>
      </c>
      <c r="L189" s="374">
        <v>28875724</v>
      </c>
      <c r="M189" s="375">
        <v>43665</v>
      </c>
      <c r="Q189" s="162"/>
      <c r="R189" s="604" t="s">
        <v>5726</v>
      </c>
      <c r="S189" s="384" t="s">
        <v>3853</v>
      </c>
      <c r="T189" s="166">
        <v>17070000</v>
      </c>
      <c r="U189" s="165">
        <v>43980</v>
      </c>
    </row>
    <row r="190" spans="1:21" x14ac:dyDescent="0.25">
      <c r="A190" s="373">
        <v>185</v>
      </c>
      <c r="B190" s="373" t="s">
        <v>2539</v>
      </c>
      <c r="C190" s="373" t="s">
        <v>498</v>
      </c>
      <c r="D190" s="374">
        <v>49681000</v>
      </c>
      <c r="E190" s="393">
        <v>43658</v>
      </c>
      <c r="I190" s="373"/>
      <c r="J190" s="373" t="s">
        <v>2538</v>
      </c>
      <c r="K190" s="373" t="s">
        <v>2537</v>
      </c>
      <c r="L190" s="374">
        <v>8456453</v>
      </c>
      <c r="M190" s="375">
        <v>43665</v>
      </c>
      <c r="Q190" s="162"/>
      <c r="R190" s="604" t="s">
        <v>5727</v>
      </c>
      <c r="S190" s="362" t="s">
        <v>4005</v>
      </c>
      <c r="T190" s="166">
        <v>215000000</v>
      </c>
      <c r="U190" s="165">
        <v>43984</v>
      </c>
    </row>
    <row r="191" spans="1:21" x14ac:dyDescent="0.25">
      <c r="A191" s="373">
        <v>186</v>
      </c>
      <c r="B191" s="373" t="s">
        <v>2536</v>
      </c>
      <c r="C191" s="373" t="s">
        <v>431</v>
      </c>
      <c r="D191" s="374">
        <v>144345609</v>
      </c>
      <c r="E191" s="393">
        <v>43661</v>
      </c>
      <c r="I191" s="373"/>
      <c r="J191" s="373" t="s">
        <v>2535</v>
      </c>
      <c r="K191" s="373" t="s">
        <v>2534</v>
      </c>
      <c r="L191" s="374">
        <v>10237021</v>
      </c>
      <c r="M191" s="375">
        <v>43665</v>
      </c>
      <c r="Q191" s="162"/>
      <c r="R191" s="604" t="s">
        <v>5728</v>
      </c>
      <c r="S191" s="362" t="s">
        <v>4005</v>
      </c>
      <c r="T191" s="166">
        <v>8000000</v>
      </c>
      <c r="U191" s="165">
        <v>43985</v>
      </c>
    </row>
    <row r="192" spans="1:21" x14ac:dyDescent="0.25">
      <c r="A192" s="373">
        <v>187</v>
      </c>
      <c r="B192" s="373" t="s">
        <v>2533</v>
      </c>
      <c r="C192" s="373" t="s">
        <v>702</v>
      </c>
      <c r="D192" s="374">
        <v>704307850</v>
      </c>
      <c r="E192" s="393">
        <v>43661</v>
      </c>
      <c r="I192" s="373"/>
      <c r="J192" s="373" t="s">
        <v>2532</v>
      </c>
      <c r="K192" s="373" t="s">
        <v>1025</v>
      </c>
      <c r="L192" s="374">
        <v>31438469</v>
      </c>
      <c r="M192" s="375">
        <v>43669</v>
      </c>
      <c r="Q192" s="162"/>
      <c r="R192" s="604" t="s">
        <v>5729</v>
      </c>
      <c r="S192" s="362" t="s">
        <v>4005</v>
      </c>
      <c r="T192" s="166">
        <v>72500000</v>
      </c>
      <c r="U192" s="165">
        <v>43986</v>
      </c>
    </row>
    <row r="193" spans="1:21" x14ac:dyDescent="0.25">
      <c r="A193" s="373">
        <v>188</v>
      </c>
      <c r="B193" s="373" t="s">
        <v>2531</v>
      </c>
      <c r="C193" s="373" t="s">
        <v>331</v>
      </c>
      <c r="D193" s="374">
        <v>261075615</v>
      </c>
      <c r="E193" s="393">
        <v>43661</v>
      </c>
      <c r="I193" s="373"/>
      <c r="J193" s="373" t="s">
        <v>2530</v>
      </c>
      <c r="K193" s="373" t="s">
        <v>2150</v>
      </c>
      <c r="L193" s="374">
        <v>4029540</v>
      </c>
      <c r="M193" s="375">
        <v>43669</v>
      </c>
      <c r="Q193" s="162"/>
      <c r="R193" s="604" t="s">
        <v>5730</v>
      </c>
      <c r="S193" s="362" t="s">
        <v>4005</v>
      </c>
      <c r="T193" s="166">
        <v>125000000</v>
      </c>
      <c r="U193" s="165">
        <v>43987</v>
      </c>
    </row>
    <row r="194" spans="1:21" x14ac:dyDescent="0.25">
      <c r="A194" s="373">
        <v>189</v>
      </c>
      <c r="B194" s="373" t="s">
        <v>2529</v>
      </c>
      <c r="C194" s="373" t="s">
        <v>543</v>
      </c>
      <c r="D194" s="374">
        <v>426384384</v>
      </c>
      <c r="E194" s="393">
        <v>43661</v>
      </c>
      <c r="I194" s="373"/>
      <c r="J194" s="373" t="s">
        <v>2528</v>
      </c>
      <c r="K194" s="373" t="s">
        <v>2162</v>
      </c>
      <c r="L194" s="374">
        <v>59073825</v>
      </c>
      <c r="M194" s="375">
        <v>43669</v>
      </c>
      <c r="Q194" s="162"/>
      <c r="R194" s="604" t="s">
        <v>5731</v>
      </c>
      <c r="S194" s="362" t="s">
        <v>4005</v>
      </c>
      <c r="T194" s="166">
        <v>174000000</v>
      </c>
      <c r="U194" s="165">
        <v>43990</v>
      </c>
    </row>
    <row r="195" spans="1:21" x14ac:dyDescent="0.25">
      <c r="A195" s="373">
        <v>190</v>
      </c>
      <c r="B195" s="373" t="s">
        <v>2527</v>
      </c>
      <c r="C195" s="373" t="s">
        <v>551</v>
      </c>
      <c r="D195" s="374">
        <v>156345800</v>
      </c>
      <c r="E195" s="393">
        <v>43661</v>
      </c>
      <c r="I195" s="373"/>
      <c r="J195" s="373" t="s">
        <v>2526</v>
      </c>
      <c r="K195" s="373" t="s">
        <v>2182</v>
      </c>
      <c r="L195" s="374">
        <v>9705840</v>
      </c>
      <c r="M195" s="375">
        <v>43668</v>
      </c>
      <c r="Q195" s="162"/>
      <c r="R195" s="604" t="s">
        <v>5732</v>
      </c>
      <c r="S195" s="362" t="s">
        <v>4005</v>
      </c>
      <c r="T195" s="166">
        <v>124000000</v>
      </c>
      <c r="U195" s="165">
        <v>43991</v>
      </c>
    </row>
    <row r="196" spans="1:21" x14ac:dyDescent="0.25">
      <c r="A196" s="373">
        <v>191</v>
      </c>
      <c r="B196" s="373" t="s">
        <v>2525</v>
      </c>
      <c r="C196" s="373" t="s">
        <v>302</v>
      </c>
      <c r="D196" s="374">
        <v>306217500</v>
      </c>
      <c r="E196" s="393">
        <v>43661</v>
      </c>
      <c r="I196" s="373"/>
      <c r="J196" s="373" t="s">
        <v>2524</v>
      </c>
      <c r="K196" s="373" t="s">
        <v>2159</v>
      </c>
      <c r="L196" s="374">
        <v>19046422</v>
      </c>
      <c r="M196" s="375">
        <v>43669</v>
      </c>
      <c r="Q196" s="162"/>
      <c r="R196" s="604" t="s">
        <v>5733</v>
      </c>
      <c r="S196" s="362" t="s">
        <v>4005</v>
      </c>
      <c r="T196" s="166">
        <v>71000000</v>
      </c>
      <c r="U196" s="716">
        <v>43992</v>
      </c>
    </row>
    <row r="197" spans="1:21" x14ac:dyDescent="0.25">
      <c r="A197" s="373">
        <v>192</v>
      </c>
      <c r="B197" s="373" t="s">
        <v>2523</v>
      </c>
      <c r="C197" s="373" t="s">
        <v>322</v>
      </c>
      <c r="D197" s="374"/>
      <c r="E197" s="393"/>
      <c r="I197" s="373"/>
      <c r="J197" s="373" t="s">
        <v>2522</v>
      </c>
      <c r="K197" s="373" t="s">
        <v>2170</v>
      </c>
      <c r="L197" s="374">
        <v>91473703</v>
      </c>
      <c r="M197" s="375">
        <v>43668</v>
      </c>
      <c r="Q197" s="162"/>
      <c r="R197" s="604" t="s">
        <v>5734</v>
      </c>
      <c r="S197" s="362" t="s">
        <v>4005</v>
      </c>
      <c r="T197" s="166">
        <v>16000000</v>
      </c>
      <c r="U197" s="165">
        <v>43993</v>
      </c>
    </row>
    <row r="198" spans="1:21" x14ac:dyDescent="0.25">
      <c r="A198" s="373">
        <v>193</v>
      </c>
      <c r="B198" s="373" t="s">
        <v>2521</v>
      </c>
      <c r="C198" s="373" t="s">
        <v>1845</v>
      </c>
      <c r="D198" s="374">
        <v>1816137410</v>
      </c>
      <c r="E198" s="393">
        <v>43661</v>
      </c>
      <c r="I198" s="373"/>
      <c r="J198" s="373" t="s">
        <v>2520</v>
      </c>
      <c r="K198" s="373" t="s">
        <v>2179</v>
      </c>
      <c r="L198" s="374">
        <v>18896916</v>
      </c>
      <c r="M198" s="375">
        <v>43668</v>
      </c>
      <c r="Q198" s="162"/>
      <c r="R198" s="604" t="s">
        <v>5735</v>
      </c>
      <c r="S198" s="362" t="s">
        <v>4005</v>
      </c>
      <c r="T198" s="166">
        <v>243000000</v>
      </c>
      <c r="U198" s="165">
        <v>43997</v>
      </c>
    </row>
    <row r="199" spans="1:21" x14ac:dyDescent="0.25">
      <c r="A199" s="373">
        <v>194</v>
      </c>
      <c r="B199" s="373" t="s">
        <v>2519</v>
      </c>
      <c r="C199" s="373" t="s">
        <v>2487</v>
      </c>
      <c r="D199" s="374">
        <v>1218694961</v>
      </c>
      <c r="E199" s="393">
        <v>43661</v>
      </c>
      <c r="I199" s="373"/>
      <c r="J199" s="373" t="s">
        <v>2518</v>
      </c>
      <c r="K199" s="373" t="s">
        <v>2176</v>
      </c>
      <c r="L199" s="374">
        <v>32196581</v>
      </c>
      <c r="M199" s="375">
        <v>43668</v>
      </c>
      <c r="Q199" s="162"/>
      <c r="R199" s="604" t="s">
        <v>5736</v>
      </c>
      <c r="S199" s="362" t="s">
        <v>4005</v>
      </c>
      <c r="T199" s="166">
        <v>194000000</v>
      </c>
      <c r="U199" s="165">
        <v>43998</v>
      </c>
    </row>
    <row r="200" spans="1:21" x14ac:dyDescent="0.25">
      <c r="A200" s="373">
        <v>195</v>
      </c>
      <c r="B200" s="373" t="s">
        <v>2517</v>
      </c>
      <c r="C200" s="373" t="s">
        <v>1313</v>
      </c>
      <c r="D200" s="374"/>
      <c r="E200" s="393">
        <v>43662</v>
      </c>
      <c r="I200" s="373"/>
      <c r="J200" s="373" t="s">
        <v>2516</v>
      </c>
      <c r="K200" s="373" t="s">
        <v>2173</v>
      </c>
      <c r="L200" s="374">
        <v>12375268</v>
      </c>
      <c r="M200" s="375">
        <v>43668</v>
      </c>
      <c r="Q200" s="162"/>
      <c r="R200" s="604" t="s">
        <v>5737</v>
      </c>
      <c r="S200" s="362" t="s">
        <v>4005</v>
      </c>
      <c r="T200" s="166">
        <v>6000000</v>
      </c>
      <c r="U200" s="165">
        <v>43999</v>
      </c>
    </row>
    <row r="201" spans="1:21" x14ac:dyDescent="0.25">
      <c r="A201" s="373">
        <v>196</v>
      </c>
      <c r="B201" s="373" t="s">
        <v>2515</v>
      </c>
      <c r="C201" s="373" t="s">
        <v>322</v>
      </c>
      <c r="D201" s="374"/>
      <c r="E201" s="393"/>
      <c r="I201" s="373"/>
      <c r="J201" s="373" t="s">
        <v>2514</v>
      </c>
      <c r="K201" s="373" t="s">
        <v>2147</v>
      </c>
      <c r="L201" s="374">
        <v>17424381</v>
      </c>
      <c r="M201" s="375">
        <v>43669</v>
      </c>
      <c r="Q201" s="162"/>
      <c r="R201" s="604" t="s">
        <v>5738</v>
      </c>
      <c r="S201" s="362" t="s">
        <v>4005</v>
      </c>
      <c r="T201" s="166">
        <v>15000000</v>
      </c>
      <c r="U201" s="165">
        <v>44000</v>
      </c>
    </row>
    <row r="202" spans="1:21" x14ac:dyDescent="0.25">
      <c r="A202" s="373">
        <v>197</v>
      </c>
      <c r="B202" s="373" t="s">
        <v>2513</v>
      </c>
      <c r="C202" s="373" t="s">
        <v>543</v>
      </c>
      <c r="D202" s="374">
        <v>402687503</v>
      </c>
      <c r="E202" s="393">
        <v>43662</v>
      </c>
      <c r="I202" s="373"/>
      <c r="J202" s="373" t="s">
        <v>2512</v>
      </c>
      <c r="K202" s="373" t="s">
        <v>1019</v>
      </c>
      <c r="L202" s="374">
        <v>17038067</v>
      </c>
      <c r="M202" s="375">
        <v>43669</v>
      </c>
      <c r="Q202" s="162"/>
      <c r="R202" s="604" t="s">
        <v>5739</v>
      </c>
      <c r="S202" s="362" t="s">
        <v>4005</v>
      </c>
      <c r="T202" s="166">
        <v>6000000</v>
      </c>
      <c r="U202" s="165">
        <v>44001</v>
      </c>
    </row>
    <row r="203" spans="1:21" x14ac:dyDescent="0.25">
      <c r="A203" s="373">
        <v>198</v>
      </c>
      <c r="B203" s="373" t="s">
        <v>2511</v>
      </c>
      <c r="C203" s="373" t="s">
        <v>2203</v>
      </c>
      <c r="D203" s="374">
        <v>70175299</v>
      </c>
      <c r="E203" s="393">
        <v>43662</v>
      </c>
      <c r="I203" s="373"/>
      <c r="J203" s="373" t="s">
        <v>2510</v>
      </c>
      <c r="K203" s="373" t="s">
        <v>2167</v>
      </c>
      <c r="L203" s="374">
        <v>24072700</v>
      </c>
      <c r="M203" s="375">
        <v>43668</v>
      </c>
      <c r="Q203" s="162"/>
      <c r="R203" s="604" t="s">
        <v>5740</v>
      </c>
      <c r="S203" s="362" t="s">
        <v>4005</v>
      </c>
      <c r="T203" s="166">
        <v>167000000</v>
      </c>
      <c r="U203" s="165">
        <v>44004</v>
      </c>
    </row>
    <row r="204" spans="1:21" x14ac:dyDescent="0.25">
      <c r="A204" s="373">
        <v>199</v>
      </c>
      <c r="B204" s="373" t="s">
        <v>2509</v>
      </c>
      <c r="C204" s="373" t="s">
        <v>1198</v>
      </c>
      <c r="D204" s="374">
        <v>1320283631</v>
      </c>
      <c r="E204" s="393">
        <v>43662</v>
      </c>
      <c r="I204" s="373"/>
      <c r="J204" s="373" t="s">
        <v>2508</v>
      </c>
      <c r="K204" s="373" t="s">
        <v>2156</v>
      </c>
      <c r="L204" s="374">
        <v>6693750</v>
      </c>
      <c r="M204" s="375">
        <v>43669</v>
      </c>
      <c r="Q204" s="162"/>
      <c r="R204" s="604" t="s">
        <v>5741</v>
      </c>
      <c r="S204" s="362" t="s">
        <v>4005</v>
      </c>
      <c r="T204" s="166">
        <v>106000000</v>
      </c>
      <c r="U204" s="165">
        <v>44005</v>
      </c>
    </row>
    <row r="205" spans="1:21" x14ac:dyDescent="0.25">
      <c r="A205" s="373">
        <v>200</v>
      </c>
      <c r="B205" s="373" t="s">
        <v>2507</v>
      </c>
      <c r="C205" s="373" t="s">
        <v>283</v>
      </c>
      <c r="D205" s="374">
        <v>176805000</v>
      </c>
      <c r="E205" s="393">
        <v>43662</v>
      </c>
      <c r="I205" s="373"/>
      <c r="J205" s="373" t="s">
        <v>2506</v>
      </c>
      <c r="K205" s="373" t="s">
        <v>964</v>
      </c>
      <c r="L205" s="374">
        <v>19740941</v>
      </c>
      <c r="M205" s="375">
        <v>43668</v>
      </c>
      <c r="Q205" s="162"/>
      <c r="R205" s="604" t="s">
        <v>5742</v>
      </c>
      <c r="S205" s="362" t="s">
        <v>4005</v>
      </c>
      <c r="T205" s="166">
        <v>25000000</v>
      </c>
      <c r="U205" s="165">
        <v>44006</v>
      </c>
    </row>
    <row r="206" spans="1:21" x14ac:dyDescent="0.25">
      <c r="A206" s="373">
        <v>201</v>
      </c>
      <c r="B206" s="373" t="s">
        <v>2505</v>
      </c>
      <c r="C206" s="373" t="s">
        <v>2487</v>
      </c>
      <c r="D206" s="374">
        <v>1000035000</v>
      </c>
      <c r="E206" s="393">
        <v>43662</v>
      </c>
      <c r="I206" s="373"/>
      <c r="J206" s="373" t="s">
        <v>2504</v>
      </c>
      <c r="K206" s="373" t="s">
        <v>1843</v>
      </c>
      <c r="L206" s="374">
        <v>1965000</v>
      </c>
      <c r="M206" s="375">
        <v>43669</v>
      </c>
      <c r="Q206" s="162"/>
      <c r="R206" s="604" t="s">
        <v>5743</v>
      </c>
      <c r="S206" s="362" t="s">
        <v>4005</v>
      </c>
      <c r="T206" s="166">
        <v>115000000</v>
      </c>
      <c r="U206" s="165">
        <v>44007</v>
      </c>
    </row>
    <row r="207" spans="1:21" x14ac:dyDescent="0.25">
      <c r="A207" s="373">
        <v>202</v>
      </c>
      <c r="B207" s="373" t="s">
        <v>2503</v>
      </c>
      <c r="C207" s="373" t="s">
        <v>2195</v>
      </c>
      <c r="D207" s="374">
        <v>26600326</v>
      </c>
      <c r="E207" s="393">
        <v>43662</v>
      </c>
      <c r="I207" s="373"/>
      <c r="J207" s="373" t="s">
        <v>2502</v>
      </c>
      <c r="K207" s="373" t="s">
        <v>873</v>
      </c>
      <c r="L207" s="374">
        <v>4105000</v>
      </c>
      <c r="M207" s="375">
        <v>43669</v>
      </c>
      <c r="Q207" s="162"/>
      <c r="R207" s="604" t="s">
        <v>5744</v>
      </c>
      <c r="S207" s="362" t="s">
        <v>4005</v>
      </c>
      <c r="T207" s="166">
        <v>67000000</v>
      </c>
      <c r="U207" s="165">
        <v>44008</v>
      </c>
    </row>
    <row r="208" spans="1:21" x14ac:dyDescent="0.25">
      <c r="A208" s="373">
        <v>203</v>
      </c>
      <c r="B208" s="373" t="s">
        <v>2501</v>
      </c>
      <c r="C208" s="373" t="s">
        <v>429</v>
      </c>
      <c r="D208" s="374">
        <v>44176875</v>
      </c>
      <c r="E208" s="393">
        <v>43662</v>
      </c>
      <c r="I208" s="373"/>
      <c r="J208" s="373" t="s">
        <v>2500</v>
      </c>
      <c r="K208" s="373" t="s">
        <v>1985</v>
      </c>
      <c r="L208" s="374">
        <v>4249800</v>
      </c>
      <c r="M208" s="375">
        <v>43669</v>
      </c>
      <c r="Q208" s="162"/>
      <c r="R208" s="604" t="s">
        <v>5745</v>
      </c>
      <c r="S208" s="362" t="s">
        <v>4005</v>
      </c>
      <c r="T208" s="166">
        <v>206560000</v>
      </c>
      <c r="U208" s="165">
        <v>44011</v>
      </c>
    </row>
    <row r="209" spans="1:21" x14ac:dyDescent="0.25">
      <c r="A209" s="373">
        <v>204</v>
      </c>
      <c r="B209" s="373" t="s">
        <v>2499</v>
      </c>
      <c r="C209" s="373" t="s">
        <v>2422</v>
      </c>
      <c r="D209" s="374">
        <v>49020009</v>
      </c>
      <c r="E209" s="393">
        <v>43662</v>
      </c>
      <c r="I209" s="373"/>
      <c r="J209" s="373" t="s">
        <v>2498</v>
      </c>
      <c r="K209" s="373" t="s">
        <v>1634</v>
      </c>
      <c r="L209" s="374">
        <v>4912600</v>
      </c>
      <c r="M209" s="375">
        <v>43669</v>
      </c>
      <c r="Q209" s="162"/>
      <c r="R209" s="604" t="s">
        <v>5746</v>
      </c>
      <c r="S209" s="362" t="s">
        <v>4005</v>
      </c>
      <c r="T209" s="166">
        <v>17070000</v>
      </c>
      <c r="U209" s="165">
        <v>44012</v>
      </c>
    </row>
    <row r="210" spans="1:21" x14ac:dyDescent="0.25">
      <c r="A210" s="373">
        <v>205</v>
      </c>
      <c r="B210" s="373" t="s">
        <v>2497</v>
      </c>
      <c r="C210" s="373" t="s">
        <v>2394</v>
      </c>
      <c r="D210" s="374">
        <v>33454269</v>
      </c>
      <c r="E210" s="393">
        <v>43662</v>
      </c>
      <c r="I210" s="373"/>
      <c r="J210" s="373" t="s">
        <v>2496</v>
      </c>
      <c r="K210" s="373" t="s">
        <v>2495</v>
      </c>
      <c r="L210" s="374">
        <v>4790600</v>
      </c>
      <c r="M210" s="375">
        <v>43672</v>
      </c>
      <c r="Q210" s="162"/>
      <c r="R210" s="162"/>
      <c r="S210" s="162"/>
      <c r="T210" s="166"/>
      <c r="U210" s="162"/>
    </row>
    <row r="211" spans="1:21" x14ac:dyDescent="0.25">
      <c r="A211" s="373">
        <v>206</v>
      </c>
      <c r="B211" s="373" t="s">
        <v>2494</v>
      </c>
      <c r="C211" s="373" t="s">
        <v>331</v>
      </c>
      <c r="D211" s="374">
        <v>261075615</v>
      </c>
      <c r="E211" s="393">
        <v>43662</v>
      </c>
      <c r="I211" s="373"/>
      <c r="J211" s="373" t="s">
        <v>2493</v>
      </c>
      <c r="K211" s="379" t="s">
        <v>2492</v>
      </c>
      <c r="L211" s="374"/>
      <c r="M211" s="375"/>
      <c r="Q211" s="162"/>
      <c r="R211" s="162"/>
      <c r="S211" s="162"/>
      <c r="T211" s="166"/>
      <c r="U211" s="162"/>
    </row>
    <row r="212" spans="1:21" x14ac:dyDescent="0.25">
      <c r="A212" s="373">
        <v>207</v>
      </c>
      <c r="B212" s="373" t="s">
        <v>2491</v>
      </c>
      <c r="C212" s="373" t="s">
        <v>551</v>
      </c>
      <c r="D212" s="374">
        <v>156345800</v>
      </c>
      <c r="E212" s="393">
        <v>43662</v>
      </c>
      <c r="I212" s="373"/>
      <c r="J212" s="373" t="s">
        <v>2490</v>
      </c>
      <c r="K212" s="373" t="s">
        <v>2489</v>
      </c>
      <c r="L212" s="374">
        <v>2076000</v>
      </c>
      <c r="M212" s="375">
        <v>43671</v>
      </c>
      <c r="Q212" s="162"/>
      <c r="R212" s="162"/>
      <c r="S212" s="162"/>
      <c r="T212" s="166"/>
      <c r="U212" s="162"/>
    </row>
    <row r="213" spans="1:21" x14ac:dyDescent="0.25">
      <c r="A213" s="373">
        <v>208</v>
      </c>
      <c r="B213" s="373" t="s">
        <v>2488</v>
      </c>
      <c r="C213" s="373" t="s">
        <v>2487</v>
      </c>
      <c r="D213" s="374">
        <v>685759126</v>
      </c>
      <c r="E213" s="393">
        <v>43662</v>
      </c>
      <c r="I213" s="373"/>
      <c r="J213" s="373" t="s">
        <v>2486</v>
      </c>
      <c r="K213" s="373" t="s">
        <v>2485</v>
      </c>
      <c r="L213" s="374">
        <v>4885000</v>
      </c>
      <c r="M213" s="375">
        <v>43671</v>
      </c>
      <c r="Q213" s="162"/>
      <c r="R213" s="162"/>
      <c r="S213" s="162"/>
      <c r="T213" s="166"/>
      <c r="U213" s="162"/>
    </row>
    <row r="214" spans="1:21" x14ac:dyDescent="0.25">
      <c r="A214" s="373">
        <v>209</v>
      </c>
      <c r="B214" s="373" t="s">
        <v>2484</v>
      </c>
      <c r="C214" s="373" t="s">
        <v>1313</v>
      </c>
      <c r="D214" s="374">
        <v>442549641</v>
      </c>
      <c r="E214" s="393">
        <v>43663</v>
      </c>
      <c r="I214" s="373"/>
      <c r="J214" s="373" t="s">
        <v>2483</v>
      </c>
      <c r="K214" s="373" t="s">
        <v>388</v>
      </c>
      <c r="L214" s="374"/>
      <c r="M214" s="375">
        <v>43675</v>
      </c>
      <c r="Q214" s="162"/>
      <c r="R214" s="162"/>
      <c r="S214" s="162"/>
      <c r="T214" s="166"/>
      <c r="U214" s="162"/>
    </row>
    <row r="215" spans="1:21" x14ac:dyDescent="0.25">
      <c r="A215" s="373">
        <v>210</v>
      </c>
      <c r="B215" s="373" t="s">
        <v>2482</v>
      </c>
      <c r="C215" s="373" t="s">
        <v>623</v>
      </c>
      <c r="D215" s="374">
        <v>277430110</v>
      </c>
      <c r="E215" s="393">
        <v>43663</v>
      </c>
      <c r="I215" s="373"/>
      <c r="J215" s="373" t="s">
        <v>2481</v>
      </c>
      <c r="K215" s="373" t="s">
        <v>2480</v>
      </c>
      <c r="L215" s="374">
        <v>1972800</v>
      </c>
      <c r="M215" s="375">
        <v>43672</v>
      </c>
      <c r="Q215" s="162"/>
      <c r="R215" s="162"/>
      <c r="S215" s="162"/>
      <c r="T215" s="166"/>
      <c r="U215" s="162"/>
    </row>
    <row r="216" spans="1:21" x14ac:dyDescent="0.25">
      <c r="A216" s="373">
        <v>211</v>
      </c>
      <c r="B216" s="373" t="s">
        <v>2479</v>
      </c>
      <c r="C216" s="373" t="s">
        <v>702</v>
      </c>
      <c r="D216" s="374">
        <v>788609653</v>
      </c>
      <c r="E216" s="393">
        <v>43663</v>
      </c>
      <c r="I216" s="373"/>
      <c r="J216" s="373" t="s">
        <v>2478</v>
      </c>
      <c r="K216" s="373" t="s">
        <v>2477</v>
      </c>
      <c r="L216" s="374">
        <v>8427000</v>
      </c>
      <c r="M216" s="375">
        <v>43671</v>
      </c>
      <c r="Q216" s="162"/>
      <c r="R216" s="162"/>
      <c r="S216" s="162"/>
      <c r="T216" s="166"/>
      <c r="U216" s="162"/>
    </row>
    <row r="217" spans="1:21" x14ac:dyDescent="0.25">
      <c r="A217" s="373">
        <v>212</v>
      </c>
      <c r="B217" s="373" t="s">
        <v>2476</v>
      </c>
      <c r="C217" s="373" t="s">
        <v>522</v>
      </c>
      <c r="D217" s="374">
        <v>385426169</v>
      </c>
      <c r="E217" s="393">
        <v>43663</v>
      </c>
      <c r="I217" s="373"/>
      <c r="J217" s="373" t="s">
        <v>2475</v>
      </c>
      <c r="K217" s="373" t="s">
        <v>2474</v>
      </c>
      <c r="L217" s="374">
        <v>9295000</v>
      </c>
      <c r="M217" s="375">
        <v>43671</v>
      </c>
      <c r="Q217" s="162"/>
      <c r="R217" s="162"/>
      <c r="S217" s="162"/>
      <c r="T217" s="166"/>
      <c r="U217" s="162"/>
    </row>
    <row r="218" spans="1:21" x14ac:dyDescent="0.25">
      <c r="A218" s="373">
        <v>213</v>
      </c>
      <c r="B218" s="373" t="s">
        <v>2473</v>
      </c>
      <c r="C218" s="373" t="s">
        <v>431</v>
      </c>
      <c r="D218" s="374">
        <v>121898376</v>
      </c>
      <c r="E218" s="393">
        <v>43664</v>
      </c>
      <c r="I218" s="373"/>
      <c r="J218" s="373" t="s">
        <v>2472</v>
      </c>
      <c r="K218" s="373" t="s">
        <v>2471</v>
      </c>
      <c r="L218" s="374">
        <v>16362500</v>
      </c>
      <c r="M218" s="375">
        <v>43672</v>
      </c>
      <c r="Q218" s="162"/>
      <c r="R218" s="162"/>
      <c r="S218" s="162"/>
      <c r="T218" s="166"/>
      <c r="U218" s="162"/>
    </row>
    <row r="219" spans="1:21" x14ac:dyDescent="0.25">
      <c r="A219" s="373">
        <v>214</v>
      </c>
      <c r="B219" s="373" t="s">
        <v>2470</v>
      </c>
      <c r="C219" s="373" t="s">
        <v>322</v>
      </c>
      <c r="D219" s="374"/>
      <c r="E219" s="393"/>
      <c r="I219" s="373"/>
      <c r="J219" s="373" t="s">
        <v>2469</v>
      </c>
      <c r="K219" s="379" t="s">
        <v>2468</v>
      </c>
      <c r="L219" s="374"/>
      <c r="M219" s="375"/>
      <c r="Q219" s="162"/>
      <c r="R219" s="162"/>
      <c r="S219" s="162"/>
      <c r="T219" s="166"/>
      <c r="U219" s="162"/>
    </row>
    <row r="220" spans="1:21" x14ac:dyDescent="0.25">
      <c r="A220" s="373">
        <v>215</v>
      </c>
      <c r="B220" s="373" t="s">
        <v>2467</v>
      </c>
      <c r="C220" s="373" t="s">
        <v>331</v>
      </c>
      <c r="D220" s="374">
        <v>264102315</v>
      </c>
      <c r="E220" s="393">
        <v>43664</v>
      </c>
      <c r="I220" s="373"/>
      <c r="J220" s="373" t="s">
        <v>2466</v>
      </c>
      <c r="K220" s="373" t="s">
        <v>2465</v>
      </c>
      <c r="L220" s="374">
        <v>4256714</v>
      </c>
      <c r="M220" s="375">
        <v>43672</v>
      </c>
      <c r="Q220" s="162"/>
      <c r="R220" s="162"/>
      <c r="S220" s="162"/>
      <c r="T220" s="166"/>
      <c r="U220" s="162"/>
    </row>
    <row r="221" spans="1:21" x14ac:dyDescent="0.25">
      <c r="A221" s="373">
        <v>216</v>
      </c>
      <c r="B221" s="373" t="s">
        <v>2464</v>
      </c>
      <c r="C221" s="373" t="s">
        <v>283</v>
      </c>
      <c r="D221" s="374">
        <v>176805000</v>
      </c>
      <c r="E221" s="393">
        <v>43664</v>
      </c>
      <c r="I221" s="373"/>
      <c r="J221" s="373" t="s">
        <v>2463</v>
      </c>
      <c r="K221" s="379" t="s">
        <v>2462</v>
      </c>
      <c r="L221" s="374"/>
      <c r="M221" s="375"/>
      <c r="Q221" s="162"/>
      <c r="R221" s="162"/>
      <c r="S221" s="162"/>
      <c r="T221" s="166"/>
      <c r="U221" s="162"/>
    </row>
    <row r="222" spans="1:21" x14ac:dyDescent="0.25">
      <c r="A222" s="373">
        <v>217</v>
      </c>
      <c r="B222" s="373" t="s">
        <v>2461</v>
      </c>
      <c r="C222" s="373" t="s">
        <v>623</v>
      </c>
      <c r="D222" s="374">
        <v>277596384</v>
      </c>
      <c r="E222" s="393">
        <v>43664</v>
      </c>
      <c r="I222" s="373"/>
      <c r="J222" s="373" t="s">
        <v>2460</v>
      </c>
      <c r="K222" s="373" t="s">
        <v>2459</v>
      </c>
      <c r="L222" s="374">
        <v>2068620</v>
      </c>
      <c r="M222" s="375">
        <v>43672</v>
      </c>
      <c r="Q222" s="162"/>
      <c r="R222" s="162"/>
      <c r="S222" s="162"/>
      <c r="T222" s="166"/>
      <c r="U222" s="162"/>
    </row>
    <row r="223" spans="1:21" x14ac:dyDescent="0.25">
      <c r="A223" s="373">
        <v>218</v>
      </c>
      <c r="B223" s="373" t="s">
        <v>2458</v>
      </c>
      <c r="C223" s="373" t="s">
        <v>322</v>
      </c>
      <c r="D223" s="374"/>
      <c r="E223" s="393"/>
      <c r="I223" s="373"/>
      <c r="J223" s="373" t="s">
        <v>2457</v>
      </c>
      <c r="K223" s="373" t="s">
        <v>2456</v>
      </c>
      <c r="L223" s="374">
        <v>9605000</v>
      </c>
      <c r="M223" s="375">
        <v>43671</v>
      </c>
      <c r="Q223" s="162"/>
      <c r="R223" s="162"/>
      <c r="S223" s="162"/>
      <c r="T223" s="166"/>
      <c r="U223" s="162"/>
    </row>
    <row r="224" spans="1:21" x14ac:dyDescent="0.25">
      <c r="A224" s="373">
        <v>219</v>
      </c>
      <c r="B224" s="373" t="s">
        <v>2455</v>
      </c>
      <c r="C224" s="373" t="s">
        <v>322</v>
      </c>
      <c r="D224" s="374"/>
      <c r="E224" s="393"/>
      <c r="I224" s="373"/>
      <c r="J224" s="373" t="s">
        <v>2454</v>
      </c>
      <c r="K224" s="379" t="s">
        <v>2453</v>
      </c>
      <c r="L224" s="374"/>
      <c r="M224" s="375"/>
      <c r="Q224" s="162"/>
      <c r="R224" s="162"/>
      <c r="S224" s="162"/>
      <c r="T224" s="166"/>
      <c r="U224" s="162"/>
    </row>
    <row r="225" spans="1:21" x14ac:dyDescent="0.25">
      <c r="A225" s="373">
        <v>220</v>
      </c>
      <c r="B225" s="373" t="s">
        <v>2452</v>
      </c>
      <c r="C225" s="373" t="s">
        <v>322</v>
      </c>
      <c r="D225" s="374"/>
      <c r="E225" s="393"/>
      <c r="I225" s="373"/>
      <c r="J225" s="373" t="s">
        <v>2451</v>
      </c>
      <c r="K225" s="379" t="s">
        <v>2450</v>
      </c>
      <c r="L225" s="374"/>
      <c r="M225" s="375"/>
      <c r="Q225" s="162"/>
      <c r="R225" s="162"/>
      <c r="S225" s="162"/>
      <c r="T225" s="166"/>
      <c r="U225" s="162"/>
    </row>
    <row r="226" spans="1:21" x14ac:dyDescent="0.25">
      <c r="A226" s="373">
        <v>221</v>
      </c>
      <c r="B226" s="373" t="s">
        <v>2449</v>
      </c>
      <c r="C226" s="373" t="s">
        <v>702</v>
      </c>
      <c r="D226" s="374">
        <v>262910789</v>
      </c>
      <c r="E226" s="393">
        <v>43664</v>
      </c>
      <c r="I226" s="373"/>
      <c r="J226" s="373" t="s">
        <v>2448</v>
      </c>
      <c r="K226" s="373" t="s">
        <v>2447</v>
      </c>
      <c r="L226" s="374">
        <v>3259000</v>
      </c>
      <c r="M226" s="375">
        <v>43672</v>
      </c>
      <c r="Q226" s="162"/>
      <c r="R226" s="162"/>
      <c r="S226" s="162"/>
      <c r="T226" s="166"/>
      <c r="U226" s="162"/>
    </row>
    <row r="227" spans="1:21" x14ac:dyDescent="0.25">
      <c r="A227" s="373">
        <v>222</v>
      </c>
      <c r="B227" s="373" t="s">
        <v>2446</v>
      </c>
      <c r="C227" s="373" t="s">
        <v>429</v>
      </c>
      <c r="D227" s="374">
        <v>49009863</v>
      </c>
      <c r="E227" s="393">
        <v>43664</v>
      </c>
      <c r="I227" s="373"/>
      <c r="J227" s="373" t="s">
        <v>2445</v>
      </c>
      <c r="K227" s="373" t="s">
        <v>388</v>
      </c>
      <c r="L227" s="374"/>
      <c r="M227" s="375">
        <v>43672</v>
      </c>
      <c r="Q227" s="162"/>
      <c r="R227" s="162"/>
      <c r="S227" s="162"/>
      <c r="T227" s="166"/>
      <c r="U227" s="162"/>
    </row>
    <row r="228" spans="1:21" x14ac:dyDescent="0.25">
      <c r="A228" s="373">
        <v>223</v>
      </c>
      <c r="B228" s="373" t="s">
        <v>2444</v>
      </c>
      <c r="C228" s="373" t="s">
        <v>522</v>
      </c>
      <c r="D228" s="374">
        <v>810060337</v>
      </c>
      <c r="E228" s="393">
        <v>43664</v>
      </c>
      <c r="I228" s="373"/>
      <c r="J228" s="373" t="s">
        <v>2443</v>
      </c>
      <c r="K228" s="373" t="s">
        <v>2442</v>
      </c>
      <c r="L228" s="374">
        <v>210747105</v>
      </c>
      <c r="M228" s="375">
        <v>43672</v>
      </c>
      <c r="Q228" s="162"/>
      <c r="R228" s="162"/>
      <c r="S228" s="162"/>
      <c r="T228" s="166"/>
      <c r="U228" s="162"/>
    </row>
    <row r="229" spans="1:21" x14ac:dyDescent="0.25">
      <c r="A229" s="373">
        <v>224</v>
      </c>
      <c r="B229" s="373" t="s">
        <v>2441</v>
      </c>
      <c r="C229" s="373" t="s">
        <v>2199</v>
      </c>
      <c r="D229" s="374">
        <v>1333285529</v>
      </c>
      <c r="E229" s="393">
        <v>43664</v>
      </c>
      <c r="I229" s="373"/>
      <c r="J229" s="373" t="s">
        <v>2440</v>
      </c>
      <c r="K229" s="373" t="s">
        <v>2439</v>
      </c>
      <c r="L229" s="374">
        <v>5181400</v>
      </c>
      <c r="M229" s="375">
        <v>43672</v>
      </c>
      <c r="Q229" s="162"/>
      <c r="R229" s="162"/>
      <c r="S229" s="162"/>
      <c r="T229" s="166"/>
      <c r="U229" s="162"/>
    </row>
    <row r="230" spans="1:21" x14ac:dyDescent="0.25">
      <c r="A230" s="373">
        <v>225</v>
      </c>
      <c r="B230" s="373" t="s">
        <v>2438</v>
      </c>
      <c r="C230" s="373" t="s">
        <v>331</v>
      </c>
      <c r="D230" s="374">
        <v>242264979</v>
      </c>
      <c r="E230" s="393">
        <v>43665</v>
      </c>
      <c r="I230" s="373"/>
      <c r="J230" s="373" t="s">
        <v>2437</v>
      </c>
      <c r="K230" s="373" t="s">
        <v>2436</v>
      </c>
      <c r="L230" s="374">
        <v>11716884</v>
      </c>
      <c r="M230" s="375">
        <v>43672</v>
      </c>
      <c r="Q230" s="162"/>
      <c r="R230" s="162"/>
      <c r="S230" s="162"/>
      <c r="T230" s="166"/>
      <c r="U230" s="162"/>
    </row>
    <row r="231" spans="1:21" x14ac:dyDescent="0.25">
      <c r="A231" s="373">
        <v>226</v>
      </c>
      <c r="B231" s="373" t="s">
        <v>2435</v>
      </c>
      <c r="C231" s="373" t="s">
        <v>1198</v>
      </c>
      <c r="D231" s="374">
        <v>304449666</v>
      </c>
      <c r="E231" s="393">
        <v>43665</v>
      </c>
      <c r="I231" s="373"/>
      <c r="J231" s="417" t="s">
        <v>2434</v>
      </c>
      <c r="K231" s="417" t="s">
        <v>2433</v>
      </c>
      <c r="L231" s="418">
        <v>24755000</v>
      </c>
      <c r="M231" s="419">
        <v>43677</v>
      </c>
      <c r="Q231" s="162"/>
      <c r="R231" s="162"/>
      <c r="S231" s="162"/>
      <c r="T231" s="166"/>
      <c r="U231" s="162"/>
    </row>
    <row r="232" spans="1:21" x14ac:dyDescent="0.25">
      <c r="A232" s="373">
        <v>227</v>
      </c>
      <c r="B232" s="373" t="s">
        <v>2432</v>
      </c>
      <c r="C232" s="373" t="s">
        <v>1313</v>
      </c>
      <c r="D232" s="374">
        <v>265695334</v>
      </c>
      <c r="E232" s="393">
        <v>43665</v>
      </c>
      <c r="I232" s="373"/>
      <c r="J232" s="417" t="s">
        <v>2431</v>
      </c>
      <c r="K232" s="417" t="s">
        <v>2430</v>
      </c>
      <c r="L232" s="418">
        <v>16405000</v>
      </c>
      <c r="M232" s="419">
        <v>43677</v>
      </c>
      <c r="Q232" s="162"/>
      <c r="R232" s="162"/>
      <c r="S232" s="162"/>
      <c r="T232" s="166"/>
      <c r="U232" s="162"/>
    </row>
    <row r="233" spans="1:21" x14ac:dyDescent="0.25">
      <c r="A233" s="373">
        <v>228</v>
      </c>
      <c r="B233" s="373" t="s">
        <v>2429</v>
      </c>
      <c r="C233" s="373" t="s">
        <v>522</v>
      </c>
      <c r="D233" s="374">
        <v>360905975</v>
      </c>
      <c r="E233" s="393">
        <v>43665</v>
      </c>
      <c r="I233" s="373"/>
      <c r="J233" s="417" t="s">
        <v>2428</v>
      </c>
      <c r="K233" s="417" t="s">
        <v>2427</v>
      </c>
      <c r="L233" s="418">
        <v>13380000</v>
      </c>
      <c r="M233" s="419">
        <v>43677</v>
      </c>
      <c r="Q233" s="162"/>
      <c r="R233" s="162"/>
      <c r="S233" s="162"/>
      <c r="T233" s="166"/>
      <c r="U233" s="162"/>
    </row>
    <row r="234" spans="1:21" x14ac:dyDescent="0.25">
      <c r="A234" s="373">
        <v>229</v>
      </c>
      <c r="B234" s="373" t="s">
        <v>2426</v>
      </c>
      <c r="C234" s="373" t="s">
        <v>702</v>
      </c>
      <c r="D234" s="374">
        <v>1295396265</v>
      </c>
      <c r="E234" s="393">
        <v>43665</v>
      </c>
      <c r="I234" s="373"/>
      <c r="J234" s="417" t="s">
        <v>2425</v>
      </c>
      <c r="K234" s="417" t="s">
        <v>2424</v>
      </c>
      <c r="L234" s="418">
        <v>12990121</v>
      </c>
      <c r="M234" s="419">
        <v>43677</v>
      </c>
      <c r="Q234" s="162"/>
      <c r="R234" s="162"/>
      <c r="S234" s="162"/>
      <c r="T234" s="166"/>
      <c r="U234" s="162"/>
    </row>
    <row r="235" spans="1:21" x14ac:dyDescent="0.25">
      <c r="A235" s="373">
        <v>230</v>
      </c>
      <c r="B235" s="373" t="s">
        <v>2423</v>
      </c>
      <c r="C235" s="373" t="s">
        <v>2422</v>
      </c>
      <c r="D235" s="374">
        <v>1000317718</v>
      </c>
      <c r="E235" s="393">
        <v>43665</v>
      </c>
      <c r="I235" s="373"/>
      <c r="J235" s="417" t="s">
        <v>2421</v>
      </c>
      <c r="K235" s="417" t="s">
        <v>2420</v>
      </c>
      <c r="L235" s="418">
        <v>11280000</v>
      </c>
      <c r="M235" s="419">
        <v>43677</v>
      </c>
      <c r="Q235" s="162"/>
      <c r="R235" s="162"/>
      <c r="S235" s="162"/>
      <c r="T235" s="166"/>
      <c r="U235" s="162"/>
    </row>
    <row r="236" spans="1:21" x14ac:dyDescent="0.25">
      <c r="A236" s="373">
        <v>231</v>
      </c>
      <c r="B236" s="373" t="s">
        <v>2419</v>
      </c>
      <c r="C236" s="373" t="s">
        <v>2418</v>
      </c>
      <c r="D236" s="374">
        <v>4499485</v>
      </c>
      <c r="E236" s="393">
        <v>43665</v>
      </c>
      <c r="I236" s="373"/>
      <c r="J236" s="417" t="s">
        <v>2417</v>
      </c>
      <c r="K236" s="417" t="s">
        <v>2416</v>
      </c>
      <c r="L236" s="418">
        <v>10855000</v>
      </c>
      <c r="M236" s="419">
        <v>43677</v>
      </c>
      <c r="Q236" s="162"/>
      <c r="R236" s="162"/>
      <c r="S236" s="162"/>
      <c r="T236" s="166"/>
      <c r="U236" s="162"/>
    </row>
    <row r="237" spans="1:21" x14ac:dyDescent="0.25">
      <c r="A237" s="373">
        <v>232</v>
      </c>
      <c r="B237" s="373" t="s">
        <v>2415</v>
      </c>
      <c r="C237" s="373" t="s">
        <v>522</v>
      </c>
      <c r="D237" s="374">
        <v>246371750</v>
      </c>
      <c r="E237" s="393">
        <v>43668</v>
      </c>
      <c r="I237" s="373"/>
      <c r="J237" s="417" t="s">
        <v>2414</v>
      </c>
      <c r="K237" s="417" t="s">
        <v>2413</v>
      </c>
      <c r="L237" s="418"/>
      <c r="M237" s="419">
        <v>43677</v>
      </c>
      <c r="Q237" s="162"/>
      <c r="R237" s="162"/>
      <c r="S237" s="162"/>
      <c r="T237" s="166"/>
      <c r="U237" s="162"/>
    </row>
    <row r="238" spans="1:21" x14ac:dyDescent="0.25">
      <c r="A238" s="373">
        <v>233</v>
      </c>
      <c r="B238" s="373" t="s">
        <v>2412</v>
      </c>
      <c r="C238" s="373" t="s">
        <v>702</v>
      </c>
      <c r="D238" s="374">
        <v>402679699</v>
      </c>
      <c r="E238" s="393">
        <v>43668</v>
      </c>
      <c r="I238" s="373"/>
      <c r="J238" s="417" t="s">
        <v>2411</v>
      </c>
      <c r="K238" s="417" t="s">
        <v>873</v>
      </c>
      <c r="L238" s="418">
        <v>71499998</v>
      </c>
      <c r="M238" s="419">
        <v>43677</v>
      </c>
      <c r="Q238" s="162"/>
      <c r="R238" s="162"/>
      <c r="S238" s="162"/>
      <c r="T238" s="166"/>
      <c r="U238" s="162"/>
    </row>
    <row r="239" spans="1:21" x14ac:dyDescent="0.25">
      <c r="A239" s="373">
        <v>234</v>
      </c>
      <c r="B239" s="373" t="s">
        <v>2410</v>
      </c>
      <c r="C239" s="373" t="s">
        <v>283</v>
      </c>
      <c r="D239" s="374">
        <v>176805000</v>
      </c>
      <c r="E239" s="393">
        <v>43668</v>
      </c>
      <c r="I239" s="373"/>
      <c r="J239" s="417" t="s">
        <v>2409</v>
      </c>
      <c r="K239" s="417" t="s">
        <v>388</v>
      </c>
      <c r="L239" s="418"/>
      <c r="M239" s="419"/>
      <c r="Q239" s="162"/>
      <c r="R239" s="162"/>
      <c r="S239" s="162"/>
      <c r="T239" s="166"/>
      <c r="U239" s="162"/>
    </row>
    <row r="240" spans="1:21" x14ac:dyDescent="0.25">
      <c r="A240" s="373">
        <v>235</v>
      </c>
      <c r="B240" s="373" t="s">
        <v>2408</v>
      </c>
      <c r="C240" s="373" t="s">
        <v>1845</v>
      </c>
      <c r="D240" s="374">
        <v>1000035000</v>
      </c>
      <c r="E240" s="393">
        <v>43668</v>
      </c>
      <c r="I240" s="373"/>
      <c r="J240" s="417" t="s">
        <v>2407</v>
      </c>
      <c r="K240" s="417" t="s">
        <v>2406</v>
      </c>
      <c r="L240" s="418"/>
      <c r="M240" s="419">
        <v>43677</v>
      </c>
      <c r="Q240" s="162"/>
      <c r="R240" s="162"/>
      <c r="S240" s="162"/>
      <c r="T240" s="166"/>
      <c r="U240" s="162"/>
    </row>
    <row r="241" spans="1:21" x14ac:dyDescent="0.25">
      <c r="A241" s="373">
        <v>236</v>
      </c>
      <c r="B241" s="373" t="s">
        <v>2405</v>
      </c>
      <c r="C241" s="373" t="s">
        <v>322</v>
      </c>
      <c r="D241" s="374"/>
      <c r="E241" s="393"/>
      <c r="I241" s="373"/>
      <c r="J241" s="373" t="s">
        <v>2404</v>
      </c>
      <c r="K241" s="373" t="s">
        <v>2167</v>
      </c>
      <c r="L241" s="374">
        <v>25729930</v>
      </c>
      <c r="M241" s="375">
        <v>43675</v>
      </c>
      <c r="Q241" s="162"/>
      <c r="R241" s="162"/>
      <c r="S241" s="162"/>
      <c r="T241" s="166"/>
      <c r="U241" s="162"/>
    </row>
    <row r="242" spans="1:21" x14ac:dyDescent="0.25">
      <c r="A242" s="373">
        <v>237</v>
      </c>
      <c r="B242" s="373" t="s">
        <v>2403</v>
      </c>
      <c r="C242" s="373" t="s">
        <v>331</v>
      </c>
      <c r="D242" s="374">
        <v>240573233</v>
      </c>
      <c r="E242" s="393">
        <v>43668</v>
      </c>
      <c r="I242" s="373"/>
      <c r="J242" s="373" t="s">
        <v>2402</v>
      </c>
      <c r="K242" s="373" t="s">
        <v>2150</v>
      </c>
      <c r="L242" s="374">
        <v>3238217</v>
      </c>
      <c r="M242" s="375">
        <v>43676</v>
      </c>
      <c r="Q242" s="162"/>
      <c r="R242" s="162"/>
      <c r="S242" s="162"/>
      <c r="T242" s="166"/>
      <c r="U242" s="162"/>
    </row>
    <row r="243" spans="1:21" x14ac:dyDescent="0.25">
      <c r="A243" s="373">
        <v>238</v>
      </c>
      <c r="B243" s="373" t="s">
        <v>2401</v>
      </c>
      <c r="C243" s="373" t="s">
        <v>1198</v>
      </c>
      <c r="D243" s="374">
        <v>708306571</v>
      </c>
      <c r="E243" s="393">
        <v>43668</v>
      </c>
      <c r="I243" s="373"/>
      <c r="J243" s="373" t="s">
        <v>2400</v>
      </c>
      <c r="K243" s="373" t="s">
        <v>2162</v>
      </c>
      <c r="L243" s="374">
        <v>26408260</v>
      </c>
      <c r="M243" s="375">
        <v>43676</v>
      </c>
      <c r="Q243" s="162"/>
      <c r="R243" s="162"/>
      <c r="S243" s="162"/>
      <c r="T243" s="166"/>
      <c r="U243" s="162"/>
    </row>
    <row r="244" spans="1:21" x14ac:dyDescent="0.25">
      <c r="A244" s="373">
        <v>239</v>
      </c>
      <c r="B244" s="373" t="s">
        <v>2399</v>
      </c>
      <c r="C244" s="373" t="s">
        <v>1081</v>
      </c>
      <c r="D244" s="374">
        <v>9213333</v>
      </c>
      <c r="E244" s="393">
        <v>43668</v>
      </c>
      <c r="I244" s="373"/>
      <c r="J244" s="373" t="s">
        <v>2398</v>
      </c>
      <c r="K244" s="373" t="s">
        <v>388</v>
      </c>
      <c r="L244" s="374"/>
      <c r="M244" s="375"/>
      <c r="Q244" s="162"/>
      <c r="R244" s="162"/>
      <c r="S244" s="162"/>
      <c r="T244" s="166"/>
      <c r="U244" s="162"/>
    </row>
    <row r="245" spans="1:21" x14ac:dyDescent="0.25">
      <c r="A245" s="373">
        <v>240</v>
      </c>
      <c r="B245" s="373" t="s">
        <v>2397</v>
      </c>
      <c r="C245" s="373" t="s">
        <v>2195</v>
      </c>
      <c r="D245" s="374">
        <v>68963883</v>
      </c>
      <c r="E245" s="393">
        <v>43668</v>
      </c>
      <c r="I245" s="373"/>
      <c r="J245" s="373" t="s">
        <v>2396</v>
      </c>
      <c r="K245" s="373" t="s">
        <v>2159</v>
      </c>
      <c r="L245" s="374">
        <v>19347831</v>
      </c>
      <c r="M245" s="375">
        <v>43676</v>
      </c>
      <c r="Q245" s="162"/>
      <c r="R245" s="162"/>
      <c r="S245" s="162"/>
      <c r="T245" s="166"/>
      <c r="U245" s="162"/>
    </row>
    <row r="246" spans="1:21" x14ac:dyDescent="0.25">
      <c r="A246" s="373">
        <v>241</v>
      </c>
      <c r="B246" s="373" t="s">
        <v>2395</v>
      </c>
      <c r="C246" s="373" t="s">
        <v>2394</v>
      </c>
      <c r="D246" s="374">
        <v>45605157</v>
      </c>
      <c r="E246" s="393">
        <v>43668</v>
      </c>
      <c r="I246" s="373"/>
      <c r="J246" s="373" t="s">
        <v>2393</v>
      </c>
      <c r="K246" s="373" t="s">
        <v>2173</v>
      </c>
      <c r="L246" s="374">
        <v>14467100</v>
      </c>
      <c r="M246" s="375">
        <v>43675</v>
      </c>
      <c r="Q246" s="162"/>
      <c r="R246" s="162"/>
      <c r="S246" s="162"/>
      <c r="T246" s="166"/>
      <c r="U246" s="162"/>
    </row>
    <row r="247" spans="1:21" x14ac:dyDescent="0.25">
      <c r="A247" s="373">
        <v>242</v>
      </c>
      <c r="B247" s="373" t="s">
        <v>2392</v>
      </c>
      <c r="C247" s="373" t="s">
        <v>543</v>
      </c>
      <c r="D247" s="374">
        <v>338538392</v>
      </c>
      <c r="E247" s="393">
        <v>43669</v>
      </c>
      <c r="I247" s="373"/>
      <c r="J247" s="373" t="s">
        <v>2391</v>
      </c>
      <c r="K247" s="373" t="s">
        <v>2179</v>
      </c>
      <c r="L247" s="374">
        <v>16644675</v>
      </c>
      <c r="M247" s="375">
        <v>43675</v>
      </c>
      <c r="Q247" s="162"/>
      <c r="R247" s="162"/>
      <c r="S247" s="162"/>
      <c r="T247" s="166"/>
      <c r="U247" s="162"/>
    </row>
    <row r="248" spans="1:21" x14ac:dyDescent="0.25">
      <c r="A248" s="373">
        <v>243</v>
      </c>
      <c r="B248" s="373" t="s">
        <v>2390</v>
      </c>
      <c r="C248" s="373" t="s">
        <v>1845</v>
      </c>
      <c r="D248" s="374">
        <v>552523803</v>
      </c>
      <c r="E248" s="393">
        <v>43669</v>
      </c>
      <c r="I248" s="373"/>
      <c r="J248" s="373" t="s">
        <v>2389</v>
      </c>
      <c r="K248" s="373" t="s">
        <v>2176</v>
      </c>
      <c r="L248" s="374">
        <v>15078997</v>
      </c>
      <c r="M248" s="375">
        <v>43675</v>
      </c>
      <c r="Q248" s="162"/>
      <c r="R248" s="162"/>
      <c r="S248" s="162"/>
      <c r="T248" s="166"/>
      <c r="U248" s="162"/>
    </row>
    <row r="249" spans="1:21" x14ac:dyDescent="0.25">
      <c r="A249" s="373">
        <v>244</v>
      </c>
      <c r="B249" s="373" t="s">
        <v>2388</v>
      </c>
      <c r="C249" s="373" t="s">
        <v>431</v>
      </c>
      <c r="D249" s="374">
        <v>137615950</v>
      </c>
      <c r="E249" s="393">
        <v>43669</v>
      </c>
      <c r="I249" s="373"/>
      <c r="J249" s="373" t="s">
        <v>2387</v>
      </c>
      <c r="K249" s="373" t="s">
        <v>2170</v>
      </c>
      <c r="L249" s="374">
        <v>6929988</v>
      </c>
      <c r="M249" s="375">
        <v>43675</v>
      </c>
      <c r="Q249" s="162"/>
      <c r="R249" s="162"/>
      <c r="S249" s="162"/>
      <c r="T249" s="166"/>
      <c r="U249" s="162"/>
    </row>
    <row r="250" spans="1:21" x14ac:dyDescent="0.25">
      <c r="A250" s="373">
        <v>245</v>
      </c>
      <c r="B250" s="373" t="s">
        <v>2386</v>
      </c>
      <c r="C250" s="373" t="s">
        <v>1198</v>
      </c>
      <c r="D250" s="374">
        <v>1302531869</v>
      </c>
      <c r="E250" s="393">
        <v>43669</v>
      </c>
      <c r="I250" s="373"/>
      <c r="J250" s="373" t="s">
        <v>2385</v>
      </c>
      <c r="K250" s="373" t="s">
        <v>2147</v>
      </c>
      <c r="L250" s="374">
        <v>16580460</v>
      </c>
      <c r="M250" s="375">
        <v>43676</v>
      </c>
      <c r="Q250" s="162"/>
      <c r="R250" s="162"/>
      <c r="S250" s="162"/>
      <c r="T250" s="166"/>
      <c r="U250" s="162"/>
    </row>
    <row r="251" spans="1:21" x14ac:dyDescent="0.25">
      <c r="A251" s="373">
        <v>246</v>
      </c>
      <c r="B251" s="373" t="s">
        <v>2384</v>
      </c>
      <c r="C251" s="373" t="s">
        <v>2104</v>
      </c>
      <c r="D251" s="374">
        <v>1076252318</v>
      </c>
      <c r="E251" s="393">
        <v>43669</v>
      </c>
      <c r="I251" s="373"/>
      <c r="J251" s="373" t="s">
        <v>2383</v>
      </c>
      <c r="K251" s="373" t="s">
        <v>1019</v>
      </c>
      <c r="L251" s="374">
        <v>11543015</v>
      </c>
      <c r="M251" s="375">
        <v>43676</v>
      </c>
      <c r="Q251" s="162"/>
      <c r="R251" s="162"/>
      <c r="S251" s="162"/>
      <c r="T251" s="166"/>
      <c r="U251" s="162"/>
    </row>
    <row r="252" spans="1:21" x14ac:dyDescent="0.25">
      <c r="A252" s="373">
        <v>247</v>
      </c>
      <c r="B252" s="373" t="s">
        <v>2382</v>
      </c>
      <c r="C252" s="373" t="s">
        <v>1374</v>
      </c>
      <c r="D252" s="374">
        <v>700683401</v>
      </c>
      <c r="E252" s="393">
        <v>43669</v>
      </c>
      <c r="I252" s="373"/>
      <c r="J252" s="373" t="s">
        <v>2381</v>
      </c>
      <c r="K252" s="373" t="s">
        <v>2156</v>
      </c>
      <c r="L252" s="374">
        <v>5704411</v>
      </c>
      <c r="M252" s="375">
        <v>43676</v>
      </c>
      <c r="Q252" s="162"/>
      <c r="R252" s="162"/>
      <c r="S252" s="162"/>
      <c r="T252" s="166"/>
      <c r="U252" s="162"/>
    </row>
    <row r="253" spans="1:21" x14ac:dyDescent="0.25">
      <c r="A253" s="373">
        <v>248</v>
      </c>
      <c r="B253" s="373" t="s">
        <v>2380</v>
      </c>
      <c r="C253" s="373" t="s">
        <v>522</v>
      </c>
      <c r="D253" s="374">
        <v>406024623</v>
      </c>
      <c r="E253" s="393">
        <v>43670</v>
      </c>
      <c r="I253" s="373"/>
      <c r="J253" s="373" t="s">
        <v>2379</v>
      </c>
      <c r="K253" s="373" t="s">
        <v>1025</v>
      </c>
      <c r="L253" s="374">
        <v>25751841</v>
      </c>
      <c r="M253" s="375">
        <v>43676</v>
      </c>
      <c r="Q253" s="162"/>
      <c r="R253" s="162"/>
      <c r="S253" s="162"/>
      <c r="T253" s="166"/>
      <c r="U253" s="162"/>
    </row>
    <row r="254" spans="1:21" x14ac:dyDescent="0.25">
      <c r="A254" s="373">
        <v>249</v>
      </c>
      <c r="B254" s="373" t="s">
        <v>2378</v>
      </c>
      <c r="C254" s="373" t="s">
        <v>322</v>
      </c>
      <c r="D254" s="374"/>
      <c r="E254" s="393"/>
      <c r="I254" s="373"/>
      <c r="J254" s="373" t="s">
        <v>2377</v>
      </c>
      <c r="K254" s="373" t="s">
        <v>964</v>
      </c>
      <c r="L254" s="374">
        <v>17373693</v>
      </c>
      <c r="M254" s="375">
        <v>43675</v>
      </c>
      <c r="Q254" s="162"/>
      <c r="R254" s="162"/>
      <c r="S254" s="162"/>
      <c r="T254" s="166"/>
      <c r="U254" s="162"/>
    </row>
    <row r="255" spans="1:21" x14ac:dyDescent="0.25">
      <c r="A255" s="373">
        <v>250</v>
      </c>
      <c r="B255" s="373" t="s">
        <v>2376</v>
      </c>
      <c r="C255" s="373" t="s">
        <v>551</v>
      </c>
      <c r="D255" s="374">
        <v>148901000</v>
      </c>
      <c r="E255" s="393">
        <v>43670</v>
      </c>
      <c r="I255" s="373"/>
      <c r="J255" s="373" t="s">
        <v>2375</v>
      </c>
      <c r="K255" s="373" t="s">
        <v>2374</v>
      </c>
      <c r="L255" s="374">
        <v>13472800</v>
      </c>
      <c r="M255" s="375">
        <v>43677</v>
      </c>
      <c r="Q255" s="162"/>
      <c r="R255" s="162"/>
      <c r="S255" s="162"/>
      <c r="T255" s="166"/>
      <c r="U255" s="162"/>
    </row>
    <row r="256" spans="1:21" x14ac:dyDescent="0.25">
      <c r="A256" s="373">
        <v>251</v>
      </c>
      <c r="B256" s="373" t="s">
        <v>2373</v>
      </c>
      <c r="C256" s="373" t="s">
        <v>623</v>
      </c>
      <c r="D256" s="374">
        <v>78357214</v>
      </c>
      <c r="E256" s="393">
        <v>43670</v>
      </c>
      <c r="I256" s="373"/>
      <c r="J256" s="373" t="s">
        <v>2372</v>
      </c>
      <c r="K256" s="373" t="s">
        <v>2371</v>
      </c>
      <c r="L256" s="374">
        <v>2792760</v>
      </c>
      <c r="M256" s="375">
        <v>43679</v>
      </c>
      <c r="Q256" s="162"/>
      <c r="R256" s="162"/>
      <c r="S256" s="162"/>
      <c r="T256" s="166"/>
      <c r="U256" s="162"/>
    </row>
    <row r="257" spans="1:21" x14ac:dyDescent="0.25">
      <c r="A257" s="373">
        <v>252</v>
      </c>
      <c r="B257" s="373" t="s">
        <v>2370</v>
      </c>
      <c r="C257" s="373" t="s">
        <v>709</v>
      </c>
      <c r="D257" s="374">
        <v>120296624</v>
      </c>
      <c r="E257" s="393">
        <v>43670</v>
      </c>
      <c r="I257" s="373"/>
      <c r="J257" s="373" t="s">
        <v>2369</v>
      </c>
      <c r="K257" s="373" t="s">
        <v>2368</v>
      </c>
      <c r="L257" s="374">
        <v>19149385</v>
      </c>
      <c r="M257" s="375">
        <v>43679</v>
      </c>
      <c r="Q257" s="162"/>
      <c r="R257" s="162"/>
      <c r="S257" s="162"/>
      <c r="T257" s="166"/>
      <c r="U257" s="162"/>
    </row>
    <row r="258" spans="1:21" x14ac:dyDescent="0.25">
      <c r="A258" s="373">
        <v>253</v>
      </c>
      <c r="B258" s="373" t="s">
        <v>2367</v>
      </c>
      <c r="C258" s="373" t="s">
        <v>1198</v>
      </c>
      <c r="D258" s="374">
        <v>652353366</v>
      </c>
      <c r="E258" s="393">
        <v>43670</v>
      </c>
      <c r="I258" s="373"/>
      <c r="J258" s="373" t="s">
        <v>2366</v>
      </c>
      <c r="K258" s="373" t="s">
        <v>2365</v>
      </c>
      <c r="L258" s="374">
        <v>3624000</v>
      </c>
      <c r="M258" s="375">
        <v>43679</v>
      </c>
      <c r="Q258" s="162"/>
      <c r="R258" s="162"/>
      <c r="S258" s="162"/>
      <c r="T258" s="166"/>
      <c r="U258" s="162"/>
    </row>
    <row r="259" spans="1:21" x14ac:dyDescent="0.25">
      <c r="A259" s="373">
        <v>254</v>
      </c>
      <c r="B259" s="373" t="s">
        <v>2364</v>
      </c>
      <c r="C259" s="373" t="s">
        <v>322</v>
      </c>
      <c r="D259" s="374"/>
      <c r="E259" s="393"/>
      <c r="I259" s="373"/>
      <c r="J259" s="373" t="s">
        <v>2363</v>
      </c>
      <c r="K259" s="373" t="s">
        <v>388</v>
      </c>
      <c r="L259" s="374"/>
      <c r="M259" s="375"/>
      <c r="Q259" s="162"/>
      <c r="R259" s="162"/>
      <c r="S259" s="162"/>
      <c r="T259" s="166"/>
      <c r="U259" s="162"/>
    </row>
    <row r="260" spans="1:21" x14ac:dyDescent="0.25">
      <c r="A260" s="373">
        <v>255</v>
      </c>
      <c r="B260" s="373" t="s">
        <v>2362</v>
      </c>
      <c r="C260" s="373" t="s">
        <v>1845</v>
      </c>
      <c r="D260" s="374">
        <v>463396778</v>
      </c>
      <c r="E260" s="393">
        <v>43670</v>
      </c>
      <c r="I260" s="373"/>
      <c r="J260" s="373" t="s">
        <v>2361</v>
      </c>
      <c r="K260" s="373" t="s">
        <v>1025</v>
      </c>
      <c r="L260" s="374">
        <v>22352387</v>
      </c>
      <c r="M260" s="375">
        <v>43683</v>
      </c>
      <c r="Q260" s="162"/>
      <c r="R260" s="162"/>
      <c r="S260" s="162"/>
      <c r="T260" s="166"/>
      <c r="U260" s="162"/>
    </row>
    <row r="261" spans="1:21" x14ac:dyDescent="0.25">
      <c r="A261" s="373">
        <v>256</v>
      </c>
      <c r="B261" s="373" t="s">
        <v>2360</v>
      </c>
      <c r="C261" s="373" t="s">
        <v>322</v>
      </c>
      <c r="D261" s="374"/>
      <c r="E261" s="393"/>
      <c r="I261" s="373"/>
      <c r="J261" s="373" t="s">
        <v>2359</v>
      </c>
      <c r="K261" s="373" t="s">
        <v>2150</v>
      </c>
      <c r="L261" s="374">
        <v>5587557</v>
      </c>
      <c r="M261" s="375">
        <v>43683</v>
      </c>
      <c r="Q261" s="162"/>
      <c r="R261" s="162"/>
      <c r="S261" s="162"/>
      <c r="T261" s="166"/>
      <c r="U261" s="162"/>
    </row>
    <row r="262" spans="1:21" x14ac:dyDescent="0.25">
      <c r="A262" s="373">
        <v>257</v>
      </c>
      <c r="B262" s="373" t="s">
        <v>2358</v>
      </c>
      <c r="C262" s="373" t="s">
        <v>2199</v>
      </c>
      <c r="D262" s="374">
        <v>2913763950</v>
      </c>
      <c r="E262" s="393">
        <v>43670</v>
      </c>
      <c r="I262" s="373"/>
      <c r="J262" s="373" t="s">
        <v>2357</v>
      </c>
      <c r="K262" s="373" t="s">
        <v>2162</v>
      </c>
      <c r="L262" s="374">
        <v>50178176</v>
      </c>
      <c r="M262" s="375">
        <v>43683</v>
      </c>
      <c r="Q262" s="162"/>
      <c r="R262" s="162"/>
      <c r="S262" s="162"/>
      <c r="T262" s="166"/>
      <c r="U262" s="162"/>
    </row>
    <row r="263" spans="1:21" x14ac:dyDescent="0.25">
      <c r="A263" s="373">
        <v>258</v>
      </c>
      <c r="B263" s="373" t="s">
        <v>2356</v>
      </c>
      <c r="C263" s="373" t="s">
        <v>322</v>
      </c>
      <c r="D263" s="374"/>
      <c r="E263" s="393"/>
      <c r="I263" s="373"/>
      <c r="J263" s="373" t="s">
        <v>2355</v>
      </c>
      <c r="K263" s="373" t="s">
        <v>2182</v>
      </c>
      <c r="L263" s="374">
        <v>10024528</v>
      </c>
      <c r="M263" s="375">
        <v>43682</v>
      </c>
      <c r="Q263" s="162"/>
      <c r="R263" s="162"/>
      <c r="S263" s="162"/>
      <c r="T263" s="166"/>
      <c r="U263" s="162"/>
    </row>
    <row r="264" spans="1:21" x14ac:dyDescent="0.25">
      <c r="A264" s="373">
        <v>259</v>
      </c>
      <c r="B264" s="373" t="s">
        <v>2354</v>
      </c>
      <c r="C264" s="373" t="s">
        <v>1374</v>
      </c>
      <c r="D264" s="374">
        <v>782574667</v>
      </c>
      <c r="E264" s="393">
        <v>43671</v>
      </c>
      <c r="I264" s="373"/>
      <c r="J264" s="373" t="s">
        <v>2353</v>
      </c>
      <c r="K264" s="373" t="s">
        <v>2159</v>
      </c>
      <c r="L264" s="374">
        <v>32726337</v>
      </c>
      <c r="M264" s="375">
        <v>43683</v>
      </c>
      <c r="Q264" s="162"/>
      <c r="R264" s="162"/>
      <c r="S264" s="162"/>
      <c r="T264" s="166"/>
      <c r="U264" s="162"/>
    </row>
    <row r="265" spans="1:21" x14ac:dyDescent="0.25">
      <c r="A265" s="373">
        <v>260</v>
      </c>
      <c r="B265" s="373" t="s">
        <v>2352</v>
      </c>
      <c r="C265" s="373" t="s">
        <v>1198</v>
      </c>
      <c r="D265" s="374">
        <v>1447207405</v>
      </c>
      <c r="E265" s="393">
        <v>43671</v>
      </c>
      <c r="I265" s="373"/>
      <c r="J265" s="373" t="s">
        <v>2351</v>
      </c>
      <c r="K265" s="373" t="s">
        <v>2179</v>
      </c>
      <c r="L265" s="374">
        <v>17515085</v>
      </c>
      <c r="M265" s="375">
        <v>43682</v>
      </c>
      <c r="Q265" s="162"/>
      <c r="R265" s="162"/>
      <c r="S265" s="162"/>
      <c r="T265" s="166"/>
      <c r="U265" s="162"/>
    </row>
    <row r="266" spans="1:21" x14ac:dyDescent="0.25">
      <c r="A266" s="373">
        <v>261</v>
      </c>
      <c r="B266" s="373" t="s">
        <v>2350</v>
      </c>
      <c r="C266" s="373" t="s">
        <v>1313</v>
      </c>
      <c r="D266" s="374">
        <v>288597040</v>
      </c>
      <c r="E266" s="393">
        <v>43671</v>
      </c>
      <c r="I266" s="373"/>
      <c r="J266" s="373" t="s">
        <v>2349</v>
      </c>
      <c r="K266" s="373" t="s">
        <v>388</v>
      </c>
      <c r="L266" s="374"/>
      <c r="M266" s="373"/>
      <c r="Q266" s="162"/>
      <c r="R266" s="162"/>
      <c r="S266" s="162"/>
      <c r="T266" s="166"/>
      <c r="U266" s="162"/>
    </row>
    <row r="267" spans="1:21" x14ac:dyDescent="0.25">
      <c r="A267" s="373">
        <v>262</v>
      </c>
      <c r="B267" s="373" t="s">
        <v>2348</v>
      </c>
      <c r="C267" s="373" t="s">
        <v>322</v>
      </c>
      <c r="D267" s="374"/>
      <c r="E267" s="393">
        <v>43671</v>
      </c>
      <c r="I267" s="373"/>
      <c r="J267" s="373" t="s">
        <v>2347</v>
      </c>
      <c r="K267" s="373" t="s">
        <v>2173</v>
      </c>
      <c r="L267" s="374">
        <v>14017782</v>
      </c>
      <c r="M267" s="375">
        <v>43682</v>
      </c>
      <c r="Q267" s="162"/>
      <c r="R267" s="162"/>
      <c r="S267" s="162"/>
      <c r="T267" s="166"/>
      <c r="U267" s="162"/>
    </row>
    <row r="268" spans="1:21" x14ac:dyDescent="0.25">
      <c r="A268" s="373">
        <v>263</v>
      </c>
      <c r="B268" s="373" t="s">
        <v>2346</v>
      </c>
      <c r="C268" s="373" t="s">
        <v>2199</v>
      </c>
      <c r="D268" s="374">
        <v>500317778</v>
      </c>
      <c r="E268" s="393">
        <v>43671</v>
      </c>
      <c r="I268" s="373"/>
      <c r="J268" s="373" t="s">
        <v>2345</v>
      </c>
      <c r="K268" s="373" t="s">
        <v>2147</v>
      </c>
      <c r="L268" s="374">
        <v>16171537</v>
      </c>
      <c r="M268" s="375">
        <v>43683</v>
      </c>
      <c r="Q268" s="162"/>
      <c r="R268" s="162"/>
      <c r="S268" s="162"/>
      <c r="T268" s="166"/>
      <c r="U268" s="162"/>
    </row>
    <row r="269" spans="1:21" x14ac:dyDescent="0.25">
      <c r="A269" s="373">
        <v>264</v>
      </c>
      <c r="B269" s="373" t="s">
        <v>2344</v>
      </c>
      <c r="C269" s="373" t="s">
        <v>2343</v>
      </c>
      <c r="D269" s="374">
        <v>541394819</v>
      </c>
      <c r="E269" s="393">
        <v>43671</v>
      </c>
      <c r="I269" s="373"/>
      <c r="J269" s="373" t="s">
        <v>2342</v>
      </c>
      <c r="K269" s="373" t="s">
        <v>1019</v>
      </c>
      <c r="L269" s="374">
        <v>46222950</v>
      </c>
      <c r="M269" s="375">
        <v>43683</v>
      </c>
      <c r="Q269" s="162"/>
      <c r="R269" s="162"/>
      <c r="S269" s="162"/>
      <c r="T269" s="166"/>
      <c r="U269" s="162"/>
    </row>
    <row r="270" spans="1:21" x14ac:dyDescent="0.25">
      <c r="A270" s="373">
        <v>265</v>
      </c>
      <c r="B270" s="373" t="s">
        <v>2341</v>
      </c>
      <c r="C270" s="373" t="s">
        <v>522</v>
      </c>
      <c r="D270" s="374">
        <v>246312703</v>
      </c>
      <c r="E270" s="393">
        <v>43671</v>
      </c>
      <c r="I270" s="373"/>
      <c r="J270" s="373" t="s">
        <v>2340</v>
      </c>
      <c r="K270" s="373" t="s">
        <v>388</v>
      </c>
      <c r="L270" s="374"/>
      <c r="M270" s="375"/>
      <c r="Q270" s="162"/>
      <c r="R270" s="162"/>
      <c r="S270" s="162"/>
      <c r="T270" s="166"/>
      <c r="U270" s="162"/>
    </row>
    <row r="271" spans="1:21" x14ac:dyDescent="0.25">
      <c r="A271" s="373">
        <v>266</v>
      </c>
      <c r="B271" s="373" t="s">
        <v>2339</v>
      </c>
      <c r="C271" s="373" t="s">
        <v>1845</v>
      </c>
      <c r="D271" s="374">
        <v>500035000</v>
      </c>
      <c r="E271" s="393">
        <v>43672</v>
      </c>
      <c r="I271" s="373"/>
      <c r="J271" s="373" t="s">
        <v>2338</v>
      </c>
      <c r="K271" s="373" t="s">
        <v>2167</v>
      </c>
      <c r="L271" s="374">
        <v>30070376</v>
      </c>
      <c r="M271" s="375">
        <v>43682</v>
      </c>
      <c r="Q271" s="162"/>
      <c r="R271" s="162"/>
      <c r="S271" s="162"/>
      <c r="T271" s="166"/>
      <c r="U271" s="162"/>
    </row>
    <row r="272" spans="1:21" x14ac:dyDescent="0.25">
      <c r="A272" s="373">
        <v>267</v>
      </c>
      <c r="B272" s="373" t="s">
        <v>2337</v>
      </c>
      <c r="C272" s="373" t="s">
        <v>1374</v>
      </c>
      <c r="D272" s="374">
        <v>570850183</v>
      </c>
      <c r="E272" s="393">
        <v>43672</v>
      </c>
      <c r="I272" s="373"/>
      <c r="J272" s="373" t="s">
        <v>2336</v>
      </c>
      <c r="K272" s="373" t="s">
        <v>2156</v>
      </c>
      <c r="L272" s="374">
        <v>6665350</v>
      </c>
      <c r="M272" s="375">
        <v>43683</v>
      </c>
      <c r="Q272" s="162"/>
      <c r="R272" s="162"/>
      <c r="S272" s="162"/>
      <c r="T272" s="166"/>
      <c r="U272" s="162"/>
    </row>
    <row r="273" spans="1:21" x14ac:dyDescent="0.25">
      <c r="A273" s="373">
        <v>268</v>
      </c>
      <c r="B273" s="373" t="s">
        <v>2335</v>
      </c>
      <c r="C273" s="373" t="s">
        <v>1198</v>
      </c>
      <c r="D273" s="374">
        <v>778305573</v>
      </c>
      <c r="E273" s="393">
        <v>43672</v>
      </c>
      <c r="I273" s="373"/>
      <c r="J273" s="373" t="s">
        <v>2334</v>
      </c>
      <c r="K273" s="373" t="s">
        <v>964</v>
      </c>
      <c r="L273" s="374">
        <v>16267341</v>
      </c>
      <c r="M273" s="375">
        <v>43682</v>
      </c>
      <c r="Q273" s="162"/>
      <c r="R273" s="162"/>
      <c r="S273" s="162"/>
      <c r="T273" s="166"/>
      <c r="U273" s="162"/>
    </row>
    <row r="274" spans="1:21" x14ac:dyDescent="0.25">
      <c r="A274" s="373">
        <v>269</v>
      </c>
      <c r="B274" s="373" t="s">
        <v>2333</v>
      </c>
      <c r="C274" s="373" t="s">
        <v>1424</v>
      </c>
      <c r="D274" s="374">
        <v>89527124</v>
      </c>
      <c r="E274" s="393">
        <v>43672</v>
      </c>
      <c r="I274" s="373"/>
      <c r="J274" s="373" t="s">
        <v>2332</v>
      </c>
      <c r="K274" s="373" t="s">
        <v>2176</v>
      </c>
      <c r="L274" s="374">
        <v>16846253</v>
      </c>
      <c r="M274" s="375">
        <v>43682</v>
      </c>
      <c r="Q274" s="162"/>
      <c r="R274" s="162"/>
      <c r="S274" s="162"/>
      <c r="T274" s="166"/>
      <c r="U274" s="162"/>
    </row>
    <row r="275" spans="1:21" x14ac:dyDescent="0.25">
      <c r="A275" s="373">
        <v>270</v>
      </c>
      <c r="B275" s="373" t="s">
        <v>2331</v>
      </c>
      <c r="C275" s="373" t="s">
        <v>1374</v>
      </c>
      <c r="D275" s="374">
        <v>1233724183</v>
      </c>
      <c r="E275" s="393">
        <v>43672</v>
      </c>
      <c r="I275" s="373"/>
      <c r="J275" s="373" t="s">
        <v>2330</v>
      </c>
      <c r="K275" s="373" t="s">
        <v>2170</v>
      </c>
      <c r="L275" s="374">
        <v>6885272</v>
      </c>
      <c r="M275" s="375">
        <v>43682</v>
      </c>
      <c r="Q275" s="162"/>
      <c r="R275" s="162"/>
      <c r="S275" s="162"/>
      <c r="T275" s="166"/>
      <c r="U275" s="162"/>
    </row>
    <row r="276" spans="1:21" x14ac:dyDescent="0.25">
      <c r="A276" s="373">
        <v>271</v>
      </c>
      <c r="B276" s="373" t="s">
        <v>2329</v>
      </c>
      <c r="C276" s="373" t="s">
        <v>1374</v>
      </c>
      <c r="D276" s="374">
        <v>154729004</v>
      </c>
      <c r="E276" s="393">
        <v>43675</v>
      </c>
      <c r="I276" s="373"/>
      <c r="J276" s="373" t="s">
        <v>2328</v>
      </c>
      <c r="K276" s="373" t="s">
        <v>2327</v>
      </c>
      <c r="L276" s="374">
        <v>1655000</v>
      </c>
      <c r="M276" s="375">
        <v>43683</v>
      </c>
      <c r="Q276" s="162"/>
      <c r="R276" s="162"/>
      <c r="S276" s="162"/>
      <c r="T276" s="166"/>
      <c r="U276" s="162"/>
    </row>
    <row r="277" spans="1:21" x14ac:dyDescent="0.25">
      <c r="A277" s="373">
        <v>272</v>
      </c>
      <c r="B277" s="373" t="s">
        <v>2326</v>
      </c>
      <c r="C277" s="373" t="s">
        <v>302</v>
      </c>
      <c r="D277" s="374">
        <v>94980000</v>
      </c>
      <c r="E277" s="393">
        <v>43675</v>
      </c>
      <c r="I277" s="373"/>
      <c r="J277" s="373" t="s">
        <v>2325</v>
      </c>
      <c r="K277" s="373" t="s">
        <v>2324</v>
      </c>
      <c r="L277" s="374">
        <v>15381267</v>
      </c>
      <c r="M277" s="375">
        <v>43684</v>
      </c>
      <c r="Q277" s="162"/>
      <c r="R277" s="162"/>
      <c r="S277" s="162"/>
      <c r="T277" s="166"/>
      <c r="U277" s="162"/>
    </row>
    <row r="278" spans="1:21" x14ac:dyDescent="0.25">
      <c r="A278" s="373">
        <v>273</v>
      </c>
      <c r="B278" s="373" t="s">
        <v>2323</v>
      </c>
      <c r="C278" s="373" t="s">
        <v>1198</v>
      </c>
      <c r="D278" s="374">
        <v>523210073</v>
      </c>
      <c r="E278" s="393">
        <v>43675</v>
      </c>
      <c r="I278" s="373"/>
      <c r="J278" s="373" t="s">
        <v>2322</v>
      </c>
      <c r="K278" s="373" t="s">
        <v>2321</v>
      </c>
      <c r="L278" s="374">
        <v>7212900</v>
      </c>
      <c r="M278" s="375">
        <v>43684</v>
      </c>
      <c r="Q278" s="162"/>
      <c r="R278" s="162"/>
      <c r="S278" s="162"/>
      <c r="T278" s="166"/>
      <c r="U278" s="162"/>
    </row>
    <row r="279" spans="1:21" x14ac:dyDescent="0.25">
      <c r="A279" s="373">
        <v>274</v>
      </c>
      <c r="B279" s="373" t="s">
        <v>2320</v>
      </c>
      <c r="C279" s="373" t="s">
        <v>429</v>
      </c>
      <c r="D279" s="374">
        <v>17554450</v>
      </c>
      <c r="E279" s="393">
        <v>43675</v>
      </c>
      <c r="I279" s="373"/>
      <c r="J279" s="373" t="s">
        <v>2319</v>
      </c>
      <c r="K279" s="373" t="s">
        <v>2318</v>
      </c>
      <c r="L279" s="374">
        <v>9016100</v>
      </c>
      <c r="M279" s="375">
        <v>43684</v>
      </c>
      <c r="Q279" s="162"/>
      <c r="R279" s="162"/>
      <c r="S279" s="162"/>
      <c r="T279" s="166"/>
      <c r="U279" s="162"/>
    </row>
    <row r="280" spans="1:21" x14ac:dyDescent="0.25">
      <c r="A280" s="373">
        <v>275</v>
      </c>
      <c r="B280" s="373" t="s">
        <v>2317</v>
      </c>
      <c r="C280" s="373" t="s">
        <v>709</v>
      </c>
      <c r="D280" s="374">
        <v>210756841</v>
      </c>
      <c r="E280" s="393">
        <v>43675</v>
      </c>
      <c r="I280" s="373"/>
      <c r="J280" s="373" t="s">
        <v>2316</v>
      </c>
      <c r="K280" s="373" t="s">
        <v>2315</v>
      </c>
      <c r="L280" s="374">
        <v>15312600</v>
      </c>
      <c r="M280" s="375">
        <v>43684</v>
      </c>
      <c r="Q280" s="162"/>
      <c r="R280" s="162"/>
      <c r="S280" s="162"/>
      <c r="T280" s="166"/>
      <c r="U280" s="162"/>
    </row>
    <row r="281" spans="1:21" x14ac:dyDescent="0.25">
      <c r="A281" s="373">
        <v>276</v>
      </c>
      <c r="B281" s="373" t="s">
        <v>2314</v>
      </c>
      <c r="C281" s="373" t="s">
        <v>248</v>
      </c>
      <c r="D281" s="374">
        <v>425601000</v>
      </c>
      <c r="E281" s="393">
        <v>43675</v>
      </c>
      <c r="I281" s="373"/>
      <c r="J281" s="373" t="s">
        <v>2313</v>
      </c>
      <c r="K281" s="373" t="s">
        <v>2312</v>
      </c>
      <c r="L281" s="374">
        <v>12833200</v>
      </c>
      <c r="M281" s="375">
        <v>43684</v>
      </c>
      <c r="Q281" s="162"/>
      <c r="R281" s="162"/>
      <c r="S281" s="162"/>
      <c r="T281" s="166"/>
      <c r="U281" s="162"/>
    </row>
    <row r="282" spans="1:21" x14ac:dyDescent="0.25">
      <c r="A282" s="373">
        <v>277</v>
      </c>
      <c r="B282" s="373" t="s">
        <v>2311</v>
      </c>
      <c r="C282" s="373" t="s">
        <v>2199</v>
      </c>
      <c r="D282" s="374">
        <v>1000035000</v>
      </c>
      <c r="E282" s="393">
        <v>43675</v>
      </c>
      <c r="I282" s="373"/>
      <c r="J282" s="373" t="s">
        <v>2310</v>
      </c>
      <c r="K282" s="373" t="s">
        <v>2309</v>
      </c>
      <c r="L282" s="374">
        <v>4265550</v>
      </c>
      <c r="M282" s="375">
        <v>43684</v>
      </c>
      <c r="Q282" s="162"/>
      <c r="R282" s="162"/>
      <c r="S282" s="162"/>
      <c r="T282" s="166"/>
      <c r="U282" s="162"/>
    </row>
    <row r="283" spans="1:21" x14ac:dyDescent="0.25">
      <c r="A283" s="373">
        <v>278</v>
      </c>
      <c r="B283" s="373" t="s">
        <v>2308</v>
      </c>
      <c r="C283" s="373" t="s">
        <v>1845</v>
      </c>
      <c r="D283" s="374">
        <v>923571680</v>
      </c>
      <c r="E283" s="393">
        <v>43675</v>
      </c>
      <c r="I283" s="373"/>
      <c r="J283" s="373" t="s">
        <v>2307</v>
      </c>
      <c r="K283" s="373" t="s">
        <v>2306</v>
      </c>
      <c r="L283" s="374">
        <v>11470150</v>
      </c>
      <c r="M283" s="375">
        <v>43684</v>
      </c>
      <c r="Q283" s="162"/>
      <c r="R283" s="162"/>
      <c r="S283" s="162"/>
      <c r="T283" s="166"/>
      <c r="U283" s="162"/>
    </row>
    <row r="284" spans="1:21" x14ac:dyDescent="0.25">
      <c r="A284" s="373">
        <v>279</v>
      </c>
      <c r="B284" s="373" t="s">
        <v>2305</v>
      </c>
      <c r="C284" s="373" t="s">
        <v>709</v>
      </c>
      <c r="D284" s="374">
        <v>34793096</v>
      </c>
      <c r="E284" s="393">
        <v>43676</v>
      </c>
      <c r="I284" s="373"/>
      <c r="J284" s="373" t="s">
        <v>2304</v>
      </c>
      <c r="K284" s="373" t="s">
        <v>2303</v>
      </c>
      <c r="L284" s="374">
        <v>1835150</v>
      </c>
      <c r="M284" s="375">
        <v>43684</v>
      </c>
      <c r="Q284" s="162"/>
      <c r="R284" s="162"/>
      <c r="S284" s="162"/>
      <c r="T284" s="166"/>
      <c r="U284" s="162"/>
    </row>
    <row r="285" spans="1:21" x14ac:dyDescent="0.25">
      <c r="A285" s="373">
        <v>280</v>
      </c>
      <c r="B285" s="373" t="s">
        <v>2302</v>
      </c>
      <c r="C285" s="373" t="s">
        <v>429</v>
      </c>
      <c r="D285" s="374">
        <v>8779975</v>
      </c>
      <c r="E285" s="393">
        <v>43676</v>
      </c>
      <c r="I285" s="373"/>
      <c r="J285" s="373" t="s">
        <v>2301</v>
      </c>
      <c r="K285" s="373" t="s">
        <v>2300</v>
      </c>
      <c r="L285" s="374">
        <v>9594300</v>
      </c>
      <c r="M285" s="375">
        <v>43684</v>
      </c>
      <c r="Q285" s="162"/>
      <c r="R285" s="162"/>
      <c r="S285" s="162"/>
      <c r="T285" s="166"/>
      <c r="U285" s="162"/>
    </row>
    <row r="286" spans="1:21" x14ac:dyDescent="0.25">
      <c r="A286" s="373">
        <v>281</v>
      </c>
      <c r="B286" s="373" t="s">
        <v>2299</v>
      </c>
      <c r="C286" s="373" t="s">
        <v>1198</v>
      </c>
      <c r="D286" s="374">
        <v>879216242</v>
      </c>
      <c r="E286" s="393">
        <v>43676</v>
      </c>
      <c r="I286" s="373"/>
      <c r="J286" s="373" t="s">
        <v>2298</v>
      </c>
      <c r="K286" s="373" t="s">
        <v>2297</v>
      </c>
      <c r="L286" s="374">
        <v>11549300</v>
      </c>
      <c r="M286" s="375">
        <v>43684</v>
      </c>
      <c r="Q286" s="162"/>
      <c r="R286" s="162"/>
      <c r="S286" s="162"/>
      <c r="T286" s="166"/>
      <c r="U286" s="162"/>
    </row>
    <row r="287" spans="1:21" x14ac:dyDescent="0.25">
      <c r="A287" s="373">
        <v>282</v>
      </c>
      <c r="B287" s="373" t="s">
        <v>2296</v>
      </c>
      <c r="C287" s="373" t="s">
        <v>1374</v>
      </c>
      <c r="D287" s="374">
        <v>70502915</v>
      </c>
      <c r="E287" s="393">
        <v>43676</v>
      </c>
      <c r="I287" s="373"/>
      <c r="J287" s="373" t="s">
        <v>2295</v>
      </c>
      <c r="K287" s="373" t="s">
        <v>2294</v>
      </c>
      <c r="L287" s="374">
        <v>23108049</v>
      </c>
      <c r="M287" s="375">
        <v>43686</v>
      </c>
      <c r="Q287" s="162"/>
      <c r="R287" s="162"/>
      <c r="S287" s="162"/>
      <c r="T287" s="166"/>
      <c r="U287" s="162"/>
    </row>
    <row r="288" spans="1:21" x14ac:dyDescent="0.25">
      <c r="A288" s="373">
        <v>283</v>
      </c>
      <c r="B288" s="373" t="s">
        <v>2293</v>
      </c>
      <c r="C288" s="373" t="s">
        <v>522</v>
      </c>
      <c r="D288" s="374">
        <v>254045501</v>
      </c>
      <c r="E288" s="393">
        <v>43672</v>
      </c>
      <c r="I288" s="373"/>
      <c r="J288" s="373" t="s">
        <v>2292</v>
      </c>
      <c r="K288" s="373" t="s">
        <v>2291</v>
      </c>
      <c r="L288" s="374">
        <v>1374500</v>
      </c>
      <c r="M288" s="375">
        <v>43685</v>
      </c>
      <c r="Q288" s="162"/>
      <c r="R288" s="162"/>
      <c r="S288" s="162"/>
      <c r="T288" s="166"/>
      <c r="U288" s="162"/>
    </row>
    <row r="289" spans="1:21" x14ac:dyDescent="0.25">
      <c r="A289" s="373">
        <v>284</v>
      </c>
      <c r="B289" s="373" t="s">
        <v>2290</v>
      </c>
      <c r="C289" s="373" t="s">
        <v>522</v>
      </c>
      <c r="D289" s="374">
        <v>100894296</v>
      </c>
      <c r="E289" s="393">
        <v>43677</v>
      </c>
      <c r="I289" s="373"/>
      <c r="J289" s="373" t="s">
        <v>2289</v>
      </c>
      <c r="K289" s="373" t="s">
        <v>2288</v>
      </c>
      <c r="L289" s="374">
        <v>29676562</v>
      </c>
      <c r="M289" s="375">
        <v>43686</v>
      </c>
      <c r="Q289" s="162"/>
      <c r="R289" s="162"/>
      <c r="S289" s="162"/>
      <c r="T289" s="166"/>
      <c r="U289" s="162"/>
    </row>
    <row r="290" spans="1:21" x14ac:dyDescent="0.25">
      <c r="A290" s="373">
        <v>285</v>
      </c>
      <c r="B290" s="373" t="s">
        <v>2287</v>
      </c>
      <c r="C290" s="373" t="s">
        <v>1374</v>
      </c>
      <c r="D290" s="374">
        <v>477125618</v>
      </c>
      <c r="E290" s="393">
        <v>43677</v>
      </c>
      <c r="I290" s="373"/>
      <c r="J290" s="373" t="s">
        <v>2286</v>
      </c>
      <c r="K290" s="373" t="s">
        <v>2285</v>
      </c>
      <c r="L290" s="374">
        <v>875309</v>
      </c>
      <c r="M290" s="375">
        <v>43686</v>
      </c>
      <c r="Q290" s="162"/>
      <c r="R290" s="162"/>
      <c r="S290" s="162"/>
      <c r="T290" s="166"/>
      <c r="U290" s="162"/>
    </row>
    <row r="291" spans="1:21" x14ac:dyDescent="0.25">
      <c r="A291" s="373">
        <v>286</v>
      </c>
      <c r="B291" s="373" t="s">
        <v>2284</v>
      </c>
      <c r="C291" s="373" t="s">
        <v>1198</v>
      </c>
      <c r="D291" s="374">
        <v>1137899723</v>
      </c>
      <c r="E291" s="393">
        <v>43677</v>
      </c>
      <c r="I291" s="373"/>
      <c r="J291" s="373" t="s">
        <v>2283</v>
      </c>
      <c r="K291" s="373" t="s">
        <v>2282</v>
      </c>
      <c r="L291" s="374">
        <v>22347324</v>
      </c>
      <c r="M291" s="375">
        <v>43686</v>
      </c>
      <c r="Q291" s="162"/>
      <c r="R291" s="162"/>
      <c r="S291" s="162"/>
      <c r="T291" s="166"/>
      <c r="U291" s="162"/>
    </row>
    <row r="292" spans="1:21" x14ac:dyDescent="0.25">
      <c r="A292" s="373">
        <v>287</v>
      </c>
      <c r="B292" s="373" t="s">
        <v>2281</v>
      </c>
      <c r="C292" s="373" t="s">
        <v>1313</v>
      </c>
      <c r="D292" s="374">
        <v>415929608</v>
      </c>
      <c r="E292" s="393">
        <v>43677</v>
      </c>
      <c r="I292" s="373"/>
      <c r="J292" s="373" t="s">
        <v>2280</v>
      </c>
      <c r="K292" s="373" t="s">
        <v>2279</v>
      </c>
      <c r="L292" s="374">
        <v>13466185</v>
      </c>
      <c r="M292" s="375">
        <v>43686</v>
      </c>
      <c r="Q292" s="162"/>
      <c r="R292" s="162"/>
      <c r="S292" s="162"/>
      <c r="T292" s="166"/>
      <c r="U292" s="162"/>
    </row>
    <row r="293" spans="1:21" x14ac:dyDescent="0.25">
      <c r="A293" s="373">
        <v>288</v>
      </c>
      <c r="B293" s="373" t="s">
        <v>2278</v>
      </c>
      <c r="C293" s="379" t="s">
        <v>1313</v>
      </c>
      <c r="D293" s="374">
        <v>137289026</v>
      </c>
      <c r="E293" s="393">
        <v>43677</v>
      </c>
      <c r="I293" s="373"/>
      <c r="J293" s="373" t="s">
        <v>2277</v>
      </c>
      <c r="K293" s="373" t="s">
        <v>2276</v>
      </c>
      <c r="L293" s="374">
        <v>14629000</v>
      </c>
      <c r="M293" s="375">
        <v>43685</v>
      </c>
      <c r="Q293" s="162"/>
      <c r="R293" s="162"/>
      <c r="S293" s="162"/>
      <c r="T293" s="166"/>
      <c r="U293" s="162"/>
    </row>
    <row r="294" spans="1:21" x14ac:dyDescent="0.25">
      <c r="A294" s="373">
        <v>289</v>
      </c>
      <c r="B294" s="373" t="s">
        <v>2275</v>
      </c>
      <c r="C294" s="373" t="s">
        <v>522</v>
      </c>
      <c r="D294" s="374">
        <v>66926295</v>
      </c>
      <c r="E294" s="393">
        <v>43677</v>
      </c>
      <c r="I294" s="373"/>
      <c r="J294" s="373" t="s">
        <v>2274</v>
      </c>
      <c r="K294" s="373" t="s">
        <v>2273</v>
      </c>
      <c r="L294" s="374">
        <v>11684646</v>
      </c>
      <c r="M294" s="375">
        <v>43686</v>
      </c>
      <c r="Q294" s="162"/>
      <c r="R294" s="162"/>
      <c r="S294" s="162"/>
      <c r="T294" s="166"/>
      <c r="U294" s="162"/>
    </row>
    <row r="295" spans="1:21" x14ac:dyDescent="0.25">
      <c r="A295" s="373">
        <v>290</v>
      </c>
      <c r="B295" s="373" t="s">
        <v>2272</v>
      </c>
      <c r="C295" s="373" t="s">
        <v>2271</v>
      </c>
      <c r="D295" s="374">
        <v>10005000</v>
      </c>
      <c r="E295" s="393">
        <v>43677</v>
      </c>
      <c r="I295" s="373"/>
      <c r="J295" s="373" t="s">
        <v>2270</v>
      </c>
      <c r="K295" s="373" t="s">
        <v>2269</v>
      </c>
      <c r="L295" s="374">
        <v>7245203</v>
      </c>
      <c r="M295" s="375">
        <v>43686</v>
      </c>
      <c r="Q295" s="162"/>
      <c r="R295" s="162"/>
      <c r="S295" s="162"/>
      <c r="T295" s="166"/>
      <c r="U295" s="162"/>
    </row>
    <row r="296" spans="1:21" x14ac:dyDescent="0.25">
      <c r="A296" s="373">
        <v>291</v>
      </c>
      <c r="B296" s="373" t="s">
        <v>2268</v>
      </c>
      <c r="C296" s="373" t="s">
        <v>322</v>
      </c>
      <c r="D296" s="374"/>
      <c r="E296" s="393"/>
      <c r="I296" s="373"/>
      <c r="J296" s="373" t="s">
        <v>2267</v>
      </c>
      <c r="K296" s="373" t="s">
        <v>2266</v>
      </c>
      <c r="L296" s="374">
        <v>7120238</v>
      </c>
      <c r="M296" s="375">
        <v>43686</v>
      </c>
      <c r="Q296" s="162"/>
      <c r="R296" s="162"/>
      <c r="S296" s="162"/>
      <c r="T296" s="166"/>
      <c r="U296" s="162"/>
    </row>
    <row r="297" spans="1:21" x14ac:dyDescent="0.25">
      <c r="A297" s="373">
        <v>292</v>
      </c>
      <c r="B297" s="373" t="s">
        <v>2265</v>
      </c>
      <c r="C297" s="373" t="s">
        <v>2199</v>
      </c>
      <c r="D297" s="374">
        <v>1644798061</v>
      </c>
      <c r="E297" s="393">
        <v>43677</v>
      </c>
      <c r="I297" s="373"/>
      <c r="J297" s="373" t="s">
        <v>2264</v>
      </c>
      <c r="K297" s="373" t="s">
        <v>2263</v>
      </c>
      <c r="L297" s="374">
        <v>13409340</v>
      </c>
      <c r="M297" s="375">
        <v>43686</v>
      </c>
      <c r="Q297" s="162"/>
      <c r="R297" s="162"/>
      <c r="S297" s="162"/>
      <c r="T297" s="166"/>
      <c r="U297" s="162"/>
    </row>
    <row r="298" spans="1:21" x14ac:dyDescent="0.25">
      <c r="A298" s="373">
        <v>293</v>
      </c>
      <c r="B298" s="373" t="s">
        <v>2262</v>
      </c>
      <c r="C298" s="373" t="s">
        <v>1845</v>
      </c>
      <c r="D298" s="374">
        <v>1436819813</v>
      </c>
      <c r="E298" s="393">
        <v>43677</v>
      </c>
      <c r="I298" s="373"/>
      <c r="J298" s="373" t="s">
        <v>2261</v>
      </c>
      <c r="K298" s="373" t="s">
        <v>2260</v>
      </c>
      <c r="L298" s="374">
        <v>12587941</v>
      </c>
      <c r="M298" s="375">
        <v>43686</v>
      </c>
      <c r="Q298" s="162"/>
      <c r="R298" s="162"/>
      <c r="S298" s="162"/>
      <c r="T298" s="166"/>
      <c r="U298" s="162"/>
    </row>
    <row r="299" spans="1:21" x14ac:dyDescent="0.25">
      <c r="A299" s="373">
        <v>294</v>
      </c>
      <c r="B299" s="373" t="s">
        <v>2259</v>
      </c>
      <c r="C299" s="373" t="s">
        <v>2258</v>
      </c>
      <c r="D299" s="374">
        <v>3493593</v>
      </c>
      <c r="E299" s="393">
        <v>43677</v>
      </c>
      <c r="I299" s="373"/>
      <c r="J299" s="373" t="s">
        <v>2257</v>
      </c>
      <c r="K299" s="373" t="s">
        <v>388</v>
      </c>
      <c r="L299" s="374"/>
      <c r="M299" s="375"/>
      <c r="Q299" s="162"/>
      <c r="R299" s="162"/>
      <c r="S299" s="162"/>
      <c r="T299" s="166"/>
      <c r="U299" s="162"/>
    </row>
    <row r="300" spans="1:21" x14ac:dyDescent="0.25">
      <c r="A300" s="373">
        <v>295</v>
      </c>
      <c r="B300" s="373" t="s">
        <v>2256</v>
      </c>
      <c r="C300" s="373" t="s">
        <v>322</v>
      </c>
      <c r="D300" s="374"/>
      <c r="E300" s="393"/>
      <c r="I300" s="373"/>
      <c r="J300" s="373" t="s">
        <v>2255</v>
      </c>
      <c r="K300" s="373" t="s">
        <v>2254</v>
      </c>
      <c r="L300" s="374">
        <v>1192475</v>
      </c>
      <c r="M300" s="375">
        <v>43686</v>
      </c>
      <c r="Q300" s="162"/>
      <c r="R300" s="162"/>
      <c r="S300" s="162"/>
      <c r="T300" s="166"/>
      <c r="U300" s="162"/>
    </row>
    <row r="301" spans="1:21" x14ac:dyDescent="0.25">
      <c r="A301" s="373">
        <v>296</v>
      </c>
      <c r="B301" s="373" t="s">
        <v>2253</v>
      </c>
      <c r="C301" s="373" t="s">
        <v>427</v>
      </c>
      <c r="D301" s="374">
        <v>165947389</v>
      </c>
      <c r="E301" s="393">
        <v>43677</v>
      </c>
      <c r="I301" s="373"/>
      <c r="J301" s="373" t="s">
        <v>2252</v>
      </c>
      <c r="K301" s="373" t="s">
        <v>2251</v>
      </c>
      <c r="L301" s="374"/>
      <c r="M301" s="375">
        <v>43686</v>
      </c>
      <c r="Q301" s="162"/>
      <c r="R301" s="162"/>
      <c r="S301" s="162"/>
      <c r="T301" s="166"/>
      <c r="U301" s="162"/>
    </row>
    <row r="302" spans="1:21" x14ac:dyDescent="0.25">
      <c r="A302" s="373">
        <v>297</v>
      </c>
      <c r="B302" s="373" t="s">
        <v>2250</v>
      </c>
      <c r="C302" s="373" t="s">
        <v>322</v>
      </c>
      <c r="D302" s="374"/>
      <c r="E302" s="393"/>
      <c r="I302" s="373"/>
      <c r="J302" s="373" t="s">
        <v>2249</v>
      </c>
      <c r="K302" s="373" t="s">
        <v>2248</v>
      </c>
      <c r="L302" s="374">
        <v>18084176</v>
      </c>
      <c r="M302" s="375">
        <v>43686</v>
      </c>
      <c r="Q302" s="162"/>
      <c r="R302" s="162"/>
      <c r="S302" s="162"/>
      <c r="T302" s="166"/>
      <c r="U302" s="162"/>
    </row>
    <row r="303" spans="1:21" x14ac:dyDescent="0.25">
      <c r="A303" s="373">
        <v>298</v>
      </c>
      <c r="B303" s="373" t="s">
        <v>2247</v>
      </c>
      <c r="C303" s="373" t="s">
        <v>522</v>
      </c>
      <c r="D303" s="374">
        <v>186556732</v>
      </c>
      <c r="E303" s="393">
        <v>43678</v>
      </c>
      <c r="I303" s="373"/>
      <c r="J303" s="373" t="s">
        <v>2246</v>
      </c>
      <c r="K303" s="373" t="s">
        <v>2245</v>
      </c>
      <c r="L303" s="374">
        <v>6515162</v>
      </c>
      <c r="M303" s="375">
        <v>43686</v>
      </c>
    </row>
    <row r="304" spans="1:21" x14ac:dyDescent="0.25">
      <c r="A304" s="373">
        <v>299</v>
      </c>
      <c r="B304" s="373" t="s">
        <v>2244</v>
      </c>
      <c r="C304" s="373" t="s">
        <v>1313</v>
      </c>
      <c r="D304" s="374">
        <v>88629734</v>
      </c>
      <c r="E304" s="393">
        <v>43678</v>
      </c>
      <c r="I304" s="373"/>
      <c r="J304" s="373" t="s">
        <v>2243</v>
      </c>
      <c r="K304" s="373" t="s">
        <v>2242</v>
      </c>
      <c r="L304" s="374">
        <v>11223500</v>
      </c>
      <c r="M304" s="375">
        <v>43686</v>
      </c>
    </row>
    <row r="305" spans="1:20" x14ac:dyDescent="0.25">
      <c r="A305" s="373">
        <v>300</v>
      </c>
      <c r="B305" s="373" t="s">
        <v>2241</v>
      </c>
      <c r="C305" s="373" t="s">
        <v>551</v>
      </c>
      <c r="D305" s="374">
        <v>160449944</v>
      </c>
      <c r="E305" s="393">
        <v>43678</v>
      </c>
      <c r="I305" s="373"/>
      <c r="J305" s="373" t="s">
        <v>2240</v>
      </c>
      <c r="K305" s="373" t="s">
        <v>964</v>
      </c>
      <c r="L305" s="374">
        <v>16936109</v>
      </c>
      <c r="M305" s="375">
        <v>43686</v>
      </c>
      <c r="T305" s="163"/>
    </row>
    <row r="306" spans="1:20" x14ac:dyDescent="0.25">
      <c r="A306" s="373">
        <v>301</v>
      </c>
      <c r="B306" s="373" t="s">
        <v>2239</v>
      </c>
      <c r="C306" s="373" t="s">
        <v>429</v>
      </c>
      <c r="D306" s="374">
        <v>61429825</v>
      </c>
      <c r="E306" s="393">
        <v>43678</v>
      </c>
      <c r="I306" s="373"/>
      <c r="J306" s="373" t="s">
        <v>2238</v>
      </c>
      <c r="K306" s="373" t="s">
        <v>388</v>
      </c>
      <c r="L306" s="374"/>
      <c r="M306" s="375"/>
      <c r="T306" s="163"/>
    </row>
    <row r="307" spans="1:20" x14ac:dyDescent="0.25">
      <c r="A307" s="373">
        <v>302</v>
      </c>
      <c r="B307" s="373" t="s">
        <v>2237</v>
      </c>
      <c r="C307" s="373" t="s">
        <v>431</v>
      </c>
      <c r="D307" s="374">
        <v>106490676</v>
      </c>
      <c r="E307" s="393">
        <v>43678</v>
      </c>
      <c r="I307" s="373"/>
      <c r="J307" s="373" t="s">
        <v>2236</v>
      </c>
      <c r="K307" s="373" t="s">
        <v>2173</v>
      </c>
      <c r="L307" s="374">
        <v>13634670</v>
      </c>
      <c r="M307" s="375">
        <v>43689</v>
      </c>
      <c r="T307" s="163"/>
    </row>
    <row r="308" spans="1:20" x14ac:dyDescent="0.25">
      <c r="A308" s="373">
        <v>303</v>
      </c>
      <c r="B308" s="373" t="s">
        <v>2235</v>
      </c>
      <c r="C308" s="373" t="s">
        <v>1198</v>
      </c>
      <c r="D308" s="374">
        <v>1069124448</v>
      </c>
      <c r="E308" s="393">
        <v>43678</v>
      </c>
      <c r="I308" s="373"/>
      <c r="J308" s="373" t="s">
        <v>2234</v>
      </c>
      <c r="K308" s="373" t="s">
        <v>2170</v>
      </c>
      <c r="L308" s="374">
        <v>6913820</v>
      </c>
      <c r="M308" s="375">
        <v>43689</v>
      </c>
      <c r="T308" s="163"/>
    </row>
    <row r="309" spans="1:20" x14ac:dyDescent="0.25">
      <c r="A309" s="373">
        <v>304</v>
      </c>
      <c r="B309" s="373" t="s">
        <v>2233</v>
      </c>
      <c r="C309" s="373" t="s">
        <v>322</v>
      </c>
      <c r="D309" s="374"/>
      <c r="E309" s="393"/>
      <c r="I309" s="373"/>
      <c r="J309" s="373" t="s">
        <v>2232</v>
      </c>
      <c r="K309" s="373" t="s">
        <v>2176</v>
      </c>
      <c r="L309" s="374">
        <v>13151054</v>
      </c>
      <c r="M309" s="375">
        <v>43689</v>
      </c>
      <c r="T309" s="163"/>
    </row>
    <row r="310" spans="1:20" x14ac:dyDescent="0.25">
      <c r="A310" s="373">
        <v>305</v>
      </c>
      <c r="B310" s="373" t="s">
        <v>2231</v>
      </c>
      <c r="C310" s="373" t="s">
        <v>2199</v>
      </c>
      <c r="D310" s="374">
        <v>1000590556</v>
      </c>
      <c r="E310" s="393">
        <v>43678</v>
      </c>
      <c r="I310" s="373"/>
      <c r="J310" s="373" t="s">
        <v>2230</v>
      </c>
      <c r="K310" s="373" t="s">
        <v>2167</v>
      </c>
      <c r="L310" s="374">
        <v>26450300</v>
      </c>
      <c r="M310" s="375">
        <v>43689</v>
      </c>
      <c r="T310" s="163"/>
    </row>
    <row r="311" spans="1:20" x14ac:dyDescent="0.25">
      <c r="A311" s="373">
        <v>306</v>
      </c>
      <c r="B311" s="373" t="s">
        <v>2229</v>
      </c>
      <c r="C311" s="373" t="s">
        <v>1374</v>
      </c>
      <c r="D311" s="374">
        <v>648764901</v>
      </c>
      <c r="E311" s="393">
        <v>43679</v>
      </c>
      <c r="I311" s="373"/>
      <c r="J311" s="373" t="s">
        <v>2228</v>
      </c>
      <c r="K311" s="373" t="s">
        <v>2179</v>
      </c>
      <c r="L311" s="374">
        <v>19603859</v>
      </c>
      <c r="M311" s="375">
        <v>43689</v>
      </c>
      <c r="T311" s="163"/>
    </row>
    <row r="312" spans="1:20" x14ac:dyDescent="0.25">
      <c r="A312" s="373">
        <v>307</v>
      </c>
      <c r="B312" s="373" t="s">
        <v>2227</v>
      </c>
      <c r="C312" s="373" t="s">
        <v>1313</v>
      </c>
      <c r="D312" s="374">
        <v>183127764</v>
      </c>
      <c r="E312" s="393">
        <v>43679</v>
      </c>
      <c r="I312" s="373"/>
      <c r="J312" s="373" t="s">
        <v>2226</v>
      </c>
      <c r="K312" s="373" t="s">
        <v>813</v>
      </c>
      <c r="L312" s="374">
        <v>69250082</v>
      </c>
      <c r="M312" s="375">
        <v>43689</v>
      </c>
      <c r="T312" s="163"/>
    </row>
    <row r="313" spans="1:20" x14ac:dyDescent="0.25">
      <c r="A313" s="373">
        <v>308</v>
      </c>
      <c r="B313" s="373" t="s">
        <v>2225</v>
      </c>
      <c r="C313" s="373" t="s">
        <v>322</v>
      </c>
      <c r="D313" s="374"/>
      <c r="E313" s="393"/>
      <c r="I313" s="373"/>
      <c r="J313" s="373" t="s">
        <v>2224</v>
      </c>
      <c r="K313" s="373" t="s">
        <v>2182</v>
      </c>
      <c r="L313" s="374">
        <v>12626192</v>
      </c>
      <c r="M313" s="375">
        <v>43689</v>
      </c>
      <c r="T313" s="163"/>
    </row>
    <row r="314" spans="1:20" x14ac:dyDescent="0.25">
      <c r="A314" s="373">
        <v>309</v>
      </c>
      <c r="B314" s="373" t="s">
        <v>2223</v>
      </c>
      <c r="C314" s="373" t="s">
        <v>1198</v>
      </c>
      <c r="D314" s="374">
        <v>657749583</v>
      </c>
      <c r="E314" s="393">
        <v>43679</v>
      </c>
      <c r="I314" s="373"/>
      <c r="J314" s="373" t="s">
        <v>2222</v>
      </c>
      <c r="K314" s="373" t="s">
        <v>2159</v>
      </c>
      <c r="L314" s="374">
        <v>14487854</v>
      </c>
      <c r="M314" s="375">
        <v>43690</v>
      </c>
      <c r="T314" s="163"/>
    </row>
    <row r="315" spans="1:20" x14ac:dyDescent="0.25">
      <c r="A315" s="373">
        <v>310</v>
      </c>
      <c r="B315" s="373" t="s">
        <v>2221</v>
      </c>
      <c r="C315" s="373" t="s">
        <v>431</v>
      </c>
      <c r="D315" s="374">
        <v>119147760</v>
      </c>
      <c r="E315" s="393">
        <v>43679</v>
      </c>
      <c r="I315" s="373"/>
      <c r="J315" s="373" t="s">
        <v>2220</v>
      </c>
      <c r="K315" s="379" t="s">
        <v>1019</v>
      </c>
      <c r="L315" s="374">
        <v>18038752</v>
      </c>
      <c r="M315" s="375">
        <v>43690</v>
      </c>
      <c r="T315" s="163"/>
    </row>
    <row r="316" spans="1:20" x14ac:dyDescent="0.25">
      <c r="A316" s="373">
        <v>311</v>
      </c>
      <c r="B316" s="373" t="s">
        <v>2219</v>
      </c>
      <c r="C316" s="373" t="s">
        <v>427</v>
      </c>
      <c r="D316" s="374">
        <v>125606695</v>
      </c>
      <c r="E316" s="393">
        <v>43679</v>
      </c>
      <c r="I316" s="373"/>
      <c r="J316" s="373" t="s">
        <v>2218</v>
      </c>
      <c r="K316" s="373" t="s">
        <v>2156</v>
      </c>
      <c r="L316" s="374">
        <v>5778900</v>
      </c>
      <c r="M316" s="375">
        <v>43690</v>
      </c>
      <c r="T316" s="163"/>
    </row>
    <row r="317" spans="1:20" x14ac:dyDescent="0.25">
      <c r="A317" s="373">
        <v>312</v>
      </c>
      <c r="B317" s="373" t="s">
        <v>2217</v>
      </c>
      <c r="C317" s="373" t="s">
        <v>2199</v>
      </c>
      <c r="D317" s="374">
        <v>1328349682</v>
      </c>
      <c r="E317" s="393">
        <v>43679</v>
      </c>
      <c r="I317" s="373"/>
      <c r="J317" s="373" t="s">
        <v>2216</v>
      </c>
      <c r="K317" s="373" t="s">
        <v>1025</v>
      </c>
      <c r="L317" s="374">
        <v>17951563</v>
      </c>
      <c r="M317" s="375">
        <v>43690</v>
      </c>
      <c r="T317" s="163"/>
    </row>
    <row r="318" spans="1:20" x14ac:dyDescent="0.25">
      <c r="A318" s="373">
        <v>313</v>
      </c>
      <c r="B318" s="373" t="s">
        <v>2215</v>
      </c>
      <c r="C318" s="373" t="s">
        <v>431</v>
      </c>
      <c r="D318" s="374">
        <v>130121787</v>
      </c>
      <c r="E318" s="393">
        <v>43682</v>
      </c>
      <c r="I318" s="373"/>
      <c r="J318" s="373" t="s">
        <v>2214</v>
      </c>
      <c r="K318" s="373" t="s">
        <v>2150</v>
      </c>
      <c r="L318" s="374">
        <v>3404025</v>
      </c>
      <c r="M318" s="375">
        <v>43690</v>
      </c>
      <c r="T318" s="163"/>
    </row>
    <row r="319" spans="1:20" x14ac:dyDescent="0.25">
      <c r="A319" s="373">
        <v>314</v>
      </c>
      <c r="B319" s="373" t="s">
        <v>2213</v>
      </c>
      <c r="C319" s="373" t="s">
        <v>427</v>
      </c>
      <c r="D319" s="374">
        <v>860280869</v>
      </c>
      <c r="E319" s="393">
        <v>43682</v>
      </c>
      <c r="I319" s="373"/>
      <c r="J319" s="373" t="s">
        <v>2212</v>
      </c>
      <c r="K319" s="373" t="s">
        <v>2162</v>
      </c>
      <c r="L319" s="374">
        <v>25915889</v>
      </c>
      <c r="M319" s="375">
        <v>43690</v>
      </c>
      <c r="T319" s="163"/>
    </row>
    <row r="320" spans="1:20" x14ac:dyDescent="0.25">
      <c r="A320" s="373">
        <v>315</v>
      </c>
      <c r="B320" s="373" t="s">
        <v>2211</v>
      </c>
      <c r="C320" s="379" t="s">
        <v>429</v>
      </c>
      <c r="D320" s="374">
        <v>8779975</v>
      </c>
      <c r="E320" s="393">
        <v>43682</v>
      </c>
      <c r="I320" s="373"/>
      <c r="J320" s="373" t="s">
        <v>2210</v>
      </c>
      <c r="K320" s="373" t="s">
        <v>388</v>
      </c>
      <c r="L320" s="374"/>
      <c r="M320" s="375"/>
      <c r="T320" s="163"/>
    </row>
    <row r="321" spans="1:20" x14ac:dyDescent="0.25">
      <c r="A321" s="373">
        <v>316</v>
      </c>
      <c r="B321" s="373" t="s">
        <v>2209</v>
      </c>
      <c r="C321" s="373" t="s">
        <v>1198</v>
      </c>
      <c r="D321" s="374">
        <v>558091978</v>
      </c>
      <c r="E321" s="393">
        <v>43682</v>
      </c>
      <c r="I321" s="373"/>
      <c r="J321" s="373" t="s">
        <v>2208</v>
      </c>
      <c r="K321" s="373" t="s">
        <v>2147</v>
      </c>
      <c r="L321" s="374">
        <v>25314858</v>
      </c>
      <c r="M321" s="375">
        <v>43690</v>
      </c>
      <c r="T321" s="163"/>
    </row>
    <row r="322" spans="1:20" x14ac:dyDescent="0.25">
      <c r="A322" s="373">
        <v>317</v>
      </c>
      <c r="B322" s="373" t="s">
        <v>2207</v>
      </c>
      <c r="C322" s="373" t="s">
        <v>2206</v>
      </c>
      <c r="D322" s="374">
        <v>35005000</v>
      </c>
      <c r="E322" s="393">
        <v>43682</v>
      </c>
      <c r="I322" s="373"/>
      <c r="J322" s="373" t="s">
        <v>2205</v>
      </c>
      <c r="K322" s="373" t="s">
        <v>1794</v>
      </c>
      <c r="L322" s="374">
        <v>15573950</v>
      </c>
      <c r="M322" s="375">
        <v>43690</v>
      </c>
      <c r="T322" s="163"/>
    </row>
    <row r="323" spans="1:20" x14ac:dyDescent="0.25">
      <c r="A323" s="373">
        <v>318</v>
      </c>
      <c r="B323" s="373" t="s">
        <v>2204</v>
      </c>
      <c r="C323" s="373" t="s">
        <v>2203</v>
      </c>
      <c r="D323" s="374">
        <v>32715703</v>
      </c>
      <c r="E323" s="393">
        <v>43682</v>
      </c>
      <c r="I323" s="373"/>
      <c r="J323" s="373" t="s">
        <v>2202</v>
      </c>
      <c r="K323" s="373" t="s">
        <v>2201</v>
      </c>
      <c r="L323" s="374">
        <v>875000</v>
      </c>
      <c r="M323" s="375">
        <v>43692</v>
      </c>
      <c r="T323" s="163"/>
    </row>
    <row r="324" spans="1:20" x14ac:dyDescent="0.25">
      <c r="A324" s="373">
        <v>319</v>
      </c>
      <c r="B324" s="373" t="s">
        <v>2200</v>
      </c>
      <c r="C324" s="373" t="s">
        <v>2199</v>
      </c>
      <c r="D324" s="374">
        <v>962867055</v>
      </c>
      <c r="E324" s="393">
        <v>43682</v>
      </c>
      <c r="I324" s="373"/>
      <c r="J324" s="373" t="s">
        <v>2198</v>
      </c>
      <c r="K324" s="373" t="s">
        <v>2197</v>
      </c>
      <c r="L324" s="374">
        <v>19512700</v>
      </c>
      <c r="M324" s="375">
        <v>43692</v>
      </c>
      <c r="T324" s="163"/>
    </row>
    <row r="325" spans="1:20" x14ac:dyDescent="0.25">
      <c r="A325" s="373">
        <v>320</v>
      </c>
      <c r="B325" s="373" t="s">
        <v>2196</v>
      </c>
      <c r="C325" s="373" t="s">
        <v>2195</v>
      </c>
      <c r="D325" s="374">
        <v>33647684</v>
      </c>
      <c r="E325" s="393">
        <v>43682</v>
      </c>
      <c r="I325" s="373"/>
      <c r="J325" s="373" t="s">
        <v>2194</v>
      </c>
      <c r="K325" s="373" t="s">
        <v>2193</v>
      </c>
      <c r="L325" s="374">
        <v>13748067</v>
      </c>
      <c r="M325" s="375">
        <v>43693</v>
      </c>
      <c r="T325" s="163"/>
    </row>
    <row r="326" spans="1:20" x14ac:dyDescent="0.25">
      <c r="A326" s="373">
        <v>321</v>
      </c>
      <c r="B326" s="373" t="s">
        <v>2192</v>
      </c>
      <c r="C326" s="373" t="s">
        <v>1845</v>
      </c>
      <c r="D326" s="374">
        <v>1000035000</v>
      </c>
      <c r="E326" s="393">
        <v>43682</v>
      </c>
      <c r="I326" s="373"/>
      <c r="J326" s="373" t="s">
        <v>2191</v>
      </c>
      <c r="K326" s="373" t="s">
        <v>2190</v>
      </c>
      <c r="L326" s="374">
        <v>7920000</v>
      </c>
      <c r="M326" s="375">
        <v>43693</v>
      </c>
      <c r="T326" s="163"/>
    </row>
    <row r="327" spans="1:20" x14ac:dyDescent="0.25">
      <c r="A327" s="373">
        <v>322</v>
      </c>
      <c r="B327" s="373" t="s">
        <v>2189</v>
      </c>
      <c r="C327" s="373" t="s">
        <v>1374</v>
      </c>
      <c r="D327" s="374">
        <v>147264953</v>
      </c>
      <c r="E327" s="393">
        <v>43682</v>
      </c>
      <c r="I327" s="373"/>
      <c r="J327" s="373" t="s">
        <v>2188</v>
      </c>
      <c r="K327" s="373" t="s">
        <v>2187</v>
      </c>
      <c r="L327" s="374">
        <v>13405000</v>
      </c>
      <c r="M327" s="375">
        <v>43693</v>
      </c>
      <c r="T327" s="163"/>
    </row>
    <row r="328" spans="1:20" x14ac:dyDescent="0.25">
      <c r="A328" s="373">
        <v>323</v>
      </c>
      <c r="B328" s="373" t="s">
        <v>2186</v>
      </c>
      <c r="C328" s="373" t="s">
        <v>1198</v>
      </c>
      <c r="D328" s="374">
        <v>575491003</v>
      </c>
      <c r="E328" s="393">
        <v>43683</v>
      </c>
      <c r="I328" s="373"/>
      <c r="J328" s="373" t="s">
        <v>2185</v>
      </c>
      <c r="K328" s="373" t="s">
        <v>388</v>
      </c>
      <c r="L328" s="374"/>
      <c r="M328" s="373"/>
      <c r="T328" s="163"/>
    </row>
    <row r="329" spans="1:20" x14ac:dyDescent="0.25">
      <c r="A329" s="373">
        <v>324</v>
      </c>
      <c r="B329" s="373" t="s">
        <v>2184</v>
      </c>
      <c r="C329" s="373" t="s">
        <v>427</v>
      </c>
      <c r="D329" s="374">
        <v>100027258</v>
      </c>
      <c r="E329" s="393">
        <v>43683</v>
      </c>
      <c r="I329" s="373"/>
      <c r="J329" s="373" t="s">
        <v>2183</v>
      </c>
      <c r="K329" s="373" t="s">
        <v>2182</v>
      </c>
      <c r="L329" s="374">
        <v>10753308</v>
      </c>
      <c r="M329" s="375">
        <v>43696</v>
      </c>
      <c r="T329" s="163"/>
    </row>
    <row r="330" spans="1:20" x14ac:dyDescent="0.25">
      <c r="A330" s="373">
        <v>325</v>
      </c>
      <c r="B330" s="373" t="s">
        <v>2181</v>
      </c>
      <c r="C330" s="373" t="s">
        <v>1313</v>
      </c>
      <c r="D330" s="374">
        <v>196128906</v>
      </c>
      <c r="E330" s="393">
        <v>43683</v>
      </c>
      <c r="I330" s="373"/>
      <c r="J330" s="373" t="s">
        <v>2180</v>
      </c>
      <c r="K330" s="373" t="s">
        <v>2179</v>
      </c>
      <c r="L330" s="374">
        <v>19305665</v>
      </c>
      <c r="M330" s="375">
        <v>43696</v>
      </c>
      <c r="T330" s="163"/>
    </row>
    <row r="331" spans="1:20" x14ac:dyDescent="0.25">
      <c r="A331" s="373">
        <v>326</v>
      </c>
      <c r="B331" s="373" t="s">
        <v>2178</v>
      </c>
      <c r="C331" s="373" t="s">
        <v>709</v>
      </c>
      <c r="D331" s="374">
        <v>51335710</v>
      </c>
      <c r="E331" s="393">
        <v>43683</v>
      </c>
      <c r="I331" s="373"/>
      <c r="J331" s="373" t="s">
        <v>2177</v>
      </c>
      <c r="K331" s="373" t="s">
        <v>2176</v>
      </c>
      <c r="L331" s="374">
        <v>20329576</v>
      </c>
      <c r="M331" s="375">
        <v>43696</v>
      </c>
      <c r="T331" s="163"/>
    </row>
    <row r="332" spans="1:20" x14ac:dyDescent="0.25">
      <c r="A332" s="373">
        <v>327</v>
      </c>
      <c r="B332" s="373" t="s">
        <v>2175</v>
      </c>
      <c r="C332" s="373" t="s">
        <v>522</v>
      </c>
      <c r="D332" s="374">
        <v>117122579</v>
      </c>
      <c r="E332" s="393">
        <v>43683</v>
      </c>
      <c r="I332" s="373"/>
      <c r="J332" s="373" t="s">
        <v>2174</v>
      </c>
      <c r="K332" s="373" t="s">
        <v>2173</v>
      </c>
      <c r="L332" s="374">
        <v>12560189</v>
      </c>
      <c r="M332" s="375">
        <v>43696</v>
      </c>
      <c r="T332" s="163"/>
    </row>
    <row r="333" spans="1:20" x14ac:dyDescent="0.25">
      <c r="A333" s="373">
        <v>328</v>
      </c>
      <c r="B333" s="373" t="s">
        <v>2172</v>
      </c>
      <c r="C333" s="373" t="s">
        <v>322</v>
      </c>
      <c r="D333" s="374"/>
      <c r="E333" s="393"/>
      <c r="I333" s="373"/>
      <c r="J333" s="373" t="s">
        <v>2171</v>
      </c>
      <c r="K333" s="373" t="s">
        <v>2170</v>
      </c>
      <c r="L333" s="374">
        <v>7815211</v>
      </c>
      <c r="M333" s="375">
        <v>43696</v>
      </c>
      <c r="T333" s="163"/>
    </row>
    <row r="334" spans="1:20" x14ac:dyDescent="0.25">
      <c r="A334" s="373">
        <v>329</v>
      </c>
      <c r="B334" s="373" t="s">
        <v>2169</v>
      </c>
      <c r="C334" s="373" t="s">
        <v>1374</v>
      </c>
      <c r="D334" s="374">
        <v>482211853</v>
      </c>
      <c r="E334" s="393">
        <v>43683</v>
      </c>
      <c r="I334" s="373"/>
      <c r="J334" s="373" t="s">
        <v>2168</v>
      </c>
      <c r="K334" s="373" t="s">
        <v>2167</v>
      </c>
      <c r="L334" s="374">
        <v>25379600</v>
      </c>
      <c r="M334" s="375">
        <v>43696</v>
      </c>
      <c r="T334" s="163"/>
    </row>
    <row r="335" spans="1:20" x14ac:dyDescent="0.25">
      <c r="A335" s="373">
        <v>330</v>
      </c>
      <c r="B335" s="373" t="s">
        <v>2166</v>
      </c>
      <c r="C335" s="373" t="s">
        <v>1845</v>
      </c>
      <c r="D335" s="374">
        <v>2420304499</v>
      </c>
      <c r="E335" s="393">
        <v>43683</v>
      </c>
      <c r="I335" s="373"/>
      <c r="J335" s="373" t="s">
        <v>2165</v>
      </c>
      <c r="K335" s="373" t="s">
        <v>964</v>
      </c>
      <c r="L335" s="374">
        <v>19638592</v>
      </c>
      <c r="M335" s="375">
        <v>43697</v>
      </c>
      <c r="T335" s="163"/>
    </row>
    <row r="336" spans="1:20" x14ac:dyDescent="0.25">
      <c r="A336" s="373">
        <v>331</v>
      </c>
      <c r="B336" s="373" t="s">
        <v>2164</v>
      </c>
      <c r="C336" s="373" t="s">
        <v>522</v>
      </c>
      <c r="D336" s="374">
        <v>224825197</v>
      </c>
      <c r="E336" s="393">
        <v>43684</v>
      </c>
      <c r="I336" s="373"/>
      <c r="J336" s="373" t="s">
        <v>2163</v>
      </c>
      <c r="K336" s="373" t="s">
        <v>2162</v>
      </c>
      <c r="L336" s="374">
        <v>44429556</v>
      </c>
      <c r="M336" s="375">
        <v>43697</v>
      </c>
      <c r="T336" s="163"/>
    </row>
    <row r="337" spans="1:20" x14ac:dyDescent="0.25">
      <c r="A337" s="373">
        <v>332</v>
      </c>
      <c r="B337" s="373" t="s">
        <v>2161</v>
      </c>
      <c r="C337" s="373" t="s">
        <v>1198</v>
      </c>
      <c r="D337" s="374">
        <v>1096216674</v>
      </c>
      <c r="E337" s="393">
        <v>43684</v>
      </c>
      <c r="I337" s="373"/>
      <c r="J337" s="373" t="s">
        <v>2160</v>
      </c>
      <c r="K337" s="373" t="s">
        <v>2159</v>
      </c>
      <c r="L337" s="374">
        <v>18773187</v>
      </c>
      <c r="M337" s="375">
        <v>43697</v>
      </c>
      <c r="T337" s="163"/>
    </row>
    <row r="338" spans="1:20" x14ac:dyDescent="0.25">
      <c r="A338" s="373">
        <v>333</v>
      </c>
      <c r="B338" s="373" t="s">
        <v>2158</v>
      </c>
      <c r="C338" s="373" t="s">
        <v>431</v>
      </c>
      <c r="D338" s="374">
        <v>129338600</v>
      </c>
      <c r="E338" s="393">
        <v>43684</v>
      </c>
      <c r="I338" s="373"/>
      <c r="J338" s="373" t="s">
        <v>2157</v>
      </c>
      <c r="K338" s="373" t="s">
        <v>2156</v>
      </c>
      <c r="L338" s="374">
        <v>3676576</v>
      </c>
      <c r="M338" s="375">
        <v>43697</v>
      </c>
      <c r="T338" s="163"/>
    </row>
    <row r="339" spans="1:20" x14ac:dyDescent="0.25">
      <c r="A339" s="373">
        <v>334</v>
      </c>
      <c r="B339" s="373" t="s">
        <v>2155</v>
      </c>
      <c r="C339" s="373" t="s">
        <v>2154</v>
      </c>
      <c r="D339" s="374">
        <v>244866753</v>
      </c>
      <c r="E339" s="393">
        <v>43684</v>
      </c>
      <c r="I339" s="373"/>
      <c r="J339" s="373" t="s">
        <v>2153</v>
      </c>
      <c r="K339" s="373" t="s">
        <v>388</v>
      </c>
      <c r="L339" s="374"/>
      <c r="M339" s="373"/>
      <c r="T339" s="163"/>
    </row>
    <row r="340" spans="1:20" x14ac:dyDescent="0.25">
      <c r="A340" s="373">
        <v>335</v>
      </c>
      <c r="B340" s="373" t="s">
        <v>2152</v>
      </c>
      <c r="C340" s="373" t="s">
        <v>702</v>
      </c>
      <c r="D340" s="374">
        <v>404500969</v>
      </c>
      <c r="E340" s="393">
        <v>43684</v>
      </c>
      <c r="I340" s="373"/>
      <c r="J340" s="373" t="s">
        <v>2151</v>
      </c>
      <c r="K340" s="373" t="s">
        <v>2150</v>
      </c>
      <c r="L340" s="374">
        <v>4504790</v>
      </c>
      <c r="M340" s="375">
        <v>43697</v>
      </c>
      <c r="T340" s="163"/>
    </row>
    <row r="341" spans="1:20" x14ac:dyDescent="0.25">
      <c r="A341" s="373">
        <v>336</v>
      </c>
      <c r="B341" s="373" t="s">
        <v>2149</v>
      </c>
      <c r="C341" s="373" t="s">
        <v>1313</v>
      </c>
      <c r="D341" s="374">
        <v>1170130344</v>
      </c>
      <c r="E341" s="393">
        <v>43684</v>
      </c>
      <c r="I341" s="373"/>
      <c r="J341" s="373" t="s">
        <v>2148</v>
      </c>
      <c r="K341" s="373" t="s">
        <v>2147</v>
      </c>
      <c r="L341" s="374">
        <v>26097533</v>
      </c>
      <c r="M341" s="375">
        <v>43697</v>
      </c>
      <c r="T341" s="163"/>
    </row>
    <row r="342" spans="1:20" x14ac:dyDescent="0.25">
      <c r="A342" s="373">
        <v>337</v>
      </c>
      <c r="B342" s="373" t="s">
        <v>2146</v>
      </c>
      <c r="C342" s="373" t="s">
        <v>1845</v>
      </c>
      <c r="D342" s="374">
        <v>592393224</v>
      </c>
      <c r="E342" s="393">
        <v>43684</v>
      </c>
      <c r="I342" s="373"/>
      <c r="J342" s="373" t="s">
        <v>2145</v>
      </c>
      <c r="K342" s="373" t="s">
        <v>388</v>
      </c>
      <c r="L342" s="374"/>
      <c r="M342" s="373"/>
      <c r="T342" s="163"/>
    </row>
    <row r="343" spans="1:20" x14ac:dyDescent="0.25">
      <c r="A343" s="373">
        <v>338</v>
      </c>
      <c r="B343" s="373" t="s">
        <v>2144</v>
      </c>
      <c r="C343" s="373" t="s">
        <v>322</v>
      </c>
      <c r="D343" s="374"/>
      <c r="E343" s="393"/>
      <c r="I343" s="373"/>
      <c r="J343" s="373" t="s">
        <v>2143</v>
      </c>
      <c r="K343" s="373" t="s">
        <v>1019</v>
      </c>
      <c r="L343" s="374">
        <v>24072184</v>
      </c>
      <c r="M343" s="375">
        <v>43697</v>
      </c>
      <c r="T343" s="163"/>
    </row>
    <row r="344" spans="1:20" x14ac:dyDescent="0.25">
      <c r="A344" s="373">
        <v>339</v>
      </c>
      <c r="B344" s="373" t="s">
        <v>2142</v>
      </c>
      <c r="C344" s="373" t="s">
        <v>322</v>
      </c>
      <c r="D344" s="374"/>
      <c r="E344" s="393"/>
      <c r="I344" s="373"/>
      <c r="J344" s="373" t="s">
        <v>2141</v>
      </c>
      <c r="K344" s="373" t="s">
        <v>1025</v>
      </c>
      <c r="L344" s="374">
        <v>31500337</v>
      </c>
      <c r="M344" s="375">
        <v>43697</v>
      </c>
      <c r="T344" s="163"/>
    </row>
    <row r="345" spans="1:20" x14ac:dyDescent="0.25">
      <c r="A345" s="373">
        <v>340</v>
      </c>
      <c r="B345" s="373" t="s">
        <v>2140</v>
      </c>
      <c r="C345" s="373" t="s">
        <v>702</v>
      </c>
      <c r="D345" s="374">
        <v>568428852</v>
      </c>
      <c r="E345" s="393">
        <v>43685</v>
      </c>
      <c r="I345" s="373"/>
      <c r="J345" s="373" t="s">
        <v>2139</v>
      </c>
      <c r="K345" s="373" t="s">
        <v>2138</v>
      </c>
      <c r="L345" s="374"/>
      <c r="M345" s="375">
        <v>43697</v>
      </c>
      <c r="T345" s="163"/>
    </row>
    <row r="346" spans="1:20" x14ac:dyDescent="0.25">
      <c r="A346" s="373">
        <v>341</v>
      </c>
      <c r="B346" s="373" t="s">
        <v>2137</v>
      </c>
      <c r="C346" s="373" t="s">
        <v>322</v>
      </c>
      <c r="D346" s="374"/>
      <c r="E346" s="393"/>
      <c r="I346" s="373"/>
      <c r="J346" s="373" t="s">
        <v>2136</v>
      </c>
      <c r="K346" s="373" t="s">
        <v>2135</v>
      </c>
      <c r="L346" s="374">
        <v>2340000</v>
      </c>
      <c r="M346" s="375">
        <v>43697</v>
      </c>
      <c r="T346" s="163"/>
    </row>
    <row r="347" spans="1:20" x14ac:dyDescent="0.25">
      <c r="A347" s="373">
        <v>342</v>
      </c>
      <c r="B347" s="373" t="s">
        <v>2134</v>
      </c>
      <c r="C347" s="373" t="s">
        <v>1424</v>
      </c>
      <c r="D347" s="374">
        <v>101127049</v>
      </c>
      <c r="E347" s="393">
        <v>43686</v>
      </c>
      <c r="I347" s="373"/>
      <c r="J347" s="373" t="s">
        <v>2133</v>
      </c>
      <c r="K347" s="373" t="s">
        <v>2132</v>
      </c>
      <c r="L347" s="374">
        <v>11680000</v>
      </c>
      <c r="M347" s="375">
        <v>43697</v>
      </c>
      <c r="T347" s="163"/>
    </row>
    <row r="348" spans="1:20" x14ac:dyDescent="0.25">
      <c r="A348" s="373">
        <v>343</v>
      </c>
      <c r="B348" s="373" t="s">
        <v>2131</v>
      </c>
      <c r="C348" s="373" t="s">
        <v>2104</v>
      </c>
      <c r="D348" s="374">
        <v>1229594338</v>
      </c>
      <c r="E348" s="393">
        <v>43685</v>
      </c>
      <c r="I348" s="373"/>
      <c r="J348" s="373" t="s">
        <v>2130</v>
      </c>
      <c r="K348" s="373" t="s">
        <v>2129</v>
      </c>
      <c r="L348" s="374">
        <v>9350000</v>
      </c>
      <c r="M348" s="375">
        <v>43697</v>
      </c>
      <c r="T348" s="163"/>
    </row>
    <row r="349" spans="1:20" x14ac:dyDescent="0.25">
      <c r="A349" s="373">
        <v>344</v>
      </c>
      <c r="B349" s="373" t="s">
        <v>2128</v>
      </c>
      <c r="C349" s="373" t="s">
        <v>1845</v>
      </c>
      <c r="D349" s="374">
        <v>1005356438</v>
      </c>
      <c r="E349" s="393">
        <v>43685</v>
      </c>
      <c r="I349" s="373"/>
      <c r="J349" s="373" t="s">
        <v>2127</v>
      </c>
      <c r="K349" s="373" t="s">
        <v>80</v>
      </c>
      <c r="L349" s="374">
        <v>14890000</v>
      </c>
      <c r="M349" s="375">
        <v>43697</v>
      </c>
      <c r="T349" s="163"/>
    </row>
    <row r="350" spans="1:20" x14ac:dyDescent="0.25">
      <c r="A350" s="373">
        <v>345</v>
      </c>
      <c r="B350" s="373" t="s">
        <v>2126</v>
      </c>
      <c r="C350" s="373" t="s">
        <v>522</v>
      </c>
      <c r="D350" s="374">
        <v>150673091</v>
      </c>
      <c r="E350" s="393">
        <v>43685</v>
      </c>
      <c r="I350" s="373"/>
      <c r="J350" s="373" t="s">
        <v>2125</v>
      </c>
      <c r="K350" s="373" t="s">
        <v>1707</v>
      </c>
      <c r="L350" s="374">
        <v>4128635</v>
      </c>
      <c r="M350" s="375">
        <v>43697</v>
      </c>
      <c r="T350" s="163"/>
    </row>
    <row r="351" spans="1:20" x14ac:dyDescent="0.25">
      <c r="A351" s="373">
        <v>346</v>
      </c>
      <c r="B351" s="373" t="s">
        <v>2124</v>
      </c>
      <c r="C351" s="373" t="s">
        <v>302</v>
      </c>
      <c r="D351" s="374">
        <v>196505000</v>
      </c>
      <c r="E351" s="393">
        <v>43685</v>
      </c>
      <c r="I351" s="373"/>
      <c r="J351" s="373" t="s">
        <v>2123</v>
      </c>
      <c r="K351" s="373" t="s">
        <v>2122</v>
      </c>
      <c r="L351" s="374">
        <v>9512391</v>
      </c>
      <c r="M351" s="375">
        <v>43697</v>
      </c>
      <c r="T351" s="163"/>
    </row>
    <row r="352" spans="1:20" x14ac:dyDescent="0.25">
      <c r="A352" s="373">
        <v>347</v>
      </c>
      <c r="B352" s="373" t="s">
        <v>2121</v>
      </c>
      <c r="C352" s="373" t="s">
        <v>709</v>
      </c>
      <c r="D352" s="374">
        <v>235369934</v>
      </c>
      <c r="E352" s="393">
        <v>43686</v>
      </c>
      <c r="I352" s="373"/>
      <c r="J352" s="373" t="s">
        <v>2120</v>
      </c>
      <c r="K352" s="373" t="s">
        <v>1985</v>
      </c>
      <c r="L352" s="374">
        <v>2925000</v>
      </c>
      <c r="M352" s="375">
        <v>43698</v>
      </c>
      <c r="T352" s="163"/>
    </row>
    <row r="353" spans="1:20" x14ac:dyDescent="0.25">
      <c r="A353" s="373">
        <v>348</v>
      </c>
      <c r="B353" s="373" t="s">
        <v>2119</v>
      </c>
      <c r="C353" s="373" t="s">
        <v>522</v>
      </c>
      <c r="D353" s="374">
        <v>16550818</v>
      </c>
      <c r="E353" s="393">
        <v>43686</v>
      </c>
      <c r="I353" s="373"/>
      <c r="J353" s="373" t="s">
        <v>2118</v>
      </c>
      <c r="K353" s="373" t="s">
        <v>2117</v>
      </c>
      <c r="L353" s="374">
        <v>2075000</v>
      </c>
      <c r="M353" s="375">
        <v>43699</v>
      </c>
      <c r="T353" s="163"/>
    </row>
    <row r="354" spans="1:20" x14ac:dyDescent="0.25">
      <c r="A354" s="373">
        <v>349</v>
      </c>
      <c r="B354" s="373" t="s">
        <v>2116</v>
      </c>
      <c r="C354" s="373" t="s">
        <v>702</v>
      </c>
      <c r="D354" s="374">
        <v>638952143</v>
      </c>
      <c r="E354" s="393">
        <v>43686</v>
      </c>
      <c r="I354" s="373"/>
      <c r="J354" s="373" t="s">
        <v>2115</v>
      </c>
      <c r="K354" s="373" t="s">
        <v>2114</v>
      </c>
      <c r="L354" s="374">
        <v>1755000</v>
      </c>
      <c r="M354" s="375">
        <v>43699</v>
      </c>
      <c r="T354" s="163"/>
    </row>
    <row r="355" spans="1:20" x14ac:dyDescent="0.25">
      <c r="A355" s="373">
        <v>350</v>
      </c>
      <c r="B355" s="373" t="s">
        <v>2113</v>
      </c>
      <c r="C355" s="373" t="s">
        <v>1374</v>
      </c>
      <c r="D355" s="374">
        <v>641859450</v>
      </c>
      <c r="E355" s="393">
        <v>43686</v>
      </c>
      <c r="I355" s="373"/>
      <c r="J355" s="373" t="s">
        <v>2112</v>
      </c>
      <c r="K355" s="373" t="s">
        <v>2111</v>
      </c>
      <c r="L355" s="374">
        <v>10411601</v>
      </c>
      <c r="M355" s="375">
        <v>43699</v>
      </c>
      <c r="T355" s="163"/>
    </row>
    <row r="356" spans="1:20" x14ac:dyDescent="0.25">
      <c r="A356" s="373">
        <v>351</v>
      </c>
      <c r="B356" s="373" t="s">
        <v>2110</v>
      </c>
      <c r="C356" s="373" t="s">
        <v>1198</v>
      </c>
      <c r="D356" s="374">
        <v>548572772</v>
      </c>
      <c r="E356" s="393">
        <v>43686</v>
      </c>
      <c r="I356" s="373"/>
      <c r="J356" s="373" t="s">
        <v>2109</v>
      </c>
      <c r="K356" s="373" t="s">
        <v>1794</v>
      </c>
      <c r="L356" s="374">
        <v>55412000</v>
      </c>
      <c r="M356" s="375">
        <v>43699</v>
      </c>
      <c r="T356" s="163"/>
    </row>
    <row r="357" spans="1:20" x14ac:dyDescent="0.25">
      <c r="A357" s="373">
        <v>352</v>
      </c>
      <c r="B357" s="373" t="s">
        <v>2108</v>
      </c>
      <c r="C357" s="373" t="s">
        <v>322</v>
      </c>
      <c r="D357" s="374"/>
      <c r="E357" s="393"/>
      <c r="I357" s="373"/>
      <c r="J357" s="373" t="s">
        <v>2107</v>
      </c>
      <c r="K357" s="373" t="s">
        <v>2106</v>
      </c>
      <c r="L357" s="374">
        <v>10976768</v>
      </c>
      <c r="M357" s="375">
        <v>43700</v>
      </c>
      <c r="T357" s="163"/>
    </row>
    <row r="358" spans="1:20" x14ac:dyDescent="0.25">
      <c r="A358" s="373">
        <v>353</v>
      </c>
      <c r="B358" s="373" t="s">
        <v>2105</v>
      </c>
      <c r="C358" s="373" t="s">
        <v>2104</v>
      </c>
      <c r="D358" s="374">
        <v>255146876</v>
      </c>
      <c r="E358" s="393">
        <v>43686</v>
      </c>
      <c r="I358" s="373"/>
      <c r="J358" s="373" t="s">
        <v>2103</v>
      </c>
      <c r="K358" s="373" t="s">
        <v>388</v>
      </c>
      <c r="L358" s="374"/>
      <c r="M358" s="373"/>
      <c r="T358" s="163"/>
    </row>
    <row r="359" spans="1:20" x14ac:dyDescent="0.25">
      <c r="A359" s="373">
        <v>354</v>
      </c>
      <c r="B359" s="373" t="s">
        <v>2102</v>
      </c>
      <c r="C359" s="373" t="s">
        <v>551</v>
      </c>
      <c r="D359" s="374">
        <v>156345800</v>
      </c>
      <c r="E359" s="393">
        <v>43686</v>
      </c>
      <c r="I359" s="373"/>
      <c r="J359" s="373" t="s">
        <v>2101</v>
      </c>
      <c r="K359" s="373" t="s">
        <v>2100</v>
      </c>
      <c r="L359" s="374">
        <v>2682200</v>
      </c>
      <c r="M359" s="375">
        <v>43700</v>
      </c>
      <c r="T359" s="163"/>
    </row>
    <row r="360" spans="1:20" x14ac:dyDescent="0.25">
      <c r="A360" s="373">
        <v>355</v>
      </c>
      <c r="B360" s="373" t="s">
        <v>2099</v>
      </c>
      <c r="C360" s="373" t="s">
        <v>322</v>
      </c>
      <c r="D360" s="374"/>
      <c r="E360" s="393"/>
      <c r="I360" s="373"/>
      <c r="J360" s="373" t="s">
        <v>2098</v>
      </c>
      <c r="K360" s="373" t="s">
        <v>2097</v>
      </c>
      <c r="L360" s="374">
        <v>14533425</v>
      </c>
      <c r="M360" s="375">
        <v>43700</v>
      </c>
      <c r="T360" s="163"/>
    </row>
    <row r="361" spans="1:20" x14ac:dyDescent="0.25">
      <c r="A361" s="373">
        <v>356</v>
      </c>
      <c r="B361" s="373" t="s">
        <v>2096</v>
      </c>
      <c r="C361" s="373" t="s">
        <v>322</v>
      </c>
      <c r="D361" s="374"/>
      <c r="E361" s="393"/>
      <c r="I361" s="373"/>
      <c r="J361" s="373" t="s">
        <v>2095</v>
      </c>
      <c r="K361" s="373" t="s">
        <v>2094</v>
      </c>
      <c r="L361" s="374">
        <v>16791800</v>
      </c>
      <c r="M361" s="375">
        <v>43700</v>
      </c>
      <c r="T361" s="163"/>
    </row>
    <row r="362" spans="1:20" x14ac:dyDescent="0.25">
      <c r="A362" s="373">
        <v>357</v>
      </c>
      <c r="B362" s="373" t="s">
        <v>2093</v>
      </c>
      <c r="C362" s="373" t="s">
        <v>1845</v>
      </c>
      <c r="D362" s="374">
        <v>507159452</v>
      </c>
      <c r="E362" s="393">
        <v>43686</v>
      </c>
      <c r="I362" s="373"/>
      <c r="J362" s="373" t="s">
        <v>2092</v>
      </c>
      <c r="K362" s="373" t="s">
        <v>2091</v>
      </c>
      <c r="L362" s="374">
        <v>8142554</v>
      </c>
      <c r="M362" s="375">
        <v>43700</v>
      </c>
      <c r="T362" s="163"/>
    </row>
    <row r="363" spans="1:20" x14ac:dyDescent="0.25">
      <c r="A363" s="373">
        <v>358</v>
      </c>
      <c r="B363" s="373" t="s">
        <v>2090</v>
      </c>
      <c r="C363" s="373" t="s">
        <v>551</v>
      </c>
      <c r="D363" s="374">
        <v>78175400</v>
      </c>
      <c r="E363" s="393">
        <v>43689</v>
      </c>
      <c r="I363" s="373"/>
      <c r="J363" s="373" t="s">
        <v>2089</v>
      </c>
      <c r="K363" s="373" t="s">
        <v>2088</v>
      </c>
      <c r="L363" s="374">
        <v>1322386</v>
      </c>
      <c r="M363" s="375">
        <v>43700</v>
      </c>
      <c r="T363" s="163"/>
    </row>
    <row r="364" spans="1:20" x14ac:dyDescent="0.25">
      <c r="A364" s="373">
        <v>359</v>
      </c>
      <c r="B364" s="373" t="s">
        <v>2087</v>
      </c>
      <c r="C364" s="373" t="s">
        <v>709</v>
      </c>
      <c r="D364" s="374">
        <v>225563185</v>
      </c>
      <c r="E364" s="393">
        <v>43689</v>
      </c>
      <c r="I364" s="373"/>
      <c r="J364" s="373" t="s">
        <v>2086</v>
      </c>
      <c r="K364" s="373" t="s">
        <v>2085</v>
      </c>
      <c r="L364" s="374">
        <v>26685091</v>
      </c>
      <c r="M364" s="375">
        <v>43700</v>
      </c>
      <c r="T364" s="163"/>
    </row>
    <row r="365" spans="1:20" x14ac:dyDescent="0.25">
      <c r="A365" s="373">
        <v>360</v>
      </c>
      <c r="B365" s="373" t="s">
        <v>2084</v>
      </c>
      <c r="C365" s="373" t="s">
        <v>302</v>
      </c>
      <c r="D365" s="374">
        <v>195005000</v>
      </c>
      <c r="E365" s="393">
        <v>43689</v>
      </c>
      <c r="I365" s="373"/>
      <c r="J365" s="373" t="s">
        <v>2083</v>
      </c>
      <c r="K365" s="373" t="s">
        <v>2082</v>
      </c>
      <c r="L365" s="374">
        <v>8765000</v>
      </c>
      <c r="M365" s="375">
        <v>43700</v>
      </c>
      <c r="T365" s="163"/>
    </row>
    <row r="366" spans="1:20" x14ac:dyDescent="0.25">
      <c r="A366" s="373">
        <v>361</v>
      </c>
      <c r="B366" s="373" t="s">
        <v>2081</v>
      </c>
      <c r="C366" s="373" t="s">
        <v>431</v>
      </c>
      <c r="D366" s="374">
        <v>122097684</v>
      </c>
      <c r="E366" s="393">
        <v>43689</v>
      </c>
      <c r="I366" s="373"/>
      <c r="J366" s="373" t="s">
        <v>2080</v>
      </c>
      <c r="K366" s="373" t="s">
        <v>388</v>
      </c>
      <c r="L366" s="374"/>
      <c r="M366" s="375">
        <v>43703</v>
      </c>
      <c r="T366" s="163"/>
    </row>
    <row r="367" spans="1:20" x14ac:dyDescent="0.25">
      <c r="A367" s="373">
        <v>362</v>
      </c>
      <c r="B367" s="373" t="s">
        <v>2079</v>
      </c>
      <c r="C367" s="373" t="s">
        <v>702</v>
      </c>
      <c r="D367" s="374">
        <v>818838825</v>
      </c>
      <c r="E367" s="393">
        <v>43689</v>
      </c>
      <c r="I367" s="373"/>
      <c r="J367" s="373" t="s">
        <v>2078</v>
      </c>
      <c r="K367" s="373" t="s">
        <v>2077</v>
      </c>
      <c r="L367" s="374">
        <v>655035000</v>
      </c>
      <c r="M367" s="375">
        <v>43703</v>
      </c>
      <c r="T367" s="163"/>
    </row>
    <row r="368" spans="1:20" x14ac:dyDescent="0.25">
      <c r="A368" s="373">
        <v>363</v>
      </c>
      <c r="B368" s="373" t="s">
        <v>2076</v>
      </c>
      <c r="C368" s="373" t="s">
        <v>1313</v>
      </c>
      <c r="D368" s="374">
        <v>165696768</v>
      </c>
      <c r="E368" s="393">
        <v>43689</v>
      </c>
      <c r="I368" s="373"/>
      <c r="J368" s="373" t="s">
        <v>2075</v>
      </c>
      <c r="K368" s="373" t="s">
        <v>2074</v>
      </c>
      <c r="L368" s="374">
        <v>4874996</v>
      </c>
      <c r="M368" s="375">
        <v>43703</v>
      </c>
      <c r="T368" s="163"/>
    </row>
    <row r="369" spans="1:20" x14ac:dyDescent="0.25">
      <c r="A369" s="373">
        <v>364</v>
      </c>
      <c r="B369" s="373" t="s">
        <v>2073</v>
      </c>
      <c r="C369" s="373" t="s">
        <v>276</v>
      </c>
      <c r="D369" s="374">
        <v>191647967</v>
      </c>
      <c r="E369" s="393">
        <v>43689</v>
      </c>
      <c r="I369" s="373"/>
      <c r="J369" s="373" t="s">
        <v>2072</v>
      </c>
      <c r="K369" s="373" t="s">
        <v>1652</v>
      </c>
      <c r="L369" s="374">
        <v>43803000</v>
      </c>
      <c r="M369" s="375">
        <v>43703</v>
      </c>
      <c r="T369" s="163"/>
    </row>
    <row r="370" spans="1:20" x14ac:dyDescent="0.25">
      <c r="A370" s="373">
        <v>365</v>
      </c>
      <c r="B370" s="373" t="s">
        <v>2071</v>
      </c>
      <c r="C370" s="373" t="s">
        <v>2070</v>
      </c>
      <c r="D370" s="374">
        <v>65505000</v>
      </c>
      <c r="E370" s="393">
        <v>43689</v>
      </c>
      <c r="I370" s="373"/>
      <c r="J370" s="373" t="s">
        <v>2069</v>
      </c>
      <c r="K370" s="373" t="s">
        <v>2068</v>
      </c>
      <c r="L370" s="374">
        <v>12195250</v>
      </c>
      <c r="M370" s="375">
        <v>43703</v>
      </c>
      <c r="T370" s="163"/>
    </row>
    <row r="371" spans="1:20" x14ac:dyDescent="0.25">
      <c r="A371" s="373">
        <v>366</v>
      </c>
      <c r="B371" s="373" t="s">
        <v>2067</v>
      </c>
      <c r="C371" s="373" t="s">
        <v>1845</v>
      </c>
      <c r="D371" s="374">
        <v>1539936766</v>
      </c>
      <c r="E371" s="393">
        <v>43689</v>
      </c>
      <c r="I371" s="373"/>
      <c r="J371" s="373" t="s">
        <v>2066</v>
      </c>
      <c r="K371" s="373" t="s">
        <v>2065</v>
      </c>
      <c r="L371" s="374">
        <v>16648150</v>
      </c>
      <c r="M371" s="375">
        <v>43703</v>
      </c>
      <c r="T371" s="163"/>
    </row>
    <row r="372" spans="1:20" x14ac:dyDescent="0.25">
      <c r="A372" s="373">
        <v>367</v>
      </c>
      <c r="B372" s="373" t="s">
        <v>2064</v>
      </c>
      <c r="C372" s="373" t="s">
        <v>2063</v>
      </c>
      <c r="D372" s="374">
        <v>3298788</v>
      </c>
      <c r="E372" s="393">
        <v>43690</v>
      </c>
      <c r="I372" s="373"/>
      <c r="J372" s="373" t="s">
        <v>2062</v>
      </c>
      <c r="K372" s="373" t="s">
        <v>2061</v>
      </c>
      <c r="L372" s="374">
        <v>26764300</v>
      </c>
      <c r="M372" s="375">
        <v>43703</v>
      </c>
      <c r="T372" s="163"/>
    </row>
    <row r="373" spans="1:20" x14ac:dyDescent="0.25">
      <c r="A373" s="373">
        <v>368</v>
      </c>
      <c r="B373" s="373" t="s">
        <v>2060</v>
      </c>
      <c r="C373" s="373" t="s">
        <v>248</v>
      </c>
      <c r="D373" s="374">
        <v>219001000</v>
      </c>
      <c r="E373" s="393">
        <v>43690</v>
      </c>
      <c r="I373" s="373"/>
      <c r="J373" s="373" t="s">
        <v>2059</v>
      </c>
      <c r="K373" s="373" t="s">
        <v>1506</v>
      </c>
      <c r="L373" s="374">
        <v>6970336</v>
      </c>
      <c r="M373" s="375">
        <v>43703</v>
      </c>
      <c r="T373" s="163"/>
    </row>
    <row r="374" spans="1:20" x14ac:dyDescent="0.25">
      <c r="A374" s="373">
        <v>369</v>
      </c>
      <c r="B374" s="373" t="s">
        <v>2058</v>
      </c>
      <c r="C374" s="373" t="s">
        <v>1198</v>
      </c>
      <c r="D374" s="374">
        <v>711221394</v>
      </c>
      <c r="E374" s="393">
        <v>43690</v>
      </c>
      <c r="I374" s="373"/>
      <c r="J374" s="373" t="s">
        <v>2057</v>
      </c>
      <c r="K374" s="373" t="s">
        <v>1509</v>
      </c>
      <c r="L374" s="374">
        <v>6933939</v>
      </c>
      <c r="M374" s="375">
        <v>43703</v>
      </c>
      <c r="T374" s="163"/>
    </row>
    <row r="375" spans="1:20" x14ac:dyDescent="0.25">
      <c r="A375" s="373">
        <v>370</v>
      </c>
      <c r="B375" s="373" t="s">
        <v>2056</v>
      </c>
      <c r="C375" s="373" t="s">
        <v>1374</v>
      </c>
      <c r="D375" s="374">
        <v>552075666</v>
      </c>
      <c r="E375" s="393">
        <v>43690</v>
      </c>
      <c r="I375" s="373"/>
      <c r="J375" s="373" t="s">
        <v>2055</v>
      </c>
      <c r="K375" s="373" t="s">
        <v>1501</v>
      </c>
      <c r="L375" s="374">
        <v>13062512</v>
      </c>
      <c r="M375" s="375">
        <v>43703</v>
      </c>
      <c r="T375" s="163"/>
    </row>
    <row r="376" spans="1:20" x14ac:dyDescent="0.25">
      <c r="A376" s="373">
        <v>371</v>
      </c>
      <c r="B376" s="373" t="s">
        <v>2054</v>
      </c>
      <c r="C376" s="373" t="s">
        <v>522</v>
      </c>
      <c r="D376" s="374">
        <v>172366233</v>
      </c>
      <c r="E376" s="393">
        <v>43690</v>
      </c>
      <c r="I376" s="373"/>
      <c r="J376" s="373" t="s">
        <v>2053</v>
      </c>
      <c r="K376" s="373" t="s">
        <v>2052</v>
      </c>
      <c r="L376" s="374">
        <v>12288309</v>
      </c>
      <c r="M376" s="375">
        <v>43703</v>
      </c>
      <c r="T376" s="163"/>
    </row>
    <row r="377" spans="1:20" x14ac:dyDescent="0.25">
      <c r="A377" s="373">
        <v>372</v>
      </c>
      <c r="B377" s="373" t="s">
        <v>2051</v>
      </c>
      <c r="C377" s="373" t="s">
        <v>1845</v>
      </c>
      <c r="D377" s="374">
        <v>1555583427</v>
      </c>
      <c r="E377" s="393">
        <v>43690</v>
      </c>
      <c r="I377" s="373"/>
      <c r="J377" s="373" t="s">
        <v>2050</v>
      </c>
      <c r="K377" s="373" t="s">
        <v>388</v>
      </c>
      <c r="L377" s="374"/>
      <c r="M377" s="375">
        <v>43703</v>
      </c>
      <c r="T377" s="163"/>
    </row>
    <row r="378" spans="1:20" x14ac:dyDescent="0.25">
      <c r="A378" s="373">
        <v>373</v>
      </c>
      <c r="B378" s="373" t="s">
        <v>2049</v>
      </c>
      <c r="C378" s="373" t="s">
        <v>322</v>
      </c>
      <c r="D378" s="374"/>
      <c r="E378" s="393"/>
      <c r="I378" s="373"/>
      <c r="J378" s="373" t="s">
        <v>2048</v>
      </c>
      <c r="K378" s="373" t="s">
        <v>2047</v>
      </c>
      <c r="L378" s="374">
        <v>14341424</v>
      </c>
      <c r="M378" s="375">
        <v>43703</v>
      </c>
      <c r="T378" s="163"/>
    </row>
    <row r="379" spans="1:20" x14ac:dyDescent="0.25">
      <c r="A379" s="373">
        <v>374</v>
      </c>
      <c r="B379" s="373" t="s">
        <v>2046</v>
      </c>
      <c r="C379" s="373" t="s">
        <v>1845</v>
      </c>
      <c r="D379" s="374">
        <v>431339982</v>
      </c>
      <c r="E379" s="393">
        <v>43691</v>
      </c>
      <c r="I379" s="373"/>
      <c r="J379" s="373" t="s">
        <v>2045</v>
      </c>
      <c r="K379" s="373" t="s">
        <v>388</v>
      </c>
      <c r="L379" s="374"/>
      <c r="M379" s="373"/>
      <c r="T379" s="163"/>
    </row>
    <row r="380" spans="1:20" x14ac:dyDescent="0.25">
      <c r="A380" s="373">
        <v>375</v>
      </c>
      <c r="B380" s="373" t="s">
        <v>2044</v>
      </c>
      <c r="C380" s="373" t="s">
        <v>1198</v>
      </c>
      <c r="D380" s="374">
        <v>705011989</v>
      </c>
      <c r="E380" s="393">
        <v>43691</v>
      </c>
      <c r="I380" s="373"/>
      <c r="J380" s="373" t="s">
        <v>2043</v>
      </c>
      <c r="K380" s="373" t="s">
        <v>964</v>
      </c>
      <c r="L380" s="374">
        <v>17777700</v>
      </c>
      <c r="M380" s="375">
        <v>43703</v>
      </c>
      <c r="T380" s="163"/>
    </row>
    <row r="381" spans="1:20" x14ac:dyDescent="0.25">
      <c r="A381" s="373">
        <v>376</v>
      </c>
      <c r="B381" s="373" t="s">
        <v>2042</v>
      </c>
      <c r="C381" s="373" t="s">
        <v>522</v>
      </c>
      <c r="D381" s="374">
        <v>192212425</v>
      </c>
      <c r="E381" s="393">
        <v>43691</v>
      </c>
      <c r="I381" s="373"/>
      <c r="J381" s="373" t="s">
        <v>2041</v>
      </c>
      <c r="K381" s="373" t="s">
        <v>2040</v>
      </c>
      <c r="L381" s="374">
        <v>131458006</v>
      </c>
      <c r="M381" s="375">
        <v>43704</v>
      </c>
      <c r="T381" s="163"/>
    </row>
    <row r="382" spans="1:20" x14ac:dyDescent="0.25">
      <c r="A382" s="373">
        <v>377</v>
      </c>
      <c r="B382" s="373" t="s">
        <v>2039</v>
      </c>
      <c r="C382" s="373" t="s">
        <v>1424</v>
      </c>
      <c r="D382" s="374">
        <v>100622018</v>
      </c>
      <c r="E382" s="393">
        <v>43691</v>
      </c>
      <c r="I382" s="373"/>
      <c r="J382" s="373" t="s">
        <v>2038</v>
      </c>
      <c r="K382" s="373" t="s">
        <v>2037</v>
      </c>
      <c r="L382" s="374">
        <v>7767167</v>
      </c>
      <c r="M382" s="375">
        <v>43704</v>
      </c>
      <c r="T382" s="163"/>
    </row>
    <row r="383" spans="1:20" x14ac:dyDescent="0.25">
      <c r="A383" s="373">
        <v>378</v>
      </c>
      <c r="B383" s="373" t="s">
        <v>2036</v>
      </c>
      <c r="C383" s="373" t="s">
        <v>1374</v>
      </c>
      <c r="D383" s="374">
        <v>832441403</v>
      </c>
      <c r="E383" s="393">
        <v>43691</v>
      </c>
      <c r="I383" s="373"/>
      <c r="J383" s="373" t="s">
        <v>2035</v>
      </c>
      <c r="K383" s="373" t="s">
        <v>2034</v>
      </c>
      <c r="L383" s="374">
        <v>1492200</v>
      </c>
      <c r="M383" s="375">
        <v>43704</v>
      </c>
      <c r="T383" s="163"/>
    </row>
    <row r="384" spans="1:20" x14ac:dyDescent="0.25">
      <c r="A384" s="373">
        <v>379</v>
      </c>
      <c r="B384" s="373" t="s">
        <v>2033</v>
      </c>
      <c r="C384" s="373" t="s">
        <v>1198</v>
      </c>
      <c r="D384" s="374">
        <v>674703958</v>
      </c>
      <c r="E384" s="393">
        <v>43692</v>
      </c>
      <c r="I384" s="373"/>
      <c r="J384" s="373" t="s">
        <v>2032</v>
      </c>
      <c r="K384" s="373" t="s">
        <v>2031</v>
      </c>
      <c r="L384" s="374">
        <v>4832715</v>
      </c>
      <c r="M384" s="375">
        <v>43704</v>
      </c>
      <c r="T384" s="163"/>
    </row>
    <row r="385" spans="1:20" x14ac:dyDescent="0.25">
      <c r="A385" s="373">
        <v>380</v>
      </c>
      <c r="B385" s="373" t="s">
        <v>2030</v>
      </c>
      <c r="C385" s="373" t="s">
        <v>543</v>
      </c>
      <c r="D385" s="374">
        <v>337986901</v>
      </c>
      <c r="E385" s="393">
        <v>43692</v>
      </c>
      <c r="I385" s="373"/>
      <c r="J385" s="373" t="s">
        <v>2029</v>
      </c>
      <c r="K385" s="373" t="s">
        <v>388</v>
      </c>
      <c r="L385" s="374"/>
      <c r="M385" s="373"/>
      <c r="T385" s="163"/>
    </row>
    <row r="386" spans="1:20" x14ac:dyDescent="0.25">
      <c r="A386" s="373">
        <v>381</v>
      </c>
      <c r="B386" s="373" t="s">
        <v>2028</v>
      </c>
      <c r="C386" s="373" t="s">
        <v>1845</v>
      </c>
      <c r="D386" s="374">
        <v>1000035000</v>
      </c>
      <c r="E386" s="393">
        <v>43692</v>
      </c>
      <c r="I386" s="373"/>
      <c r="J386" s="373" t="s">
        <v>2027</v>
      </c>
      <c r="K386" s="373" t="s">
        <v>2026</v>
      </c>
      <c r="L386" s="374">
        <v>8951000</v>
      </c>
      <c r="M386" s="375">
        <v>43704</v>
      </c>
      <c r="T386" s="163"/>
    </row>
    <row r="387" spans="1:20" x14ac:dyDescent="0.25">
      <c r="A387" s="373">
        <v>382</v>
      </c>
      <c r="B387" s="373" t="s">
        <v>2025</v>
      </c>
      <c r="C387" s="373" t="s">
        <v>248</v>
      </c>
      <c r="D387" s="374">
        <v>206605000</v>
      </c>
      <c r="E387" s="393">
        <v>43692</v>
      </c>
      <c r="I387" s="373"/>
      <c r="J387" s="373" t="s">
        <v>2024</v>
      </c>
      <c r="K387" s="373" t="s">
        <v>2023</v>
      </c>
      <c r="L387" s="374">
        <v>34237612</v>
      </c>
      <c r="M387" s="375">
        <v>43711</v>
      </c>
      <c r="T387" s="163"/>
    </row>
    <row r="388" spans="1:20" x14ac:dyDescent="0.25">
      <c r="A388" s="373">
        <v>383</v>
      </c>
      <c r="B388" s="373" t="s">
        <v>2022</v>
      </c>
      <c r="C388" s="373" t="s">
        <v>1845</v>
      </c>
      <c r="D388" s="374">
        <v>1955528075</v>
      </c>
      <c r="E388" s="393">
        <v>43692</v>
      </c>
      <c r="I388" s="373"/>
      <c r="J388" s="373" t="s">
        <v>2021</v>
      </c>
      <c r="K388" s="373" t="s">
        <v>1634</v>
      </c>
      <c r="L388" s="374">
        <v>6126700</v>
      </c>
      <c r="M388" s="375">
        <v>43704</v>
      </c>
      <c r="T388" s="163"/>
    </row>
    <row r="389" spans="1:20" x14ac:dyDescent="0.25">
      <c r="A389" s="373">
        <v>384</v>
      </c>
      <c r="B389" s="379" t="s">
        <v>2020</v>
      </c>
      <c r="C389" s="379" t="s">
        <v>1294</v>
      </c>
      <c r="D389" s="374">
        <v>517522174</v>
      </c>
      <c r="E389" s="393">
        <v>43692</v>
      </c>
      <c r="I389" s="373"/>
      <c r="J389" s="373" t="s">
        <v>2019</v>
      </c>
      <c r="K389" s="373" t="s">
        <v>2018</v>
      </c>
      <c r="L389" s="374">
        <v>562440</v>
      </c>
      <c r="M389" s="375">
        <v>43704</v>
      </c>
      <c r="T389" s="163"/>
    </row>
    <row r="390" spans="1:20" x14ac:dyDescent="0.25">
      <c r="A390" s="373">
        <v>385</v>
      </c>
      <c r="B390" s="379" t="s">
        <v>2017</v>
      </c>
      <c r="C390" s="379" t="s">
        <v>1313</v>
      </c>
      <c r="D390" s="374">
        <v>186342657</v>
      </c>
      <c r="E390" s="393">
        <v>43693</v>
      </c>
      <c r="I390" s="373"/>
      <c r="J390" s="373" t="s">
        <v>2016</v>
      </c>
      <c r="K390" s="373" t="s">
        <v>388</v>
      </c>
      <c r="L390" s="374"/>
      <c r="M390" s="373"/>
      <c r="T390" s="163"/>
    </row>
    <row r="391" spans="1:20" x14ac:dyDescent="0.25">
      <c r="A391" s="373">
        <v>386</v>
      </c>
      <c r="B391" s="379" t="s">
        <v>2015</v>
      </c>
      <c r="C391" s="379" t="s">
        <v>1198</v>
      </c>
      <c r="D391" s="374">
        <v>440511040</v>
      </c>
      <c r="E391" s="393">
        <v>43693</v>
      </c>
      <c r="I391" s="373"/>
      <c r="J391" s="373" t="s">
        <v>2014</v>
      </c>
      <c r="K391" s="373" t="s">
        <v>1973</v>
      </c>
      <c r="L391" s="374">
        <v>15468627</v>
      </c>
      <c r="M391" s="375">
        <v>43704</v>
      </c>
      <c r="T391" s="163"/>
    </row>
    <row r="392" spans="1:20" x14ac:dyDescent="0.25">
      <c r="A392" s="373">
        <v>387</v>
      </c>
      <c r="B392" s="379" t="s">
        <v>2013</v>
      </c>
      <c r="C392" s="379" t="s">
        <v>2012</v>
      </c>
      <c r="D392" s="374">
        <v>6455000</v>
      </c>
      <c r="E392" s="393">
        <v>43693</v>
      </c>
      <c r="I392" s="373"/>
      <c r="J392" s="373" t="s">
        <v>2011</v>
      </c>
      <c r="K392" s="373" t="s">
        <v>2010</v>
      </c>
      <c r="L392" s="374">
        <v>5180573</v>
      </c>
      <c r="M392" s="375">
        <v>43704</v>
      </c>
      <c r="T392" s="163"/>
    </row>
    <row r="393" spans="1:20" x14ac:dyDescent="0.25">
      <c r="A393" s="373">
        <v>388</v>
      </c>
      <c r="B393" s="379" t="s">
        <v>2009</v>
      </c>
      <c r="C393" s="379" t="s">
        <v>623</v>
      </c>
      <c r="D393" s="374">
        <v>197075362</v>
      </c>
      <c r="E393" s="393">
        <v>43693</v>
      </c>
      <c r="I393" s="373"/>
      <c r="J393" s="373" t="s">
        <v>2008</v>
      </c>
      <c r="K393" s="373" t="s">
        <v>1010</v>
      </c>
      <c r="L393" s="374">
        <v>13879012</v>
      </c>
      <c r="M393" s="375">
        <v>43704</v>
      </c>
      <c r="T393" s="163"/>
    </row>
    <row r="394" spans="1:20" x14ac:dyDescent="0.25">
      <c r="A394" s="373">
        <v>389</v>
      </c>
      <c r="B394" s="379" t="s">
        <v>2007</v>
      </c>
      <c r="C394" s="379" t="s">
        <v>1845</v>
      </c>
      <c r="D394" s="374">
        <v>1402073676</v>
      </c>
      <c r="E394" s="393">
        <v>43693</v>
      </c>
      <c r="I394" s="373"/>
      <c r="J394" s="373" t="s">
        <v>2006</v>
      </c>
      <c r="K394" s="373" t="s">
        <v>2005</v>
      </c>
      <c r="L394" s="374">
        <v>2796345</v>
      </c>
      <c r="M394" s="375">
        <v>43704</v>
      </c>
      <c r="T394" s="163"/>
    </row>
    <row r="395" spans="1:20" x14ac:dyDescent="0.25">
      <c r="A395" s="373">
        <v>390</v>
      </c>
      <c r="B395" s="379" t="s">
        <v>2004</v>
      </c>
      <c r="C395" s="379" t="s">
        <v>283</v>
      </c>
      <c r="D395" s="374">
        <v>176805000</v>
      </c>
      <c r="E395" s="393">
        <v>43696</v>
      </c>
      <c r="I395" s="373"/>
      <c r="J395" s="373" t="s">
        <v>2003</v>
      </c>
      <c r="K395" s="373" t="s">
        <v>2002</v>
      </c>
      <c r="L395" s="374">
        <v>17196645</v>
      </c>
      <c r="M395" s="375">
        <v>43704</v>
      </c>
      <c r="T395" s="163"/>
    </row>
    <row r="396" spans="1:20" x14ac:dyDescent="0.25">
      <c r="A396" s="373">
        <v>391</v>
      </c>
      <c r="B396" s="379" t="s">
        <v>2001</v>
      </c>
      <c r="C396" s="379" t="s">
        <v>427</v>
      </c>
      <c r="D396" s="374">
        <v>319922920</v>
      </c>
      <c r="E396" s="393">
        <v>43696</v>
      </c>
      <c r="I396" s="373"/>
      <c r="J396" s="373" t="s">
        <v>2000</v>
      </c>
      <c r="K396" s="373" t="s">
        <v>1999</v>
      </c>
      <c r="L396" s="374">
        <v>19785645</v>
      </c>
      <c r="M396" s="375">
        <v>43704</v>
      </c>
      <c r="T396" s="163"/>
    </row>
    <row r="397" spans="1:20" x14ac:dyDescent="0.25">
      <c r="A397" s="373">
        <v>392</v>
      </c>
      <c r="B397" s="379" t="s">
        <v>1998</v>
      </c>
      <c r="C397" s="379" t="s">
        <v>1198</v>
      </c>
      <c r="D397" s="374">
        <v>929892854</v>
      </c>
      <c r="E397" s="393">
        <v>43696</v>
      </c>
      <c r="I397" s="373"/>
      <c r="J397" s="373" t="s">
        <v>1997</v>
      </c>
      <c r="K397" s="373" t="s">
        <v>388</v>
      </c>
      <c r="L397" s="374"/>
      <c r="M397" s="373"/>
      <c r="T397" s="163"/>
    </row>
    <row r="398" spans="1:20" x14ac:dyDescent="0.25">
      <c r="A398" s="373">
        <v>393</v>
      </c>
      <c r="B398" s="379" t="s">
        <v>1996</v>
      </c>
      <c r="C398" s="379" t="s">
        <v>302</v>
      </c>
      <c r="D398" s="374">
        <v>201505000</v>
      </c>
      <c r="E398" s="393">
        <v>43696</v>
      </c>
      <c r="I398" s="373"/>
      <c r="J398" s="373" t="s">
        <v>1995</v>
      </c>
      <c r="K398" s="373" t="s">
        <v>1994</v>
      </c>
      <c r="L398" s="374">
        <v>41888179</v>
      </c>
      <c r="M398" s="375">
        <v>43704</v>
      </c>
      <c r="T398" s="163"/>
    </row>
    <row r="399" spans="1:20" x14ac:dyDescent="0.25">
      <c r="A399" s="373">
        <v>394</v>
      </c>
      <c r="B399" s="379" t="s">
        <v>1993</v>
      </c>
      <c r="C399" s="379" t="s">
        <v>322</v>
      </c>
      <c r="D399" s="374"/>
      <c r="E399" s="393"/>
      <c r="I399" s="373"/>
      <c r="J399" s="373" t="s">
        <v>1992</v>
      </c>
      <c r="K399" s="373" t="s">
        <v>1991</v>
      </c>
      <c r="L399" s="374">
        <v>18200000</v>
      </c>
      <c r="M399" s="375">
        <v>43704</v>
      </c>
      <c r="T399" s="163"/>
    </row>
    <row r="400" spans="1:20" x14ac:dyDescent="0.25">
      <c r="A400" s="373">
        <v>395</v>
      </c>
      <c r="B400" s="379" t="s">
        <v>1990</v>
      </c>
      <c r="C400" s="379" t="s">
        <v>1845</v>
      </c>
      <c r="D400" s="374">
        <v>1000035000</v>
      </c>
      <c r="E400" s="393">
        <v>43696</v>
      </c>
      <c r="I400" s="373"/>
      <c r="J400" s="373" t="s">
        <v>1989</v>
      </c>
      <c r="K400" s="373" t="s">
        <v>1988</v>
      </c>
      <c r="L400" s="374">
        <v>2533000</v>
      </c>
      <c r="M400" s="375">
        <v>43705</v>
      </c>
      <c r="T400" s="163"/>
    </row>
    <row r="401" spans="1:20" x14ac:dyDescent="0.25">
      <c r="A401" s="373">
        <v>396</v>
      </c>
      <c r="B401" s="379" t="s">
        <v>1987</v>
      </c>
      <c r="C401" s="379" t="s">
        <v>1374</v>
      </c>
      <c r="D401" s="374">
        <v>133360336</v>
      </c>
      <c r="E401" s="393">
        <v>43697</v>
      </c>
      <c r="I401" s="373"/>
      <c r="J401" s="373" t="s">
        <v>1986</v>
      </c>
      <c r="K401" s="373" t="s">
        <v>1985</v>
      </c>
      <c r="L401" s="374">
        <v>975000</v>
      </c>
      <c r="M401" s="375">
        <v>43705</v>
      </c>
      <c r="T401" s="163"/>
    </row>
    <row r="402" spans="1:20" x14ac:dyDescent="0.25">
      <c r="A402" s="373">
        <v>397</v>
      </c>
      <c r="B402" s="379" t="s">
        <v>1984</v>
      </c>
      <c r="C402" s="379" t="s">
        <v>1313</v>
      </c>
      <c r="D402" s="374">
        <v>433218264</v>
      </c>
      <c r="E402" s="393">
        <v>43697</v>
      </c>
      <c r="I402" s="373"/>
      <c r="J402" s="373" t="s">
        <v>1983</v>
      </c>
      <c r="K402" s="373" t="s">
        <v>1982</v>
      </c>
      <c r="L402" s="374">
        <v>8152000</v>
      </c>
      <c r="M402" s="375">
        <v>43705</v>
      </c>
      <c r="T402" s="163"/>
    </row>
    <row r="403" spans="1:20" x14ac:dyDescent="0.25">
      <c r="A403" s="373">
        <v>398</v>
      </c>
      <c r="B403" s="379" t="s">
        <v>1981</v>
      </c>
      <c r="C403" s="379" t="s">
        <v>283</v>
      </c>
      <c r="D403" s="374">
        <v>353605000</v>
      </c>
      <c r="E403" s="393">
        <v>43697</v>
      </c>
      <c r="I403" s="373"/>
      <c r="J403" s="373" t="s">
        <v>1980</v>
      </c>
      <c r="K403" s="373" t="s">
        <v>1979</v>
      </c>
      <c r="L403" s="374">
        <v>2490783</v>
      </c>
      <c r="M403" s="375">
        <v>43705</v>
      </c>
      <c r="T403" s="163"/>
    </row>
    <row r="404" spans="1:20" x14ac:dyDescent="0.25">
      <c r="A404" s="373">
        <v>399</v>
      </c>
      <c r="B404" s="379" t="s">
        <v>1978</v>
      </c>
      <c r="C404" s="379" t="s">
        <v>709</v>
      </c>
      <c r="D404" s="374">
        <v>199002270</v>
      </c>
      <c r="E404" s="393">
        <v>43697</v>
      </c>
      <c r="I404" s="373"/>
      <c r="J404" s="373" t="s">
        <v>1977</v>
      </c>
      <c r="K404" s="373" t="s">
        <v>1976</v>
      </c>
      <c r="L404" s="374">
        <v>1551000</v>
      </c>
      <c r="M404" s="375">
        <v>43705</v>
      </c>
      <c r="T404" s="163"/>
    </row>
    <row r="405" spans="1:20" x14ac:dyDescent="0.25">
      <c r="A405" s="373">
        <v>400</v>
      </c>
      <c r="B405" s="379" t="s">
        <v>1975</v>
      </c>
      <c r="C405" s="379" t="s">
        <v>1198</v>
      </c>
      <c r="D405" s="374">
        <v>925137806</v>
      </c>
      <c r="E405" s="393">
        <v>43697</v>
      </c>
      <c r="I405" s="373"/>
      <c r="J405" s="373" t="s">
        <v>1974</v>
      </c>
      <c r="K405" s="373" t="s">
        <v>1973</v>
      </c>
      <c r="L405" s="374">
        <v>21179392</v>
      </c>
      <c r="M405" s="375">
        <v>43711</v>
      </c>
      <c r="T405" s="163"/>
    </row>
    <row r="406" spans="1:20" x14ac:dyDescent="0.25">
      <c r="A406" s="373">
        <v>401</v>
      </c>
      <c r="B406" s="379" t="s">
        <v>1972</v>
      </c>
      <c r="C406" s="379" t="s">
        <v>1845</v>
      </c>
      <c r="D406" s="374">
        <v>1745943962</v>
      </c>
      <c r="E406" s="393">
        <v>43697</v>
      </c>
      <c r="I406" s="373"/>
      <c r="J406" s="373" t="s">
        <v>1971</v>
      </c>
      <c r="K406" s="373" t="s">
        <v>388</v>
      </c>
      <c r="L406" s="374"/>
      <c r="M406" s="373"/>
      <c r="T406" s="163"/>
    </row>
    <row r="407" spans="1:20" x14ac:dyDescent="0.25">
      <c r="A407" s="373">
        <v>402</v>
      </c>
      <c r="B407" s="379" t="s">
        <v>1970</v>
      </c>
      <c r="C407" s="379" t="s">
        <v>522</v>
      </c>
      <c r="D407" s="374">
        <v>231430798</v>
      </c>
      <c r="E407" s="393">
        <v>43697</v>
      </c>
      <c r="I407" s="373"/>
      <c r="J407" s="373" t="s">
        <v>1969</v>
      </c>
      <c r="K407" s="373" t="s">
        <v>1506</v>
      </c>
      <c r="L407" s="374">
        <v>7339161</v>
      </c>
      <c r="M407" s="375">
        <v>43710</v>
      </c>
      <c r="T407" s="163"/>
    </row>
    <row r="408" spans="1:20" x14ac:dyDescent="0.25">
      <c r="A408" s="373">
        <v>403</v>
      </c>
      <c r="B408" s="379" t="s">
        <v>1968</v>
      </c>
      <c r="C408" s="379" t="s">
        <v>1198</v>
      </c>
      <c r="D408" s="374">
        <v>725442690</v>
      </c>
      <c r="E408" s="393">
        <v>43698</v>
      </c>
      <c r="I408" s="373"/>
      <c r="J408" s="373" t="s">
        <v>1967</v>
      </c>
      <c r="K408" s="373" t="s">
        <v>1966</v>
      </c>
      <c r="L408" s="374">
        <v>36135923</v>
      </c>
      <c r="M408" s="375">
        <v>43711</v>
      </c>
      <c r="T408" s="163"/>
    </row>
    <row r="409" spans="1:20" x14ac:dyDescent="0.25">
      <c r="A409" s="373">
        <v>404</v>
      </c>
      <c r="B409" s="379" t="s">
        <v>1965</v>
      </c>
      <c r="C409" s="379" t="s">
        <v>322</v>
      </c>
      <c r="D409" s="374"/>
      <c r="E409" s="393"/>
      <c r="I409" s="373"/>
      <c r="J409" s="373" t="s">
        <v>1964</v>
      </c>
      <c r="K409" s="373" t="s">
        <v>1478</v>
      </c>
      <c r="L409" s="374">
        <v>2347104</v>
      </c>
      <c r="M409" s="375">
        <v>43711</v>
      </c>
      <c r="T409" s="163"/>
    </row>
    <row r="410" spans="1:20" x14ac:dyDescent="0.25">
      <c r="A410" s="373">
        <v>405</v>
      </c>
      <c r="B410" s="379" t="s">
        <v>1963</v>
      </c>
      <c r="C410" s="379" t="s">
        <v>1424</v>
      </c>
      <c r="D410" s="374">
        <v>100622018</v>
      </c>
      <c r="E410" s="393">
        <v>43698</v>
      </c>
      <c r="I410" s="373"/>
      <c r="J410" s="373" t="s">
        <v>1962</v>
      </c>
      <c r="K410" s="373" t="s">
        <v>388</v>
      </c>
      <c r="L410" s="374"/>
      <c r="M410" s="373"/>
      <c r="T410" s="163"/>
    </row>
    <row r="411" spans="1:20" x14ac:dyDescent="0.25">
      <c r="A411" s="373">
        <v>406</v>
      </c>
      <c r="B411" s="379" t="s">
        <v>1961</v>
      </c>
      <c r="C411" s="379" t="s">
        <v>1313</v>
      </c>
      <c r="D411" s="374">
        <v>752480804</v>
      </c>
      <c r="E411" s="393">
        <v>43698</v>
      </c>
      <c r="I411" s="373"/>
      <c r="J411" s="373" t="s">
        <v>1960</v>
      </c>
      <c r="K411" s="373" t="s">
        <v>388</v>
      </c>
      <c r="L411" s="374"/>
      <c r="M411" s="373"/>
      <c r="T411" s="163"/>
    </row>
    <row r="412" spans="1:20" x14ac:dyDescent="0.25">
      <c r="A412" s="373">
        <v>407</v>
      </c>
      <c r="B412" s="379" t="s">
        <v>1959</v>
      </c>
      <c r="C412" s="379" t="s">
        <v>1394</v>
      </c>
      <c r="D412" s="374">
        <v>121311636</v>
      </c>
      <c r="E412" s="393">
        <v>43698</v>
      </c>
      <c r="I412" s="373"/>
      <c r="J412" s="373" t="s">
        <v>1958</v>
      </c>
      <c r="K412" s="373" t="s">
        <v>1509</v>
      </c>
      <c r="L412" s="374">
        <v>9726638</v>
      </c>
      <c r="M412" s="375">
        <v>43710</v>
      </c>
      <c r="T412" s="163"/>
    </row>
    <row r="413" spans="1:20" x14ac:dyDescent="0.25">
      <c r="A413" s="373">
        <v>408</v>
      </c>
      <c r="B413" s="379" t="s">
        <v>1957</v>
      </c>
      <c r="C413" s="379" t="s">
        <v>1956</v>
      </c>
      <c r="D413" s="374">
        <v>50963569</v>
      </c>
      <c r="E413" s="393">
        <v>43698</v>
      </c>
      <c r="I413" s="373"/>
      <c r="J413" s="373" t="s">
        <v>1955</v>
      </c>
      <c r="K413" s="373" t="s">
        <v>1047</v>
      </c>
      <c r="L413" s="374">
        <v>18405900</v>
      </c>
      <c r="M413" s="375">
        <v>43710</v>
      </c>
      <c r="T413" s="163"/>
    </row>
    <row r="414" spans="1:20" x14ac:dyDescent="0.25">
      <c r="A414" s="373">
        <v>409</v>
      </c>
      <c r="B414" s="379" t="s">
        <v>1954</v>
      </c>
      <c r="C414" s="373" t="s">
        <v>1294</v>
      </c>
      <c r="D414" s="374">
        <v>683678455</v>
      </c>
      <c r="E414" s="393">
        <v>43698</v>
      </c>
      <c r="I414" s="373"/>
      <c r="J414" s="373" t="s">
        <v>1953</v>
      </c>
      <c r="K414" s="373" t="s">
        <v>1952</v>
      </c>
      <c r="L414" s="374">
        <v>6718214</v>
      </c>
      <c r="M414" s="375">
        <v>43711</v>
      </c>
      <c r="T414" s="163"/>
    </row>
    <row r="415" spans="1:20" x14ac:dyDescent="0.25">
      <c r="A415" s="373">
        <v>410</v>
      </c>
      <c r="B415" s="379" t="s">
        <v>1951</v>
      </c>
      <c r="C415" s="373" t="s">
        <v>1950</v>
      </c>
      <c r="D415" s="374">
        <v>16304670</v>
      </c>
      <c r="E415" s="393">
        <v>43698</v>
      </c>
      <c r="I415" s="373"/>
      <c r="J415" s="373" t="s">
        <v>1949</v>
      </c>
      <c r="K415" s="373" t="s">
        <v>1948</v>
      </c>
      <c r="L415" s="374">
        <v>22073822</v>
      </c>
      <c r="M415" s="375">
        <v>43711</v>
      </c>
      <c r="T415" s="163"/>
    </row>
    <row r="416" spans="1:20" x14ac:dyDescent="0.25">
      <c r="A416" s="373">
        <v>411</v>
      </c>
      <c r="B416" s="379" t="s">
        <v>1947</v>
      </c>
      <c r="C416" s="373" t="s">
        <v>1845</v>
      </c>
      <c r="D416" s="374">
        <v>746525253</v>
      </c>
      <c r="E416" s="393">
        <v>43698</v>
      </c>
      <c r="I416" s="373"/>
      <c r="J416" s="379" t="s">
        <v>1946</v>
      </c>
      <c r="K416" s="373" t="s">
        <v>964</v>
      </c>
      <c r="L416" s="374">
        <v>4237212</v>
      </c>
      <c r="M416" s="375">
        <v>43710</v>
      </c>
      <c r="T416" s="163"/>
    </row>
    <row r="417" spans="1:20" x14ac:dyDescent="0.25">
      <c r="A417" s="373">
        <v>412</v>
      </c>
      <c r="B417" s="379" t="s">
        <v>1945</v>
      </c>
      <c r="C417" s="373" t="s">
        <v>322</v>
      </c>
      <c r="D417" s="374"/>
      <c r="E417" s="393"/>
      <c r="I417" s="373"/>
      <c r="J417" s="379" t="s">
        <v>1944</v>
      </c>
      <c r="K417" s="373" t="s">
        <v>1943</v>
      </c>
      <c r="L417" s="374">
        <v>21406021</v>
      </c>
      <c r="M417" s="375">
        <v>43710</v>
      </c>
      <c r="T417" s="163"/>
    </row>
    <row r="418" spans="1:20" x14ac:dyDescent="0.25">
      <c r="A418" s="373">
        <v>413</v>
      </c>
      <c r="B418" s="379" t="s">
        <v>1942</v>
      </c>
      <c r="C418" s="373" t="s">
        <v>1313</v>
      </c>
      <c r="D418" s="374">
        <v>528257552</v>
      </c>
      <c r="E418" s="393">
        <v>43699</v>
      </c>
      <c r="I418" s="373"/>
      <c r="J418" s="379" t="s">
        <v>1941</v>
      </c>
      <c r="K418" s="373" t="s">
        <v>1940</v>
      </c>
      <c r="L418" s="374">
        <v>23743600</v>
      </c>
      <c r="M418" s="375">
        <v>43710</v>
      </c>
      <c r="T418" s="163"/>
    </row>
    <row r="419" spans="1:20" x14ac:dyDescent="0.25">
      <c r="A419" s="373">
        <v>414</v>
      </c>
      <c r="B419" s="379" t="s">
        <v>1939</v>
      </c>
      <c r="C419" s="373" t="s">
        <v>522</v>
      </c>
      <c r="D419" s="374">
        <v>170740575</v>
      </c>
      <c r="E419" s="393">
        <v>43699</v>
      </c>
      <c r="I419" s="373"/>
      <c r="J419" s="379" t="s">
        <v>1938</v>
      </c>
      <c r="K419" s="373" t="s">
        <v>1937</v>
      </c>
      <c r="L419" s="374">
        <v>20657410</v>
      </c>
      <c r="M419" s="375">
        <v>43710</v>
      </c>
      <c r="T419" s="163"/>
    </row>
    <row r="420" spans="1:20" x14ac:dyDescent="0.25">
      <c r="A420" s="373">
        <v>415</v>
      </c>
      <c r="B420" s="379" t="s">
        <v>1936</v>
      </c>
      <c r="C420" s="373" t="s">
        <v>248</v>
      </c>
      <c r="D420" s="374">
        <v>247925000</v>
      </c>
      <c r="E420" s="393">
        <v>43699</v>
      </c>
      <c r="I420" s="373"/>
      <c r="J420" s="379" t="s">
        <v>1935</v>
      </c>
      <c r="K420" s="373" t="s">
        <v>1934</v>
      </c>
      <c r="L420" s="374">
        <v>3191000</v>
      </c>
      <c r="M420" s="375">
        <v>43711</v>
      </c>
      <c r="T420" s="163"/>
    </row>
    <row r="421" spans="1:20" x14ac:dyDescent="0.25">
      <c r="A421" s="373">
        <v>416</v>
      </c>
      <c r="B421" s="379" t="s">
        <v>1933</v>
      </c>
      <c r="C421" s="373" t="s">
        <v>283</v>
      </c>
      <c r="D421" s="374">
        <v>353605000</v>
      </c>
      <c r="E421" s="393">
        <v>43699</v>
      </c>
      <c r="I421" s="373"/>
      <c r="J421" s="379" t="s">
        <v>1932</v>
      </c>
      <c r="K421" s="373" t="s">
        <v>1931</v>
      </c>
      <c r="L421" s="374">
        <v>1967321</v>
      </c>
      <c r="M421" s="375">
        <v>43711</v>
      </c>
      <c r="T421" s="163"/>
    </row>
    <row r="422" spans="1:20" x14ac:dyDescent="0.25">
      <c r="A422" s="373">
        <v>417</v>
      </c>
      <c r="B422" s="379" t="s">
        <v>1930</v>
      </c>
      <c r="C422" s="373" t="s">
        <v>302</v>
      </c>
      <c r="D422" s="374">
        <v>224255000</v>
      </c>
      <c r="E422" s="393">
        <v>43699</v>
      </c>
      <c r="I422" s="373"/>
      <c r="J422" s="379" t="s">
        <v>1929</v>
      </c>
      <c r="K422" s="373" t="s">
        <v>1928</v>
      </c>
      <c r="L422" s="374">
        <v>1610362</v>
      </c>
      <c r="M422" s="375">
        <v>43711</v>
      </c>
      <c r="T422" s="163"/>
    </row>
    <row r="423" spans="1:20" x14ac:dyDescent="0.25">
      <c r="A423" s="373">
        <v>418</v>
      </c>
      <c r="B423" s="379" t="s">
        <v>1927</v>
      </c>
      <c r="C423" s="373" t="s">
        <v>1198</v>
      </c>
      <c r="D423" s="374">
        <v>242704249</v>
      </c>
      <c r="E423" s="393">
        <v>43699</v>
      </c>
      <c r="I423" s="373"/>
      <c r="J423" s="379" t="s">
        <v>1926</v>
      </c>
      <c r="K423" s="373" t="s">
        <v>1925</v>
      </c>
      <c r="L423" s="374">
        <v>2661000</v>
      </c>
      <c r="M423" s="375">
        <v>43711</v>
      </c>
      <c r="T423" s="163"/>
    </row>
    <row r="424" spans="1:20" x14ac:dyDescent="0.25">
      <c r="A424" s="373">
        <v>419</v>
      </c>
      <c r="B424" s="379" t="s">
        <v>1924</v>
      </c>
      <c r="C424" s="373" t="s">
        <v>1841</v>
      </c>
      <c r="D424" s="374">
        <v>1080262190</v>
      </c>
      <c r="E424" s="393">
        <v>43699</v>
      </c>
      <c r="I424" s="373"/>
      <c r="J424" s="379" t="s">
        <v>1923</v>
      </c>
      <c r="K424" s="373" t="s">
        <v>1922</v>
      </c>
      <c r="L424" s="374">
        <v>3164800</v>
      </c>
      <c r="M424" s="375">
        <v>43711</v>
      </c>
      <c r="T424" s="163"/>
    </row>
    <row r="425" spans="1:20" x14ac:dyDescent="0.25">
      <c r="A425" s="373">
        <v>420</v>
      </c>
      <c r="B425" s="379" t="s">
        <v>1921</v>
      </c>
      <c r="C425" s="373" t="s">
        <v>1374</v>
      </c>
      <c r="D425" s="374">
        <v>473507120</v>
      </c>
      <c r="E425" s="393">
        <v>43699</v>
      </c>
      <c r="I425" s="373"/>
      <c r="J425" s="379" t="s">
        <v>1920</v>
      </c>
      <c r="K425" s="373" t="s">
        <v>1919</v>
      </c>
      <c r="L425" s="374">
        <v>16518500</v>
      </c>
      <c r="M425" s="375">
        <v>43711</v>
      </c>
      <c r="T425" s="163"/>
    </row>
    <row r="426" spans="1:20" x14ac:dyDescent="0.25">
      <c r="A426" s="373">
        <v>421</v>
      </c>
      <c r="B426" s="379" t="s">
        <v>1918</v>
      </c>
      <c r="C426" s="373" t="s">
        <v>522</v>
      </c>
      <c r="D426" s="374">
        <v>160539504</v>
      </c>
      <c r="E426" s="393">
        <v>43700</v>
      </c>
      <c r="I426" s="373"/>
      <c r="J426" s="379" t="s">
        <v>1917</v>
      </c>
      <c r="K426" s="373" t="s">
        <v>873</v>
      </c>
      <c r="L426" s="374">
        <v>54600000</v>
      </c>
      <c r="M426" s="375">
        <v>43714</v>
      </c>
      <c r="T426" s="163"/>
    </row>
    <row r="427" spans="1:20" x14ac:dyDescent="0.25">
      <c r="A427" s="373">
        <v>422</v>
      </c>
      <c r="B427" s="379" t="s">
        <v>1916</v>
      </c>
      <c r="C427" s="373" t="s">
        <v>1424</v>
      </c>
      <c r="D427" s="374">
        <v>100738529</v>
      </c>
      <c r="E427" s="393">
        <v>43700</v>
      </c>
      <c r="I427" s="373"/>
      <c r="J427" s="379" t="s">
        <v>1915</v>
      </c>
      <c r="K427" s="373" t="s">
        <v>1914</v>
      </c>
      <c r="L427" s="374">
        <v>2225351</v>
      </c>
      <c r="M427" s="375">
        <v>43714</v>
      </c>
      <c r="T427" s="163"/>
    </row>
    <row r="428" spans="1:20" x14ac:dyDescent="0.25">
      <c r="A428" s="373">
        <v>423</v>
      </c>
      <c r="B428" s="379" t="s">
        <v>1913</v>
      </c>
      <c r="C428" s="373" t="s">
        <v>1294</v>
      </c>
      <c r="D428" s="374">
        <v>273844104</v>
      </c>
      <c r="E428" s="393">
        <v>43700</v>
      </c>
      <c r="I428" s="373"/>
      <c r="J428" s="379" t="s">
        <v>1912</v>
      </c>
      <c r="K428" s="373" t="s">
        <v>1911</v>
      </c>
      <c r="L428" s="374">
        <v>42255208</v>
      </c>
      <c r="M428" s="375">
        <v>43714</v>
      </c>
      <c r="T428" s="163"/>
    </row>
    <row r="429" spans="1:20" x14ac:dyDescent="0.25">
      <c r="A429" s="373">
        <v>424</v>
      </c>
      <c r="B429" s="379" t="s">
        <v>1910</v>
      </c>
      <c r="C429" s="373" t="s">
        <v>1313</v>
      </c>
      <c r="D429" s="374">
        <v>436316678</v>
      </c>
      <c r="E429" s="393">
        <v>43700</v>
      </c>
      <c r="I429" s="373"/>
      <c r="J429" s="379" t="s">
        <v>1909</v>
      </c>
      <c r="K429" s="373" t="s">
        <v>1908</v>
      </c>
      <c r="L429" s="374">
        <v>33077420</v>
      </c>
      <c r="M429" s="375">
        <v>43714</v>
      </c>
      <c r="T429" s="163"/>
    </row>
    <row r="430" spans="1:20" x14ac:dyDescent="0.25">
      <c r="A430" s="373">
        <v>425</v>
      </c>
      <c r="B430" s="379" t="s">
        <v>1907</v>
      </c>
      <c r="C430" s="373" t="s">
        <v>1906</v>
      </c>
      <c r="D430" s="374">
        <v>1005000</v>
      </c>
      <c r="E430" s="393">
        <v>43700</v>
      </c>
      <c r="I430" s="373"/>
      <c r="J430" s="379" t="s">
        <v>1905</v>
      </c>
      <c r="K430" s="373" t="s">
        <v>1904</v>
      </c>
      <c r="L430" s="374">
        <v>2146672</v>
      </c>
      <c r="M430" s="375">
        <v>43714</v>
      </c>
      <c r="T430" s="163"/>
    </row>
    <row r="431" spans="1:20" x14ac:dyDescent="0.25">
      <c r="A431" s="373">
        <v>426</v>
      </c>
      <c r="B431" s="379" t="s">
        <v>1903</v>
      </c>
      <c r="C431" s="373" t="s">
        <v>248</v>
      </c>
      <c r="D431" s="374">
        <v>491713000</v>
      </c>
      <c r="E431" s="393">
        <v>43700</v>
      </c>
      <c r="I431" s="373"/>
      <c r="J431" s="379" t="s">
        <v>1902</v>
      </c>
      <c r="K431" s="373" t="s">
        <v>1901</v>
      </c>
      <c r="L431" s="374">
        <v>7140689</v>
      </c>
      <c r="M431" s="375">
        <v>43714</v>
      </c>
      <c r="T431" s="163"/>
    </row>
    <row r="432" spans="1:20" x14ac:dyDescent="0.25">
      <c r="A432" s="373">
        <v>427</v>
      </c>
      <c r="B432" s="379" t="s">
        <v>1900</v>
      </c>
      <c r="C432" s="373" t="s">
        <v>1845</v>
      </c>
      <c r="D432" s="374">
        <v>1049568263</v>
      </c>
      <c r="E432" s="393">
        <v>43700</v>
      </c>
      <c r="I432" s="373"/>
      <c r="J432" s="379" t="s">
        <v>1899</v>
      </c>
      <c r="K432" s="373" t="s">
        <v>1509</v>
      </c>
      <c r="L432" s="374">
        <v>9788724</v>
      </c>
      <c r="M432" s="375">
        <v>43717</v>
      </c>
      <c r="T432" s="163"/>
    </row>
    <row r="433" spans="1:20" x14ac:dyDescent="0.25">
      <c r="A433" s="373">
        <v>428</v>
      </c>
      <c r="B433" s="379" t="s">
        <v>1898</v>
      </c>
      <c r="C433" s="373" t="s">
        <v>1198</v>
      </c>
      <c r="D433" s="374">
        <v>541257171</v>
      </c>
      <c r="E433" s="393">
        <v>43700</v>
      </c>
      <c r="I433" s="373"/>
      <c r="J433" s="379" t="s">
        <v>1897</v>
      </c>
      <c r="K433" s="373" t="s">
        <v>1483</v>
      </c>
      <c r="L433" s="374">
        <v>22244619</v>
      </c>
      <c r="M433" s="375">
        <v>43717</v>
      </c>
      <c r="T433" s="163"/>
    </row>
    <row r="434" spans="1:20" x14ac:dyDescent="0.25">
      <c r="A434" s="373">
        <v>429</v>
      </c>
      <c r="B434" s="379" t="s">
        <v>1896</v>
      </c>
      <c r="C434" s="373" t="s">
        <v>1841</v>
      </c>
      <c r="D434" s="374">
        <v>217466784</v>
      </c>
      <c r="E434" s="393">
        <v>43700</v>
      </c>
      <c r="I434" s="373"/>
      <c r="J434" s="379" t="s">
        <v>1895</v>
      </c>
      <c r="K434" s="373" t="s">
        <v>1894</v>
      </c>
      <c r="L434" s="374">
        <v>16195920</v>
      </c>
      <c r="M434" s="375">
        <v>43717</v>
      </c>
      <c r="T434" s="163"/>
    </row>
    <row r="435" spans="1:20" x14ac:dyDescent="0.25">
      <c r="A435" s="373">
        <v>430</v>
      </c>
      <c r="B435" s="379" t="s">
        <v>1893</v>
      </c>
      <c r="C435" s="373" t="s">
        <v>1313</v>
      </c>
      <c r="D435" s="374">
        <v>377295760</v>
      </c>
      <c r="E435" s="393">
        <v>43703</v>
      </c>
      <c r="I435" s="373"/>
      <c r="J435" s="379" t="s">
        <v>1892</v>
      </c>
      <c r="K435" s="373" t="s">
        <v>388</v>
      </c>
      <c r="L435" s="374"/>
      <c r="M435" s="373"/>
      <c r="T435" s="163"/>
    </row>
    <row r="436" spans="1:20" x14ac:dyDescent="0.25">
      <c r="A436" s="373">
        <v>431</v>
      </c>
      <c r="B436" s="379" t="s">
        <v>1891</v>
      </c>
      <c r="C436" s="373" t="s">
        <v>1081</v>
      </c>
      <c r="D436" s="374">
        <v>13761000</v>
      </c>
      <c r="E436" s="393">
        <v>43704</v>
      </c>
      <c r="I436" s="373"/>
      <c r="J436" s="379" t="s">
        <v>1890</v>
      </c>
      <c r="K436" s="373" t="s">
        <v>1498</v>
      </c>
      <c r="L436" s="374">
        <v>18508556</v>
      </c>
      <c r="M436" s="375">
        <v>43717</v>
      </c>
      <c r="T436" s="163"/>
    </row>
    <row r="437" spans="1:20" x14ac:dyDescent="0.25">
      <c r="A437" s="373">
        <v>432</v>
      </c>
      <c r="B437" s="379" t="s">
        <v>1889</v>
      </c>
      <c r="C437" s="373" t="s">
        <v>302</v>
      </c>
      <c r="D437" s="374">
        <v>292505000</v>
      </c>
      <c r="E437" s="393">
        <v>43704</v>
      </c>
      <c r="I437" s="373"/>
      <c r="J437" s="379" t="s">
        <v>1888</v>
      </c>
      <c r="K437" s="373" t="s">
        <v>1047</v>
      </c>
      <c r="L437" s="374">
        <v>37316340</v>
      </c>
      <c r="M437" s="375">
        <v>43717</v>
      </c>
      <c r="T437" s="163"/>
    </row>
    <row r="438" spans="1:20" x14ac:dyDescent="0.25">
      <c r="A438" s="373">
        <v>433</v>
      </c>
      <c r="B438" s="379" t="s">
        <v>1887</v>
      </c>
      <c r="C438" s="373" t="s">
        <v>248</v>
      </c>
      <c r="D438" s="374">
        <v>206605000</v>
      </c>
      <c r="E438" s="393">
        <v>43704</v>
      </c>
      <c r="I438" s="373"/>
      <c r="J438" s="379" t="s">
        <v>1886</v>
      </c>
      <c r="K438" s="373" t="s">
        <v>1501</v>
      </c>
      <c r="L438" s="374">
        <v>15465417</v>
      </c>
      <c r="M438" s="375">
        <v>43717</v>
      </c>
      <c r="T438" s="163"/>
    </row>
    <row r="439" spans="1:20" x14ac:dyDescent="0.25">
      <c r="A439" s="373">
        <v>434</v>
      </c>
      <c r="B439" s="379" t="s">
        <v>1885</v>
      </c>
      <c r="C439" s="379" t="s">
        <v>543</v>
      </c>
      <c r="D439" s="374">
        <v>337986901</v>
      </c>
      <c r="E439" s="393">
        <v>43703</v>
      </c>
      <c r="I439" s="373"/>
      <c r="J439" s="379" t="s">
        <v>1884</v>
      </c>
      <c r="K439" s="373" t="s">
        <v>1883</v>
      </c>
      <c r="L439" s="374">
        <v>43400000</v>
      </c>
      <c r="M439" s="375">
        <v>43717</v>
      </c>
      <c r="T439" s="163"/>
    </row>
    <row r="440" spans="1:20" x14ac:dyDescent="0.25">
      <c r="A440" s="373">
        <v>435</v>
      </c>
      <c r="B440" s="379" t="s">
        <v>1882</v>
      </c>
      <c r="C440" s="379" t="s">
        <v>623</v>
      </c>
      <c r="D440" s="374">
        <v>186460972</v>
      </c>
      <c r="E440" s="393">
        <v>43703</v>
      </c>
      <c r="I440" s="373"/>
      <c r="J440" s="379" t="s">
        <v>1881</v>
      </c>
      <c r="K440" s="373" t="s">
        <v>388</v>
      </c>
      <c r="L440" s="374"/>
      <c r="M440" s="373"/>
      <c r="T440" s="163"/>
    </row>
    <row r="441" spans="1:20" x14ac:dyDescent="0.25">
      <c r="A441" s="373">
        <v>436</v>
      </c>
      <c r="B441" s="379" t="s">
        <v>1880</v>
      </c>
      <c r="C441" s="379" t="s">
        <v>427</v>
      </c>
      <c r="D441" s="374">
        <v>292220058</v>
      </c>
      <c r="E441" s="393">
        <v>43703</v>
      </c>
      <c r="I441" s="373"/>
      <c r="J441" s="379" t="s">
        <v>1879</v>
      </c>
      <c r="K441" s="373" t="s">
        <v>1878</v>
      </c>
      <c r="L441" s="374">
        <v>22793874</v>
      </c>
      <c r="M441" s="375">
        <v>43718</v>
      </c>
      <c r="T441" s="163"/>
    </row>
    <row r="442" spans="1:20" x14ac:dyDescent="0.25">
      <c r="A442" s="373">
        <v>437</v>
      </c>
      <c r="B442" s="379" t="s">
        <v>1877</v>
      </c>
      <c r="C442" s="379" t="s">
        <v>709</v>
      </c>
      <c r="D442" s="374">
        <v>33839645</v>
      </c>
      <c r="E442" s="394">
        <v>43703</v>
      </c>
      <c r="I442" s="373"/>
      <c r="J442" s="379" t="s">
        <v>1876</v>
      </c>
      <c r="K442" s="373" t="s">
        <v>1875</v>
      </c>
      <c r="L442" s="374">
        <v>33815050</v>
      </c>
      <c r="M442" s="375">
        <v>43718</v>
      </c>
      <c r="T442" s="163"/>
    </row>
    <row r="443" spans="1:20" x14ac:dyDescent="0.25">
      <c r="A443" s="373">
        <v>438</v>
      </c>
      <c r="B443" s="379" t="s">
        <v>1874</v>
      </c>
      <c r="C443" s="379" t="s">
        <v>522</v>
      </c>
      <c r="D443" s="374">
        <v>11240730</v>
      </c>
      <c r="E443" s="393">
        <v>43703</v>
      </c>
      <c r="I443" s="373"/>
      <c r="J443" s="379" t="s">
        <v>1873</v>
      </c>
      <c r="K443" s="373" t="s">
        <v>1872</v>
      </c>
      <c r="L443" s="374">
        <v>34207332</v>
      </c>
      <c r="M443" s="375">
        <v>43718</v>
      </c>
      <c r="T443" s="163"/>
    </row>
    <row r="444" spans="1:20" x14ac:dyDescent="0.25">
      <c r="A444" s="373">
        <v>439</v>
      </c>
      <c r="B444" s="379" t="s">
        <v>1871</v>
      </c>
      <c r="C444" s="379" t="s">
        <v>431</v>
      </c>
      <c r="D444" s="374">
        <v>132025944</v>
      </c>
      <c r="E444" s="393">
        <v>43703</v>
      </c>
      <c r="I444" s="373"/>
      <c r="J444" s="379" t="s">
        <v>1870</v>
      </c>
      <c r="K444" s="373" t="s">
        <v>1869</v>
      </c>
      <c r="L444" s="374">
        <v>8094131</v>
      </c>
      <c r="M444" s="375">
        <v>43718</v>
      </c>
      <c r="T444" s="163"/>
    </row>
    <row r="445" spans="1:20" x14ac:dyDescent="0.25">
      <c r="A445" s="373">
        <v>440</v>
      </c>
      <c r="B445" s="379" t="s">
        <v>1868</v>
      </c>
      <c r="C445" s="379" t="s">
        <v>1841</v>
      </c>
      <c r="D445" s="374">
        <v>920652047</v>
      </c>
      <c r="E445" s="393">
        <v>43703</v>
      </c>
      <c r="I445" s="373"/>
      <c r="J445" s="379" t="s">
        <v>1867</v>
      </c>
      <c r="K445" s="373" t="s">
        <v>1031</v>
      </c>
      <c r="L445" s="374">
        <v>9029208</v>
      </c>
      <c r="M445" s="375">
        <v>43718</v>
      </c>
      <c r="T445" s="163"/>
    </row>
    <row r="446" spans="1:20" x14ac:dyDescent="0.25">
      <c r="A446" s="373">
        <v>441</v>
      </c>
      <c r="B446" s="379" t="s">
        <v>1866</v>
      </c>
      <c r="C446" s="379" t="s">
        <v>1845</v>
      </c>
      <c r="D446" s="374">
        <v>545942066</v>
      </c>
      <c r="E446" s="393">
        <v>43703</v>
      </c>
      <c r="I446" s="373"/>
      <c r="J446" s="379" t="s">
        <v>1865</v>
      </c>
      <c r="K446" s="373" t="s">
        <v>1687</v>
      </c>
      <c r="L446" s="374">
        <v>41359787</v>
      </c>
      <c r="M446" s="375">
        <v>43718</v>
      </c>
      <c r="T446" s="163"/>
    </row>
    <row r="447" spans="1:20" x14ac:dyDescent="0.25">
      <c r="A447" s="373">
        <v>442</v>
      </c>
      <c r="B447" s="379" t="s">
        <v>1864</v>
      </c>
      <c r="C447" s="379" t="s">
        <v>1198</v>
      </c>
      <c r="D447" s="374">
        <v>756121227</v>
      </c>
      <c r="E447" s="393">
        <v>43703</v>
      </c>
      <c r="I447" s="373"/>
      <c r="J447" s="379" t="s">
        <v>1863</v>
      </c>
      <c r="K447" s="373" t="s">
        <v>1862</v>
      </c>
      <c r="L447" s="374">
        <v>655000</v>
      </c>
      <c r="M447" s="375">
        <v>43718</v>
      </c>
      <c r="T447" s="163"/>
    </row>
    <row r="448" spans="1:20" x14ac:dyDescent="0.25">
      <c r="A448" s="373">
        <v>443</v>
      </c>
      <c r="B448" s="379" t="s">
        <v>1861</v>
      </c>
      <c r="C448" s="379" t="s">
        <v>322</v>
      </c>
      <c r="D448" s="374"/>
      <c r="E448" s="393"/>
      <c r="I448" s="373"/>
      <c r="J448" s="379" t="s">
        <v>1860</v>
      </c>
      <c r="K448" s="373" t="s">
        <v>1859</v>
      </c>
      <c r="L448" s="374">
        <v>3886000</v>
      </c>
      <c r="M448" s="375">
        <v>43718</v>
      </c>
      <c r="T448" s="163"/>
    </row>
    <row r="449" spans="1:20" x14ac:dyDescent="0.25">
      <c r="A449" s="373">
        <v>444</v>
      </c>
      <c r="B449" s="379" t="s">
        <v>1858</v>
      </c>
      <c r="C449" s="379" t="s">
        <v>1394</v>
      </c>
      <c r="D449" s="374">
        <v>128018204</v>
      </c>
      <c r="E449" s="393">
        <v>43703</v>
      </c>
      <c r="I449" s="373"/>
      <c r="J449" s="379" t="s">
        <v>1857</v>
      </c>
      <c r="K449" s="373" t="s">
        <v>813</v>
      </c>
      <c r="L449" s="374">
        <v>69534755</v>
      </c>
      <c r="M449" s="375">
        <v>43718</v>
      </c>
      <c r="T449" s="163"/>
    </row>
    <row r="450" spans="1:20" x14ac:dyDescent="0.25">
      <c r="A450" s="373">
        <v>445</v>
      </c>
      <c r="B450" s="379" t="s">
        <v>1856</v>
      </c>
      <c r="C450" s="379" t="s">
        <v>1294</v>
      </c>
      <c r="D450" s="374">
        <v>233956322</v>
      </c>
      <c r="E450" s="393">
        <v>43703</v>
      </c>
      <c r="I450" s="373"/>
      <c r="J450" s="379" t="s">
        <v>1855</v>
      </c>
      <c r="K450" s="373" t="s">
        <v>964</v>
      </c>
      <c r="L450" s="374">
        <v>14478514</v>
      </c>
      <c r="M450" s="375">
        <v>43718</v>
      </c>
      <c r="T450" s="163"/>
    </row>
    <row r="451" spans="1:20" x14ac:dyDescent="0.25">
      <c r="A451" s="373">
        <v>446</v>
      </c>
      <c r="B451" s="379" t="s">
        <v>1854</v>
      </c>
      <c r="C451" s="379" t="s">
        <v>283</v>
      </c>
      <c r="D451" s="374">
        <v>382505000</v>
      </c>
      <c r="E451" s="393">
        <v>43704</v>
      </c>
      <c r="I451" s="373"/>
      <c r="J451" s="379" t="s">
        <v>1853</v>
      </c>
      <c r="K451" s="373" t="s">
        <v>1852</v>
      </c>
      <c r="L451" s="374">
        <v>25005000</v>
      </c>
      <c r="M451" s="375">
        <v>43718</v>
      </c>
      <c r="T451" s="163"/>
    </row>
    <row r="452" spans="1:20" x14ac:dyDescent="0.25">
      <c r="A452" s="373">
        <v>447</v>
      </c>
      <c r="B452" s="379" t="s">
        <v>1851</v>
      </c>
      <c r="C452" s="379" t="s">
        <v>522</v>
      </c>
      <c r="D452" s="374">
        <v>428819112</v>
      </c>
      <c r="E452" s="393">
        <v>43704</v>
      </c>
      <c r="I452" s="373"/>
      <c r="J452" s="379" t="s">
        <v>1850</v>
      </c>
      <c r="K452" s="373" t="s">
        <v>388</v>
      </c>
      <c r="L452" s="374"/>
      <c r="M452" s="373"/>
      <c r="T452" s="163"/>
    </row>
    <row r="453" spans="1:20" x14ac:dyDescent="0.25">
      <c r="A453" s="373">
        <v>448</v>
      </c>
      <c r="B453" s="379" t="s">
        <v>1849</v>
      </c>
      <c r="C453" s="379" t="s">
        <v>322</v>
      </c>
      <c r="D453" s="374"/>
      <c r="E453" s="393"/>
      <c r="I453" s="373"/>
      <c r="J453" s="379" t="s">
        <v>1848</v>
      </c>
      <c r="K453" s="373" t="s">
        <v>1847</v>
      </c>
      <c r="L453" s="374">
        <v>27547920</v>
      </c>
      <c r="M453" s="375">
        <v>43718</v>
      </c>
      <c r="T453" s="163"/>
    </row>
    <row r="454" spans="1:20" x14ac:dyDescent="0.25">
      <c r="A454" s="373">
        <v>449</v>
      </c>
      <c r="B454" s="379" t="s">
        <v>1846</v>
      </c>
      <c r="C454" s="379" t="s">
        <v>1845</v>
      </c>
      <c r="D454" s="374">
        <v>1269314831</v>
      </c>
      <c r="E454" s="393">
        <v>43704</v>
      </c>
      <c r="I454" s="373"/>
      <c r="J454" s="379" t="s">
        <v>1844</v>
      </c>
      <c r="K454" s="373" t="s">
        <v>1843</v>
      </c>
      <c r="L454" s="374">
        <v>5865000</v>
      </c>
      <c r="M454" s="375">
        <v>43719</v>
      </c>
      <c r="T454" s="163"/>
    </row>
    <row r="455" spans="1:20" x14ac:dyDescent="0.25">
      <c r="A455" s="373">
        <v>450</v>
      </c>
      <c r="B455" s="379" t="s">
        <v>1842</v>
      </c>
      <c r="C455" s="379" t="s">
        <v>1841</v>
      </c>
      <c r="D455" s="374">
        <v>664206853</v>
      </c>
      <c r="E455" s="393">
        <v>43704</v>
      </c>
      <c r="I455" s="373"/>
      <c r="J455" s="379" t="s">
        <v>1840</v>
      </c>
      <c r="K455" s="373" t="s">
        <v>1839</v>
      </c>
      <c r="L455" s="374">
        <v>3892500</v>
      </c>
      <c r="M455" s="375">
        <v>43719</v>
      </c>
      <c r="T455" s="163"/>
    </row>
    <row r="456" spans="1:20" x14ac:dyDescent="0.25">
      <c r="A456" s="373">
        <v>451</v>
      </c>
      <c r="B456" s="379" t="s">
        <v>1838</v>
      </c>
      <c r="C456" s="379" t="s">
        <v>1374</v>
      </c>
      <c r="D456" s="374">
        <v>612818009</v>
      </c>
      <c r="E456" s="393">
        <v>43705</v>
      </c>
      <c r="I456" s="373"/>
      <c r="J456" s="379" t="s">
        <v>1837</v>
      </c>
      <c r="K456" s="373" t="s">
        <v>388</v>
      </c>
      <c r="L456" s="374"/>
      <c r="M456" s="373"/>
      <c r="T456" s="163"/>
    </row>
    <row r="457" spans="1:20" x14ac:dyDescent="0.25">
      <c r="A457" s="373">
        <v>452</v>
      </c>
      <c r="B457" s="379" t="s">
        <v>1836</v>
      </c>
      <c r="C457" s="379" t="s">
        <v>322</v>
      </c>
      <c r="D457" s="374"/>
      <c r="E457" s="393"/>
      <c r="I457" s="373"/>
      <c r="J457" s="379" t="s">
        <v>1835</v>
      </c>
      <c r="K457" s="373" t="s">
        <v>1834</v>
      </c>
      <c r="L457" s="374">
        <v>4405000</v>
      </c>
      <c r="M457" s="375">
        <v>43719</v>
      </c>
      <c r="T457" s="163"/>
    </row>
    <row r="458" spans="1:20" x14ac:dyDescent="0.25">
      <c r="A458" s="373">
        <v>453</v>
      </c>
      <c r="B458" s="379" t="s">
        <v>1833</v>
      </c>
      <c r="C458" s="379" t="s">
        <v>1294</v>
      </c>
      <c r="D458" s="374">
        <v>225442425</v>
      </c>
      <c r="E458" s="393">
        <v>43705</v>
      </c>
      <c r="I458" s="373"/>
      <c r="J458" s="379" t="s">
        <v>1832</v>
      </c>
      <c r="K458" s="373" t="s">
        <v>1831</v>
      </c>
      <c r="L458" s="374">
        <v>9505000</v>
      </c>
      <c r="M458" s="375">
        <v>43719</v>
      </c>
      <c r="T458" s="163"/>
    </row>
    <row r="459" spans="1:20" x14ac:dyDescent="0.25">
      <c r="A459" s="373">
        <v>454</v>
      </c>
      <c r="B459" s="379" t="s">
        <v>1830</v>
      </c>
      <c r="C459" s="379" t="s">
        <v>702</v>
      </c>
      <c r="D459" s="374">
        <v>233713006</v>
      </c>
      <c r="E459" s="393">
        <v>43705</v>
      </c>
      <c r="I459" s="373"/>
      <c r="J459" s="379" t="s">
        <v>1829</v>
      </c>
      <c r="K459" s="373" t="s">
        <v>1828</v>
      </c>
      <c r="L459" s="374">
        <v>1505000</v>
      </c>
      <c r="M459" s="375">
        <v>43720</v>
      </c>
      <c r="T459" s="163"/>
    </row>
    <row r="460" spans="1:20" x14ac:dyDescent="0.25">
      <c r="A460" s="373">
        <v>455</v>
      </c>
      <c r="B460" s="379" t="s">
        <v>1827</v>
      </c>
      <c r="C460" s="379" t="s">
        <v>1198</v>
      </c>
      <c r="D460" s="374">
        <v>862589457</v>
      </c>
      <c r="E460" s="393">
        <v>43705</v>
      </c>
      <c r="I460" s="373"/>
      <c r="J460" s="379" t="s">
        <v>1826</v>
      </c>
      <c r="K460" s="373" t="s">
        <v>1825</v>
      </c>
      <c r="L460" s="374">
        <v>1505000</v>
      </c>
      <c r="M460" s="375">
        <v>43720</v>
      </c>
      <c r="T460" s="163"/>
    </row>
    <row r="461" spans="1:20" x14ac:dyDescent="0.25">
      <c r="A461" s="373">
        <v>456</v>
      </c>
      <c r="B461" s="379" t="s">
        <v>1824</v>
      </c>
      <c r="C461" s="379" t="s">
        <v>1823</v>
      </c>
      <c r="D461" s="374">
        <v>29271667</v>
      </c>
      <c r="E461" s="393">
        <v>43705</v>
      </c>
      <c r="I461" s="373"/>
      <c r="J461" s="379" t="s">
        <v>1822</v>
      </c>
      <c r="K461" s="373" t="s">
        <v>1821</v>
      </c>
      <c r="L461" s="374">
        <v>10845000</v>
      </c>
      <c r="M461" s="375">
        <v>43720</v>
      </c>
      <c r="T461" s="163"/>
    </row>
    <row r="462" spans="1:20" x14ac:dyDescent="0.25">
      <c r="A462" s="373">
        <v>457</v>
      </c>
      <c r="B462" s="379" t="s">
        <v>1820</v>
      </c>
      <c r="C462" s="379" t="s">
        <v>1129</v>
      </c>
      <c r="D462" s="374">
        <v>39505000</v>
      </c>
      <c r="E462" s="393">
        <v>43705</v>
      </c>
      <c r="I462" s="373"/>
      <c r="J462" s="379" t="s">
        <v>1819</v>
      </c>
      <c r="K462" s="373" t="s">
        <v>1818</v>
      </c>
      <c r="L462" s="374">
        <v>57493883</v>
      </c>
      <c r="M462" s="375">
        <v>43724</v>
      </c>
      <c r="T462" s="163"/>
    </row>
    <row r="463" spans="1:20" x14ac:dyDescent="0.25">
      <c r="A463" s="373">
        <v>458</v>
      </c>
      <c r="B463" s="379" t="s">
        <v>1817</v>
      </c>
      <c r="C463" s="379" t="s">
        <v>1816</v>
      </c>
      <c r="D463" s="374">
        <v>91925554</v>
      </c>
      <c r="E463" s="393">
        <v>43705</v>
      </c>
      <c r="I463" s="373"/>
      <c r="J463" s="379" t="s">
        <v>1815</v>
      </c>
      <c r="K463" s="373" t="s">
        <v>1814</v>
      </c>
      <c r="L463" s="374">
        <v>12991533</v>
      </c>
      <c r="M463" s="375">
        <v>43724</v>
      </c>
      <c r="T463" s="163"/>
    </row>
    <row r="464" spans="1:20" x14ac:dyDescent="0.25">
      <c r="A464" s="373">
        <v>459</v>
      </c>
      <c r="B464" s="379" t="s">
        <v>1813</v>
      </c>
      <c r="C464" s="373" t="s">
        <v>295</v>
      </c>
      <c r="D464" s="374">
        <v>1741417165</v>
      </c>
      <c r="E464" s="393">
        <v>43706</v>
      </c>
      <c r="I464" s="373"/>
      <c r="J464" s="379" t="s">
        <v>1812</v>
      </c>
      <c r="K464" s="373" t="s">
        <v>1811</v>
      </c>
      <c r="L464" s="374">
        <v>25205571</v>
      </c>
      <c r="M464" s="375">
        <v>43724</v>
      </c>
      <c r="T464" s="163"/>
    </row>
    <row r="465" spans="1:20" x14ac:dyDescent="0.25">
      <c r="A465" s="373">
        <v>460</v>
      </c>
      <c r="B465" s="379" t="s">
        <v>1810</v>
      </c>
      <c r="C465" s="373" t="s">
        <v>522</v>
      </c>
      <c r="D465" s="374">
        <v>227483199</v>
      </c>
      <c r="E465" s="393">
        <v>43706</v>
      </c>
      <c r="I465" s="373"/>
      <c r="J465" s="379" t="s">
        <v>1809</v>
      </c>
      <c r="K465" s="373" t="s">
        <v>1808</v>
      </c>
      <c r="L465" s="374">
        <v>16050602</v>
      </c>
      <c r="M465" s="375">
        <v>43724</v>
      </c>
      <c r="T465" s="163"/>
    </row>
    <row r="466" spans="1:20" x14ac:dyDescent="0.25">
      <c r="A466" s="373">
        <v>461</v>
      </c>
      <c r="B466" s="379" t="s">
        <v>1807</v>
      </c>
      <c r="C466" s="373" t="s">
        <v>248</v>
      </c>
      <c r="D466" s="374">
        <v>247925000</v>
      </c>
      <c r="E466" s="393">
        <v>43706</v>
      </c>
      <c r="I466" s="373"/>
      <c r="J466" s="379" t="s">
        <v>1806</v>
      </c>
      <c r="K466" s="373" t="s">
        <v>1805</v>
      </c>
      <c r="L466" s="374">
        <v>25238902</v>
      </c>
      <c r="M466" s="375">
        <v>43724</v>
      </c>
      <c r="T466" s="163"/>
    </row>
    <row r="467" spans="1:20" x14ac:dyDescent="0.25">
      <c r="A467" s="373">
        <v>462</v>
      </c>
      <c r="B467" s="379" t="s">
        <v>1804</v>
      </c>
      <c r="C467" s="373" t="s">
        <v>522</v>
      </c>
      <c r="D467" s="374">
        <v>44732790</v>
      </c>
      <c r="E467" s="393">
        <v>43707</v>
      </c>
      <c r="I467" s="373"/>
      <c r="J467" s="379" t="s">
        <v>1803</v>
      </c>
      <c r="K467" s="373" t="s">
        <v>1802</v>
      </c>
      <c r="L467" s="374">
        <v>19899376</v>
      </c>
      <c r="M467" s="375">
        <v>43724</v>
      </c>
      <c r="T467" s="163"/>
    </row>
    <row r="468" spans="1:20" x14ac:dyDescent="0.25">
      <c r="A468" s="373">
        <v>463</v>
      </c>
      <c r="B468" s="379" t="s">
        <v>1801</v>
      </c>
      <c r="C468" s="373" t="s">
        <v>295</v>
      </c>
      <c r="D468" s="374">
        <v>921191117</v>
      </c>
      <c r="E468" s="393">
        <v>43707</v>
      </c>
      <c r="I468" s="373"/>
      <c r="J468" s="379" t="s">
        <v>1800</v>
      </c>
      <c r="K468" s="373" t="s">
        <v>388</v>
      </c>
      <c r="L468" s="374"/>
      <c r="M468" s="373"/>
      <c r="T468" s="163"/>
    </row>
    <row r="469" spans="1:20" x14ac:dyDescent="0.25">
      <c r="A469" s="373">
        <v>464</v>
      </c>
      <c r="B469" s="379" t="s">
        <v>1799</v>
      </c>
      <c r="C469" s="373" t="s">
        <v>539</v>
      </c>
      <c r="D469" s="374">
        <v>1562976377</v>
      </c>
      <c r="E469" s="393">
        <v>43707</v>
      </c>
      <c r="I469" s="373"/>
      <c r="J469" s="379" t="s">
        <v>1798</v>
      </c>
      <c r="K469" s="373" t="s">
        <v>1797</v>
      </c>
      <c r="L469" s="374">
        <v>35005000</v>
      </c>
      <c r="M469" s="375">
        <v>43724</v>
      </c>
      <c r="T469" s="163"/>
    </row>
    <row r="470" spans="1:20" x14ac:dyDescent="0.25">
      <c r="A470" s="373">
        <v>465</v>
      </c>
      <c r="B470" s="379" t="s">
        <v>1796</v>
      </c>
      <c r="C470" s="373" t="s">
        <v>431</v>
      </c>
      <c r="D470" s="374">
        <v>407982680</v>
      </c>
      <c r="E470" s="393">
        <v>43710</v>
      </c>
      <c r="I470" s="373"/>
      <c r="J470" s="379" t="s">
        <v>1795</v>
      </c>
      <c r="K470" s="373" t="s">
        <v>1794</v>
      </c>
      <c r="L470" s="374">
        <v>17471000</v>
      </c>
      <c r="M470" s="375">
        <v>43724</v>
      </c>
      <c r="T470" s="163"/>
    </row>
    <row r="471" spans="1:20" x14ac:dyDescent="0.25">
      <c r="A471" s="373">
        <v>466</v>
      </c>
      <c r="B471" s="379" t="s">
        <v>1793</v>
      </c>
      <c r="C471" s="373" t="s">
        <v>295</v>
      </c>
      <c r="D471" s="374">
        <v>347074308</v>
      </c>
      <c r="E471" s="393">
        <v>43710</v>
      </c>
      <c r="I471" s="373"/>
      <c r="J471" s="379" t="s">
        <v>1792</v>
      </c>
      <c r="K471" s="373" t="s">
        <v>964</v>
      </c>
      <c r="L471" s="374">
        <v>19059160</v>
      </c>
      <c r="M471" s="375">
        <v>43724</v>
      </c>
      <c r="T471" s="163"/>
    </row>
    <row r="472" spans="1:20" x14ac:dyDescent="0.25">
      <c r="A472" s="373">
        <v>467</v>
      </c>
      <c r="B472" s="379" t="s">
        <v>1791</v>
      </c>
      <c r="C472" s="373" t="s">
        <v>522</v>
      </c>
      <c r="D472" s="374">
        <v>256706338</v>
      </c>
      <c r="E472" s="393">
        <v>43710</v>
      </c>
      <c r="I472" s="373"/>
      <c r="J472" s="379" t="s">
        <v>1790</v>
      </c>
      <c r="K472" s="373" t="s">
        <v>1789</v>
      </c>
      <c r="L472" s="374">
        <v>1655000</v>
      </c>
      <c r="M472" s="375">
        <v>43724</v>
      </c>
      <c r="T472" s="163"/>
    </row>
    <row r="473" spans="1:20" x14ac:dyDescent="0.25">
      <c r="A473" s="373">
        <v>468</v>
      </c>
      <c r="B473" s="379" t="s">
        <v>1788</v>
      </c>
      <c r="C473" s="373" t="s">
        <v>1198</v>
      </c>
      <c r="D473" s="374">
        <v>543638738</v>
      </c>
      <c r="E473" s="393">
        <v>43710</v>
      </c>
      <c r="I473" s="373"/>
      <c r="J473" s="379" t="s">
        <v>1787</v>
      </c>
      <c r="K473" s="373" t="s">
        <v>1786</v>
      </c>
      <c r="L473" s="374">
        <v>68023883</v>
      </c>
      <c r="M473" s="375">
        <v>43724</v>
      </c>
      <c r="T473" s="163"/>
    </row>
    <row r="474" spans="1:20" x14ac:dyDescent="0.25">
      <c r="A474" s="373">
        <v>469</v>
      </c>
      <c r="B474" s="379" t="s">
        <v>1785</v>
      </c>
      <c r="C474" s="373" t="s">
        <v>1294</v>
      </c>
      <c r="D474" s="374">
        <v>461301658</v>
      </c>
      <c r="E474" s="393">
        <v>43710</v>
      </c>
      <c r="I474" s="373"/>
      <c r="J474" s="379" t="s">
        <v>1784</v>
      </c>
      <c r="K474" s="373" t="s">
        <v>1783</v>
      </c>
      <c r="L474" s="374">
        <v>30872837</v>
      </c>
      <c r="M474" s="375">
        <v>43725</v>
      </c>
      <c r="T474" s="163"/>
    </row>
    <row r="475" spans="1:20" x14ac:dyDescent="0.25">
      <c r="A475" s="373">
        <v>470</v>
      </c>
      <c r="B475" s="379" t="s">
        <v>1782</v>
      </c>
      <c r="C475" s="373" t="s">
        <v>539</v>
      </c>
      <c r="D475" s="374">
        <v>651730218</v>
      </c>
      <c r="E475" s="393">
        <v>43710</v>
      </c>
      <c r="I475" s="373"/>
      <c r="J475" s="379" t="s">
        <v>1781</v>
      </c>
      <c r="K475" s="373" t="s">
        <v>1780</v>
      </c>
      <c r="L475" s="374">
        <v>10521128</v>
      </c>
      <c r="M475" s="375">
        <v>43725</v>
      </c>
      <c r="T475" s="163"/>
    </row>
    <row r="476" spans="1:20" x14ac:dyDescent="0.25">
      <c r="A476" s="373">
        <v>471</v>
      </c>
      <c r="B476" s="379" t="s">
        <v>1779</v>
      </c>
      <c r="C476" s="373" t="s">
        <v>322</v>
      </c>
      <c r="D476" s="374"/>
      <c r="E476" s="393"/>
      <c r="I476" s="373"/>
      <c r="J476" s="379" t="s">
        <v>1778</v>
      </c>
      <c r="K476" s="373" t="s">
        <v>1777</v>
      </c>
      <c r="L476" s="374">
        <v>42485841</v>
      </c>
      <c r="M476" s="375">
        <v>43725</v>
      </c>
      <c r="T476" s="163"/>
    </row>
    <row r="477" spans="1:20" x14ac:dyDescent="0.25">
      <c r="A477" s="373">
        <v>472</v>
      </c>
      <c r="B477" s="379" t="s">
        <v>1776</v>
      </c>
      <c r="C477" s="373" t="s">
        <v>1585</v>
      </c>
      <c r="D477" s="374">
        <v>859476641</v>
      </c>
      <c r="E477" s="393">
        <v>43710</v>
      </c>
      <c r="I477" s="373"/>
      <c r="J477" s="379" t="s">
        <v>1775</v>
      </c>
      <c r="K477" s="373" t="s">
        <v>1774</v>
      </c>
      <c r="L477" s="374">
        <v>18361285</v>
      </c>
      <c r="M477" s="375">
        <v>43725</v>
      </c>
      <c r="T477" s="163"/>
    </row>
    <row r="478" spans="1:20" x14ac:dyDescent="0.25">
      <c r="A478" s="373">
        <v>473</v>
      </c>
      <c r="B478" s="379" t="s">
        <v>1773</v>
      </c>
      <c r="C478" s="373" t="s">
        <v>295</v>
      </c>
      <c r="D478" s="374">
        <v>355226777</v>
      </c>
      <c r="E478" s="393">
        <v>43711</v>
      </c>
      <c r="I478" s="373"/>
      <c r="J478" s="379" t="s">
        <v>1772</v>
      </c>
      <c r="K478" s="373" t="s">
        <v>1771</v>
      </c>
      <c r="L478" s="374">
        <v>6313715</v>
      </c>
      <c r="M478" s="375">
        <v>43725</v>
      </c>
      <c r="T478" s="163"/>
    </row>
    <row r="479" spans="1:20" x14ac:dyDescent="0.25">
      <c r="A479" s="373">
        <v>474</v>
      </c>
      <c r="B479" s="379" t="s">
        <v>1770</v>
      </c>
      <c r="C479" s="373" t="s">
        <v>341</v>
      </c>
      <c r="D479" s="374">
        <v>1440367093</v>
      </c>
      <c r="E479" s="393">
        <v>43711</v>
      </c>
      <c r="I479" s="373"/>
      <c r="J479" s="379" t="s">
        <v>1769</v>
      </c>
      <c r="K479" s="373" t="s">
        <v>388</v>
      </c>
      <c r="L479" s="374"/>
      <c r="M479" s="373"/>
      <c r="T479" s="163"/>
    </row>
    <row r="480" spans="1:20" x14ac:dyDescent="0.25">
      <c r="A480" s="373">
        <v>475</v>
      </c>
      <c r="B480" s="379" t="s">
        <v>1768</v>
      </c>
      <c r="C480" s="373" t="s">
        <v>522</v>
      </c>
      <c r="D480" s="374">
        <v>127208991</v>
      </c>
      <c r="E480" s="393">
        <v>43711</v>
      </c>
      <c r="I480" s="373"/>
      <c r="J480" s="379" t="s">
        <v>1767</v>
      </c>
      <c r="K480" s="373" t="s">
        <v>1766</v>
      </c>
      <c r="L480" s="374">
        <v>33518960</v>
      </c>
      <c r="M480" s="375">
        <v>43725</v>
      </c>
      <c r="T480" s="163"/>
    </row>
    <row r="481" spans="1:20" x14ac:dyDescent="0.25">
      <c r="A481" s="373">
        <v>476</v>
      </c>
      <c r="B481" s="379" t="s">
        <v>1765</v>
      </c>
      <c r="C481" s="373" t="s">
        <v>539</v>
      </c>
      <c r="D481" s="374">
        <v>624453820</v>
      </c>
      <c r="E481" s="393">
        <v>43711</v>
      </c>
      <c r="I481" s="373"/>
      <c r="J481" s="379" t="s">
        <v>1764</v>
      </c>
      <c r="K481" s="373" t="s">
        <v>1763</v>
      </c>
      <c r="L481" s="374">
        <v>51283799</v>
      </c>
      <c r="M481" s="375">
        <v>43725</v>
      </c>
      <c r="T481" s="163"/>
    </row>
    <row r="482" spans="1:20" x14ac:dyDescent="0.25">
      <c r="A482" s="373">
        <v>477</v>
      </c>
      <c r="B482" s="379" t="s">
        <v>1762</v>
      </c>
      <c r="C482" s="373" t="s">
        <v>1585</v>
      </c>
      <c r="D482" s="374">
        <v>507018684</v>
      </c>
      <c r="E482" s="393">
        <v>43711</v>
      </c>
      <c r="I482" s="373"/>
      <c r="J482" s="379" t="s">
        <v>1761</v>
      </c>
      <c r="K482" s="373" t="s">
        <v>1760</v>
      </c>
      <c r="L482" s="374">
        <v>6730000</v>
      </c>
      <c r="M482" s="375">
        <v>43725</v>
      </c>
      <c r="T482" s="163"/>
    </row>
    <row r="483" spans="1:20" x14ac:dyDescent="0.25">
      <c r="A483" s="373">
        <v>478</v>
      </c>
      <c r="B483" s="379" t="s">
        <v>1759</v>
      </c>
      <c r="C483" s="373" t="s">
        <v>295</v>
      </c>
      <c r="D483" s="374">
        <v>381539069</v>
      </c>
      <c r="E483" s="393">
        <v>43712</v>
      </c>
      <c r="I483" s="373"/>
      <c r="J483" s="379" t="s">
        <v>1758</v>
      </c>
      <c r="K483" s="373" t="s">
        <v>1757</v>
      </c>
      <c r="L483" s="374">
        <v>1059014</v>
      </c>
      <c r="M483" s="375">
        <v>43726</v>
      </c>
      <c r="T483" s="163"/>
    </row>
    <row r="484" spans="1:20" x14ac:dyDescent="0.25">
      <c r="A484" s="373">
        <v>479</v>
      </c>
      <c r="B484" s="379" t="s">
        <v>1756</v>
      </c>
      <c r="C484" s="373" t="s">
        <v>522</v>
      </c>
      <c r="D484" s="374">
        <v>208660932</v>
      </c>
      <c r="E484" s="393">
        <v>43712</v>
      </c>
      <c r="I484" s="373"/>
      <c r="J484" s="379" t="s">
        <v>1755</v>
      </c>
      <c r="K484" s="373" t="s">
        <v>1754</v>
      </c>
      <c r="L484" s="374">
        <v>9178700</v>
      </c>
      <c r="M484" s="375">
        <v>43727</v>
      </c>
      <c r="T484" s="163"/>
    </row>
    <row r="485" spans="1:20" x14ac:dyDescent="0.25">
      <c r="A485" s="373">
        <v>480</v>
      </c>
      <c r="B485" s="379" t="s">
        <v>1753</v>
      </c>
      <c r="C485" s="373" t="s">
        <v>1198</v>
      </c>
      <c r="D485" s="374">
        <v>630526563</v>
      </c>
      <c r="E485" s="393">
        <v>43712</v>
      </c>
      <c r="I485" s="373"/>
      <c r="J485" s="379" t="s">
        <v>1752</v>
      </c>
      <c r="K485" s="373" t="s">
        <v>1751</v>
      </c>
      <c r="L485" s="374">
        <v>1494750</v>
      </c>
      <c r="M485" s="375">
        <v>43727</v>
      </c>
      <c r="T485" s="163"/>
    </row>
    <row r="486" spans="1:20" x14ac:dyDescent="0.25">
      <c r="A486" s="373">
        <v>481</v>
      </c>
      <c r="B486" s="379" t="s">
        <v>1750</v>
      </c>
      <c r="C486" s="373" t="s">
        <v>1198</v>
      </c>
      <c r="D486" s="374">
        <v>394533192</v>
      </c>
      <c r="E486" s="393">
        <v>43713</v>
      </c>
      <c r="I486" s="373"/>
      <c r="J486" s="379" t="s">
        <v>1749</v>
      </c>
      <c r="K486" s="373" t="s">
        <v>964</v>
      </c>
      <c r="L486" s="374">
        <v>20650991</v>
      </c>
      <c r="M486" s="375">
        <v>43727</v>
      </c>
      <c r="T486" s="163"/>
    </row>
    <row r="487" spans="1:20" x14ac:dyDescent="0.25">
      <c r="A487" s="373">
        <v>482</v>
      </c>
      <c r="B487" s="379" t="s">
        <v>1748</v>
      </c>
      <c r="C487" s="373" t="s">
        <v>539</v>
      </c>
      <c r="D487" s="374">
        <v>1417181236</v>
      </c>
      <c r="E487" s="393">
        <v>43712</v>
      </c>
      <c r="I487" s="373"/>
      <c r="J487" s="379" t="s">
        <v>1747</v>
      </c>
      <c r="K487" s="373" t="s">
        <v>1746</v>
      </c>
      <c r="L487" s="374">
        <v>9775926</v>
      </c>
      <c r="M487" s="375">
        <v>43728</v>
      </c>
      <c r="T487" s="163"/>
    </row>
    <row r="488" spans="1:20" x14ac:dyDescent="0.25">
      <c r="A488" s="373">
        <v>483</v>
      </c>
      <c r="B488" s="379" t="s">
        <v>1745</v>
      </c>
      <c r="C488" s="373" t="s">
        <v>539</v>
      </c>
      <c r="D488" s="374">
        <v>706441513</v>
      </c>
      <c r="E488" s="393">
        <v>43713</v>
      </c>
      <c r="I488" s="373"/>
      <c r="J488" s="379" t="s">
        <v>1744</v>
      </c>
      <c r="K488" s="373" t="s">
        <v>1743</v>
      </c>
      <c r="L488" s="374">
        <v>6875006</v>
      </c>
      <c r="M488" s="375">
        <v>43728</v>
      </c>
      <c r="T488" s="163"/>
    </row>
    <row r="489" spans="1:20" x14ac:dyDescent="0.25">
      <c r="A489" s="373">
        <v>484</v>
      </c>
      <c r="B489" s="379" t="s">
        <v>1742</v>
      </c>
      <c r="C489" s="373" t="s">
        <v>1215</v>
      </c>
      <c r="D489" s="374">
        <v>408811614</v>
      </c>
      <c r="E489" s="393">
        <v>43712</v>
      </c>
      <c r="I489" s="373"/>
      <c r="J489" s="379" t="s">
        <v>1741</v>
      </c>
      <c r="K489" s="373" t="s">
        <v>1740</v>
      </c>
      <c r="L489" s="374">
        <v>2296884</v>
      </c>
      <c r="M489" s="375">
        <v>43728</v>
      </c>
      <c r="T489" s="163"/>
    </row>
    <row r="490" spans="1:20" x14ac:dyDescent="0.25">
      <c r="A490" s="373">
        <v>485</v>
      </c>
      <c r="B490" s="379" t="s">
        <v>1739</v>
      </c>
      <c r="C490" s="373" t="s">
        <v>431</v>
      </c>
      <c r="D490" s="374">
        <v>131213348</v>
      </c>
      <c r="E490" s="393">
        <v>43713</v>
      </c>
      <c r="I490" s="373"/>
      <c r="J490" s="379" t="s">
        <v>1738</v>
      </c>
      <c r="K490" s="373" t="s">
        <v>1737</v>
      </c>
      <c r="L490" s="374">
        <v>20101240</v>
      </c>
      <c r="M490" s="375">
        <v>43728</v>
      </c>
      <c r="T490" s="163"/>
    </row>
    <row r="491" spans="1:20" x14ac:dyDescent="0.25">
      <c r="A491" s="373">
        <v>486</v>
      </c>
      <c r="B491" s="379" t="s">
        <v>1736</v>
      </c>
      <c r="C491" s="373" t="s">
        <v>341</v>
      </c>
      <c r="D491" s="374">
        <v>761986904</v>
      </c>
      <c r="E491" s="393">
        <v>43713</v>
      </c>
      <c r="I491" s="373"/>
      <c r="J491" s="373" t="s">
        <v>1735</v>
      </c>
      <c r="K491" s="373" t="s">
        <v>1734</v>
      </c>
      <c r="L491" s="374">
        <v>180300</v>
      </c>
      <c r="M491" s="375">
        <v>43728</v>
      </c>
      <c r="T491" s="163"/>
    </row>
    <row r="492" spans="1:20" x14ac:dyDescent="0.25">
      <c r="A492" s="373">
        <v>487</v>
      </c>
      <c r="B492" s="379" t="s">
        <v>1733</v>
      </c>
      <c r="C492" s="373" t="s">
        <v>322</v>
      </c>
      <c r="D492" s="374"/>
      <c r="E492" s="393"/>
      <c r="I492" s="373"/>
      <c r="J492" s="373" t="s">
        <v>1732</v>
      </c>
      <c r="K492" s="373" t="s">
        <v>1731</v>
      </c>
      <c r="L492" s="374">
        <v>1191945</v>
      </c>
      <c r="M492" s="375">
        <v>43728</v>
      </c>
      <c r="T492" s="163"/>
    </row>
    <row r="493" spans="1:20" x14ac:dyDescent="0.25">
      <c r="A493" s="373">
        <v>488</v>
      </c>
      <c r="B493" s="379" t="s">
        <v>1730</v>
      </c>
      <c r="C493" s="373" t="s">
        <v>1215</v>
      </c>
      <c r="D493" s="374">
        <v>279907630</v>
      </c>
      <c r="E493" s="393">
        <v>43713</v>
      </c>
      <c r="I493" s="373"/>
      <c r="J493" s="373" t="s">
        <v>1729</v>
      </c>
      <c r="K493" s="373" t="s">
        <v>1728</v>
      </c>
      <c r="L493" s="374">
        <v>16161078</v>
      </c>
      <c r="M493" s="375">
        <v>43728</v>
      </c>
      <c r="T493" s="163"/>
    </row>
    <row r="494" spans="1:20" x14ac:dyDescent="0.25">
      <c r="A494" s="373">
        <v>489</v>
      </c>
      <c r="B494" s="379" t="s">
        <v>1727</v>
      </c>
      <c r="C494" s="373" t="s">
        <v>1198</v>
      </c>
      <c r="D494" s="374">
        <v>970364781</v>
      </c>
      <c r="E494" s="393">
        <v>43714</v>
      </c>
      <c r="I494" s="373"/>
      <c r="J494" s="373" t="s">
        <v>1726</v>
      </c>
      <c r="K494" s="373" t="s">
        <v>1725</v>
      </c>
      <c r="L494" s="374">
        <v>14997406</v>
      </c>
      <c r="M494" s="375">
        <v>43728</v>
      </c>
      <c r="T494" s="163"/>
    </row>
    <row r="495" spans="1:20" x14ac:dyDescent="0.25">
      <c r="A495" s="373">
        <v>490</v>
      </c>
      <c r="B495" s="379" t="s">
        <v>1724</v>
      </c>
      <c r="C495" s="373" t="s">
        <v>431</v>
      </c>
      <c r="D495" s="374">
        <v>275028668</v>
      </c>
      <c r="E495" s="393">
        <v>43714</v>
      </c>
      <c r="I495" s="373"/>
      <c r="J495" s="373" t="s">
        <v>1723</v>
      </c>
      <c r="K495" s="373" t="s">
        <v>1722</v>
      </c>
      <c r="L495" s="374">
        <v>15891409</v>
      </c>
      <c r="M495" s="375">
        <v>43728</v>
      </c>
      <c r="T495" s="163"/>
    </row>
    <row r="496" spans="1:20" x14ac:dyDescent="0.25">
      <c r="A496" s="373">
        <v>491</v>
      </c>
      <c r="B496" s="379" t="s">
        <v>1721</v>
      </c>
      <c r="C496" s="373" t="s">
        <v>341</v>
      </c>
      <c r="D496" s="374">
        <v>931009253</v>
      </c>
      <c r="E496" s="393">
        <v>43714</v>
      </c>
      <c r="I496" s="373"/>
      <c r="J496" s="373" t="s">
        <v>1720</v>
      </c>
      <c r="K496" s="373" t="s">
        <v>1719</v>
      </c>
      <c r="L496" s="374">
        <v>6245815</v>
      </c>
      <c r="M496" s="375">
        <v>43728</v>
      </c>
      <c r="T496" s="163"/>
    </row>
    <row r="497" spans="1:20" x14ac:dyDescent="0.25">
      <c r="A497" s="373">
        <v>492</v>
      </c>
      <c r="B497" s="379" t="s">
        <v>1718</v>
      </c>
      <c r="C497" s="373" t="s">
        <v>322</v>
      </c>
      <c r="D497" s="374"/>
      <c r="E497" s="393"/>
      <c r="I497" s="373"/>
      <c r="J497" s="373" t="s">
        <v>1717</v>
      </c>
      <c r="K497" s="373" t="s">
        <v>1716</v>
      </c>
      <c r="L497" s="374">
        <v>7945000</v>
      </c>
      <c r="M497" s="375">
        <v>43728</v>
      </c>
      <c r="T497" s="163"/>
    </row>
    <row r="498" spans="1:20" x14ac:dyDescent="0.25">
      <c r="A498" s="373">
        <v>493</v>
      </c>
      <c r="B498" s="379" t="s">
        <v>1715</v>
      </c>
      <c r="C498" s="373" t="s">
        <v>709</v>
      </c>
      <c r="D498" s="374">
        <v>368912295</v>
      </c>
      <c r="E498" s="393">
        <v>43714</v>
      </c>
      <c r="I498" s="373"/>
      <c r="J498" s="373" t="s">
        <v>1714</v>
      </c>
      <c r="K498" s="373" t="s">
        <v>1713</v>
      </c>
      <c r="L498" s="374">
        <v>5065000</v>
      </c>
      <c r="M498" s="375">
        <v>43728</v>
      </c>
      <c r="T498" s="163"/>
    </row>
    <row r="499" spans="1:20" x14ac:dyDescent="0.25">
      <c r="A499" s="373">
        <v>494</v>
      </c>
      <c r="B499" s="379" t="s">
        <v>1712</v>
      </c>
      <c r="C499" s="373" t="s">
        <v>539</v>
      </c>
      <c r="D499" s="374">
        <v>1086030693</v>
      </c>
      <c r="E499" s="393">
        <v>43714</v>
      </c>
      <c r="I499" s="373"/>
      <c r="J499" s="373" t="s">
        <v>1711</v>
      </c>
      <c r="K499" s="373" t="s">
        <v>1710</v>
      </c>
      <c r="L499" s="374">
        <v>4010000</v>
      </c>
      <c r="M499" s="375">
        <v>43728</v>
      </c>
      <c r="T499" s="163"/>
    </row>
    <row r="500" spans="1:20" x14ac:dyDescent="0.25">
      <c r="A500" s="373">
        <v>495</v>
      </c>
      <c r="B500" s="379" t="s">
        <v>1709</v>
      </c>
      <c r="C500" s="373" t="s">
        <v>1424</v>
      </c>
      <c r="D500" s="374">
        <v>100693269</v>
      </c>
      <c r="E500" s="393">
        <v>43717</v>
      </c>
      <c r="I500" s="373"/>
      <c r="J500" s="373" t="s">
        <v>1708</v>
      </c>
      <c r="K500" s="373" t="s">
        <v>1707</v>
      </c>
      <c r="L500" s="374">
        <v>3818000</v>
      </c>
      <c r="M500" s="375">
        <v>43728</v>
      </c>
      <c r="T500" s="163"/>
    </row>
    <row r="501" spans="1:20" x14ac:dyDescent="0.25">
      <c r="A501" s="373">
        <v>496</v>
      </c>
      <c r="B501" s="379" t="s">
        <v>1706</v>
      </c>
      <c r="C501" s="373" t="s">
        <v>543</v>
      </c>
      <c r="D501" s="374">
        <v>52023819</v>
      </c>
      <c r="E501" s="393">
        <v>43717</v>
      </c>
      <c r="I501" s="373"/>
      <c r="J501" s="373" t="s">
        <v>1705</v>
      </c>
      <c r="K501" s="373" t="s">
        <v>1506</v>
      </c>
      <c r="L501" s="374">
        <v>10845891</v>
      </c>
      <c r="M501" s="375">
        <v>43731</v>
      </c>
      <c r="T501" s="163"/>
    </row>
    <row r="502" spans="1:20" x14ac:dyDescent="0.25">
      <c r="A502" s="373">
        <v>497</v>
      </c>
      <c r="B502" s="379" t="s">
        <v>1704</v>
      </c>
      <c r="C502" s="373" t="s">
        <v>283</v>
      </c>
      <c r="D502" s="374">
        <v>732705000</v>
      </c>
      <c r="E502" s="393">
        <v>43717</v>
      </c>
      <c r="I502" s="373"/>
      <c r="J502" s="373" t="s">
        <v>1703</v>
      </c>
      <c r="K502" s="373" t="s">
        <v>1047</v>
      </c>
      <c r="L502" s="374">
        <v>26667466</v>
      </c>
      <c r="M502" s="375">
        <v>43731</v>
      </c>
      <c r="T502" s="163"/>
    </row>
    <row r="503" spans="1:20" x14ac:dyDescent="0.25">
      <c r="A503" s="373">
        <v>498</v>
      </c>
      <c r="B503" s="379" t="s">
        <v>1702</v>
      </c>
      <c r="C503" s="373" t="s">
        <v>427</v>
      </c>
      <c r="D503" s="374">
        <v>100921037</v>
      </c>
      <c r="E503" s="393">
        <v>43717</v>
      </c>
      <c r="I503" s="373"/>
      <c r="J503" s="373" t="s">
        <v>1701</v>
      </c>
      <c r="K503" s="373" t="s">
        <v>1498</v>
      </c>
      <c r="L503" s="374">
        <v>16239761</v>
      </c>
      <c r="M503" s="375">
        <v>43731</v>
      </c>
      <c r="T503" s="163"/>
    </row>
    <row r="504" spans="1:20" x14ac:dyDescent="0.25">
      <c r="A504" s="373">
        <v>499</v>
      </c>
      <c r="B504" s="379" t="s">
        <v>1700</v>
      </c>
      <c r="C504" s="373" t="s">
        <v>248</v>
      </c>
      <c r="D504" s="374">
        <v>247923500</v>
      </c>
      <c r="E504" s="393">
        <v>43717</v>
      </c>
      <c r="I504" s="373"/>
      <c r="J504" s="373" t="s">
        <v>1699</v>
      </c>
      <c r="K504" s="373" t="s">
        <v>1501</v>
      </c>
      <c r="L504" s="374">
        <v>10736198</v>
      </c>
      <c r="M504" s="375">
        <v>43731</v>
      </c>
      <c r="T504" s="163"/>
    </row>
    <row r="505" spans="1:20" x14ac:dyDescent="0.25">
      <c r="A505" s="373">
        <v>500</v>
      </c>
      <c r="B505" s="379" t="s">
        <v>1698</v>
      </c>
      <c r="C505" s="373" t="s">
        <v>623</v>
      </c>
      <c r="D505" s="374">
        <v>305076142</v>
      </c>
      <c r="E505" s="393">
        <v>43717</v>
      </c>
      <c r="I505" s="373"/>
      <c r="J505" s="373" t="s">
        <v>1697</v>
      </c>
      <c r="K505" s="373" t="s">
        <v>1483</v>
      </c>
      <c r="L505" s="374">
        <v>15456194</v>
      </c>
      <c r="M505" s="375">
        <v>43731</v>
      </c>
      <c r="T505" s="163"/>
    </row>
    <row r="506" spans="1:20" x14ac:dyDescent="0.25">
      <c r="A506" s="373">
        <v>501</v>
      </c>
      <c r="B506" s="379" t="s">
        <v>1696</v>
      </c>
      <c r="C506" s="373" t="s">
        <v>539</v>
      </c>
      <c r="D506" s="374">
        <v>568585506</v>
      </c>
      <c r="E506" s="393">
        <v>43717</v>
      </c>
      <c r="I506" s="373"/>
      <c r="J506" s="373" t="s">
        <v>1695</v>
      </c>
      <c r="K506" s="373" t="s">
        <v>1509</v>
      </c>
      <c r="L506" s="374">
        <v>6909526</v>
      </c>
      <c r="M506" s="375">
        <v>43731</v>
      </c>
      <c r="T506" s="163"/>
    </row>
    <row r="507" spans="1:20" x14ac:dyDescent="0.25">
      <c r="A507" s="373">
        <v>502</v>
      </c>
      <c r="B507" s="379" t="s">
        <v>1694</v>
      </c>
      <c r="C507" s="373" t="s">
        <v>322</v>
      </c>
      <c r="D507" s="374"/>
      <c r="E507" s="393"/>
      <c r="I507" s="373"/>
      <c r="J507" s="373" t="s">
        <v>1693</v>
      </c>
      <c r="K507" s="373" t="s">
        <v>1692</v>
      </c>
      <c r="L507" s="374">
        <v>32614706</v>
      </c>
      <c r="M507" s="375">
        <v>43732</v>
      </c>
      <c r="T507" s="163"/>
    </row>
    <row r="508" spans="1:20" x14ac:dyDescent="0.25">
      <c r="A508" s="373">
        <v>503</v>
      </c>
      <c r="B508" s="379" t="s">
        <v>1691</v>
      </c>
      <c r="C508" s="373" t="s">
        <v>1215</v>
      </c>
      <c r="D508" s="374">
        <v>362485466</v>
      </c>
      <c r="E508" s="393">
        <v>43718</v>
      </c>
      <c r="I508" s="373"/>
      <c r="J508" s="373" t="s">
        <v>1690</v>
      </c>
      <c r="K508" s="373" t="s">
        <v>1478</v>
      </c>
      <c r="L508" s="374">
        <v>4766289</v>
      </c>
      <c r="M508" s="375">
        <v>43732</v>
      </c>
      <c r="T508" s="163"/>
    </row>
    <row r="509" spans="1:20" x14ac:dyDescent="0.25">
      <c r="A509" s="373">
        <v>504</v>
      </c>
      <c r="B509" s="379" t="s">
        <v>1689</v>
      </c>
      <c r="C509" s="373" t="s">
        <v>248</v>
      </c>
      <c r="D509" s="374">
        <v>260319500</v>
      </c>
      <c r="E509" s="393">
        <v>43718</v>
      </c>
      <c r="I509" s="373"/>
      <c r="J509" s="373" t="s">
        <v>1688</v>
      </c>
      <c r="K509" s="373" t="s">
        <v>1687</v>
      </c>
      <c r="L509" s="374">
        <v>49020600</v>
      </c>
      <c r="M509" s="375">
        <v>43732</v>
      </c>
      <c r="T509" s="163"/>
    </row>
    <row r="510" spans="1:20" x14ac:dyDescent="0.25">
      <c r="A510" s="373">
        <v>505</v>
      </c>
      <c r="B510" s="379" t="s">
        <v>1686</v>
      </c>
      <c r="C510" s="373" t="s">
        <v>341</v>
      </c>
      <c r="D510" s="374">
        <v>1614321613</v>
      </c>
      <c r="E510" s="393">
        <v>43718</v>
      </c>
      <c r="I510" s="373"/>
      <c r="J510" s="373" t="s">
        <v>1685</v>
      </c>
      <c r="K510" s="373" t="s">
        <v>1010</v>
      </c>
      <c r="L510" s="374">
        <v>23722236</v>
      </c>
      <c r="M510" s="375">
        <v>43732</v>
      </c>
      <c r="T510" s="163"/>
    </row>
    <row r="511" spans="1:20" x14ac:dyDescent="0.25">
      <c r="A511" s="373">
        <v>506</v>
      </c>
      <c r="B511" s="379" t="s">
        <v>1684</v>
      </c>
      <c r="C511" s="373" t="s">
        <v>276</v>
      </c>
      <c r="D511" s="374">
        <v>154904901</v>
      </c>
      <c r="E511" s="393">
        <v>43718</v>
      </c>
      <c r="I511" s="373"/>
      <c r="J511" s="373" t="s">
        <v>1683</v>
      </c>
      <c r="K511" s="373" t="s">
        <v>1682</v>
      </c>
      <c r="L511" s="374">
        <v>24484464</v>
      </c>
      <c r="M511" s="375">
        <v>43732</v>
      </c>
      <c r="T511" s="163"/>
    </row>
    <row r="512" spans="1:20" x14ac:dyDescent="0.25">
      <c r="A512" s="373">
        <v>507</v>
      </c>
      <c r="B512" s="379" t="s">
        <v>1681</v>
      </c>
      <c r="C512" s="373" t="s">
        <v>1585</v>
      </c>
      <c r="D512" s="374">
        <v>506041704</v>
      </c>
      <c r="E512" s="393">
        <v>43718</v>
      </c>
      <c r="I512" s="373"/>
      <c r="J512" s="373" t="s">
        <v>1680</v>
      </c>
      <c r="K512" s="373" t="s">
        <v>1679</v>
      </c>
      <c r="L512" s="374">
        <v>29808045</v>
      </c>
      <c r="M512" s="375">
        <v>43732</v>
      </c>
      <c r="T512" s="163"/>
    </row>
    <row r="513" spans="1:20" x14ac:dyDescent="0.25">
      <c r="A513" s="373">
        <v>508</v>
      </c>
      <c r="B513" s="379" t="s">
        <v>1678</v>
      </c>
      <c r="C513" s="373" t="s">
        <v>539</v>
      </c>
      <c r="D513" s="374">
        <v>1490745271</v>
      </c>
      <c r="E513" s="393">
        <v>43718</v>
      </c>
      <c r="I513" s="373"/>
      <c r="J513" s="373" t="s">
        <v>1677</v>
      </c>
      <c r="K513" s="373" t="s">
        <v>1676</v>
      </c>
      <c r="L513" s="374">
        <v>9346827</v>
      </c>
      <c r="M513" s="375">
        <v>43732</v>
      </c>
      <c r="T513" s="163"/>
    </row>
    <row r="514" spans="1:20" x14ac:dyDescent="0.25">
      <c r="A514" s="373">
        <v>509</v>
      </c>
      <c r="B514" s="373" t="s">
        <v>1675</v>
      </c>
      <c r="C514" s="373" t="s">
        <v>709</v>
      </c>
      <c r="D514" s="374">
        <v>75338460</v>
      </c>
      <c r="E514" s="393">
        <v>43719</v>
      </c>
      <c r="I514" s="373"/>
      <c r="J514" s="373" t="s">
        <v>1674</v>
      </c>
      <c r="K514" s="373" t="s">
        <v>1673</v>
      </c>
      <c r="L514" s="374">
        <v>1245833</v>
      </c>
      <c r="M514" s="375">
        <v>43732</v>
      </c>
      <c r="T514" s="163"/>
    </row>
    <row r="515" spans="1:20" x14ac:dyDescent="0.25">
      <c r="A515" s="373">
        <v>510</v>
      </c>
      <c r="B515" s="373" t="s">
        <v>1672</v>
      </c>
      <c r="C515" s="373" t="s">
        <v>1198</v>
      </c>
      <c r="D515" s="374">
        <v>427382589</v>
      </c>
      <c r="E515" s="393">
        <v>43719</v>
      </c>
      <c r="I515" s="373"/>
      <c r="J515" s="373" t="s">
        <v>1671</v>
      </c>
      <c r="K515" s="373" t="s">
        <v>1523</v>
      </c>
      <c r="L515" s="374">
        <v>15271145</v>
      </c>
      <c r="M515" s="375">
        <v>43732</v>
      </c>
      <c r="T515" s="163"/>
    </row>
    <row r="516" spans="1:20" x14ac:dyDescent="0.25">
      <c r="A516" s="373">
        <v>511</v>
      </c>
      <c r="B516" s="373" t="s">
        <v>1670</v>
      </c>
      <c r="C516" s="373" t="s">
        <v>539</v>
      </c>
      <c r="D516" s="374">
        <v>1069750947</v>
      </c>
      <c r="E516" s="393">
        <v>43719</v>
      </c>
      <c r="I516" s="373"/>
      <c r="J516" s="379" t="s">
        <v>1669</v>
      </c>
      <c r="K516" s="373" t="s">
        <v>1668</v>
      </c>
      <c r="L516" s="374">
        <v>16432005</v>
      </c>
      <c r="M516" s="375">
        <v>43732</v>
      </c>
      <c r="T516" s="163"/>
    </row>
    <row r="517" spans="1:20" x14ac:dyDescent="0.25">
      <c r="A517" s="373">
        <v>512</v>
      </c>
      <c r="B517" s="373" t="s">
        <v>1667</v>
      </c>
      <c r="C517" s="373" t="s">
        <v>1666</v>
      </c>
      <c r="D517" s="374">
        <v>85005000</v>
      </c>
      <c r="E517" s="393">
        <v>43719</v>
      </c>
      <c r="I517" s="373"/>
      <c r="J517" s="379" t="s">
        <v>1665</v>
      </c>
      <c r="K517" s="373" t="s">
        <v>1664</v>
      </c>
      <c r="L517" s="374">
        <v>2915000</v>
      </c>
      <c r="M517" s="375">
        <v>43732</v>
      </c>
      <c r="T517" s="163"/>
    </row>
    <row r="518" spans="1:20" x14ac:dyDescent="0.25">
      <c r="A518" s="373">
        <v>513</v>
      </c>
      <c r="B518" s="373" t="s">
        <v>1663</v>
      </c>
      <c r="C518" s="373" t="s">
        <v>1662</v>
      </c>
      <c r="D518" s="374">
        <v>12928059</v>
      </c>
      <c r="E518" s="393">
        <v>43719</v>
      </c>
      <c r="I518" s="373"/>
      <c r="J518" s="379" t="s">
        <v>1661</v>
      </c>
      <c r="K518" s="373" t="s">
        <v>1660</v>
      </c>
      <c r="L518" s="374">
        <v>6788345</v>
      </c>
      <c r="M518" s="375">
        <v>43732</v>
      </c>
      <c r="T518" s="163"/>
    </row>
    <row r="519" spans="1:20" x14ac:dyDescent="0.25">
      <c r="A519" s="373">
        <v>514</v>
      </c>
      <c r="B519" s="373" t="s">
        <v>1659</v>
      </c>
      <c r="C519" s="373" t="s">
        <v>341</v>
      </c>
      <c r="D519" s="374">
        <v>648729903</v>
      </c>
      <c r="E519" s="393">
        <v>43719</v>
      </c>
      <c r="I519" s="373"/>
      <c r="J519" s="379" t="s">
        <v>1658</v>
      </c>
      <c r="K519" s="373" t="s">
        <v>1657</v>
      </c>
      <c r="L519" s="374">
        <v>7862585</v>
      </c>
      <c r="M519" s="375">
        <v>43738</v>
      </c>
      <c r="T519" s="163"/>
    </row>
    <row r="520" spans="1:20" x14ac:dyDescent="0.25">
      <c r="A520" s="373">
        <v>515</v>
      </c>
      <c r="B520" s="373" t="s">
        <v>1656</v>
      </c>
      <c r="C520" s="373" t="s">
        <v>341</v>
      </c>
      <c r="D520" s="374">
        <v>709324961</v>
      </c>
      <c r="E520" s="393">
        <v>43720</v>
      </c>
      <c r="I520" s="373"/>
      <c r="J520" s="379" t="s">
        <v>1655</v>
      </c>
      <c r="K520" s="373" t="s">
        <v>964</v>
      </c>
      <c r="L520" s="374">
        <v>18019183</v>
      </c>
      <c r="M520" s="375">
        <v>43738</v>
      </c>
      <c r="T520" s="163"/>
    </row>
    <row r="521" spans="1:20" x14ac:dyDescent="0.25">
      <c r="A521" s="373">
        <v>516</v>
      </c>
      <c r="B521" s="373" t="s">
        <v>1654</v>
      </c>
      <c r="C521" s="373" t="s">
        <v>623</v>
      </c>
      <c r="D521" s="374">
        <v>303539198</v>
      </c>
      <c r="E521" s="393">
        <v>43720</v>
      </c>
      <c r="I521" s="373"/>
      <c r="J521" s="379" t="s">
        <v>1653</v>
      </c>
      <c r="K521" s="373" t="s">
        <v>1652</v>
      </c>
      <c r="L521" s="374">
        <v>31893000</v>
      </c>
      <c r="M521" s="375">
        <v>43732</v>
      </c>
      <c r="T521" s="163"/>
    </row>
    <row r="522" spans="1:20" x14ac:dyDescent="0.25">
      <c r="A522" s="373">
        <v>517</v>
      </c>
      <c r="B522" s="373" t="s">
        <v>1651</v>
      </c>
      <c r="C522" s="373" t="s">
        <v>1198</v>
      </c>
      <c r="D522" s="374">
        <v>909808698</v>
      </c>
      <c r="E522" s="393">
        <v>43720</v>
      </c>
      <c r="I522" s="373"/>
      <c r="J522" s="379" t="s">
        <v>1650</v>
      </c>
      <c r="K522" s="373" t="s">
        <v>1649</v>
      </c>
      <c r="L522" s="374">
        <v>4664000</v>
      </c>
      <c r="M522" s="375">
        <v>43735</v>
      </c>
      <c r="T522" s="163"/>
    </row>
    <row r="523" spans="1:20" x14ac:dyDescent="0.25">
      <c r="A523" s="373">
        <v>518</v>
      </c>
      <c r="B523" s="373" t="s">
        <v>1648</v>
      </c>
      <c r="C523" s="373" t="s">
        <v>302</v>
      </c>
      <c r="D523" s="374">
        <v>149505000</v>
      </c>
      <c r="E523" s="393">
        <v>43720</v>
      </c>
      <c r="I523" s="373"/>
      <c r="J523" s="379" t="s">
        <v>1647</v>
      </c>
      <c r="K523" s="373" t="s">
        <v>1646</v>
      </c>
      <c r="L523" s="374">
        <v>134481993</v>
      </c>
      <c r="M523" s="375">
        <v>43735</v>
      </c>
      <c r="T523" s="163"/>
    </row>
    <row r="524" spans="1:20" x14ac:dyDescent="0.25">
      <c r="A524" s="373">
        <v>519</v>
      </c>
      <c r="B524" s="373" t="s">
        <v>1645</v>
      </c>
      <c r="C524" s="373" t="s">
        <v>522</v>
      </c>
      <c r="D524" s="374">
        <v>180962473</v>
      </c>
      <c r="E524" s="393">
        <v>43720</v>
      </c>
      <c r="I524" s="373"/>
      <c r="J524" s="379" t="s">
        <v>1644</v>
      </c>
      <c r="K524" s="373" t="s">
        <v>1643</v>
      </c>
      <c r="L524" s="374">
        <v>1360040</v>
      </c>
      <c r="M524" s="375">
        <v>43735</v>
      </c>
      <c r="T524" s="163"/>
    </row>
    <row r="525" spans="1:20" x14ac:dyDescent="0.25">
      <c r="A525" s="373">
        <v>520</v>
      </c>
      <c r="B525" s="373" t="s">
        <v>1642</v>
      </c>
      <c r="C525" s="373" t="s">
        <v>539</v>
      </c>
      <c r="D525" s="374">
        <v>2664060174</v>
      </c>
      <c r="E525" s="393">
        <v>43720</v>
      </c>
      <c r="I525" s="373"/>
      <c r="J525" s="379" t="s">
        <v>1641</v>
      </c>
      <c r="K525" s="373" t="s">
        <v>1640</v>
      </c>
      <c r="L525" s="374">
        <v>655000</v>
      </c>
      <c r="M525" s="375">
        <v>43735</v>
      </c>
      <c r="T525" s="163"/>
    </row>
    <row r="526" spans="1:20" x14ac:dyDescent="0.25">
      <c r="A526" s="373">
        <v>521</v>
      </c>
      <c r="B526" s="373" t="s">
        <v>1639</v>
      </c>
      <c r="C526" s="373" t="s">
        <v>257</v>
      </c>
      <c r="D526" s="374">
        <v>425111000</v>
      </c>
      <c r="E526" s="393">
        <v>43721</v>
      </c>
      <c r="I526" s="373"/>
      <c r="J526" s="379" t="s">
        <v>1638</v>
      </c>
      <c r="K526" s="373" t="s">
        <v>1637</v>
      </c>
      <c r="L526" s="374">
        <v>6190714</v>
      </c>
      <c r="M526" s="375">
        <v>43735</v>
      </c>
      <c r="T526" s="163"/>
    </row>
    <row r="527" spans="1:20" x14ac:dyDescent="0.25">
      <c r="A527" s="373">
        <v>522</v>
      </c>
      <c r="B527" s="373" t="s">
        <v>1636</v>
      </c>
      <c r="C527" s="373" t="s">
        <v>1198</v>
      </c>
      <c r="D527" s="374">
        <v>752405801</v>
      </c>
      <c r="E527" s="393">
        <v>43721</v>
      </c>
      <c r="I527" s="373"/>
      <c r="J527" s="379" t="s">
        <v>1635</v>
      </c>
      <c r="K527" s="373" t="s">
        <v>1634</v>
      </c>
      <c r="L527" s="374">
        <v>9262900</v>
      </c>
      <c r="M527" s="375">
        <v>43735</v>
      </c>
      <c r="T527" s="163"/>
    </row>
    <row r="528" spans="1:20" x14ac:dyDescent="0.25">
      <c r="A528" s="373">
        <v>523</v>
      </c>
      <c r="B528" s="373" t="s">
        <v>1633</v>
      </c>
      <c r="C528" s="373" t="s">
        <v>1632</v>
      </c>
      <c r="D528" s="374">
        <v>370451673</v>
      </c>
      <c r="E528" s="393">
        <v>43721</v>
      </c>
      <c r="I528" s="373"/>
      <c r="J528" s="379" t="s">
        <v>1631</v>
      </c>
      <c r="K528" s="373" t="s">
        <v>1483</v>
      </c>
      <c r="L528" s="374">
        <v>21022551</v>
      </c>
      <c r="M528" s="375">
        <v>43738</v>
      </c>
      <c r="T528" s="163"/>
    </row>
    <row r="529" spans="1:20" x14ac:dyDescent="0.25">
      <c r="A529" s="373">
        <v>524</v>
      </c>
      <c r="B529" s="373" t="s">
        <v>1630</v>
      </c>
      <c r="C529" s="373" t="s">
        <v>551</v>
      </c>
      <c r="D529" s="374">
        <v>469612772</v>
      </c>
      <c r="E529" s="393">
        <v>43721</v>
      </c>
      <c r="I529" s="373"/>
      <c r="J529" s="379" t="s">
        <v>1629</v>
      </c>
      <c r="K529" s="373" t="s">
        <v>1628</v>
      </c>
      <c r="L529" s="374">
        <v>19202437</v>
      </c>
      <c r="M529" s="375">
        <v>43738</v>
      </c>
      <c r="T529" s="163"/>
    </row>
    <row r="530" spans="1:20" x14ac:dyDescent="0.25">
      <c r="A530" s="373">
        <v>525</v>
      </c>
      <c r="B530" s="373" t="s">
        <v>1627</v>
      </c>
      <c r="C530" s="373" t="s">
        <v>522</v>
      </c>
      <c r="D530" s="374">
        <v>134754467</v>
      </c>
      <c r="E530" s="393">
        <v>43721</v>
      </c>
      <c r="I530" s="373"/>
      <c r="J530" s="379" t="s">
        <v>1626</v>
      </c>
      <c r="K530" s="373" t="s">
        <v>1506</v>
      </c>
      <c r="L530" s="374">
        <v>9144421</v>
      </c>
      <c r="M530" s="375">
        <v>43738</v>
      </c>
      <c r="T530" s="163"/>
    </row>
    <row r="531" spans="1:20" x14ac:dyDescent="0.25">
      <c r="A531" s="373">
        <v>526</v>
      </c>
      <c r="B531" s="373" t="s">
        <v>1625</v>
      </c>
      <c r="C531" s="373" t="s">
        <v>539</v>
      </c>
      <c r="D531" s="374">
        <v>508981477</v>
      </c>
      <c r="E531" s="393">
        <v>43721</v>
      </c>
      <c r="I531" s="373"/>
      <c r="J531" s="379" t="s">
        <v>1624</v>
      </c>
      <c r="K531" s="373" t="s">
        <v>1047</v>
      </c>
      <c r="L531" s="374">
        <v>33224862</v>
      </c>
      <c r="M531" s="375">
        <v>43738</v>
      </c>
      <c r="T531" s="163"/>
    </row>
    <row r="532" spans="1:20" x14ac:dyDescent="0.25">
      <c r="A532" s="373">
        <v>527</v>
      </c>
      <c r="B532" s="373" t="s">
        <v>1623</v>
      </c>
      <c r="C532" s="373" t="s">
        <v>1622</v>
      </c>
      <c r="D532" s="374">
        <v>35003500</v>
      </c>
      <c r="E532" s="393">
        <v>43721</v>
      </c>
      <c r="I532" s="373"/>
      <c r="J532" s="379" t="s">
        <v>1621</v>
      </c>
      <c r="K532" s="373" t="s">
        <v>1501</v>
      </c>
      <c r="L532" s="374">
        <v>16002810</v>
      </c>
      <c r="M532" s="375">
        <v>43738</v>
      </c>
      <c r="T532" s="163"/>
    </row>
    <row r="533" spans="1:20" x14ac:dyDescent="0.25">
      <c r="A533" s="373">
        <v>528</v>
      </c>
      <c r="B533" s="373" t="s">
        <v>1620</v>
      </c>
      <c r="C533" s="373" t="s">
        <v>623</v>
      </c>
      <c r="D533" s="374">
        <v>158533752</v>
      </c>
      <c r="E533" s="393">
        <v>43724</v>
      </c>
      <c r="I533" s="373"/>
      <c r="J533" s="379" t="s">
        <v>1619</v>
      </c>
      <c r="K533" s="373" t="s">
        <v>1618</v>
      </c>
      <c r="L533" s="374">
        <v>2560082</v>
      </c>
      <c r="M533" s="375">
        <v>43738</v>
      </c>
      <c r="T533" s="163"/>
    </row>
    <row r="534" spans="1:20" x14ac:dyDescent="0.25">
      <c r="A534" s="373">
        <v>529</v>
      </c>
      <c r="B534" s="373" t="s">
        <v>1617</v>
      </c>
      <c r="C534" s="373" t="s">
        <v>295</v>
      </c>
      <c r="D534" s="374">
        <v>313886540</v>
      </c>
      <c r="E534" s="393">
        <v>43724</v>
      </c>
      <c r="I534" s="373"/>
      <c r="J534" s="379" t="s">
        <v>1616</v>
      </c>
      <c r="K534" s="373" t="s">
        <v>1615</v>
      </c>
      <c r="L534" s="374">
        <v>29045995</v>
      </c>
      <c r="M534" s="375">
        <v>43739</v>
      </c>
      <c r="T534" s="163"/>
    </row>
    <row r="535" spans="1:20" x14ac:dyDescent="0.25">
      <c r="A535" s="373">
        <v>530</v>
      </c>
      <c r="B535" s="373" t="s">
        <v>1614</v>
      </c>
      <c r="C535" s="373" t="s">
        <v>522</v>
      </c>
      <c r="D535" s="374">
        <v>2269758</v>
      </c>
      <c r="E535" s="393">
        <v>43724</v>
      </c>
      <c r="I535" s="373"/>
      <c r="J535" s="379" t="s">
        <v>1613</v>
      </c>
      <c r="K535" s="373" t="s">
        <v>1612</v>
      </c>
      <c r="L535" s="374">
        <v>3705000</v>
      </c>
      <c r="M535" s="375">
        <v>43739</v>
      </c>
      <c r="T535" s="163"/>
    </row>
    <row r="536" spans="1:20" x14ac:dyDescent="0.25">
      <c r="A536" s="373">
        <v>531</v>
      </c>
      <c r="B536" s="373" t="s">
        <v>1611</v>
      </c>
      <c r="C536" s="373" t="s">
        <v>1198</v>
      </c>
      <c r="D536" s="374">
        <v>773269103</v>
      </c>
      <c r="E536" s="393">
        <v>43724</v>
      </c>
      <c r="I536" s="373"/>
      <c r="J536" s="379" t="s">
        <v>1610</v>
      </c>
      <c r="K536" s="373" t="s">
        <v>1609</v>
      </c>
      <c r="L536" s="374">
        <v>1875000</v>
      </c>
      <c r="M536" s="375">
        <v>43739</v>
      </c>
      <c r="T536" s="163"/>
    </row>
    <row r="537" spans="1:20" x14ac:dyDescent="0.25">
      <c r="A537" s="373">
        <v>532</v>
      </c>
      <c r="B537" s="373" t="s">
        <v>1608</v>
      </c>
      <c r="C537" s="373" t="s">
        <v>539</v>
      </c>
      <c r="D537" s="374">
        <v>1242169557</v>
      </c>
      <c r="E537" s="393">
        <v>43724</v>
      </c>
      <c r="I537" s="373"/>
      <c r="J537" s="379" t="s">
        <v>1607</v>
      </c>
      <c r="K537" s="373" t="s">
        <v>1606</v>
      </c>
      <c r="L537" s="374">
        <v>7729000</v>
      </c>
      <c r="M537" s="375">
        <v>43739</v>
      </c>
      <c r="T537" s="163"/>
    </row>
    <row r="538" spans="1:20" x14ac:dyDescent="0.25">
      <c r="A538" s="373">
        <v>533</v>
      </c>
      <c r="B538" s="373" t="s">
        <v>1605</v>
      </c>
      <c r="C538" s="373" t="s">
        <v>1604</v>
      </c>
      <c r="D538" s="374">
        <v>174554375</v>
      </c>
      <c r="E538" s="393">
        <v>43724</v>
      </c>
      <c r="I538" s="373"/>
      <c r="J538" s="379" t="s">
        <v>1603</v>
      </c>
      <c r="K538" s="373" t="s">
        <v>1602</v>
      </c>
      <c r="L538" s="374">
        <v>17701575</v>
      </c>
      <c r="M538" s="375">
        <v>43739</v>
      </c>
      <c r="T538" s="163"/>
    </row>
    <row r="539" spans="1:20" x14ac:dyDescent="0.25">
      <c r="A539" s="373">
        <v>534</v>
      </c>
      <c r="B539" s="373" t="s">
        <v>1601</v>
      </c>
      <c r="C539" s="373" t="s">
        <v>623</v>
      </c>
      <c r="D539" s="374">
        <v>151105493</v>
      </c>
      <c r="E539" s="393">
        <v>43725</v>
      </c>
      <c r="I539" s="373"/>
      <c r="J539" s="379" t="s">
        <v>1600</v>
      </c>
      <c r="K539" s="373" t="s">
        <v>1599</v>
      </c>
      <c r="L539" s="374">
        <v>6648449</v>
      </c>
      <c r="M539" s="375">
        <v>43739</v>
      </c>
      <c r="T539" s="163"/>
    </row>
    <row r="540" spans="1:20" x14ac:dyDescent="0.25">
      <c r="A540" s="373">
        <v>535</v>
      </c>
      <c r="B540" s="373" t="s">
        <v>1598</v>
      </c>
      <c r="C540" s="373" t="s">
        <v>283</v>
      </c>
      <c r="D540" s="374">
        <v>175105000</v>
      </c>
      <c r="E540" s="393">
        <v>43725</v>
      </c>
      <c r="I540" s="373"/>
      <c r="J540" s="379" t="s">
        <v>1597</v>
      </c>
      <c r="K540" s="373" t="s">
        <v>1596</v>
      </c>
      <c r="L540" s="374">
        <v>15640824</v>
      </c>
      <c r="M540" s="375">
        <v>43739</v>
      </c>
      <c r="T540" s="163"/>
    </row>
    <row r="541" spans="1:20" x14ac:dyDescent="0.25">
      <c r="A541" s="373">
        <v>536</v>
      </c>
      <c r="B541" s="373" t="s">
        <v>1595</v>
      </c>
      <c r="C541" s="373" t="s">
        <v>1198</v>
      </c>
      <c r="D541" s="374">
        <v>236270365</v>
      </c>
      <c r="E541" s="393">
        <v>43725</v>
      </c>
      <c r="I541" s="373"/>
      <c r="J541" s="379" t="s">
        <v>1594</v>
      </c>
      <c r="K541" s="373" t="s">
        <v>1593</v>
      </c>
      <c r="L541" s="374">
        <v>4828545</v>
      </c>
      <c r="M541" s="375">
        <v>43739</v>
      </c>
      <c r="T541" s="163"/>
    </row>
    <row r="542" spans="1:20" x14ac:dyDescent="0.25">
      <c r="A542" s="373">
        <v>537</v>
      </c>
      <c r="B542" s="373" t="s">
        <v>1592</v>
      </c>
      <c r="C542" s="373" t="s">
        <v>341</v>
      </c>
      <c r="D542" s="374">
        <v>1197198604</v>
      </c>
      <c r="E542" s="393">
        <v>43725</v>
      </c>
      <c r="I542" s="373"/>
      <c r="J542" s="379" t="s">
        <v>1591</v>
      </c>
      <c r="K542" s="373" t="s">
        <v>1590</v>
      </c>
      <c r="L542" s="374">
        <v>50328714</v>
      </c>
      <c r="M542" s="375">
        <v>43739</v>
      </c>
      <c r="T542" s="163"/>
    </row>
    <row r="543" spans="1:20" x14ac:dyDescent="0.25">
      <c r="A543" s="373">
        <v>538</v>
      </c>
      <c r="B543" s="373" t="s">
        <v>1589</v>
      </c>
      <c r="C543" s="373" t="s">
        <v>1313</v>
      </c>
      <c r="D543" s="374">
        <v>184985940</v>
      </c>
      <c r="E543" s="393">
        <v>43725</v>
      </c>
      <c r="I543" s="373"/>
      <c r="J543" s="379" t="s">
        <v>1588</v>
      </c>
      <c r="K543" s="373" t="s">
        <v>1587</v>
      </c>
      <c r="L543" s="374">
        <v>1591271</v>
      </c>
      <c r="M543" s="375">
        <v>43739</v>
      </c>
      <c r="T543" s="163"/>
    </row>
    <row r="544" spans="1:20" x14ac:dyDescent="0.25">
      <c r="A544" s="373">
        <v>539</v>
      </c>
      <c r="B544" s="373" t="s">
        <v>1586</v>
      </c>
      <c r="C544" s="373" t="s">
        <v>1585</v>
      </c>
      <c r="D544" s="374">
        <v>718159948</v>
      </c>
      <c r="E544" s="393">
        <v>43725</v>
      </c>
      <c r="I544" s="373"/>
      <c r="J544" s="379" t="s">
        <v>1584</v>
      </c>
      <c r="K544" s="373" t="s">
        <v>1583</v>
      </c>
      <c r="L544" s="374">
        <v>1025500</v>
      </c>
      <c r="M544" s="375">
        <v>43739</v>
      </c>
      <c r="T544" s="163"/>
    </row>
    <row r="545" spans="1:20" x14ac:dyDescent="0.25">
      <c r="A545" s="373">
        <v>540</v>
      </c>
      <c r="B545" s="373" t="s">
        <v>1582</v>
      </c>
      <c r="C545" s="373" t="s">
        <v>539</v>
      </c>
      <c r="D545" s="374">
        <v>2152969702</v>
      </c>
      <c r="E545" s="393">
        <v>43725</v>
      </c>
      <c r="I545" s="373"/>
      <c r="J545" s="379" t="s">
        <v>1581</v>
      </c>
      <c r="K545" s="373" t="s">
        <v>1580</v>
      </c>
      <c r="L545" s="374">
        <v>4788271</v>
      </c>
      <c r="M545" s="375">
        <v>43739</v>
      </c>
      <c r="T545" s="163"/>
    </row>
    <row r="546" spans="1:20" x14ac:dyDescent="0.25">
      <c r="A546" s="373">
        <v>541</v>
      </c>
      <c r="B546" s="373" t="s">
        <v>1579</v>
      </c>
      <c r="C546" s="373" t="s">
        <v>543</v>
      </c>
      <c r="D546" s="374">
        <v>183124334</v>
      </c>
      <c r="E546" s="393">
        <v>43725</v>
      </c>
      <c r="I546" s="373"/>
      <c r="J546" s="379" t="s">
        <v>1578</v>
      </c>
      <c r="K546" s="373" t="s">
        <v>1577</v>
      </c>
      <c r="L546" s="374">
        <v>3102000</v>
      </c>
      <c r="M546" s="375">
        <v>43739</v>
      </c>
      <c r="T546" s="163"/>
    </row>
    <row r="547" spans="1:20" x14ac:dyDescent="0.25">
      <c r="A547" s="373">
        <v>542</v>
      </c>
      <c r="B547" s="373" t="s">
        <v>1576</v>
      </c>
      <c r="C547" s="373" t="s">
        <v>248</v>
      </c>
      <c r="D547" s="374">
        <v>136043700</v>
      </c>
      <c r="E547" s="393">
        <v>43726</v>
      </c>
      <c r="I547" s="373"/>
      <c r="J547" s="379" t="s">
        <v>1575</v>
      </c>
      <c r="K547" s="373" t="s">
        <v>1574</v>
      </c>
      <c r="L547" s="374">
        <v>150003500</v>
      </c>
      <c r="M547" s="375">
        <v>43739</v>
      </c>
      <c r="T547" s="163"/>
    </row>
    <row r="548" spans="1:20" x14ac:dyDescent="0.25">
      <c r="A548" s="373">
        <v>543</v>
      </c>
      <c r="B548" s="373" t="s">
        <v>1573</v>
      </c>
      <c r="C548" s="373" t="s">
        <v>1424</v>
      </c>
      <c r="D548" s="374">
        <v>100938660</v>
      </c>
      <c r="E548" s="393">
        <v>43726</v>
      </c>
      <c r="I548" s="373"/>
      <c r="J548" s="379" t="s">
        <v>1572</v>
      </c>
      <c r="K548" s="373" t="s">
        <v>1571</v>
      </c>
      <c r="L548" s="374">
        <v>24005000</v>
      </c>
      <c r="M548" s="375">
        <v>43740</v>
      </c>
      <c r="T548" s="163"/>
    </row>
    <row r="549" spans="1:20" x14ac:dyDescent="0.25">
      <c r="A549" s="373">
        <v>544</v>
      </c>
      <c r="B549" s="373" t="s">
        <v>1570</v>
      </c>
      <c r="C549" s="373" t="s">
        <v>1215</v>
      </c>
      <c r="D549" s="374">
        <v>247272676</v>
      </c>
      <c r="E549" s="393">
        <v>43726</v>
      </c>
      <c r="I549" s="373"/>
      <c r="J549" s="379" t="s">
        <v>1569</v>
      </c>
      <c r="K549" s="373" t="s">
        <v>1568</v>
      </c>
      <c r="L549" s="374">
        <v>4330000</v>
      </c>
      <c r="M549" s="375">
        <v>43740</v>
      </c>
      <c r="T549" s="163"/>
    </row>
    <row r="550" spans="1:20" x14ac:dyDescent="0.25">
      <c r="A550" s="373">
        <v>545</v>
      </c>
      <c r="B550" s="373" t="s">
        <v>1567</v>
      </c>
      <c r="C550" s="373" t="s">
        <v>1198</v>
      </c>
      <c r="D550" s="374">
        <v>867242465</v>
      </c>
      <c r="E550" s="393">
        <v>43726</v>
      </c>
      <c r="I550" s="373"/>
      <c r="J550" s="379" t="s">
        <v>1566</v>
      </c>
      <c r="K550" s="373" t="s">
        <v>1565</v>
      </c>
      <c r="L550" s="374">
        <v>3630000</v>
      </c>
      <c r="M550" s="375">
        <v>43740</v>
      </c>
      <c r="T550" s="163"/>
    </row>
    <row r="551" spans="1:20" x14ac:dyDescent="0.25">
      <c r="A551" s="373">
        <v>546</v>
      </c>
      <c r="B551" s="373" t="s">
        <v>1564</v>
      </c>
      <c r="C551" s="373" t="s">
        <v>1294</v>
      </c>
      <c r="D551" s="374">
        <v>234184854</v>
      </c>
      <c r="E551" s="393">
        <v>43726</v>
      </c>
      <c r="I551" s="373"/>
      <c r="J551" s="379" t="s">
        <v>1563</v>
      </c>
      <c r="K551" s="373" t="s">
        <v>1562</v>
      </c>
      <c r="L551" s="374">
        <v>3280000</v>
      </c>
      <c r="M551" s="375">
        <v>43740</v>
      </c>
      <c r="T551" s="163"/>
    </row>
    <row r="552" spans="1:20" x14ac:dyDescent="0.25">
      <c r="A552" s="373">
        <v>547</v>
      </c>
      <c r="B552" s="373" t="s">
        <v>1561</v>
      </c>
      <c r="C552" s="373" t="s">
        <v>539</v>
      </c>
      <c r="D552" s="374">
        <v>690005750</v>
      </c>
      <c r="E552" s="393">
        <v>43726</v>
      </c>
      <c r="I552" s="373"/>
      <c r="J552" s="379" t="s">
        <v>1560</v>
      </c>
      <c r="K552" s="373" t="s">
        <v>1559</v>
      </c>
      <c r="L552" s="374">
        <v>5605000</v>
      </c>
      <c r="M552" s="375">
        <v>43740</v>
      </c>
      <c r="T552" s="163"/>
    </row>
    <row r="553" spans="1:20" x14ac:dyDescent="0.25">
      <c r="A553" s="373">
        <v>548</v>
      </c>
      <c r="B553" s="373" t="s">
        <v>1558</v>
      </c>
      <c r="C553" s="373" t="s">
        <v>1557</v>
      </c>
      <c r="D553" s="374">
        <v>35003500</v>
      </c>
      <c r="E553" s="393">
        <v>43726</v>
      </c>
      <c r="I553" s="373"/>
      <c r="J553" s="379" t="s">
        <v>1556</v>
      </c>
      <c r="K553" s="373" t="s">
        <v>1555</v>
      </c>
      <c r="L553" s="374">
        <v>4100000</v>
      </c>
      <c r="M553" s="375">
        <v>43740</v>
      </c>
      <c r="T553" s="163"/>
    </row>
    <row r="554" spans="1:20" x14ac:dyDescent="0.25">
      <c r="A554" s="373">
        <v>549</v>
      </c>
      <c r="B554" s="373" t="s">
        <v>1554</v>
      </c>
      <c r="C554" s="373" t="s">
        <v>1485</v>
      </c>
      <c r="D554" s="374">
        <v>500003500</v>
      </c>
      <c r="E554" s="393">
        <v>43726</v>
      </c>
      <c r="I554" s="373"/>
      <c r="J554" s="379" t="s">
        <v>1553</v>
      </c>
      <c r="K554" s="373" t="s">
        <v>1552</v>
      </c>
      <c r="L554" s="374">
        <v>3130000</v>
      </c>
      <c r="M554" s="375">
        <v>43740</v>
      </c>
      <c r="T554" s="163"/>
    </row>
    <row r="555" spans="1:20" x14ac:dyDescent="0.25">
      <c r="A555" s="373">
        <v>550</v>
      </c>
      <c r="B555" s="373" t="s">
        <v>1551</v>
      </c>
      <c r="C555" s="373" t="s">
        <v>295</v>
      </c>
      <c r="D555" s="374">
        <v>880722752</v>
      </c>
      <c r="E555" s="393">
        <v>43727</v>
      </c>
      <c r="I555" s="373"/>
      <c r="J555" s="379" t="s">
        <v>1550</v>
      </c>
      <c r="K555" s="373" t="s">
        <v>1549</v>
      </c>
      <c r="L555" s="374">
        <v>4355000</v>
      </c>
      <c r="M555" s="375">
        <v>43740</v>
      </c>
      <c r="T555" s="163"/>
    </row>
    <row r="556" spans="1:20" x14ac:dyDescent="0.25">
      <c r="A556" s="373">
        <v>551</v>
      </c>
      <c r="B556" s="373" t="s">
        <v>1548</v>
      </c>
      <c r="C556" s="373" t="s">
        <v>623</v>
      </c>
      <c r="D556" s="374">
        <v>114661631</v>
      </c>
      <c r="E556" s="393">
        <v>43727</v>
      </c>
      <c r="I556" s="373"/>
      <c r="J556" s="379" t="s">
        <v>1547</v>
      </c>
      <c r="K556" s="373" t="s">
        <v>1546</v>
      </c>
      <c r="L556" s="374">
        <v>4105000</v>
      </c>
      <c r="M556" s="375">
        <v>43740</v>
      </c>
      <c r="T556" s="163"/>
    </row>
    <row r="557" spans="1:20" x14ac:dyDescent="0.25">
      <c r="A557" s="373">
        <v>552</v>
      </c>
      <c r="B557" s="373" t="s">
        <v>1545</v>
      </c>
      <c r="C557" s="373" t="s">
        <v>429</v>
      </c>
      <c r="D557" s="374">
        <v>26328425</v>
      </c>
      <c r="E557" s="393">
        <v>43727</v>
      </c>
      <c r="I557" s="373"/>
      <c r="J557" s="379" t="s">
        <v>1544</v>
      </c>
      <c r="K557" s="373" t="s">
        <v>1543</v>
      </c>
      <c r="L557" s="374">
        <v>4105000</v>
      </c>
      <c r="M557" s="375">
        <v>43740</v>
      </c>
      <c r="T557" s="163"/>
    </row>
    <row r="558" spans="1:20" x14ac:dyDescent="0.25">
      <c r="A558" s="373">
        <v>553</v>
      </c>
      <c r="B558" s="373" t="s">
        <v>1542</v>
      </c>
      <c r="C558" s="373" t="s">
        <v>431</v>
      </c>
      <c r="D558" s="374">
        <v>236811500</v>
      </c>
      <c r="E558" s="393">
        <v>43727</v>
      </c>
      <c r="I558" s="373"/>
      <c r="J558" s="379" t="s">
        <v>1541</v>
      </c>
      <c r="K558" s="373" t="s">
        <v>1540</v>
      </c>
      <c r="L558" s="374">
        <v>1855000</v>
      </c>
      <c r="M558" s="375">
        <v>43740</v>
      </c>
      <c r="T558" s="163"/>
    </row>
    <row r="559" spans="1:20" x14ac:dyDescent="0.25">
      <c r="A559" s="373">
        <v>554</v>
      </c>
      <c r="B559" s="373" t="s">
        <v>1539</v>
      </c>
      <c r="C559" s="373" t="s">
        <v>322</v>
      </c>
      <c r="D559" s="374"/>
      <c r="E559" s="393"/>
      <c r="I559" s="373"/>
      <c r="J559" s="379" t="s">
        <v>1538</v>
      </c>
      <c r="K559" s="373" t="s">
        <v>1537</v>
      </c>
      <c r="L559" s="374">
        <v>2755000</v>
      </c>
      <c r="M559" s="375">
        <v>43740</v>
      </c>
      <c r="T559" s="163"/>
    </row>
    <row r="560" spans="1:20" x14ac:dyDescent="0.25">
      <c r="A560" s="373">
        <v>555</v>
      </c>
      <c r="B560" s="373" t="s">
        <v>1536</v>
      </c>
      <c r="C560" s="373" t="s">
        <v>1198</v>
      </c>
      <c r="D560" s="374">
        <v>648849077</v>
      </c>
      <c r="E560" s="393">
        <v>43727</v>
      </c>
      <c r="I560" s="373"/>
      <c r="J560" s="379" t="s">
        <v>1535</v>
      </c>
      <c r="K560" s="373" t="s">
        <v>1534</v>
      </c>
      <c r="L560" s="374">
        <v>2203100</v>
      </c>
      <c r="M560" s="375">
        <v>43740</v>
      </c>
      <c r="T560" s="163"/>
    </row>
    <row r="561" spans="1:20" x14ac:dyDescent="0.25">
      <c r="A561" s="373">
        <v>556</v>
      </c>
      <c r="B561" s="373" t="s">
        <v>1533</v>
      </c>
      <c r="C561" s="373" t="s">
        <v>341</v>
      </c>
      <c r="D561" s="374">
        <v>504372137</v>
      </c>
      <c r="E561" s="393">
        <v>43727</v>
      </c>
      <c r="I561" s="373"/>
      <c r="J561" s="379" t="s">
        <v>1532</v>
      </c>
      <c r="K561" s="373" t="s">
        <v>1531</v>
      </c>
      <c r="L561" s="374">
        <v>19744915</v>
      </c>
      <c r="M561" s="375">
        <v>43740</v>
      </c>
      <c r="T561" s="163"/>
    </row>
    <row r="562" spans="1:20" x14ac:dyDescent="0.25">
      <c r="A562" s="373">
        <v>557</v>
      </c>
      <c r="B562" s="373" t="s">
        <v>1530</v>
      </c>
      <c r="C562" s="373" t="s">
        <v>539</v>
      </c>
      <c r="D562" s="374">
        <v>858121425</v>
      </c>
      <c r="E562" s="393">
        <v>43727</v>
      </c>
      <c r="I562" s="373"/>
      <c r="J562" s="379" t="s">
        <v>1529</v>
      </c>
      <c r="K562" s="373" t="s">
        <v>1528</v>
      </c>
      <c r="L562" s="374">
        <v>3488200</v>
      </c>
      <c r="M562" s="375">
        <v>43741</v>
      </c>
      <c r="T562" s="163"/>
    </row>
    <row r="563" spans="1:20" x14ac:dyDescent="0.25">
      <c r="A563" s="373">
        <v>558</v>
      </c>
      <c r="B563" s="373" t="s">
        <v>1527</v>
      </c>
      <c r="C563" s="373" t="s">
        <v>302</v>
      </c>
      <c r="D563" s="374">
        <v>198005000</v>
      </c>
      <c r="E563" s="393">
        <v>43728</v>
      </c>
      <c r="I563" s="373"/>
      <c r="J563" s="379" t="s">
        <v>1526</v>
      </c>
      <c r="K563" s="373" t="s">
        <v>388</v>
      </c>
      <c r="L563" s="374"/>
      <c r="M563" s="373"/>
      <c r="T563" s="163"/>
    </row>
    <row r="564" spans="1:20" x14ac:dyDescent="0.25">
      <c r="A564" s="373">
        <v>559</v>
      </c>
      <c r="B564" s="373" t="s">
        <v>1525</v>
      </c>
      <c r="C564" s="373" t="s">
        <v>551</v>
      </c>
      <c r="D564" s="374">
        <v>78173000</v>
      </c>
      <c r="E564" s="393">
        <v>43728</v>
      </c>
      <c r="I564" s="373"/>
      <c r="J564" s="379" t="s">
        <v>1524</v>
      </c>
      <c r="K564" s="373" t="s">
        <v>1523</v>
      </c>
      <c r="L564" s="374">
        <v>42086560</v>
      </c>
      <c r="M564" s="375">
        <v>43741</v>
      </c>
      <c r="T564" s="163"/>
    </row>
    <row r="565" spans="1:20" x14ac:dyDescent="0.25">
      <c r="A565" s="373">
        <v>560</v>
      </c>
      <c r="B565" s="373" t="s">
        <v>1522</v>
      </c>
      <c r="C565" s="373" t="s">
        <v>1424</v>
      </c>
      <c r="D565" s="374">
        <v>100979259</v>
      </c>
      <c r="E565" s="393">
        <v>43728</v>
      </c>
      <c r="I565" s="373"/>
      <c r="J565" s="379" t="s">
        <v>1521</v>
      </c>
      <c r="K565" s="373" t="s">
        <v>388</v>
      </c>
      <c r="L565" s="374"/>
      <c r="M565" s="373"/>
      <c r="T565" s="163"/>
    </row>
    <row r="566" spans="1:20" x14ac:dyDescent="0.25">
      <c r="A566" s="373">
        <v>561</v>
      </c>
      <c r="B566" s="373" t="s">
        <v>1520</v>
      </c>
      <c r="C566" s="373" t="s">
        <v>522</v>
      </c>
      <c r="D566" s="374">
        <v>165032989</v>
      </c>
      <c r="E566" s="393">
        <v>43728</v>
      </c>
      <c r="I566" s="373"/>
      <c r="J566" s="379" t="s">
        <v>1519</v>
      </c>
      <c r="K566" s="373" t="s">
        <v>1518</v>
      </c>
      <c r="L566" s="374">
        <v>7450935</v>
      </c>
      <c r="M566" s="375">
        <v>43741</v>
      </c>
      <c r="T566" s="163"/>
    </row>
    <row r="567" spans="1:20" x14ac:dyDescent="0.25">
      <c r="A567" s="373">
        <v>562</v>
      </c>
      <c r="B567" s="373" t="s">
        <v>1517</v>
      </c>
      <c r="C567" s="373" t="s">
        <v>702</v>
      </c>
      <c r="D567" s="374">
        <v>355434682</v>
      </c>
      <c r="E567" s="393">
        <v>43728</v>
      </c>
      <c r="I567" s="373"/>
      <c r="J567" s="379" t="s">
        <v>1516</v>
      </c>
      <c r="K567" s="373" t="s">
        <v>388</v>
      </c>
      <c r="L567" s="374"/>
      <c r="M567" s="373"/>
      <c r="T567" s="163"/>
    </row>
    <row r="568" spans="1:20" x14ac:dyDescent="0.25">
      <c r="A568" s="373">
        <v>563</v>
      </c>
      <c r="B568" s="373" t="s">
        <v>1515</v>
      </c>
      <c r="C568" s="373" t="s">
        <v>539</v>
      </c>
      <c r="D568" s="374">
        <v>1225544341</v>
      </c>
      <c r="E568" s="393">
        <v>43728</v>
      </c>
      <c r="I568" s="373"/>
      <c r="J568" s="379" t="s">
        <v>1514</v>
      </c>
      <c r="K568" s="373" t="s">
        <v>1013</v>
      </c>
      <c r="L568" s="374">
        <v>88400000</v>
      </c>
      <c r="M568" s="375">
        <v>43741</v>
      </c>
      <c r="T568" s="163"/>
    </row>
    <row r="569" spans="1:20" x14ac:dyDescent="0.25">
      <c r="A569" s="373">
        <v>564</v>
      </c>
      <c r="B569" s="373" t="s">
        <v>1513</v>
      </c>
      <c r="C569" s="373" t="s">
        <v>543</v>
      </c>
      <c r="D569" s="374">
        <v>352516147</v>
      </c>
      <c r="E569" s="393">
        <v>43731</v>
      </c>
      <c r="I569" s="373"/>
      <c r="J569" s="379" t="s">
        <v>1512</v>
      </c>
      <c r="K569" s="373" t="s">
        <v>964</v>
      </c>
      <c r="L569" s="374">
        <v>12687690</v>
      </c>
      <c r="M569" s="375">
        <v>43745</v>
      </c>
      <c r="T569" s="163"/>
    </row>
    <row r="570" spans="1:20" x14ac:dyDescent="0.25">
      <c r="A570" s="373">
        <v>565</v>
      </c>
      <c r="B570" s="373" t="s">
        <v>1511</v>
      </c>
      <c r="C570" s="373" t="s">
        <v>1294</v>
      </c>
      <c r="D570" s="374">
        <v>242823356</v>
      </c>
      <c r="E570" s="393">
        <v>43731</v>
      </c>
      <c r="I570" s="373"/>
      <c r="J570" s="379" t="s">
        <v>1510</v>
      </c>
      <c r="K570" s="373" t="s">
        <v>1509</v>
      </c>
      <c r="L570" s="374">
        <v>8438143</v>
      </c>
      <c r="M570" s="375">
        <v>43745</v>
      </c>
      <c r="T570" s="163"/>
    </row>
    <row r="571" spans="1:20" x14ac:dyDescent="0.25">
      <c r="A571" s="373">
        <v>566</v>
      </c>
      <c r="B571" s="373" t="s">
        <v>1508</v>
      </c>
      <c r="C571" s="373" t="s">
        <v>551</v>
      </c>
      <c r="D571" s="374">
        <v>78173900</v>
      </c>
      <c r="E571" s="393">
        <v>43731</v>
      </c>
      <c r="I571" s="373"/>
      <c r="J571" s="379" t="s">
        <v>1507</v>
      </c>
      <c r="K571" s="373" t="s">
        <v>1506</v>
      </c>
      <c r="L571" s="374">
        <v>10533769</v>
      </c>
      <c r="M571" s="375">
        <v>43745</v>
      </c>
      <c r="T571" s="163"/>
    </row>
    <row r="572" spans="1:20" x14ac:dyDescent="0.25">
      <c r="A572" s="373">
        <v>567</v>
      </c>
      <c r="B572" s="373" t="s">
        <v>1505</v>
      </c>
      <c r="C572" s="373" t="s">
        <v>322</v>
      </c>
      <c r="D572" s="374"/>
      <c r="E572" s="393"/>
      <c r="I572" s="373"/>
      <c r="J572" s="379" t="s">
        <v>1504</v>
      </c>
      <c r="K572" s="373" t="s">
        <v>388</v>
      </c>
      <c r="L572" s="374"/>
      <c r="M572" s="373"/>
      <c r="T572" s="163"/>
    </row>
    <row r="573" spans="1:20" x14ac:dyDescent="0.25">
      <c r="A573" s="373">
        <v>568</v>
      </c>
      <c r="B573" s="373" t="s">
        <v>1503</v>
      </c>
      <c r="C573" s="373" t="s">
        <v>302</v>
      </c>
      <c r="D573" s="374">
        <v>56105000</v>
      </c>
      <c r="E573" s="393">
        <v>43731</v>
      </c>
      <c r="I573" s="373"/>
      <c r="J573" s="379" t="s">
        <v>1502</v>
      </c>
      <c r="K573" s="373" t="s">
        <v>1501</v>
      </c>
      <c r="L573" s="374">
        <v>16899406</v>
      </c>
      <c r="M573" s="375">
        <v>43745</v>
      </c>
      <c r="T573" s="163"/>
    </row>
    <row r="574" spans="1:20" x14ac:dyDescent="0.25">
      <c r="A574" s="373">
        <v>569</v>
      </c>
      <c r="B574" s="373" t="s">
        <v>1500</v>
      </c>
      <c r="C574" s="373" t="s">
        <v>322</v>
      </c>
      <c r="D574" s="374"/>
      <c r="E574" s="393"/>
      <c r="I574" s="373"/>
      <c r="J574" s="379" t="s">
        <v>1499</v>
      </c>
      <c r="K574" s="373" t="s">
        <v>1498</v>
      </c>
      <c r="L574" s="374">
        <v>19764752</v>
      </c>
      <c r="M574" s="375">
        <v>43745</v>
      </c>
      <c r="T574" s="163"/>
    </row>
    <row r="575" spans="1:20" x14ac:dyDescent="0.25">
      <c r="A575" s="373">
        <v>570</v>
      </c>
      <c r="B575" s="373" t="s">
        <v>1497</v>
      </c>
      <c r="C575" s="373" t="s">
        <v>295</v>
      </c>
      <c r="D575" s="374">
        <v>515236340</v>
      </c>
      <c r="E575" s="393">
        <v>43731</v>
      </c>
      <c r="I575" s="373"/>
      <c r="J575" s="379" t="s">
        <v>1496</v>
      </c>
      <c r="K575" s="373" t="s">
        <v>388</v>
      </c>
      <c r="L575" s="374"/>
      <c r="M575" s="373"/>
      <c r="T575" s="163"/>
    </row>
    <row r="576" spans="1:20" x14ac:dyDescent="0.25">
      <c r="A576" s="373">
        <v>571</v>
      </c>
      <c r="B576" s="373" t="s">
        <v>1495</v>
      </c>
      <c r="C576" s="373" t="s">
        <v>341</v>
      </c>
      <c r="D576" s="374">
        <v>1270807257</v>
      </c>
      <c r="E576" s="393">
        <v>43731</v>
      </c>
      <c r="I576" s="373"/>
      <c r="J576" s="379" t="s">
        <v>1494</v>
      </c>
      <c r="K576" s="373" t="s">
        <v>1047</v>
      </c>
      <c r="L576" s="374">
        <v>26943064</v>
      </c>
      <c r="M576" s="375">
        <v>43745</v>
      </c>
      <c r="T576" s="163"/>
    </row>
    <row r="577" spans="1:20" x14ac:dyDescent="0.25">
      <c r="A577" s="373">
        <v>572</v>
      </c>
      <c r="B577" s="373" t="s">
        <v>1493</v>
      </c>
      <c r="C577" s="373" t="s">
        <v>1492</v>
      </c>
      <c r="D577" s="374">
        <v>17126611</v>
      </c>
      <c r="E577" s="393">
        <v>43731</v>
      </c>
      <c r="I577" s="373"/>
      <c r="J577" s="379" t="s">
        <v>1491</v>
      </c>
      <c r="K577" s="373" t="s">
        <v>1490</v>
      </c>
      <c r="L577" s="374">
        <v>2572000</v>
      </c>
      <c r="M577" s="375">
        <v>43745</v>
      </c>
      <c r="T577" s="163"/>
    </row>
    <row r="578" spans="1:20" x14ac:dyDescent="0.25">
      <c r="A578" s="373">
        <v>573</v>
      </c>
      <c r="B578" s="373" t="s">
        <v>1489</v>
      </c>
      <c r="C578" s="373" t="s">
        <v>539</v>
      </c>
      <c r="D578" s="374">
        <v>1486788934</v>
      </c>
      <c r="E578" s="393">
        <v>43731</v>
      </c>
      <c r="I578" s="373"/>
      <c r="J578" s="379" t="s">
        <v>1488</v>
      </c>
      <c r="K578" s="373" t="s">
        <v>1487</v>
      </c>
      <c r="L578" s="374">
        <v>4331000</v>
      </c>
      <c r="M578" s="375">
        <v>43745</v>
      </c>
      <c r="T578" s="163"/>
    </row>
    <row r="579" spans="1:20" x14ac:dyDescent="0.25">
      <c r="A579" s="373">
        <v>574</v>
      </c>
      <c r="B579" s="373" t="s">
        <v>1486</v>
      </c>
      <c r="C579" s="373" t="s">
        <v>1485</v>
      </c>
      <c r="D579" s="374">
        <v>400005000</v>
      </c>
      <c r="E579" s="393">
        <v>43731</v>
      </c>
      <c r="I579" s="373"/>
      <c r="J579" s="379" t="s">
        <v>1484</v>
      </c>
      <c r="K579" s="373" t="s">
        <v>1483</v>
      </c>
      <c r="L579" s="374">
        <v>25136274</v>
      </c>
      <c r="M579" s="375">
        <v>43745</v>
      </c>
      <c r="T579" s="163"/>
    </row>
    <row r="580" spans="1:20" x14ac:dyDescent="0.25">
      <c r="A580" s="373">
        <v>575</v>
      </c>
      <c r="B580" s="373" t="s">
        <v>1482</v>
      </c>
      <c r="C580" s="373" t="s">
        <v>429</v>
      </c>
      <c r="D580" s="374">
        <v>78976278</v>
      </c>
      <c r="E580" s="393">
        <v>43731</v>
      </c>
      <c r="I580" s="373"/>
      <c r="J580" s="379" t="s">
        <v>1481</v>
      </c>
      <c r="K580" s="373" t="s">
        <v>1031</v>
      </c>
      <c r="L580" s="374">
        <v>10913905</v>
      </c>
      <c r="M580" s="375">
        <v>43746</v>
      </c>
      <c r="T580" s="163"/>
    </row>
    <row r="581" spans="1:20" x14ac:dyDescent="0.25">
      <c r="A581" s="373">
        <v>576</v>
      </c>
      <c r="B581" s="373" t="s">
        <v>1480</v>
      </c>
      <c r="C581" s="373" t="s">
        <v>1294</v>
      </c>
      <c r="D581" s="374">
        <v>333607826</v>
      </c>
      <c r="E581" s="393">
        <v>43732</v>
      </c>
      <c r="I581" s="373"/>
      <c r="J581" s="379" t="s">
        <v>1479</v>
      </c>
      <c r="K581" s="373" t="s">
        <v>1478</v>
      </c>
      <c r="L581" s="374">
        <v>5677766</v>
      </c>
      <c r="M581" s="375">
        <v>43746</v>
      </c>
      <c r="T581" s="163"/>
    </row>
    <row r="582" spans="1:20" x14ac:dyDescent="0.25">
      <c r="A582" s="373">
        <v>577</v>
      </c>
      <c r="B582" s="373" t="s">
        <v>1477</v>
      </c>
      <c r="C582" s="373" t="s">
        <v>551</v>
      </c>
      <c r="D582" s="374">
        <v>89341100</v>
      </c>
      <c r="E582" s="393">
        <v>43732</v>
      </c>
      <c r="I582" s="373"/>
      <c r="J582" s="379" t="s">
        <v>1476</v>
      </c>
      <c r="K582" s="373" t="s">
        <v>1475</v>
      </c>
      <c r="L582" s="374">
        <v>23824818</v>
      </c>
      <c r="M582" s="375">
        <v>43746</v>
      </c>
      <c r="T582" s="163"/>
    </row>
    <row r="583" spans="1:20" x14ac:dyDescent="0.25">
      <c r="A583" s="373">
        <v>578</v>
      </c>
      <c r="B583" s="373" t="s">
        <v>1474</v>
      </c>
      <c r="C583" s="373" t="s">
        <v>1215</v>
      </c>
      <c r="D583" s="374">
        <v>313663341</v>
      </c>
      <c r="E583" s="393">
        <v>43732</v>
      </c>
      <c r="I583" s="373"/>
      <c r="J583" s="379" t="s">
        <v>1473</v>
      </c>
      <c r="K583" s="373" t="s">
        <v>1472</v>
      </c>
      <c r="L583" s="374">
        <v>31454961</v>
      </c>
      <c r="M583" s="375">
        <v>43746</v>
      </c>
      <c r="T583" s="163"/>
    </row>
    <row r="584" spans="1:20" x14ac:dyDescent="0.25">
      <c r="A584" s="373">
        <v>579</v>
      </c>
      <c r="B584" s="373" t="s">
        <v>1471</v>
      </c>
      <c r="C584" s="373" t="s">
        <v>1198</v>
      </c>
      <c r="D584" s="374">
        <v>561094525</v>
      </c>
      <c r="E584" s="393">
        <v>43732</v>
      </c>
      <c r="I584" s="373"/>
      <c r="J584" s="379" t="s">
        <v>1470</v>
      </c>
      <c r="K584" s="373" t="s">
        <v>1469</v>
      </c>
      <c r="L584" s="374">
        <v>24942902</v>
      </c>
      <c r="M584" s="375">
        <v>43746</v>
      </c>
      <c r="T584" s="163"/>
    </row>
    <row r="585" spans="1:20" x14ac:dyDescent="0.25">
      <c r="A585" s="373">
        <v>580</v>
      </c>
      <c r="B585" s="373" t="s">
        <v>1468</v>
      </c>
      <c r="C585" s="373" t="s">
        <v>322</v>
      </c>
      <c r="D585" s="374"/>
      <c r="E585" s="393"/>
      <c r="I585" s="373"/>
      <c r="J585" s="379" t="s">
        <v>1467</v>
      </c>
      <c r="K585" s="373" t="s">
        <v>1466</v>
      </c>
      <c r="L585" s="374">
        <v>23524118</v>
      </c>
      <c r="M585" s="375">
        <v>43746</v>
      </c>
      <c r="T585" s="163"/>
    </row>
    <row r="586" spans="1:20" x14ac:dyDescent="0.25">
      <c r="A586" s="373">
        <v>581</v>
      </c>
      <c r="B586" s="373" t="s">
        <v>1465</v>
      </c>
      <c r="C586" s="373" t="s">
        <v>341</v>
      </c>
      <c r="D586" s="374">
        <v>1118995711</v>
      </c>
      <c r="E586" s="393">
        <v>43732</v>
      </c>
      <c r="I586" s="373"/>
      <c r="J586" s="379" t="s">
        <v>1464</v>
      </c>
      <c r="K586" s="373" t="s">
        <v>1463</v>
      </c>
      <c r="L586" s="374"/>
      <c r="M586" s="373"/>
      <c r="T586" s="163"/>
    </row>
    <row r="587" spans="1:20" x14ac:dyDescent="0.25">
      <c r="A587" s="373">
        <v>582</v>
      </c>
      <c r="B587" s="373" t="s">
        <v>1462</v>
      </c>
      <c r="C587" s="373" t="s">
        <v>522</v>
      </c>
      <c r="D587" s="374">
        <v>169260769</v>
      </c>
      <c r="E587" s="393">
        <v>43733</v>
      </c>
      <c r="I587" s="373"/>
      <c r="J587" s="379" t="s">
        <v>1461</v>
      </c>
      <c r="K587" s="373" t="s">
        <v>1460</v>
      </c>
      <c r="L587" s="374">
        <v>7934881</v>
      </c>
      <c r="M587" s="375">
        <v>43747</v>
      </c>
      <c r="T587" s="163"/>
    </row>
    <row r="588" spans="1:20" x14ac:dyDescent="0.25">
      <c r="A588" s="373">
        <v>583</v>
      </c>
      <c r="B588" s="373" t="s">
        <v>1459</v>
      </c>
      <c r="C588" s="373" t="s">
        <v>429</v>
      </c>
      <c r="D588" s="374">
        <v>30725913</v>
      </c>
      <c r="E588" s="393">
        <v>43733</v>
      </c>
      <c r="I588" s="373"/>
      <c r="J588" s="379" t="s">
        <v>1458</v>
      </c>
      <c r="K588" s="373" t="s">
        <v>1457</v>
      </c>
      <c r="L588" s="374">
        <v>9436585</v>
      </c>
      <c r="M588" s="375">
        <v>43747</v>
      </c>
      <c r="T588" s="163"/>
    </row>
    <row r="589" spans="1:20" x14ac:dyDescent="0.25">
      <c r="A589" s="373">
        <v>584</v>
      </c>
      <c r="B589" s="373" t="s">
        <v>1456</v>
      </c>
      <c r="C589" s="373" t="s">
        <v>302</v>
      </c>
      <c r="D589" s="374">
        <v>199325000</v>
      </c>
      <c r="E589" s="393">
        <v>43733</v>
      </c>
      <c r="I589" s="373"/>
      <c r="J589" s="379" t="s">
        <v>1455</v>
      </c>
      <c r="K589" s="373" t="s">
        <v>813</v>
      </c>
      <c r="L589" s="374">
        <v>69248905</v>
      </c>
      <c r="M589" s="375">
        <v>43747</v>
      </c>
      <c r="T589" s="163"/>
    </row>
    <row r="590" spans="1:20" x14ac:dyDescent="0.25">
      <c r="A590" s="373">
        <v>585</v>
      </c>
      <c r="B590" s="373" t="s">
        <v>1454</v>
      </c>
      <c r="C590" s="373" t="s">
        <v>551</v>
      </c>
      <c r="D590" s="374">
        <v>78173900</v>
      </c>
      <c r="E590" s="393">
        <v>43733</v>
      </c>
      <c r="I590" s="373"/>
      <c r="J590" s="379" t="s">
        <v>1453</v>
      </c>
      <c r="K590" s="373" t="s">
        <v>1452</v>
      </c>
      <c r="L590" s="374">
        <v>10448136</v>
      </c>
      <c r="M590" s="375">
        <v>43747</v>
      </c>
      <c r="T590" s="163"/>
    </row>
    <row r="591" spans="1:20" x14ac:dyDescent="0.25">
      <c r="A591" s="373">
        <v>586</v>
      </c>
      <c r="B591" s="373" t="s">
        <v>1451</v>
      </c>
      <c r="C591" s="373" t="s">
        <v>1198</v>
      </c>
      <c r="D591" s="374">
        <v>551861417</v>
      </c>
      <c r="E591" s="393">
        <v>43733</v>
      </c>
      <c r="I591" s="373"/>
      <c r="J591" s="379" t="s">
        <v>1450</v>
      </c>
      <c r="K591" s="373" t="s">
        <v>1449</v>
      </c>
      <c r="L591" s="374">
        <v>11070248</v>
      </c>
      <c r="M591" s="375">
        <v>43747</v>
      </c>
      <c r="T591" s="163"/>
    </row>
    <row r="592" spans="1:20" x14ac:dyDescent="0.25">
      <c r="A592" s="373">
        <v>587</v>
      </c>
      <c r="B592" s="373" t="s">
        <v>1448</v>
      </c>
      <c r="C592" s="373"/>
      <c r="D592" s="374"/>
      <c r="E592" s="393"/>
      <c r="I592" s="373"/>
      <c r="J592" s="379" t="s">
        <v>1447</v>
      </c>
      <c r="K592" s="373" t="s">
        <v>1446</v>
      </c>
      <c r="L592" s="374">
        <v>9343230</v>
      </c>
      <c r="M592" s="375">
        <v>43747</v>
      </c>
      <c r="T592" s="163"/>
    </row>
    <row r="593" spans="1:20" x14ac:dyDescent="0.25">
      <c r="A593" s="373">
        <v>588</v>
      </c>
      <c r="B593" s="373" t="s">
        <v>1445</v>
      </c>
      <c r="C593" s="373" t="s">
        <v>433</v>
      </c>
      <c r="D593" s="374">
        <v>23793461</v>
      </c>
      <c r="E593" s="393">
        <v>43733</v>
      </c>
      <c r="I593" s="373"/>
      <c r="J593" s="379" t="s">
        <v>1444</v>
      </c>
      <c r="K593" s="373" t="s">
        <v>1443</v>
      </c>
      <c r="L593" s="374">
        <v>3769000</v>
      </c>
      <c r="M593" s="375">
        <v>43747</v>
      </c>
      <c r="T593" s="163"/>
    </row>
    <row r="594" spans="1:20" x14ac:dyDescent="0.25">
      <c r="A594" s="373">
        <v>589</v>
      </c>
      <c r="B594" s="373" t="s">
        <v>1442</v>
      </c>
      <c r="C594" s="373" t="s">
        <v>341</v>
      </c>
      <c r="D594" s="374">
        <v>668654339</v>
      </c>
      <c r="E594" s="393">
        <v>43733</v>
      </c>
      <c r="I594" s="373"/>
      <c r="J594" s="379" t="s">
        <v>1441</v>
      </c>
      <c r="K594" s="380" t="s">
        <v>1440</v>
      </c>
      <c r="L594" s="374">
        <v>11070248</v>
      </c>
      <c r="M594" s="375">
        <v>43747</v>
      </c>
      <c r="T594" s="163"/>
    </row>
    <row r="595" spans="1:20" x14ac:dyDescent="0.25">
      <c r="A595" s="373">
        <v>590</v>
      </c>
      <c r="B595" s="373" t="s">
        <v>1439</v>
      </c>
      <c r="C595" s="373" t="s">
        <v>1438</v>
      </c>
      <c r="D595" s="374">
        <v>1226289347</v>
      </c>
      <c r="E595" s="393">
        <v>43733</v>
      </c>
      <c r="I595" s="373"/>
      <c r="J595" s="379" t="s">
        <v>1437</v>
      </c>
      <c r="K595" s="380" t="s">
        <v>1436</v>
      </c>
      <c r="L595" s="374">
        <v>9343230</v>
      </c>
      <c r="M595" s="375">
        <v>43747</v>
      </c>
      <c r="T595" s="163"/>
    </row>
    <row r="596" spans="1:20" x14ac:dyDescent="0.25">
      <c r="A596" s="373">
        <v>591</v>
      </c>
      <c r="B596" s="373" t="s">
        <v>1435</v>
      </c>
      <c r="C596" s="373" t="s">
        <v>341</v>
      </c>
      <c r="D596" s="374">
        <v>655051143</v>
      </c>
      <c r="E596" s="393">
        <v>43734</v>
      </c>
      <c r="I596" s="373"/>
      <c r="J596" s="379" t="s">
        <v>1434</v>
      </c>
      <c r="K596" s="380" t="s">
        <v>1433</v>
      </c>
      <c r="L596" s="374">
        <v>3769000</v>
      </c>
      <c r="M596" s="375">
        <v>43747</v>
      </c>
      <c r="T596" s="163"/>
    </row>
    <row r="597" spans="1:20" x14ac:dyDescent="0.25">
      <c r="A597" s="373">
        <v>592</v>
      </c>
      <c r="B597" s="373" t="s">
        <v>1432</v>
      </c>
      <c r="C597" s="373" t="s">
        <v>1431</v>
      </c>
      <c r="D597" s="374">
        <v>1017042936</v>
      </c>
      <c r="E597" s="393">
        <v>43734</v>
      </c>
      <c r="I597" s="373"/>
      <c r="J597" s="379" t="s">
        <v>1430</v>
      </c>
      <c r="K597" s="373" t="s">
        <v>866</v>
      </c>
      <c r="L597" s="374">
        <v>4260200</v>
      </c>
      <c r="M597" s="375">
        <v>43748</v>
      </c>
      <c r="T597" s="163"/>
    </row>
    <row r="598" spans="1:20" x14ac:dyDescent="0.25">
      <c r="A598" s="373">
        <v>593</v>
      </c>
      <c r="B598" s="373" t="s">
        <v>1429</v>
      </c>
      <c r="C598" s="373" t="s">
        <v>429</v>
      </c>
      <c r="D598" s="374">
        <v>30715913</v>
      </c>
      <c r="E598" s="393">
        <v>43735</v>
      </c>
      <c r="I598" s="373"/>
      <c r="J598" s="379" t="s">
        <v>1428</v>
      </c>
      <c r="K598" s="373" t="s">
        <v>1062</v>
      </c>
      <c r="L598" s="374">
        <v>4260200</v>
      </c>
      <c r="M598" s="375">
        <v>43748</v>
      </c>
      <c r="T598" s="163"/>
    </row>
    <row r="599" spans="1:20" x14ac:dyDescent="0.25">
      <c r="A599" s="373">
        <v>594</v>
      </c>
      <c r="B599" s="373" t="s">
        <v>1427</v>
      </c>
      <c r="C599" s="373" t="s">
        <v>522</v>
      </c>
      <c r="D599" s="374">
        <v>2269759</v>
      </c>
      <c r="E599" s="393">
        <v>43735</v>
      </c>
      <c r="I599" s="373"/>
      <c r="J599" s="379" t="s">
        <v>1426</v>
      </c>
      <c r="K599" s="373" t="s">
        <v>388</v>
      </c>
      <c r="L599" s="374"/>
      <c r="M599" s="375">
        <v>43752</v>
      </c>
      <c r="T599" s="163"/>
    </row>
    <row r="600" spans="1:20" x14ac:dyDescent="0.25">
      <c r="A600" s="373">
        <v>595</v>
      </c>
      <c r="B600" s="373" t="s">
        <v>1425</v>
      </c>
      <c r="C600" s="373" t="s">
        <v>1424</v>
      </c>
      <c r="D600" s="374">
        <v>100691566</v>
      </c>
      <c r="E600" s="393">
        <v>43735</v>
      </c>
      <c r="I600" s="373"/>
      <c r="J600" s="379" t="s">
        <v>1423</v>
      </c>
      <c r="K600" s="380" t="s">
        <v>1422</v>
      </c>
      <c r="L600" s="374">
        <v>14827307</v>
      </c>
      <c r="M600" s="375">
        <v>43752</v>
      </c>
      <c r="T600" s="163"/>
    </row>
    <row r="601" spans="1:20" x14ac:dyDescent="0.25">
      <c r="A601" s="373">
        <v>596</v>
      </c>
      <c r="B601" s="373" t="s">
        <v>1421</v>
      </c>
      <c r="C601" s="373" t="s">
        <v>1294</v>
      </c>
      <c r="D601" s="374">
        <v>203853344</v>
      </c>
      <c r="E601" s="393">
        <v>43735</v>
      </c>
      <c r="I601" s="373"/>
      <c r="J601" s="379" t="s">
        <v>1420</v>
      </c>
      <c r="K601" s="373" t="s">
        <v>1419</v>
      </c>
      <c r="L601" s="374">
        <v>46525260</v>
      </c>
      <c r="M601" s="375">
        <v>43752</v>
      </c>
      <c r="T601" s="163"/>
    </row>
    <row r="602" spans="1:20" x14ac:dyDescent="0.25">
      <c r="A602" s="373">
        <v>597</v>
      </c>
      <c r="B602" s="373" t="s">
        <v>1418</v>
      </c>
      <c r="C602" s="373" t="s">
        <v>543</v>
      </c>
      <c r="D602" s="374">
        <v>758759112</v>
      </c>
      <c r="E602" s="393">
        <v>43735</v>
      </c>
      <c r="I602" s="373"/>
      <c r="J602" s="379" t="s">
        <v>1417</v>
      </c>
      <c r="K602" s="373" t="s">
        <v>964</v>
      </c>
      <c r="L602" s="374">
        <v>19912650</v>
      </c>
      <c r="M602" s="375">
        <v>43752</v>
      </c>
      <c r="T602" s="163"/>
    </row>
    <row r="603" spans="1:20" x14ac:dyDescent="0.25">
      <c r="A603" s="373">
        <v>598</v>
      </c>
      <c r="B603" s="373" t="s">
        <v>1416</v>
      </c>
      <c r="C603" s="373" t="s">
        <v>1215</v>
      </c>
      <c r="D603" s="374">
        <v>264824529</v>
      </c>
      <c r="E603" s="393">
        <v>43735</v>
      </c>
      <c r="I603" s="373"/>
      <c r="J603" s="379" t="s">
        <v>1415</v>
      </c>
      <c r="K603" s="380" t="s">
        <v>1414</v>
      </c>
      <c r="L603" s="381">
        <v>12436021</v>
      </c>
      <c r="M603" s="375">
        <v>43752</v>
      </c>
      <c r="T603" s="163"/>
    </row>
    <row r="604" spans="1:20" x14ac:dyDescent="0.25">
      <c r="A604" s="373">
        <v>599</v>
      </c>
      <c r="B604" s="373" t="s">
        <v>1413</v>
      </c>
      <c r="C604" s="373" t="s">
        <v>551</v>
      </c>
      <c r="D604" s="374">
        <v>78173900</v>
      </c>
      <c r="E604" s="393">
        <v>43735</v>
      </c>
      <c r="I604" s="373"/>
      <c r="J604" s="379" t="s">
        <v>1412</v>
      </c>
      <c r="K604" s="373" t="s">
        <v>1350</v>
      </c>
      <c r="L604" s="374">
        <v>28412494</v>
      </c>
      <c r="M604" s="375">
        <v>43752</v>
      </c>
      <c r="T604" s="163"/>
    </row>
    <row r="605" spans="1:20" x14ac:dyDescent="0.25">
      <c r="A605" s="373">
        <v>600</v>
      </c>
      <c r="B605" s="373" t="s">
        <v>1411</v>
      </c>
      <c r="C605" s="373" t="s">
        <v>709</v>
      </c>
      <c r="D605" s="374">
        <v>46088635</v>
      </c>
      <c r="E605" s="393">
        <v>43735</v>
      </c>
      <c r="I605" s="373"/>
      <c r="J605" s="379" t="s">
        <v>1410</v>
      </c>
      <c r="K605" s="373" t="s">
        <v>1343</v>
      </c>
      <c r="L605" s="374">
        <v>24445598</v>
      </c>
      <c r="M605" s="375">
        <v>43752</v>
      </c>
      <c r="T605" s="163"/>
    </row>
    <row r="606" spans="1:20" x14ac:dyDescent="0.25">
      <c r="A606" s="373">
        <v>601</v>
      </c>
      <c r="B606" s="373" t="s">
        <v>1409</v>
      </c>
      <c r="C606" s="373" t="s">
        <v>257</v>
      </c>
      <c r="D606" s="374">
        <v>75279650</v>
      </c>
      <c r="E606" s="393">
        <v>43735</v>
      </c>
      <c r="I606" s="373"/>
      <c r="J606" s="379" t="s">
        <v>1408</v>
      </c>
      <c r="K606" s="373" t="s">
        <v>1305</v>
      </c>
      <c r="L606" s="374">
        <v>36546442</v>
      </c>
      <c r="M606" s="375">
        <v>43752</v>
      </c>
      <c r="T606" s="163"/>
    </row>
    <row r="607" spans="1:20" x14ac:dyDescent="0.25">
      <c r="A607" s="373">
        <v>602</v>
      </c>
      <c r="B607" s="373" t="s">
        <v>1407</v>
      </c>
      <c r="C607" s="373" t="s">
        <v>1198</v>
      </c>
      <c r="D607" s="374">
        <v>712990643</v>
      </c>
      <c r="E607" s="393">
        <v>43735</v>
      </c>
      <c r="I607" s="373"/>
      <c r="J607" s="379" t="s">
        <v>1406</v>
      </c>
      <c r="K607" s="373" t="s">
        <v>1405</v>
      </c>
      <c r="L607" s="374">
        <v>1685000</v>
      </c>
      <c r="M607" s="375">
        <v>43752</v>
      </c>
      <c r="T607" s="163"/>
    </row>
    <row r="608" spans="1:20" x14ac:dyDescent="0.25">
      <c r="A608" s="373">
        <v>603</v>
      </c>
      <c r="B608" s="373" t="s">
        <v>1404</v>
      </c>
      <c r="C608" s="373" t="s">
        <v>539</v>
      </c>
      <c r="D608" s="374">
        <v>3896300942</v>
      </c>
      <c r="E608" s="393">
        <v>43735</v>
      </c>
      <c r="I608" s="373"/>
      <c r="J608" s="379" t="s">
        <v>1403</v>
      </c>
      <c r="K608" s="373" t="s">
        <v>1402</v>
      </c>
      <c r="L608" s="374">
        <v>31417234</v>
      </c>
      <c r="M608" s="375">
        <v>43753</v>
      </c>
      <c r="T608" s="163"/>
    </row>
    <row r="609" spans="1:20" x14ac:dyDescent="0.25">
      <c r="A609" s="373">
        <v>604</v>
      </c>
      <c r="B609" s="373" t="s">
        <v>1401</v>
      </c>
      <c r="C609" s="373" t="s">
        <v>1400</v>
      </c>
      <c r="D609" s="374">
        <v>13230000</v>
      </c>
      <c r="E609" s="393">
        <v>43735</v>
      </c>
      <c r="I609" s="373"/>
      <c r="J609" s="379" t="s">
        <v>1399</v>
      </c>
      <c r="K609" s="373" t="s">
        <v>1229</v>
      </c>
      <c r="L609" s="374">
        <v>7519000</v>
      </c>
      <c r="M609" s="375">
        <v>43753</v>
      </c>
      <c r="T609" s="163"/>
    </row>
    <row r="610" spans="1:20" x14ac:dyDescent="0.25">
      <c r="A610" s="373">
        <v>605</v>
      </c>
      <c r="B610" s="373" t="s">
        <v>1398</v>
      </c>
      <c r="C610" s="373" t="s">
        <v>1397</v>
      </c>
      <c r="D610" s="374">
        <v>221563360</v>
      </c>
      <c r="E610" s="393">
        <v>43735</v>
      </c>
      <c r="I610" s="373"/>
      <c r="J610" s="379" t="s">
        <v>1396</v>
      </c>
      <c r="K610" s="373" t="s">
        <v>1232</v>
      </c>
      <c r="L610" s="374">
        <v>30029968</v>
      </c>
      <c r="M610" s="375">
        <v>43753</v>
      </c>
      <c r="T610" s="163"/>
    </row>
    <row r="611" spans="1:20" x14ac:dyDescent="0.25">
      <c r="A611" s="373">
        <v>606</v>
      </c>
      <c r="B611" s="373" t="s">
        <v>1395</v>
      </c>
      <c r="C611" s="373" t="s">
        <v>1394</v>
      </c>
      <c r="D611" s="374">
        <v>133359580</v>
      </c>
      <c r="E611" s="393">
        <v>43735</v>
      </c>
      <c r="I611" s="373"/>
      <c r="J611" s="379" t="s">
        <v>1393</v>
      </c>
      <c r="K611" s="373" t="s">
        <v>1238</v>
      </c>
      <c r="L611" s="374">
        <v>21282334</v>
      </c>
      <c r="M611" s="375">
        <v>43753</v>
      </c>
      <c r="T611" s="163"/>
    </row>
    <row r="612" spans="1:20" x14ac:dyDescent="0.25">
      <c r="A612" s="373">
        <v>607</v>
      </c>
      <c r="B612" s="373" t="s">
        <v>1392</v>
      </c>
      <c r="C612" s="373" t="s">
        <v>257</v>
      </c>
      <c r="D612" s="374">
        <v>170820150</v>
      </c>
      <c r="E612" s="393">
        <v>43738</v>
      </c>
      <c r="I612" s="373"/>
      <c r="J612" s="379" t="s">
        <v>1391</v>
      </c>
      <c r="K612" s="373" t="s">
        <v>1390</v>
      </c>
      <c r="L612" s="374">
        <v>24648498</v>
      </c>
      <c r="M612" s="375">
        <v>43753</v>
      </c>
      <c r="T612" s="163"/>
    </row>
    <row r="613" spans="1:20" x14ac:dyDescent="0.25">
      <c r="A613" s="373">
        <v>608</v>
      </c>
      <c r="B613" s="373" t="s">
        <v>1389</v>
      </c>
      <c r="C613" s="373" t="s">
        <v>551</v>
      </c>
      <c r="D613" s="374">
        <v>78173900</v>
      </c>
      <c r="E613" s="393">
        <v>43738</v>
      </c>
      <c r="I613" s="373"/>
      <c r="J613" s="379" t="s">
        <v>1388</v>
      </c>
      <c r="K613" s="373" t="s">
        <v>1241</v>
      </c>
      <c r="L613" s="374">
        <v>46463139</v>
      </c>
      <c r="M613" s="375">
        <v>43753</v>
      </c>
      <c r="T613" s="163"/>
    </row>
    <row r="614" spans="1:20" x14ac:dyDescent="0.25">
      <c r="A614" s="373">
        <v>609</v>
      </c>
      <c r="B614" s="373" t="s">
        <v>1387</v>
      </c>
      <c r="C614" s="373" t="s">
        <v>623</v>
      </c>
      <c r="D614" s="374">
        <v>323497435</v>
      </c>
      <c r="E614" s="393">
        <v>43738</v>
      </c>
      <c r="I614" s="373"/>
      <c r="J614" s="379" t="s">
        <v>1386</v>
      </c>
      <c r="K614" s="373" t="s">
        <v>1244</v>
      </c>
      <c r="L614" s="374">
        <v>31549710</v>
      </c>
      <c r="M614" s="375">
        <v>43753</v>
      </c>
      <c r="T614" s="163"/>
    </row>
    <row r="615" spans="1:20" x14ac:dyDescent="0.25">
      <c r="A615" s="373">
        <v>610</v>
      </c>
      <c r="B615" s="373" t="s">
        <v>1385</v>
      </c>
      <c r="C615" s="373" t="s">
        <v>1384</v>
      </c>
      <c r="D615" s="374">
        <v>367406702</v>
      </c>
      <c r="E615" s="393">
        <v>43738</v>
      </c>
      <c r="I615" s="373"/>
      <c r="J615" s="379" t="s">
        <v>1383</v>
      </c>
      <c r="K615" s="373" t="s">
        <v>1382</v>
      </c>
      <c r="L615" s="374">
        <v>9094730</v>
      </c>
      <c r="M615" s="375">
        <v>43753</v>
      </c>
      <c r="T615" s="163"/>
    </row>
    <row r="616" spans="1:20" x14ac:dyDescent="0.25">
      <c r="A616" s="373">
        <v>611</v>
      </c>
      <c r="B616" s="373" t="s">
        <v>1381</v>
      </c>
      <c r="C616" s="373" t="s">
        <v>543</v>
      </c>
      <c r="D616" s="374">
        <v>19437721</v>
      </c>
      <c r="E616" s="393">
        <v>43738</v>
      </c>
      <c r="I616" s="373"/>
      <c r="J616" s="379" t="s">
        <v>1380</v>
      </c>
      <c r="K616" s="373" t="s">
        <v>1379</v>
      </c>
      <c r="L616" s="374">
        <v>6826083</v>
      </c>
      <c r="M616" s="375">
        <v>43753</v>
      </c>
      <c r="T616" s="163"/>
    </row>
    <row r="617" spans="1:20" x14ac:dyDescent="0.25">
      <c r="A617" s="373">
        <v>612</v>
      </c>
      <c r="B617" s="373" t="s">
        <v>1378</v>
      </c>
      <c r="C617" s="373" t="s">
        <v>276</v>
      </c>
      <c r="D617" s="374">
        <v>378727852</v>
      </c>
      <c r="E617" s="393">
        <v>43738</v>
      </c>
      <c r="I617" s="373"/>
      <c r="J617" s="379" t="s">
        <v>1377</v>
      </c>
      <c r="K617" s="373" t="s">
        <v>1376</v>
      </c>
      <c r="L617" s="374">
        <v>4004500</v>
      </c>
      <c r="M617" s="375">
        <v>43753</v>
      </c>
      <c r="T617" s="163"/>
    </row>
    <row r="618" spans="1:20" x14ac:dyDescent="0.25">
      <c r="A618" s="373">
        <v>613</v>
      </c>
      <c r="B618" s="373" t="s">
        <v>1375</v>
      </c>
      <c r="C618" s="373" t="s">
        <v>1374</v>
      </c>
      <c r="D618" s="374">
        <v>2049197327</v>
      </c>
      <c r="E618" s="393">
        <v>43738</v>
      </c>
      <c r="I618" s="373"/>
      <c r="J618" s="379" t="s">
        <v>1373</v>
      </c>
      <c r="K618" s="373" t="s">
        <v>1372</v>
      </c>
      <c r="L618" s="374">
        <v>2661000</v>
      </c>
      <c r="M618" s="375">
        <v>43753</v>
      </c>
      <c r="T618" s="163"/>
    </row>
    <row r="619" spans="1:20" x14ac:dyDescent="0.25">
      <c r="A619" s="373">
        <v>614</v>
      </c>
      <c r="B619" s="373" t="s">
        <v>1371</v>
      </c>
      <c r="C619" s="373" t="s">
        <v>1370</v>
      </c>
      <c r="D619" s="374">
        <v>255575388</v>
      </c>
      <c r="E619" s="393">
        <v>43739</v>
      </c>
      <c r="I619" s="373"/>
      <c r="J619" s="379" t="s">
        <v>1369</v>
      </c>
      <c r="K619" s="373" t="s">
        <v>1368</v>
      </c>
      <c r="L619" s="374">
        <v>1529152</v>
      </c>
      <c r="M619" s="375">
        <v>43753</v>
      </c>
      <c r="T619" s="163"/>
    </row>
    <row r="620" spans="1:20" x14ac:dyDescent="0.25">
      <c r="A620" s="373">
        <v>615</v>
      </c>
      <c r="B620" s="373" t="s">
        <v>1367</v>
      </c>
      <c r="C620" s="373" t="s">
        <v>1294</v>
      </c>
      <c r="D620" s="374">
        <v>338259110</v>
      </c>
      <c r="E620" s="393">
        <v>43739</v>
      </c>
      <c r="I620" s="373"/>
      <c r="J620" s="379" t="s">
        <v>1366</v>
      </c>
      <c r="K620" s="373" t="s">
        <v>1365</v>
      </c>
      <c r="L620" s="374">
        <v>15005000</v>
      </c>
      <c r="M620" s="375">
        <v>43754</v>
      </c>
      <c r="T620" s="163"/>
    </row>
    <row r="621" spans="1:20" x14ac:dyDescent="0.25">
      <c r="A621" s="373">
        <v>616</v>
      </c>
      <c r="B621" s="373" t="s">
        <v>1364</v>
      </c>
      <c r="C621" s="373" t="s">
        <v>1313</v>
      </c>
      <c r="D621" s="374">
        <v>820141060</v>
      </c>
      <c r="E621" s="393">
        <v>43739</v>
      </c>
      <c r="I621" s="373"/>
      <c r="J621" s="379" t="s">
        <v>1363</v>
      </c>
      <c r="K621" s="373" t="s">
        <v>1292</v>
      </c>
      <c r="L621" s="374">
        <v>13897806</v>
      </c>
      <c r="M621" s="375">
        <v>43754</v>
      </c>
      <c r="T621" s="163"/>
    </row>
    <row r="622" spans="1:20" x14ac:dyDescent="0.25">
      <c r="A622" s="373">
        <v>617</v>
      </c>
      <c r="B622" s="373" t="s">
        <v>1362</v>
      </c>
      <c r="C622" s="373" t="s">
        <v>1198</v>
      </c>
      <c r="D622" s="374">
        <v>1073134419</v>
      </c>
      <c r="E622" s="393">
        <v>43739</v>
      </c>
      <c r="I622" s="373"/>
      <c r="J622" s="379" t="s">
        <v>1361</v>
      </c>
      <c r="K622" s="373" t="s">
        <v>1360</v>
      </c>
      <c r="L622" s="374">
        <v>40562418</v>
      </c>
      <c r="M622" s="375">
        <v>43754</v>
      </c>
      <c r="T622" s="163"/>
    </row>
    <row r="623" spans="1:20" x14ac:dyDescent="0.25">
      <c r="A623" s="373">
        <v>618</v>
      </c>
      <c r="B623" s="373" t="s">
        <v>1359</v>
      </c>
      <c r="C623" s="373" t="s">
        <v>551</v>
      </c>
      <c r="D623" s="374">
        <v>78173900</v>
      </c>
      <c r="E623" s="393">
        <v>43739</v>
      </c>
      <c r="I623" s="373"/>
      <c r="J623" s="379" t="s">
        <v>1358</v>
      </c>
      <c r="K623" s="373" t="s">
        <v>1292</v>
      </c>
      <c r="L623" s="374">
        <v>40544403</v>
      </c>
      <c r="M623" s="375">
        <v>43759</v>
      </c>
      <c r="T623" s="163"/>
    </row>
    <row r="624" spans="1:20" x14ac:dyDescent="0.25">
      <c r="A624" s="373">
        <v>619</v>
      </c>
      <c r="B624" s="373" t="s">
        <v>1357</v>
      </c>
      <c r="C624" s="373" t="s">
        <v>578</v>
      </c>
      <c r="D624" s="374">
        <v>1000035000</v>
      </c>
      <c r="E624" s="393">
        <v>43739</v>
      </c>
      <c r="I624" s="373"/>
      <c r="J624" s="379" t="s">
        <v>1356</v>
      </c>
      <c r="K624" s="373" t="s">
        <v>1355</v>
      </c>
      <c r="L624" s="374">
        <v>15284501</v>
      </c>
      <c r="M624" s="375">
        <v>43759</v>
      </c>
      <c r="T624" s="163"/>
    </row>
    <row r="625" spans="1:20" x14ac:dyDescent="0.25">
      <c r="A625" s="373">
        <v>620</v>
      </c>
      <c r="B625" s="373" t="s">
        <v>1354</v>
      </c>
      <c r="C625" s="373" t="s">
        <v>302</v>
      </c>
      <c r="D625" s="374">
        <v>177530000</v>
      </c>
      <c r="E625" s="393">
        <v>43740</v>
      </c>
      <c r="I625" s="373"/>
      <c r="J625" s="379" t="s">
        <v>1353</v>
      </c>
      <c r="K625" s="373" t="s">
        <v>1305</v>
      </c>
      <c r="L625" s="374">
        <v>19130586</v>
      </c>
      <c r="M625" s="375">
        <v>43759</v>
      </c>
      <c r="T625" s="163"/>
    </row>
    <row r="626" spans="1:20" x14ac:dyDescent="0.25">
      <c r="A626" s="373">
        <v>621</v>
      </c>
      <c r="B626" s="373" t="s">
        <v>1352</v>
      </c>
      <c r="C626" s="373" t="s">
        <v>702</v>
      </c>
      <c r="D626" s="374">
        <v>1665502854</v>
      </c>
      <c r="E626" s="393">
        <v>43740</v>
      </c>
      <c r="I626" s="373"/>
      <c r="J626" s="379" t="s">
        <v>1351</v>
      </c>
      <c r="K626" s="373" t="s">
        <v>1350</v>
      </c>
      <c r="L626" s="374">
        <v>27094489</v>
      </c>
      <c r="M626" s="375">
        <v>43759</v>
      </c>
      <c r="T626" s="163"/>
    </row>
    <row r="627" spans="1:20" x14ac:dyDescent="0.25">
      <c r="A627" s="373">
        <v>622</v>
      </c>
      <c r="B627" s="373" t="s">
        <v>1349</v>
      </c>
      <c r="C627" s="373" t="s">
        <v>1348</v>
      </c>
      <c r="D627" s="374">
        <v>10205000</v>
      </c>
      <c r="E627" s="393">
        <v>43740</v>
      </c>
      <c r="I627" s="373"/>
      <c r="J627" s="379" t="s">
        <v>1347</v>
      </c>
      <c r="K627" s="373" t="s">
        <v>1268</v>
      </c>
      <c r="L627" s="374">
        <v>11915599</v>
      </c>
      <c r="M627" s="375">
        <v>43759</v>
      </c>
      <c r="T627" s="163"/>
    </row>
    <row r="628" spans="1:20" x14ac:dyDescent="0.25">
      <c r="A628" s="373">
        <v>623</v>
      </c>
      <c r="B628" s="373" t="s">
        <v>1346</v>
      </c>
      <c r="C628" s="373" t="s">
        <v>1345</v>
      </c>
      <c r="D628" s="374">
        <v>35003500</v>
      </c>
      <c r="E628" s="393">
        <v>43740</v>
      </c>
      <c r="I628" s="373"/>
      <c r="J628" s="379" t="s">
        <v>1344</v>
      </c>
      <c r="K628" s="373" t="s">
        <v>1343</v>
      </c>
      <c r="L628" s="374">
        <v>20404640</v>
      </c>
      <c r="M628" s="375">
        <v>43759</v>
      </c>
      <c r="T628" s="163"/>
    </row>
    <row r="629" spans="1:20" x14ac:dyDescent="0.25">
      <c r="A629" s="373">
        <v>624</v>
      </c>
      <c r="B629" s="373" t="s">
        <v>1342</v>
      </c>
      <c r="C629" s="373" t="s">
        <v>578</v>
      </c>
      <c r="D629" s="374">
        <v>1325977425</v>
      </c>
      <c r="E629" s="393">
        <v>43740</v>
      </c>
      <c r="I629" s="373"/>
      <c r="J629" s="379" t="s">
        <v>1341</v>
      </c>
      <c r="K629" s="373" t="s">
        <v>1340</v>
      </c>
      <c r="L629" s="374">
        <v>32608014</v>
      </c>
      <c r="M629" s="375">
        <v>43759</v>
      </c>
      <c r="T629" s="163"/>
    </row>
    <row r="630" spans="1:20" x14ac:dyDescent="0.25">
      <c r="A630" s="373">
        <v>625</v>
      </c>
      <c r="B630" s="373" t="s">
        <v>1339</v>
      </c>
      <c r="C630" s="373" t="s">
        <v>1219</v>
      </c>
      <c r="D630" s="374">
        <v>4451636</v>
      </c>
      <c r="E630" s="393">
        <v>43740</v>
      </c>
      <c r="I630" s="373"/>
      <c r="J630" s="379" t="s">
        <v>1338</v>
      </c>
      <c r="K630" s="373" t="s">
        <v>1337</v>
      </c>
      <c r="L630" s="374">
        <v>5825432</v>
      </c>
      <c r="M630" s="375">
        <v>43759</v>
      </c>
      <c r="T630" s="163"/>
    </row>
    <row r="631" spans="1:20" x14ac:dyDescent="0.25">
      <c r="A631" s="373">
        <v>626</v>
      </c>
      <c r="B631" s="373" t="s">
        <v>1336</v>
      </c>
      <c r="C631" s="373" t="s">
        <v>295</v>
      </c>
      <c r="D631" s="374">
        <v>1252117538</v>
      </c>
      <c r="E631" s="393">
        <v>43741</v>
      </c>
      <c r="I631" s="373"/>
      <c r="J631" s="379" t="s">
        <v>1335</v>
      </c>
      <c r="K631" s="373" t="s">
        <v>1334</v>
      </c>
      <c r="L631" s="374">
        <v>7005467</v>
      </c>
      <c r="M631" s="375">
        <v>43760</v>
      </c>
      <c r="T631" s="163"/>
    </row>
    <row r="632" spans="1:20" x14ac:dyDescent="0.25">
      <c r="A632" s="373">
        <v>627</v>
      </c>
      <c r="B632" s="373" t="s">
        <v>1333</v>
      </c>
      <c r="C632" s="373" t="s">
        <v>543</v>
      </c>
      <c r="D632" s="374">
        <v>174310538</v>
      </c>
      <c r="E632" s="393">
        <v>43741</v>
      </c>
      <c r="I632" s="373"/>
      <c r="J632" s="379" t="s">
        <v>1332</v>
      </c>
      <c r="K632" s="373" t="s">
        <v>1311</v>
      </c>
      <c r="L632" s="374">
        <v>44270425</v>
      </c>
      <c r="M632" s="375">
        <v>43760</v>
      </c>
      <c r="T632" s="163"/>
    </row>
    <row r="633" spans="1:20" x14ac:dyDescent="0.25">
      <c r="A633" s="373">
        <v>628</v>
      </c>
      <c r="B633" s="373" t="s">
        <v>1331</v>
      </c>
      <c r="C633" s="373" t="s">
        <v>522</v>
      </c>
      <c r="D633" s="374">
        <v>90526548</v>
      </c>
      <c r="E633" s="393">
        <v>43741</v>
      </c>
      <c r="I633" s="373"/>
      <c r="J633" s="379" t="s">
        <v>1330</v>
      </c>
      <c r="K633" s="373" t="s">
        <v>1308</v>
      </c>
      <c r="L633" s="374">
        <v>27459268</v>
      </c>
      <c r="M633" s="375">
        <v>43760</v>
      </c>
      <c r="T633" s="163"/>
    </row>
    <row r="634" spans="1:20" x14ac:dyDescent="0.25">
      <c r="A634" s="373">
        <v>629</v>
      </c>
      <c r="B634" s="373" t="s">
        <v>1329</v>
      </c>
      <c r="C634" s="373" t="s">
        <v>578</v>
      </c>
      <c r="D634" s="374">
        <v>402902241</v>
      </c>
      <c r="E634" s="393">
        <v>43741</v>
      </c>
      <c r="I634" s="373"/>
      <c r="J634" s="379" t="s">
        <v>1328</v>
      </c>
      <c r="K634" s="373" t="s">
        <v>1299</v>
      </c>
      <c r="L634" s="374">
        <v>60401611</v>
      </c>
      <c r="M634" s="375">
        <v>43760</v>
      </c>
      <c r="T634" s="163"/>
    </row>
    <row r="635" spans="1:20" x14ac:dyDescent="0.25">
      <c r="A635" s="373">
        <v>630</v>
      </c>
      <c r="B635" s="373" t="s">
        <v>1327</v>
      </c>
      <c r="C635" s="373" t="s">
        <v>431</v>
      </c>
      <c r="D635" s="374">
        <v>222359128</v>
      </c>
      <c r="E635" s="393">
        <v>43742</v>
      </c>
      <c r="I635" s="373"/>
      <c r="J635" s="379" t="s">
        <v>1326</v>
      </c>
      <c r="K635" s="373" t="s">
        <v>1302</v>
      </c>
      <c r="L635" s="374">
        <v>17434507</v>
      </c>
      <c r="M635" s="375">
        <v>43760</v>
      </c>
      <c r="T635" s="163"/>
    </row>
    <row r="636" spans="1:20" x14ac:dyDescent="0.25">
      <c r="A636" s="373">
        <v>631</v>
      </c>
      <c r="B636" s="373" t="s">
        <v>1325</v>
      </c>
      <c r="C636" s="373" t="s">
        <v>1198</v>
      </c>
      <c r="D636" s="374">
        <v>560493304</v>
      </c>
      <c r="E636" s="393">
        <v>43742</v>
      </c>
      <c r="I636" s="373"/>
      <c r="J636" s="379" t="s">
        <v>1324</v>
      </c>
      <c r="K636" s="373" t="s">
        <v>1323</v>
      </c>
      <c r="L636" s="374">
        <v>1005000</v>
      </c>
      <c r="M636" s="375">
        <v>43761</v>
      </c>
      <c r="T636" s="163"/>
    </row>
    <row r="637" spans="1:20" x14ac:dyDescent="0.25">
      <c r="A637" s="373">
        <v>632</v>
      </c>
      <c r="B637" s="373" t="s">
        <v>1322</v>
      </c>
      <c r="C637" s="373" t="s">
        <v>522</v>
      </c>
      <c r="D637" s="374">
        <v>342076253</v>
      </c>
      <c r="E637" s="393">
        <v>43742</v>
      </c>
      <c r="I637" s="373"/>
      <c r="J637" s="379" t="s">
        <v>1321</v>
      </c>
      <c r="K637" s="373" t="s">
        <v>1320</v>
      </c>
      <c r="L637" s="374">
        <v>15855202</v>
      </c>
      <c r="M637" s="375">
        <v>43762</v>
      </c>
      <c r="T637" s="163"/>
    </row>
    <row r="638" spans="1:20" x14ac:dyDescent="0.25">
      <c r="A638" s="373">
        <v>633</v>
      </c>
      <c r="B638" s="373" t="s">
        <v>1319</v>
      </c>
      <c r="C638" s="373" t="s">
        <v>543</v>
      </c>
      <c r="D638" s="374">
        <v>1081639</v>
      </c>
      <c r="E638" s="393">
        <v>43742</v>
      </c>
      <c r="I638" s="373"/>
      <c r="J638" s="379" t="s">
        <v>1318</v>
      </c>
      <c r="K638" s="373" t="s">
        <v>1317</v>
      </c>
      <c r="L638" s="374">
        <v>2061250</v>
      </c>
      <c r="M638" s="420">
        <v>43762</v>
      </c>
      <c r="T638" s="163"/>
    </row>
    <row r="639" spans="1:20" x14ac:dyDescent="0.25">
      <c r="A639" s="373">
        <v>634</v>
      </c>
      <c r="B639" s="373" t="s">
        <v>1316</v>
      </c>
      <c r="C639" s="373" t="s">
        <v>578</v>
      </c>
      <c r="D639" s="374">
        <v>1899363831</v>
      </c>
      <c r="E639" s="393">
        <v>43742</v>
      </c>
      <c r="I639" s="373"/>
      <c r="J639" s="379" t="s">
        <v>1315</v>
      </c>
      <c r="K639" s="373" t="s">
        <v>1296</v>
      </c>
      <c r="L639" s="374">
        <v>4695000</v>
      </c>
      <c r="M639" s="420">
        <v>43762</v>
      </c>
      <c r="T639" s="163"/>
    </row>
    <row r="640" spans="1:20" x14ac:dyDescent="0.25">
      <c r="A640" s="373">
        <v>635</v>
      </c>
      <c r="B640" s="373" t="s">
        <v>1314</v>
      </c>
      <c r="C640" s="373" t="s">
        <v>1313</v>
      </c>
      <c r="D640" s="374">
        <v>269624709</v>
      </c>
      <c r="E640" s="393">
        <v>43745</v>
      </c>
      <c r="I640" s="373"/>
      <c r="J640" s="379" t="s">
        <v>1312</v>
      </c>
      <c r="K640" s="373" t="s">
        <v>1311</v>
      </c>
      <c r="L640" s="374">
        <v>13853425</v>
      </c>
      <c r="M640" s="420">
        <v>43762</v>
      </c>
      <c r="T640" s="163"/>
    </row>
    <row r="641" spans="1:20" x14ac:dyDescent="0.25">
      <c r="A641" s="373">
        <v>636</v>
      </c>
      <c r="B641" s="373" t="s">
        <v>1310</v>
      </c>
      <c r="C641" s="373" t="s">
        <v>522</v>
      </c>
      <c r="D641" s="374">
        <v>251176993</v>
      </c>
      <c r="E641" s="393">
        <v>43745</v>
      </c>
      <c r="I641" s="373"/>
      <c r="J641" s="379" t="s">
        <v>1309</v>
      </c>
      <c r="K641" s="373" t="s">
        <v>1308</v>
      </c>
      <c r="L641" s="374">
        <v>9045000</v>
      </c>
      <c r="M641" s="420">
        <v>43762</v>
      </c>
      <c r="T641" s="163"/>
    </row>
    <row r="642" spans="1:20" x14ac:dyDescent="0.25">
      <c r="A642" s="373">
        <v>637</v>
      </c>
      <c r="B642" s="373" t="s">
        <v>1307</v>
      </c>
      <c r="C642" s="373" t="s">
        <v>302</v>
      </c>
      <c r="D642" s="374">
        <v>154517500</v>
      </c>
      <c r="E642" s="393">
        <v>43745</v>
      </c>
      <c r="I642" s="373"/>
      <c r="J642" s="379" t="s">
        <v>1306</v>
      </c>
      <c r="K642" s="379" t="s">
        <v>1305</v>
      </c>
      <c r="L642" s="374">
        <v>2798600</v>
      </c>
      <c r="M642" s="420">
        <v>43762</v>
      </c>
      <c r="T642" s="163"/>
    </row>
    <row r="643" spans="1:20" x14ac:dyDescent="0.25">
      <c r="A643" s="373">
        <v>638</v>
      </c>
      <c r="B643" s="373" t="s">
        <v>1304</v>
      </c>
      <c r="C643" s="373" t="s">
        <v>1198</v>
      </c>
      <c r="D643" s="374">
        <v>515925077</v>
      </c>
      <c r="E643" s="393">
        <v>43745</v>
      </c>
      <c r="I643" s="373"/>
      <c r="J643" s="379" t="s">
        <v>1303</v>
      </c>
      <c r="K643" s="373" t="s">
        <v>1302</v>
      </c>
      <c r="L643" s="374">
        <v>5101720</v>
      </c>
      <c r="M643" s="420">
        <v>43762</v>
      </c>
      <c r="T643" s="163"/>
    </row>
    <row r="644" spans="1:20" x14ac:dyDescent="0.25">
      <c r="A644" s="373">
        <v>639</v>
      </c>
      <c r="B644" s="373" t="s">
        <v>1301</v>
      </c>
      <c r="C644" s="373" t="s">
        <v>295</v>
      </c>
      <c r="D644" s="374">
        <v>317116186</v>
      </c>
      <c r="E644" s="393">
        <v>43745</v>
      </c>
      <c r="I644" s="373"/>
      <c r="J644" s="379" t="s">
        <v>1300</v>
      </c>
      <c r="K644" s="379" t="s">
        <v>1299</v>
      </c>
      <c r="L644" s="374">
        <v>24834000</v>
      </c>
      <c r="M644" s="420">
        <v>43762</v>
      </c>
      <c r="T644" s="163"/>
    </row>
    <row r="645" spans="1:20" x14ac:dyDescent="0.25">
      <c r="A645" s="373">
        <v>640</v>
      </c>
      <c r="B645" s="373" t="s">
        <v>1298</v>
      </c>
      <c r="C645" s="373" t="s">
        <v>341</v>
      </c>
      <c r="D645" s="374">
        <v>763224357</v>
      </c>
      <c r="E645" s="393">
        <v>43745</v>
      </c>
      <c r="I645" s="373"/>
      <c r="J645" s="379" t="s">
        <v>1297</v>
      </c>
      <c r="K645" s="379" t="s">
        <v>1296</v>
      </c>
      <c r="L645" s="374">
        <v>31392826</v>
      </c>
      <c r="M645" s="375">
        <v>43766</v>
      </c>
      <c r="T645" s="163"/>
    </row>
    <row r="646" spans="1:20" x14ac:dyDescent="0.25">
      <c r="A646" s="373">
        <v>641</v>
      </c>
      <c r="B646" s="373" t="s">
        <v>1295</v>
      </c>
      <c r="C646" s="373" t="s">
        <v>1294</v>
      </c>
      <c r="D646" s="374">
        <v>63044588</v>
      </c>
      <c r="E646" s="393">
        <v>43745</v>
      </c>
      <c r="I646" s="373"/>
      <c r="J646" s="379" t="s">
        <v>1293</v>
      </c>
      <c r="K646" s="379" t="s">
        <v>1292</v>
      </c>
      <c r="L646" s="374">
        <v>23223879</v>
      </c>
      <c r="M646" s="375">
        <v>43762</v>
      </c>
      <c r="T646" s="163"/>
    </row>
    <row r="647" spans="1:20" x14ac:dyDescent="0.25">
      <c r="A647" s="373">
        <v>642</v>
      </c>
      <c r="B647" s="373" t="s">
        <v>1291</v>
      </c>
      <c r="C647" s="373" t="s">
        <v>551</v>
      </c>
      <c r="D647" s="374">
        <v>78173900</v>
      </c>
      <c r="E647" s="393">
        <v>43745</v>
      </c>
      <c r="I647" s="373"/>
      <c r="J647" s="379" t="s">
        <v>1290</v>
      </c>
      <c r="K647" s="379" t="s">
        <v>388</v>
      </c>
      <c r="L647" s="374"/>
      <c r="M647" s="373"/>
      <c r="T647" s="163"/>
    </row>
    <row r="648" spans="1:20" x14ac:dyDescent="0.25">
      <c r="A648" s="373">
        <v>643</v>
      </c>
      <c r="B648" s="373" t="s">
        <v>1289</v>
      </c>
      <c r="C648" s="373" t="s">
        <v>758</v>
      </c>
      <c r="D648" s="374">
        <v>14721534</v>
      </c>
      <c r="E648" s="393">
        <v>43745</v>
      </c>
      <c r="I648" s="373"/>
      <c r="J648" s="379" t="s">
        <v>1288</v>
      </c>
      <c r="K648" s="421" t="s">
        <v>1287</v>
      </c>
      <c r="L648" s="374">
        <v>1200000</v>
      </c>
      <c r="M648" s="375">
        <v>43762</v>
      </c>
      <c r="T648" s="163"/>
    </row>
    <row r="649" spans="1:20" x14ac:dyDescent="0.25">
      <c r="A649" s="373">
        <v>644</v>
      </c>
      <c r="B649" s="373" t="s">
        <v>1286</v>
      </c>
      <c r="C649" s="373" t="s">
        <v>578</v>
      </c>
      <c r="D649" s="374">
        <v>995559317</v>
      </c>
      <c r="E649" s="393">
        <v>43745</v>
      </c>
      <c r="I649" s="373"/>
      <c r="J649" s="379" t="s">
        <v>1285</v>
      </c>
      <c r="K649" s="379" t="s">
        <v>1284</v>
      </c>
      <c r="L649" s="374">
        <v>2137528</v>
      </c>
      <c r="M649" s="375">
        <v>43762</v>
      </c>
      <c r="T649" s="163"/>
    </row>
    <row r="650" spans="1:20" x14ac:dyDescent="0.25">
      <c r="A650" s="373">
        <v>645</v>
      </c>
      <c r="B650" s="373" t="s">
        <v>1283</v>
      </c>
      <c r="C650" s="373" t="s">
        <v>709</v>
      </c>
      <c r="D650" s="374">
        <v>271367929</v>
      </c>
      <c r="E650" s="393">
        <v>43746</v>
      </c>
      <c r="I650" s="373"/>
      <c r="J650" s="379" t="s">
        <v>1282</v>
      </c>
      <c r="K650" s="379" t="s">
        <v>1281</v>
      </c>
      <c r="L650" s="374">
        <v>1950000</v>
      </c>
      <c r="M650" s="375">
        <v>43762</v>
      </c>
      <c r="T650" s="163"/>
    </row>
    <row r="651" spans="1:20" x14ac:dyDescent="0.25">
      <c r="A651" s="373">
        <v>646</v>
      </c>
      <c r="B651" s="373" t="s">
        <v>1280</v>
      </c>
      <c r="C651" s="373" t="s">
        <v>543</v>
      </c>
      <c r="D651" s="374">
        <v>285694813</v>
      </c>
      <c r="E651" s="393">
        <v>43746</v>
      </c>
      <c r="I651" s="373"/>
      <c r="J651" s="379" t="s">
        <v>1279</v>
      </c>
      <c r="K651" s="379" t="s">
        <v>1278</v>
      </c>
      <c r="L651" s="374">
        <v>38328500</v>
      </c>
      <c r="M651" s="375">
        <v>43762</v>
      </c>
      <c r="T651" s="163"/>
    </row>
    <row r="652" spans="1:20" x14ac:dyDescent="0.25">
      <c r="A652" s="373">
        <v>647</v>
      </c>
      <c r="B652" s="373" t="s">
        <v>1277</v>
      </c>
      <c r="C652" s="373" t="s">
        <v>551</v>
      </c>
      <c r="D652" s="374">
        <v>78173900</v>
      </c>
      <c r="E652" s="393">
        <v>43746</v>
      </c>
      <c r="I652" s="373"/>
      <c r="J652" s="379" t="s">
        <v>1276</v>
      </c>
      <c r="K652" s="379" t="s">
        <v>674</v>
      </c>
      <c r="L652" s="374">
        <v>11221319</v>
      </c>
      <c r="M652" s="375">
        <v>43762</v>
      </c>
      <c r="T652" s="163"/>
    </row>
    <row r="653" spans="1:20" x14ac:dyDescent="0.25">
      <c r="A653" s="373">
        <v>648</v>
      </c>
      <c r="B653" s="373" t="s">
        <v>1275</v>
      </c>
      <c r="C653" s="373" t="s">
        <v>302</v>
      </c>
      <c r="D653" s="374">
        <v>82850000</v>
      </c>
      <c r="E653" s="393">
        <v>43746</v>
      </c>
      <c r="I653" s="373"/>
      <c r="J653" s="379" t="s">
        <v>1274</v>
      </c>
      <c r="K653" s="373" t="s">
        <v>1013</v>
      </c>
      <c r="L653" s="374">
        <v>26000000</v>
      </c>
      <c r="M653" s="375">
        <v>43763</v>
      </c>
      <c r="T653" s="163"/>
    </row>
    <row r="654" spans="1:20" x14ac:dyDescent="0.25">
      <c r="A654" s="373">
        <v>649</v>
      </c>
      <c r="B654" s="373" t="s">
        <v>1273</v>
      </c>
      <c r="C654" s="373" t="s">
        <v>623</v>
      </c>
      <c r="D654" s="374">
        <v>250549296</v>
      </c>
      <c r="E654" s="393">
        <v>43746</v>
      </c>
      <c r="I654" s="373"/>
      <c r="J654" s="379" t="s">
        <v>1272</v>
      </c>
      <c r="K654" s="379" t="s">
        <v>1271</v>
      </c>
      <c r="L654" s="374">
        <v>17449000</v>
      </c>
      <c r="M654" s="375">
        <v>43763</v>
      </c>
      <c r="T654" s="163"/>
    </row>
    <row r="655" spans="1:20" x14ac:dyDescent="0.25">
      <c r="A655" s="373">
        <v>650</v>
      </c>
      <c r="B655" s="373" t="s">
        <v>1270</v>
      </c>
      <c r="C655" s="373" t="s">
        <v>1198</v>
      </c>
      <c r="D655" s="374">
        <v>617741047</v>
      </c>
      <c r="E655" s="393">
        <v>43746</v>
      </c>
      <c r="I655" s="373"/>
      <c r="J655" s="379" t="s">
        <v>1269</v>
      </c>
      <c r="K655" s="379" t="s">
        <v>1268</v>
      </c>
      <c r="L655" s="374">
        <v>17448486</v>
      </c>
      <c r="M655" s="375">
        <v>43763</v>
      </c>
      <c r="T655" s="163"/>
    </row>
    <row r="656" spans="1:20" x14ac:dyDescent="0.25">
      <c r="A656" s="373">
        <v>651</v>
      </c>
      <c r="B656" s="373" t="s">
        <v>1267</v>
      </c>
      <c r="C656" s="373" t="s">
        <v>322</v>
      </c>
      <c r="D656" s="374"/>
      <c r="E656" s="393"/>
      <c r="I656" s="373"/>
      <c r="J656" s="379" t="s">
        <v>1266</v>
      </c>
      <c r="K656" s="379" t="s">
        <v>1265</v>
      </c>
      <c r="L656" s="374">
        <v>18001426</v>
      </c>
      <c r="M656" s="375">
        <v>43766</v>
      </c>
      <c r="T656" s="163"/>
    </row>
    <row r="657" spans="1:20" x14ac:dyDescent="0.25">
      <c r="A657" s="373">
        <v>652</v>
      </c>
      <c r="B657" s="373" t="s">
        <v>1264</v>
      </c>
      <c r="C657" s="373" t="s">
        <v>341</v>
      </c>
      <c r="D657" s="374">
        <v>138637947</v>
      </c>
      <c r="E657" s="393">
        <v>43746</v>
      </c>
      <c r="I657" s="373"/>
      <c r="J657" s="379" t="s">
        <v>1263</v>
      </c>
      <c r="K657" s="379" t="s">
        <v>1262</v>
      </c>
      <c r="L657" s="374">
        <v>31409613</v>
      </c>
      <c r="M657" s="375">
        <v>43766</v>
      </c>
      <c r="T657" s="163"/>
    </row>
    <row r="658" spans="1:20" x14ac:dyDescent="0.25">
      <c r="A658" s="373">
        <v>653</v>
      </c>
      <c r="B658" s="373" t="s">
        <v>1261</v>
      </c>
      <c r="C658" s="373" t="s">
        <v>1219</v>
      </c>
      <c r="D658" s="374">
        <v>6469974</v>
      </c>
      <c r="E658" s="393">
        <v>43746</v>
      </c>
      <c r="I658" s="373"/>
      <c r="J658" s="379" t="s">
        <v>1260</v>
      </c>
      <c r="K658" s="379" t="s">
        <v>1259</v>
      </c>
      <c r="L658" s="374">
        <v>23612420</v>
      </c>
      <c r="M658" s="375">
        <v>43766</v>
      </c>
      <c r="T658" s="163"/>
    </row>
    <row r="659" spans="1:20" x14ac:dyDescent="0.25">
      <c r="A659" s="373">
        <v>654</v>
      </c>
      <c r="B659" s="373" t="s">
        <v>1258</v>
      </c>
      <c r="C659" s="373" t="s">
        <v>1257</v>
      </c>
      <c r="D659" s="374">
        <v>122553</v>
      </c>
      <c r="E659" s="393">
        <v>43746</v>
      </c>
      <c r="I659" s="373"/>
      <c r="J659" s="379" t="s">
        <v>1256</v>
      </c>
      <c r="K659" s="379" t="s">
        <v>1255</v>
      </c>
      <c r="L659" s="374">
        <v>23005735</v>
      </c>
      <c r="M659" s="375">
        <v>43766</v>
      </c>
      <c r="T659" s="163"/>
    </row>
    <row r="660" spans="1:20" x14ac:dyDescent="0.25">
      <c r="A660" s="373">
        <v>655</v>
      </c>
      <c r="B660" s="373" t="s">
        <v>1254</v>
      </c>
      <c r="C660" s="373" t="s">
        <v>1253</v>
      </c>
      <c r="D660" s="374">
        <v>24193611</v>
      </c>
      <c r="E660" s="393">
        <v>43746</v>
      </c>
      <c r="I660" s="373"/>
      <c r="J660" s="379" t="s">
        <v>1252</v>
      </c>
      <c r="K660" s="379" t="s">
        <v>1251</v>
      </c>
      <c r="L660" s="374">
        <v>2005000</v>
      </c>
      <c r="M660" s="375">
        <v>43766</v>
      </c>
      <c r="T660" s="163"/>
    </row>
    <row r="661" spans="1:20" x14ac:dyDescent="0.25">
      <c r="A661" s="373">
        <v>656</v>
      </c>
      <c r="B661" s="373" t="s">
        <v>1250</v>
      </c>
      <c r="C661" s="373" t="s">
        <v>1249</v>
      </c>
      <c r="D661" s="374">
        <v>231823025</v>
      </c>
      <c r="E661" s="393">
        <v>43746</v>
      </c>
      <c r="I661" s="373"/>
      <c r="J661" s="379" t="s">
        <v>1248</v>
      </c>
      <c r="K661" s="379" t="s">
        <v>1247</v>
      </c>
      <c r="L661" s="374">
        <v>36847463</v>
      </c>
      <c r="M661" s="375">
        <v>43767</v>
      </c>
      <c r="T661" s="163"/>
    </row>
    <row r="662" spans="1:20" x14ac:dyDescent="0.25">
      <c r="A662" s="373">
        <v>657</v>
      </c>
      <c r="B662" s="373" t="s">
        <v>1246</v>
      </c>
      <c r="C662" s="373" t="s">
        <v>852</v>
      </c>
      <c r="D662" s="374">
        <v>82492932</v>
      </c>
      <c r="E662" s="393">
        <v>43746</v>
      </c>
      <c r="I662" s="373"/>
      <c r="J662" s="379" t="s">
        <v>1245</v>
      </c>
      <c r="K662" s="379" t="s">
        <v>1244</v>
      </c>
      <c r="L662" s="374">
        <v>35697303</v>
      </c>
      <c r="M662" s="375">
        <v>43767</v>
      </c>
      <c r="T662" s="163"/>
    </row>
    <row r="663" spans="1:20" x14ac:dyDescent="0.25">
      <c r="A663" s="373">
        <v>658</v>
      </c>
      <c r="B663" s="373" t="s">
        <v>1243</v>
      </c>
      <c r="C663" s="373" t="s">
        <v>539</v>
      </c>
      <c r="D663" s="374">
        <v>4475692160</v>
      </c>
      <c r="E663" s="393">
        <v>43746</v>
      </c>
      <c r="I663" s="373"/>
      <c r="J663" s="379" t="s">
        <v>1242</v>
      </c>
      <c r="K663" s="379" t="s">
        <v>1241</v>
      </c>
      <c r="L663" s="374">
        <v>38413560</v>
      </c>
      <c r="M663" s="375">
        <v>43767</v>
      </c>
      <c r="T663" s="163"/>
    </row>
    <row r="664" spans="1:20" x14ac:dyDescent="0.25">
      <c r="A664" s="373">
        <v>659</v>
      </c>
      <c r="B664" s="373" t="s">
        <v>1240</v>
      </c>
      <c r="C664" s="373" t="s">
        <v>543</v>
      </c>
      <c r="D664" s="374">
        <v>368292324</v>
      </c>
      <c r="E664" s="393">
        <v>43747</v>
      </c>
      <c r="I664" s="373"/>
      <c r="J664" s="379" t="s">
        <v>1239</v>
      </c>
      <c r="K664" s="379" t="s">
        <v>1238</v>
      </c>
      <c r="L664" s="374">
        <v>28388455</v>
      </c>
      <c r="M664" s="375">
        <v>43767</v>
      </c>
      <c r="T664" s="163"/>
    </row>
    <row r="665" spans="1:20" x14ac:dyDescent="0.25">
      <c r="A665" s="373">
        <v>660</v>
      </c>
      <c r="B665" s="373" t="s">
        <v>1237</v>
      </c>
      <c r="C665" s="373" t="s">
        <v>1198</v>
      </c>
      <c r="D665" s="374">
        <v>746238396</v>
      </c>
      <c r="E665" s="393">
        <v>43747</v>
      </c>
      <c r="I665" s="373"/>
      <c r="J665" s="379" t="s">
        <v>1236</v>
      </c>
      <c r="K665" s="379" t="s">
        <v>1235</v>
      </c>
      <c r="L665" s="374">
        <v>11657484</v>
      </c>
      <c r="M665" s="375">
        <v>43767</v>
      </c>
      <c r="T665" s="163"/>
    </row>
    <row r="666" spans="1:20" x14ac:dyDescent="0.25">
      <c r="A666" s="373">
        <v>661</v>
      </c>
      <c r="B666" s="373" t="s">
        <v>1234</v>
      </c>
      <c r="C666" s="373" t="s">
        <v>431</v>
      </c>
      <c r="D666" s="374">
        <v>111546140</v>
      </c>
      <c r="E666" s="393">
        <v>43747</v>
      </c>
      <c r="I666" s="373"/>
      <c r="J666" s="379" t="s">
        <v>1233</v>
      </c>
      <c r="K666" s="379" t="s">
        <v>1232</v>
      </c>
      <c r="L666" s="374">
        <v>30323021</v>
      </c>
      <c r="M666" s="375">
        <v>43767</v>
      </c>
      <c r="T666" s="163"/>
    </row>
    <row r="667" spans="1:20" x14ac:dyDescent="0.25">
      <c r="A667" s="373">
        <v>662</v>
      </c>
      <c r="B667" s="373" t="s">
        <v>1231</v>
      </c>
      <c r="C667" s="373" t="s">
        <v>522</v>
      </c>
      <c r="D667" s="374">
        <v>176535854</v>
      </c>
      <c r="E667" s="393">
        <v>43747</v>
      </c>
      <c r="I667" s="373"/>
      <c r="J667" s="379" t="s">
        <v>1230</v>
      </c>
      <c r="K667" s="379" t="s">
        <v>1229</v>
      </c>
      <c r="L667" s="374">
        <v>9638119</v>
      </c>
      <c r="M667" s="375">
        <v>43767</v>
      </c>
      <c r="T667" s="163"/>
    </row>
    <row r="668" spans="1:20" x14ac:dyDescent="0.25">
      <c r="A668" s="373">
        <v>663</v>
      </c>
      <c r="B668" s="373" t="s">
        <v>1228</v>
      </c>
      <c r="C668" s="373" t="s">
        <v>709</v>
      </c>
      <c r="D668" s="374">
        <v>278843983</v>
      </c>
      <c r="E668" s="393">
        <v>43747</v>
      </c>
      <c r="I668" s="373"/>
      <c r="J668" s="379" t="s">
        <v>1227</v>
      </c>
      <c r="K668" s="379" t="s">
        <v>964</v>
      </c>
      <c r="L668" s="374">
        <v>15739916</v>
      </c>
      <c r="M668" s="375">
        <v>43767</v>
      </c>
      <c r="T668" s="163"/>
    </row>
    <row r="669" spans="1:20" x14ac:dyDescent="0.25">
      <c r="A669" s="373">
        <v>664</v>
      </c>
      <c r="B669" s="373" t="s">
        <v>1226</v>
      </c>
      <c r="C669" s="373" t="s">
        <v>539</v>
      </c>
      <c r="D669" s="374">
        <v>733133455</v>
      </c>
      <c r="E669" s="393">
        <v>43747</v>
      </c>
      <c r="I669" s="373"/>
      <c r="J669" s="379" t="s">
        <v>1225</v>
      </c>
      <c r="K669" s="379" t="s">
        <v>1224</v>
      </c>
      <c r="L669" s="374">
        <v>6255000</v>
      </c>
      <c r="M669" s="375">
        <v>43768</v>
      </c>
      <c r="T669" s="163"/>
    </row>
    <row r="670" spans="1:20" x14ac:dyDescent="0.25">
      <c r="A670" s="373">
        <v>665</v>
      </c>
      <c r="B670" s="373" t="s">
        <v>1223</v>
      </c>
      <c r="C670" s="373" t="s">
        <v>341</v>
      </c>
      <c r="D670" s="374">
        <v>429768476</v>
      </c>
      <c r="E670" s="393">
        <v>43747</v>
      </c>
      <c r="I670" s="373"/>
      <c r="J670" s="379" t="s">
        <v>1222</v>
      </c>
      <c r="K670" s="373" t="s">
        <v>1221</v>
      </c>
      <c r="L670" s="374">
        <v>132110144</v>
      </c>
      <c r="M670" s="375">
        <v>43768</v>
      </c>
      <c r="T670" s="163"/>
    </row>
    <row r="671" spans="1:20" x14ac:dyDescent="0.25">
      <c r="A671" s="373">
        <v>666</v>
      </c>
      <c r="B671" s="373" t="s">
        <v>1220</v>
      </c>
      <c r="C671" s="373" t="s">
        <v>1219</v>
      </c>
      <c r="D671" s="374">
        <v>30873328</v>
      </c>
      <c r="E671" s="393">
        <v>43748</v>
      </c>
      <c r="I671" s="373"/>
      <c r="J671" s="379" t="s">
        <v>1218</v>
      </c>
      <c r="K671" s="379" t="s">
        <v>1217</v>
      </c>
      <c r="L671" s="374">
        <v>2339648</v>
      </c>
      <c r="M671" s="375">
        <v>43769</v>
      </c>
      <c r="T671" s="163"/>
    </row>
    <row r="672" spans="1:20" x14ac:dyDescent="0.25">
      <c r="A672" s="373">
        <v>667</v>
      </c>
      <c r="B672" s="373" t="s">
        <v>1216</v>
      </c>
      <c r="C672" s="373" t="s">
        <v>1215</v>
      </c>
      <c r="D672" s="374">
        <v>325365856</v>
      </c>
      <c r="E672" s="393">
        <v>43748</v>
      </c>
      <c r="I672" s="373"/>
      <c r="J672" s="379" t="s">
        <v>1214</v>
      </c>
      <c r="K672" s="379" t="s">
        <v>1053</v>
      </c>
      <c r="L672" s="374">
        <v>2175000</v>
      </c>
      <c r="M672" s="375">
        <v>43770</v>
      </c>
      <c r="T672" s="163"/>
    </row>
    <row r="673" spans="1:20" x14ac:dyDescent="0.25">
      <c r="A673" s="373">
        <v>668</v>
      </c>
      <c r="B673" s="373" t="s">
        <v>1213</v>
      </c>
      <c r="C673" s="373" t="s">
        <v>522</v>
      </c>
      <c r="D673" s="374">
        <v>413445709</v>
      </c>
      <c r="E673" s="393">
        <v>43748</v>
      </c>
      <c r="I673" s="373"/>
      <c r="J673" s="379" t="s">
        <v>1212</v>
      </c>
      <c r="K673" s="379" t="s">
        <v>1211</v>
      </c>
      <c r="L673" s="374">
        <v>6907182</v>
      </c>
      <c r="M673" s="375">
        <v>43770</v>
      </c>
      <c r="T673" s="163"/>
    </row>
    <row r="674" spans="1:20" x14ac:dyDescent="0.25">
      <c r="A674" s="373">
        <v>669</v>
      </c>
      <c r="B674" s="373" t="s">
        <v>1210</v>
      </c>
      <c r="C674" s="373" t="s">
        <v>283</v>
      </c>
      <c r="D674" s="374">
        <v>341705000</v>
      </c>
      <c r="E674" s="393">
        <v>43748</v>
      </c>
      <c r="I674" s="373"/>
      <c r="J674" s="379" t="s">
        <v>1209</v>
      </c>
      <c r="K674" s="379" t="s">
        <v>388</v>
      </c>
      <c r="L674" s="374"/>
      <c r="M674" s="375">
        <v>43770</v>
      </c>
      <c r="T674" s="163"/>
    </row>
    <row r="675" spans="1:20" x14ac:dyDescent="0.25">
      <c r="A675" s="373">
        <v>670</v>
      </c>
      <c r="B675" s="373" t="s">
        <v>1208</v>
      </c>
      <c r="C675" s="373" t="s">
        <v>623</v>
      </c>
      <c r="D675" s="374">
        <v>291489943</v>
      </c>
      <c r="E675" s="393">
        <v>43748</v>
      </c>
      <c r="I675" s="373"/>
      <c r="J675" s="379" t="s">
        <v>1207</v>
      </c>
      <c r="K675" s="379" t="s">
        <v>1206</v>
      </c>
      <c r="L675" s="374">
        <v>7002250</v>
      </c>
      <c r="M675" s="375">
        <v>43770</v>
      </c>
      <c r="T675" s="163"/>
    </row>
    <row r="676" spans="1:20" x14ac:dyDescent="0.25">
      <c r="A676" s="373">
        <v>671</v>
      </c>
      <c r="B676" s="373" t="s">
        <v>1205</v>
      </c>
      <c r="C676" s="373" t="s">
        <v>578</v>
      </c>
      <c r="D676" s="374">
        <v>1085242901</v>
      </c>
      <c r="E676" s="393">
        <v>43748</v>
      </c>
      <c r="I676" s="373"/>
      <c r="J676" s="379" t="s">
        <v>1204</v>
      </c>
      <c r="K676" s="379" t="s">
        <v>1203</v>
      </c>
      <c r="L676" s="374">
        <v>27960523</v>
      </c>
      <c r="M676" s="375">
        <v>43773</v>
      </c>
      <c r="T676" s="163"/>
    </row>
    <row r="677" spans="1:20" x14ac:dyDescent="0.25">
      <c r="A677" s="373">
        <v>672</v>
      </c>
      <c r="B677" s="373" t="s">
        <v>1202</v>
      </c>
      <c r="C677" s="373" t="s">
        <v>276</v>
      </c>
      <c r="D677" s="374">
        <v>153488439</v>
      </c>
      <c r="E677" s="393">
        <v>43748</v>
      </c>
      <c r="I677" s="373"/>
      <c r="J677" s="379" t="s">
        <v>1201</v>
      </c>
      <c r="K677" s="379" t="s">
        <v>1200</v>
      </c>
      <c r="L677" s="374">
        <v>9450468</v>
      </c>
      <c r="M677" s="375">
        <v>43773</v>
      </c>
      <c r="T677" s="163"/>
    </row>
    <row r="678" spans="1:20" x14ac:dyDescent="0.25">
      <c r="A678" s="373">
        <v>673</v>
      </c>
      <c r="B678" s="373" t="s">
        <v>1199</v>
      </c>
      <c r="C678" s="373" t="s">
        <v>1198</v>
      </c>
      <c r="D678" s="374">
        <v>495109578</v>
      </c>
      <c r="E678" s="393">
        <v>43749</v>
      </c>
      <c r="I678" s="373"/>
      <c r="J678" s="379" t="s">
        <v>1197</v>
      </c>
      <c r="K678" s="379" t="s">
        <v>1196</v>
      </c>
      <c r="L678" s="374">
        <v>16358275</v>
      </c>
      <c r="M678" s="375">
        <v>43773</v>
      </c>
      <c r="T678" s="163"/>
    </row>
    <row r="679" spans="1:20" x14ac:dyDescent="0.25">
      <c r="A679" s="373">
        <v>674</v>
      </c>
      <c r="B679" s="373" t="s">
        <v>1195</v>
      </c>
      <c r="C679" s="373" t="s">
        <v>522</v>
      </c>
      <c r="D679" s="374">
        <v>213331562</v>
      </c>
      <c r="E679" s="393">
        <v>43749</v>
      </c>
      <c r="I679" s="373"/>
      <c r="J679" s="379" t="s">
        <v>1194</v>
      </c>
      <c r="K679" s="379" t="s">
        <v>1193</v>
      </c>
      <c r="L679" s="374">
        <v>34699933</v>
      </c>
      <c r="M679" s="375">
        <v>43773</v>
      </c>
      <c r="T679" s="163"/>
    </row>
    <row r="680" spans="1:20" x14ac:dyDescent="0.25">
      <c r="A680" s="373">
        <v>675</v>
      </c>
      <c r="B680" s="373" t="s">
        <v>1192</v>
      </c>
      <c r="C680" s="373" t="s">
        <v>431</v>
      </c>
      <c r="D680" s="374">
        <v>109481660</v>
      </c>
      <c r="E680" s="393">
        <v>43749</v>
      </c>
      <c r="I680" s="373"/>
      <c r="J680" s="379" t="s">
        <v>1191</v>
      </c>
      <c r="K680" s="379" t="s">
        <v>1190</v>
      </c>
      <c r="L680" s="374">
        <v>11949579</v>
      </c>
      <c r="M680" s="375">
        <v>43773</v>
      </c>
      <c r="T680" s="163"/>
    </row>
    <row r="681" spans="1:20" x14ac:dyDescent="0.25">
      <c r="A681" s="373">
        <v>676</v>
      </c>
      <c r="B681" s="373" t="s">
        <v>1189</v>
      </c>
      <c r="C681" s="373" t="s">
        <v>578</v>
      </c>
      <c r="D681" s="374">
        <v>1431415430</v>
      </c>
      <c r="E681" s="393">
        <v>43749</v>
      </c>
      <c r="I681" s="373"/>
      <c r="J681" s="379" t="s">
        <v>1188</v>
      </c>
      <c r="K681" s="379" t="s">
        <v>1187</v>
      </c>
      <c r="L681" s="374">
        <v>23067821</v>
      </c>
      <c r="M681" s="375">
        <v>43773</v>
      </c>
      <c r="T681" s="163"/>
    </row>
    <row r="682" spans="1:20" x14ac:dyDescent="0.25">
      <c r="A682" s="373">
        <v>677</v>
      </c>
      <c r="B682" s="373" t="s">
        <v>1186</v>
      </c>
      <c r="C682" s="373" t="s">
        <v>522</v>
      </c>
      <c r="D682" s="374">
        <v>191806846</v>
      </c>
      <c r="E682" s="393">
        <v>43752</v>
      </c>
      <c r="I682" s="373"/>
      <c r="J682" s="379" t="s">
        <v>1185</v>
      </c>
      <c r="K682" s="379" t="s">
        <v>1184</v>
      </c>
      <c r="L682" s="374">
        <v>3101750</v>
      </c>
      <c r="M682" s="375">
        <v>43773</v>
      </c>
      <c r="T682" s="163"/>
    </row>
    <row r="683" spans="1:20" x14ac:dyDescent="0.25">
      <c r="A683" s="373">
        <v>678</v>
      </c>
      <c r="B683" s="373" t="s">
        <v>1183</v>
      </c>
      <c r="C683" s="373" t="s">
        <v>578</v>
      </c>
      <c r="D683" s="374">
        <v>100009334</v>
      </c>
      <c r="E683" s="393">
        <v>43752</v>
      </c>
      <c r="I683" s="373"/>
      <c r="J683" s="379" t="s">
        <v>1182</v>
      </c>
      <c r="K683" s="379" t="s">
        <v>1181</v>
      </c>
      <c r="L683" s="374">
        <v>20479788</v>
      </c>
      <c r="M683" s="375">
        <v>43774</v>
      </c>
      <c r="T683" s="163"/>
    </row>
    <row r="684" spans="1:20" x14ac:dyDescent="0.25">
      <c r="A684" s="373">
        <v>679</v>
      </c>
      <c r="B684" s="373" t="s">
        <v>1180</v>
      </c>
      <c r="C684" s="373" t="s">
        <v>322</v>
      </c>
      <c r="D684" s="374"/>
      <c r="E684" s="393"/>
      <c r="I684" s="373"/>
      <c r="J684" s="379" t="s">
        <v>1179</v>
      </c>
      <c r="K684" s="379" t="s">
        <v>1178</v>
      </c>
      <c r="L684" s="374">
        <v>8132089</v>
      </c>
      <c r="M684" s="375">
        <v>43774</v>
      </c>
      <c r="T684" s="163"/>
    </row>
    <row r="685" spans="1:20" x14ac:dyDescent="0.25">
      <c r="A685" s="373">
        <v>680</v>
      </c>
      <c r="B685" s="373" t="s">
        <v>1177</v>
      </c>
      <c r="C685" s="373" t="s">
        <v>322</v>
      </c>
      <c r="D685" s="374"/>
      <c r="E685" s="393"/>
      <c r="I685" s="373"/>
      <c r="J685" s="379" t="s">
        <v>1176</v>
      </c>
      <c r="K685" s="379" t="s">
        <v>1175</v>
      </c>
      <c r="L685" s="374">
        <v>16661432</v>
      </c>
      <c r="M685" s="375">
        <v>43774</v>
      </c>
      <c r="T685" s="163"/>
    </row>
    <row r="686" spans="1:20" x14ac:dyDescent="0.25">
      <c r="A686" s="373">
        <v>681</v>
      </c>
      <c r="B686" s="373" t="s">
        <v>1174</v>
      </c>
      <c r="C686" s="373" t="s">
        <v>601</v>
      </c>
      <c r="D686" s="374">
        <v>1329087034</v>
      </c>
      <c r="E686" s="393">
        <v>43752</v>
      </c>
      <c r="I686" s="373"/>
      <c r="J686" s="379" t="s">
        <v>1173</v>
      </c>
      <c r="K686" s="379" t="s">
        <v>1172</v>
      </c>
      <c r="L686" s="374">
        <v>14652286</v>
      </c>
      <c r="M686" s="375">
        <v>43774</v>
      </c>
      <c r="T686" s="163"/>
    </row>
    <row r="687" spans="1:20" x14ac:dyDescent="0.25">
      <c r="A687" s="373">
        <v>682</v>
      </c>
      <c r="B687" s="373" t="s">
        <v>1171</v>
      </c>
      <c r="C687" s="373" t="s">
        <v>283</v>
      </c>
      <c r="D687" s="374">
        <v>170855000</v>
      </c>
      <c r="E687" s="393">
        <v>43752</v>
      </c>
      <c r="I687" s="373"/>
      <c r="J687" s="379" t="s">
        <v>1170</v>
      </c>
      <c r="K687" s="379" t="s">
        <v>1169</v>
      </c>
      <c r="L687" s="373">
        <v>5897388</v>
      </c>
      <c r="M687" s="375">
        <v>43774</v>
      </c>
      <c r="T687" s="163"/>
    </row>
    <row r="688" spans="1:20" x14ac:dyDescent="0.25">
      <c r="A688" s="373">
        <v>683</v>
      </c>
      <c r="B688" s="373" t="s">
        <v>1168</v>
      </c>
      <c r="C688" s="373" t="s">
        <v>709</v>
      </c>
      <c r="D688" s="374">
        <v>429594897</v>
      </c>
      <c r="E688" s="393">
        <v>43752</v>
      </c>
      <c r="I688" s="373"/>
      <c r="J688" s="379" t="s">
        <v>1167</v>
      </c>
      <c r="K688" s="373" t="s">
        <v>1166</v>
      </c>
      <c r="L688" s="374">
        <v>27568223</v>
      </c>
      <c r="M688" s="375">
        <v>43774</v>
      </c>
      <c r="T688" s="163"/>
    </row>
    <row r="689" spans="1:20" x14ac:dyDescent="0.25">
      <c r="A689" s="373">
        <v>684</v>
      </c>
      <c r="B689" s="379" t="s">
        <v>1165</v>
      </c>
      <c r="C689" s="373" t="s">
        <v>498</v>
      </c>
      <c r="D689" s="374">
        <v>236968547</v>
      </c>
      <c r="E689" s="393">
        <v>43752</v>
      </c>
      <c r="I689" s="373"/>
      <c r="J689" s="379" t="s">
        <v>1164</v>
      </c>
      <c r="K689" s="379" t="s">
        <v>1146</v>
      </c>
      <c r="L689" s="374">
        <v>34577433</v>
      </c>
      <c r="M689" s="375">
        <v>43774</v>
      </c>
      <c r="T689" s="163"/>
    </row>
    <row r="690" spans="1:20" x14ac:dyDescent="0.25">
      <c r="A690" s="373">
        <v>685</v>
      </c>
      <c r="B690" s="379" t="s">
        <v>1163</v>
      </c>
      <c r="C690" s="379" t="s">
        <v>302</v>
      </c>
      <c r="D690" s="374">
        <v>341905000</v>
      </c>
      <c r="E690" s="393">
        <v>43752</v>
      </c>
      <c r="I690" s="373"/>
      <c r="J690" s="379" t="s">
        <v>1162</v>
      </c>
      <c r="K690" s="379" t="s">
        <v>1161</v>
      </c>
      <c r="L690" s="374">
        <v>62400000</v>
      </c>
      <c r="M690" s="375">
        <v>43775</v>
      </c>
      <c r="T690" s="163"/>
    </row>
    <row r="691" spans="1:20" x14ac:dyDescent="0.25">
      <c r="A691" s="373">
        <v>686</v>
      </c>
      <c r="B691" s="379" t="s">
        <v>1160</v>
      </c>
      <c r="C691" s="379" t="s">
        <v>1129</v>
      </c>
      <c r="D691" s="374">
        <v>1187414</v>
      </c>
      <c r="E691" s="393">
        <v>43752</v>
      </c>
      <c r="I691" s="373"/>
      <c r="J691" s="379" t="s">
        <v>1159</v>
      </c>
      <c r="K691" s="379" t="s">
        <v>1158</v>
      </c>
      <c r="L691" s="374">
        <v>178205000</v>
      </c>
      <c r="M691" s="375">
        <v>43775</v>
      </c>
      <c r="T691" s="163"/>
    </row>
    <row r="692" spans="1:20" x14ac:dyDescent="0.25">
      <c r="A692" s="373">
        <v>687</v>
      </c>
      <c r="B692" s="379" t="s">
        <v>1157</v>
      </c>
      <c r="C692" s="379" t="s">
        <v>322</v>
      </c>
      <c r="D692" s="374"/>
      <c r="E692" s="393">
        <v>43752</v>
      </c>
      <c r="I692" s="373"/>
      <c r="J692" s="379" t="s">
        <v>1156</v>
      </c>
      <c r="K692" s="379" t="s">
        <v>964</v>
      </c>
      <c r="L692" s="374">
        <v>11511624</v>
      </c>
      <c r="M692" s="375">
        <v>43775</v>
      </c>
      <c r="T692" s="163"/>
    </row>
    <row r="693" spans="1:20" x14ac:dyDescent="0.25">
      <c r="A693" s="373">
        <v>688</v>
      </c>
      <c r="B693" s="379" t="s">
        <v>1155</v>
      </c>
      <c r="C693" s="379" t="s">
        <v>322</v>
      </c>
      <c r="D693" s="374"/>
      <c r="E693" s="393">
        <v>43752</v>
      </c>
      <c r="I693" s="373"/>
      <c r="J693" s="379" t="s">
        <v>1154</v>
      </c>
      <c r="K693" s="379" t="s">
        <v>1153</v>
      </c>
      <c r="L693" s="374">
        <v>8500558</v>
      </c>
      <c r="M693" s="375">
        <v>43776</v>
      </c>
      <c r="T693" s="163"/>
    </row>
    <row r="694" spans="1:20" x14ac:dyDescent="0.25">
      <c r="A694" s="373">
        <v>689</v>
      </c>
      <c r="B694" s="379" t="s">
        <v>1152</v>
      </c>
      <c r="C694" s="379" t="s">
        <v>578</v>
      </c>
      <c r="D694" s="374">
        <v>1063318181</v>
      </c>
      <c r="E694" s="393">
        <v>43752</v>
      </c>
      <c r="I694" s="373"/>
      <c r="J694" s="379" t="s">
        <v>1151</v>
      </c>
      <c r="K694" s="379" t="s">
        <v>1150</v>
      </c>
      <c r="L694" s="374">
        <v>2105000</v>
      </c>
      <c r="M694" s="375">
        <v>43776</v>
      </c>
      <c r="T694" s="163"/>
    </row>
    <row r="695" spans="1:20" x14ac:dyDescent="0.25">
      <c r="A695" s="373">
        <v>690</v>
      </c>
      <c r="B695" s="379" t="s">
        <v>1149</v>
      </c>
      <c r="C695" s="379" t="s">
        <v>1148</v>
      </c>
      <c r="D695" s="374">
        <v>110105000</v>
      </c>
      <c r="E695" s="393">
        <v>43752</v>
      </c>
      <c r="I695" s="373"/>
      <c r="J695" s="379" t="s">
        <v>1147</v>
      </c>
      <c r="K695" s="379" t="s">
        <v>1146</v>
      </c>
      <c r="L695" s="374">
        <v>10936500</v>
      </c>
      <c r="M695" s="375">
        <v>43776</v>
      </c>
      <c r="T695" s="163"/>
    </row>
    <row r="696" spans="1:20" x14ac:dyDescent="0.25">
      <c r="A696" s="373">
        <v>691</v>
      </c>
      <c r="B696" s="379" t="s">
        <v>1145</v>
      </c>
      <c r="C696" s="379" t="s">
        <v>543</v>
      </c>
      <c r="D696" s="374">
        <v>3228222</v>
      </c>
      <c r="E696" s="393">
        <v>43753</v>
      </c>
      <c r="I696" s="373"/>
      <c r="J696" s="379" t="s">
        <v>1144</v>
      </c>
      <c r="K696" s="379" t="s">
        <v>1143</v>
      </c>
      <c r="L696" s="374">
        <v>2729200</v>
      </c>
      <c r="M696" s="375">
        <v>43776</v>
      </c>
      <c r="T696" s="163"/>
    </row>
    <row r="697" spans="1:20" x14ac:dyDescent="0.25">
      <c r="A697" s="373">
        <v>692</v>
      </c>
      <c r="B697" s="379" t="s">
        <v>1142</v>
      </c>
      <c r="C697" s="379" t="s">
        <v>601</v>
      </c>
      <c r="D697" s="374">
        <v>359806289</v>
      </c>
      <c r="E697" s="393">
        <v>43753</v>
      </c>
      <c r="I697" s="373"/>
      <c r="J697" s="379" t="s">
        <v>1141</v>
      </c>
      <c r="K697" s="379" t="s">
        <v>1140</v>
      </c>
      <c r="L697" s="374">
        <v>34935400</v>
      </c>
      <c r="M697" s="375">
        <v>43776</v>
      </c>
      <c r="T697" s="163"/>
    </row>
    <row r="698" spans="1:20" x14ac:dyDescent="0.25">
      <c r="A698" s="373">
        <v>693</v>
      </c>
      <c r="B698" s="379" t="s">
        <v>1139</v>
      </c>
      <c r="C698" s="379" t="s">
        <v>322</v>
      </c>
      <c r="D698" s="374"/>
      <c r="E698" s="393">
        <v>43753</v>
      </c>
      <c r="I698" s="373"/>
      <c r="J698" s="379" t="s">
        <v>1138</v>
      </c>
      <c r="K698" s="379" t="s">
        <v>1137</v>
      </c>
      <c r="L698" s="374">
        <v>2294500</v>
      </c>
      <c r="M698" s="375">
        <v>43776</v>
      </c>
      <c r="T698" s="163"/>
    </row>
    <row r="699" spans="1:20" x14ac:dyDescent="0.25">
      <c r="A699" s="373">
        <v>694</v>
      </c>
      <c r="B699" s="379" t="s">
        <v>1136</v>
      </c>
      <c r="C699" s="379" t="s">
        <v>498</v>
      </c>
      <c r="D699" s="374">
        <v>449653107</v>
      </c>
      <c r="E699" s="393">
        <v>43753</v>
      </c>
      <c r="I699" s="373"/>
      <c r="J699" s="379" t="s">
        <v>1135</v>
      </c>
      <c r="K699" s="379" t="s">
        <v>1134</v>
      </c>
      <c r="L699" s="374">
        <v>4331000</v>
      </c>
      <c r="M699" s="375">
        <v>43776</v>
      </c>
      <c r="T699" s="163"/>
    </row>
    <row r="700" spans="1:20" x14ac:dyDescent="0.25">
      <c r="A700" s="373">
        <v>695</v>
      </c>
      <c r="B700" s="379" t="s">
        <v>1133</v>
      </c>
      <c r="C700" s="379" t="s">
        <v>702</v>
      </c>
      <c r="D700" s="374">
        <v>539419494</v>
      </c>
      <c r="E700" s="393">
        <v>43753</v>
      </c>
      <c r="I700" s="373"/>
      <c r="J700" s="379" t="s">
        <v>1132</v>
      </c>
      <c r="K700" s="379" t="s">
        <v>1131</v>
      </c>
      <c r="L700" s="374">
        <v>6908000</v>
      </c>
      <c r="M700" s="375">
        <v>43777</v>
      </c>
      <c r="T700" s="163"/>
    </row>
    <row r="701" spans="1:20" x14ac:dyDescent="0.25">
      <c r="A701" s="373">
        <v>696</v>
      </c>
      <c r="B701" s="379" t="s">
        <v>1130</v>
      </c>
      <c r="C701" s="379" t="s">
        <v>1129</v>
      </c>
      <c r="D701" s="374">
        <v>1119735455</v>
      </c>
      <c r="E701" s="393">
        <v>43753</v>
      </c>
      <c r="I701" s="373"/>
      <c r="J701" s="379" t="s">
        <v>1128</v>
      </c>
      <c r="K701" s="379" t="s">
        <v>1127</v>
      </c>
      <c r="L701" s="374">
        <v>46541000</v>
      </c>
      <c r="M701" s="375">
        <v>43777</v>
      </c>
      <c r="T701" s="163"/>
    </row>
    <row r="702" spans="1:20" x14ac:dyDescent="0.25">
      <c r="A702" s="373">
        <v>697</v>
      </c>
      <c r="B702" s="379" t="s">
        <v>1126</v>
      </c>
      <c r="C702" s="379" t="s">
        <v>623</v>
      </c>
      <c r="D702" s="374">
        <v>154286664</v>
      </c>
      <c r="E702" s="393">
        <v>43754</v>
      </c>
      <c r="I702" s="373"/>
      <c r="J702" s="379" t="s">
        <v>1125</v>
      </c>
      <c r="K702" s="379" t="s">
        <v>1124</v>
      </c>
      <c r="L702" s="374">
        <v>32230656</v>
      </c>
      <c r="M702" s="375">
        <v>43780</v>
      </c>
      <c r="T702" s="163"/>
    </row>
    <row r="703" spans="1:20" x14ac:dyDescent="0.25">
      <c r="A703" s="373">
        <v>698</v>
      </c>
      <c r="B703" s="379" t="s">
        <v>1123</v>
      </c>
      <c r="C703" s="379" t="s">
        <v>601</v>
      </c>
      <c r="D703" s="374">
        <v>774791079</v>
      </c>
      <c r="E703" s="393">
        <v>43754</v>
      </c>
      <c r="I703" s="373"/>
      <c r="J703" s="379" t="s">
        <v>1122</v>
      </c>
      <c r="K703" s="379" t="s">
        <v>1121</v>
      </c>
      <c r="L703" s="374">
        <v>24128634</v>
      </c>
      <c r="M703" s="375">
        <v>43780</v>
      </c>
      <c r="T703" s="163"/>
    </row>
    <row r="704" spans="1:20" x14ac:dyDescent="0.25">
      <c r="A704" s="373">
        <v>699</v>
      </c>
      <c r="B704" s="379" t="s">
        <v>1120</v>
      </c>
      <c r="C704" s="379" t="s">
        <v>248</v>
      </c>
      <c r="D704" s="374">
        <v>309903500</v>
      </c>
      <c r="E704" s="393">
        <v>43754</v>
      </c>
      <c r="I704" s="373"/>
      <c r="J704" s="379" t="s">
        <v>1119</v>
      </c>
      <c r="K704" s="379" t="s">
        <v>1118</v>
      </c>
      <c r="L704" s="374">
        <v>12575899</v>
      </c>
      <c r="M704" s="375">
        <v>43780</v>
      </c>
      <c r="T704" s="163"/>
    </row>
    <row r="705" spans="1:20" x14ac:dyDescent="0.25">
      <c r="A705" s="373">
        <v>700</v>
      </c>
      <c r="B705" s="379" t="s">
        <v>1117</v>
      </c>
      <c r="C705" s="379" t="s">
        <v>498</v>
      </c>
      <c r="D705" s="374">
        <v>526672346</v>
      </c>
      <c r="E705" s="393">
        <v>43754</v>
      </c>
      <c r="I705" s="373"/>
      <c r="J705" s="379" t="s">
        <v>1116</v>
      </c>
      <c r="K705" s="379" t="s">
        <v>388</v>
      </c>
      <c r="L705" s="374"/>
      <c r="M705" s="375">
        <v>43780</v>
      </c>
      <c r="T705" s="163"/>
    </row>
    <row r="706" spans="1:20" x14ac:dyDescent="0.25">
      <c r="A706" s="373">
        <v>701</v>
      </c>
      <c r="B706" s="379" t="s">
        <v>1115</v>
      </c>
      <c r="C706" s="379" t="s">
        <v>385</v>
      </c>
      <c r="D706" s="374">
        <v>246579512</v>
      </c>
      <c r="E706" s="393">
        <v>43754</v>
      </c>
      <c r="I706" s="373"/>
      <c r="J706" s="379" t="s">
        <v>1114</v>
      </c>
      <c r="K706" s="379" t="s">
        <v>1113</v>
      </c>
      <c r="L706" s="374">
        <v>8402083</v>
      </c>
      <c r="M706" s="375">
        <v>43780</v>
      </c>
      <c r="T706" s="163"/>
    </row>
    <row r="707" spans="1:20" x14ac:dyDescent="0.25">
      <c r="A707" s="373">
        <v>702</v>
      </c>
      <c r="B707" s="379" t="s">
        <v>1112</v>
      </c>
      <c r="C707" s="379" t="s">
        <v>694</v>
      </c>
      <c r="D707" s="374">
        <v>100938928</v>
      </c>
      <c r="E707" s="393">
        <v>43754</v>
      </c>
      <c r="I707" s="373"/>
      <c r="J707" s="379" t="s">
        <v>1111</v>
      </c>
      <c r="K707" s="379" t="s">
        <v>1110</v>
      </c>
      <c r="L707" s="374">
        <v>11934396</v>
      </c>
      <c r="M707" s="375">
        <v>43780</v>
      </c>
      <c r="T707" s="163"/>
    </row>
    <row r="708" spans="1:20" x14ac:dyDescent="0.25">
      <c r="A708" s="373">
        <v>703</v>
      </c>
      <c r="B708" s="379" t="s">
        <v>1109</v>
      </c>
      <c r="C708" s="379" t="s">
        <v>623</v>
      </c>
      <c r="D708" s="374">
        <v>1287853816</v>
      </c>
      <c r="E708" s="393">
        <v>43754</v>
      </c>
      <c r="I708" s="373"/>
      <c r="J708" s="379" t="s">
        <v>1108</v>
      </c>
      <c r="K708" s="379" t="s">
        <v>813</v>
      </c>
      <c r="L708" s="374">
        <v>64649156</v>
      </c>
      <c r="M708" s="375">
        <v>43780</v>
      </c>
      <c r="T708" s="163"/>
    </row>
    <row r="709" spans="1:20" x14ac:dyDescent="0.25">
      <c r="A709" s="373">
        <v>704</v>
      </c>
      <c r="B709" s="379" t="s">
        <v>1107</v>
      </c>
      <c r="C709" s="379" t="s">
        <v>709</v>
      </c>
      <c r="D709" s="374">
        <v>518553253</v>
      </c>
      <c r="E709" s="393">
        <v>43754</v>
      </c>
      <c r="I709" s="373"/>
      <c r="J709" s="379" t="s">
        <v>1106</v>
      </c>
      <c r="K709" s="379" t="s">
        <v>1105</v>
      </c>
      <c r="L709" s="374">
        <v>462505000</v>
      </c>
      <c r="M709" s="375">
        <v>43780</v>
      </c>
      <c r="T709" s="163"/>
    </row>
    <row r="710" spans="1:20" x14ac:dyDescent="0.25">
      <c r="A710" s="373">
        <v>705</v>
      </c>
      <c r="B710" s="379" t="s">
        <v>1104</v>
      </c>
      <c r="C710" s="379" t="s">
        <v>257</v>
      </c>
      <c r="D710" s="374">
        <v>445089819</v>
      </c>
      <c r="E710" s="393">
        <v>43754</v>
      </c>
      <c r="I710" s="373"/>
      <c r="J710" s="379" t="s">
        <v>1103</v>
      </c>
      <c r="K710" s="379" t="s">
        <v>1102</v>
      </c>
      <c r="L710" s="374">
        <v>15881335</v>
      </c>
      <c r="M710" s="375">
        <v>43780</v>
      </c>
      <c r="T710" s="163"/>
    </row>
    <row r="711" spans="1:20" x14ac:dyDescent="0.25">
      <c r="A711" s="373">
        <v>706</v>
      </c>
      <c r="B711" s="379" t="s">
        <v>1101</v>
      </c>
      <c r="C711" s="379" t="s">
        <v>525</v>
      </c>
      <c r="D711" s="374">
        <v>366300031</v>
      </c>
      <c r="E711" s="393">
        <v>43755</v>
      </c>
      <c r="I711" s="373"/>
      <c r="J711" s="379" t="s">
        <v>1100</v>
      </c>
      <c r="K711" s="379" t="s">
        <v>1099</v>
      </c>
      <c r="L711" s="374">
        <v>38574551</v>
      </c>
      <c r="M711" s="375">
        <v>43781</v>
      </c>
      <c r="T711" s="163"/>
    </row>
    <row r="712" spans="1:20" x14ac:dyDescent="0.25">
      <c r="A712" s="373">
        <v>707</v>
      </c>
      <c r="B712" s="379" t="s">
        <v>1098</v>
      </c>
      <c r="C712" s="379" t="s">
        <v>601</v>
      </c>
      <c r="D712" s="374">
        <v>644535519</v>
      </c>
      <c r="E712" s="393">
        <v>43755</v>
      </c>
      <c r="I712" s="373"/>
      <c r="J712" s="379" t="s">
        <v>1097</v>
      </c>
      <c r="K712" s="379" t="s">
        <v>1096</v>
      </c>
      <c r="L712" s="374">
        <v>5448694</v>
      </c>
      <c r="M712" s="375">
        <v>43781</v>
      </c>
      <c r="T712" s="163"/>
    </row>
    <row r="713" spans="1:20" x14ac:dyDescent="0.25">
      <c r="A713" s="373">
        <v>708</v>
      </c>
      <c r="B713" s="379" t="s">
        <v>1095</v>
      </c>
      <c r="C713" s="379" t="s">
        <v>1094</v>
      </c>
      <c r="D713" s="374">
        <v>185943500</v>
      </c>
      <c r="E713" s="393">
        <v>43755</v>
      </c>
      <c r="I713" s="373"/>
      <c r="J713" s="379" t="s">
        <v>1093</v>
      </c>
      <c r="K713" s="379" t="s">
        <v>1092</v>
      </c>
      <c r="L713" s="374">
        <v>4423699</v>
      </c>
      <c r="M713" s="375">
        <v>43781</v>
      </c>
      <c r="T713" s="163"/>
    </row>
    <row r="714" spans="1:20" x14ac:dyDescent="0.25">
      <c r="A714" s="373">
        <v>709</v>
      </c>
      <c r="B714" s="379" t="s">
        <v>1091</v>
      </c>
      <c r="C714" s="373" t="s">
        <v>522</v>
      </c>
      <c r="D714" s="374">
        <v>109482805</v>
      </c>
      <c r="E714" s="393">
        <v>43755</v>
      </c>
      <c r="I714" s="373"/>
      <c r="J714" s="379" t="s">
        <v>1090</v>
      </c>
      <c r="K714" s="379" t="s">
        <v>1089</v>
      </c>
      <c r="L714" s="374">
        <v>17258545</v>
      </c>
      <c r="M714" s="375">
        <v>43781</v>
      </c>
      <c r="T714" s="163"/>
    </row>
    <row r="715" spans="1:20" x14ac:dyDescent="0.25">
      <c r="A715" s="373">
        <v>710</v>
      </c>
      <c r="B715" s="379" t="s">
        <v>1088</v>
      </c>
      <c r="C715" s="373" t="s">
        <v>498</v>
      </c>
      <c r="D715" s="374">
        <v>313552648</v>
      </c>
      <c r="E715" s="393">
        <v>43755</v>
      </c>
      <c r="I715" s="373"/>
      <c r="J715" s="379" t="s">
        <v>1087</v>
      </c>
      <c r="K715" s="379" t="s">
        <v>1086</v>
      </c>
      <c r="L715" s="374">
        <v>22515815</v>
      </c>
      <c r="M715" s="375">
        <v>43781</v>
      </c>
      <c r="T715" s="163"/>
    </row>
    <row r="716" spans="1:20" x14ac:dyDescent="0.25">
      <c r="A716" s="373">
        <v>711</v>
      </c>
      <c r="B716" s="379" t="s">
        <v>1085</v>
      </c>
      <c r="C716" s="373" t="s">
        <v>578</v>
      </c>
      <c r="D716" s="374">
        <v>1439830763</v>
      </c>
      <c r="E716" s="393">
        <v>43755</v>
      </c>
      <c r="I716" s="373"/>
      <c r="J716" s="379" t="s">
        <v>1084</v>
      </c>
      <c r="K716" s="379" t="s">
        <v>1083</v>
      </c>
      <c r="L716" s="374">
        <v>18596517</v>
      </c>
      <c r="M716" s="375">
        <v>43781</v>
      </c>
      <c r="T716" s="163"/>
    </row>
    <row r="717" spans="1:20" x14ac:dyDescent="0.25">
      <c r="A717" s="373">
        <v>712</v>
      </c>
      <c r="B717" s="379" t="s">
        <v>1082</v>
      </c>
      <c r="C717" s="373" t="s">
        <v>1081</v>
      </c>
      <c r="D717" s="374">
        <v>4801167</v>
      </c>
      <c r="E717" s="393">
        <v>43755</v>
      </c>
      <c r="I717" s="373"/>
      <c r="J717" s="379" t="s">
        <v>1080</v>
      </c>
      <c r="K717" s="379" t="s">
        <v>1079</v>
      </c>
      <c r="L717" s="374">
        <v>16104250</v>
      </c>
      <c r="M717" s="375">
        <v>43781</v>
      </c>
      <c r="T717" s="163"/>
    </row>
    <row r="718" spans="1:20" x14ac:dyDescent="0.25">
      <c r="A718" s="373">
        <v>713</v>
      </c>
      <c r="B718" s="379" t="s">
        <v>1078</v>
      </c>
      <c r="C718" s="373" t="s">
        <v>1077</v>
      </c>
      <c r="D718" s="374">
        <v>31995764</v>
      </c>
      <c r="E718" s="393">
        <v>43755</v>
      </c>
      <c r="I718" s="373"/>
      <c r="J718" s="379" t="s">
        <v>1076</v>
      </c>
      <c r="K718" s="379" t="s">
        <v>674</v>
      </c>
      <c r="L718" s="374">
        <v>4554800</v>
      </c>
      <c r="M718" s="375">
        <v>43781</v>
      </c>
      <c r="T718" s="163"/>
    </row>
    <row r="719" spans="1:20" x14ac:dyDescent="0.25">
      <c r="A719" s="373">
        <v>714</v>
      </c>
      <c r="B719" s="379" t="s">
        <v>1075</v>
      </c>
      <c r="C719" s="373" t="s">
        <v>601</v>
      </c>
      <c r="D719" s="374">
        <v>233125737</v>
      </c>
      <c r="E719" s="393">
        <v>43756</v>
      </c>
      <c r="I719" s="373">
        <v>714</v>
      </c>
      <c r="J719" s="379" t="s">
        <v>1074</v>
      </c>
      <c r="K719" s="379" t="s">
        <v>1073</v>
      </c>
      <c r="L719" s="374">
        <v>1655000</v>
      </c>
      <c r="M719" s="375">
        <v>43783</v>
      </c>
      <c r="T719" s="163"/>
    </row>
    <row r="720" spans="1:20" x14ac:dyDescent="0.25">
      <c r="A720" s="373">
        <v>715</v>
      </c>
      <c r="B720" s="379" t="s">
        <v>1072</v>
      </c>
      <c r="C720" s="373" t="s">
        <v>248</v>
      </c>
      <c r="D720" s="374">
        <v>247923500</v>
      </c>
      <c r="E720" s="393">
        <v>43756</v>
      </c>
      <c r="I720" s="373">
        <v>715</v>
      </c>
      <c r="J720" s="379" t="s">
        <v>1071</v>
      </c>
      <c r="K720" s="379" t="s">
        <v>1070</v>
      </c>
      <c r="L720" s="374">
        <v>1650000</v>
      </c>
      <c r="M720" s="375">
        <v>43783</v>
      </c>
      <c r="T720" s="163"/>
    </row>
    <row r="721" spans="1:20" x14ac:dyDescent="0.25">
      <c r="A721" s="373">
        <v>716</v>
      </c>
      <c r="B721" s="379" t="s">
        <v>1069</v>
      </c>
      <c r="C721" s="373" t="s">
        <v>522</v>
      </c>
      <c r="D721" s="374">
        <v>229810209</v>
      </c>
      <c r="E721" s="393">
        <v>43756</v>
      </c>
      <c r="I721" s="373">
        <v>716</v>
      </c>
      <c r="J721" s="379" t="s">
        <v>1068</v>
      </c>
      <c r="K721" s="379" t="s">
        <v>1067</v>
      </c>
      <c r="L721" s="374">
        <v>7005000</v>
      </c>
      <c r="M721" s="375">
        <v>43783</v>
      </c>
      <c r="T721" s="163"/>
    </row>
    <row r="722" spans="1:20" x14ac:dyDescent="0.25">
      <c r="A722" s="373">
        <v>717</v>
      </c>
      <c r="B722" s="379" t="s">
        <v>1066</v>
      </c>
      <c r="C722" s="373" t="s">
        <v>543</v>
      </c>
      <c r="D722" s="374">
        <v>418648110</v>
      </c>
      <c r="E722" s="393">
        <v>43756</v>
      </c>
      <c r="I722" s="373">
        <v>717</v>
      </c>
      <c r="J722" s="379" t="s">
        <v>1065</v>
      </c>
      <c r="K722" s="379" t="s">
        <v>388</v>
      </c>
      <c r="L722" s="374"/>
      <c r="M722" s="373"/>
      <c r="T722" s="163"/>
    </row>
    <row r="723" spans="1:20" x14ac:dyDescent="0.25">
      <c r="A723" s="373">
        <v>718</v>
      </c>
      <c r="B723" s="379" t="s">
        <v>1064</v>
      </c>
      <c r="C723" s="373" t="s">
        <v>427</v>
      </c>
      <c r="D723" s="374">
        <v>288081988</v>
      </c>
      <c r="E723" s="393">
        <v>43756</v>
      </c>
      <c r="I723" s="373">
        <v>718</v>
      </c>
      <c r="J723" s="379" t="s">
        <v>1063</v>
      </c>
      <c r="K723" s="379" t="s">
        <v>1062</v>
      </c>
      <c r="L723" s="374">
        <v>3024000</v>
      </c>
      <c r="M723" s="375">
        <v>43783</v>
      </c>
      <c r="T723" s="163"/>
    </row>
    <row r="724" spans="1:20" x14ac:dyDescent="0.25">
      <c r="A724" s="373">
        <v>719</v>
      </c>
      <c r="B724" s="379" t="s">
        <v>1061</v>
      </c>
      <c r="C724" s="373" t="s">
        <v>694</v>
      </c>
      <c r="D724" s="374">
        <v>100437034</v>
      </c>
      <c r="E724" s="393">
        <v>43756</v>
      </c>
      <c r="I724" s="373">
        <v>719</v>
      </c>
      <c r="J724" s="379" t="s">
        <v>1060</v>
      </c>
      <c r="K724" s="379" t="s">
        <v>1059</v>
      </c>
      <c r="L724" s="374">
        <v>5005000</v>
      </c>
      <c r="M724" s="375">
        <v>43784</v>
      </c>
      <c r="T724" s="163"/>
    </row>
    <row r="725" spans="1:20" x14ac:dyDescent="0.25">
      <c r="A725" s="373">
        <v>720</v>
      </c>
      <c r="B725" s="379" t="s">
        <v>1058</v>
      </c>
      <c r="C725" s="373" t="s">
        <v>429</v>
      </c>
      <c r="D725" s="374">
        <v>210602901</v>
      </c>
      <c r="E725" s="393">
        <v>43756</v>
      </c>
      <c r="I725" s="373">
        <v>720</v>
      </c>
      <c r="J725" s="379" t="s">
        <v>1057</v>
      </c>
      <c r="K725" s="379" t="s">
        <v>1056</v>
      </c>
      <c r="L725" s="374">
        <v>9925723</v>
      </c>
      <c r="M725" s="375">
        <v>43787</v>
      </c>
      <c r="T725" s="163"/>
    </row>
    <row r="726" spans="1:20" x14ac:dyDescent="0.25">
      <c r="A726" s="373">
        <v>721</v>
      </c>
      <c r="B726" s="379" t="s">
        <v>1055</v>
      </c>
      <c r="C726" s="373" t="s">
        <v>949</v>
      </c>
      <c r="D726" s="374">
        <v>1153340175</v>
      </c>
      <c r="E726" s="393">
        <v>43756</v>
      </c>
      <c r="I726" s="373">
        <v>721</v>
      </c>
      <c r="J726" s="379" t="s">
        <v>1054</v>
      </c>
      <c r="K726" s="379" t="s">
        <v>1053</v>
      </c>
      <c r="L726" s="374">
        <v>11328268</v>
      </c>
      <c r="M726" s="375">
        <v>43787</v>
      </c>
      <c r="T726" s="163"/>
    </row>
    <row r="727" spans="1:20" x14ac:dyDescent="0.25">
      <c r="A727" s="373">
        <v>722</v>
      </c>
      <c r="B727" s="379" t="s">
        <v>1052</v>
      </c>
      <c r="C727" s="373" t="s">
        <v>875</v>
      </c>
      <c r="D727" s="374">
        <v>6747513</v>
      </c>
      <c r="E727" s="393">
        <v>43756</v>
      </c>
      <c r="I727" s="373">
        <v>722</v>
      </c>
      <c r="J727" s="379" t="s">
        <v>1051</v>
      </c>
      <c r="K727" s="379" t="s">
        <v>1050</v>
      </c>
      <c r="L727" s="374">
        <v>8207308</v>
      </c>
      <c r="M727" s="375">
        <v>43787</v>
      </c>
      <c r="T727" s="163"/>
    </row>
    <row r="728" spans="1:20" x14ac:dyDescent="0.25">
      <c r="A728" s="373">
        <v>723</v>
      </c>
      <c r="B728" s="379" t="s">
        <v>1049</v>
      </c>
      <c r="C728" s="379" t="s">
        <v>498</v>
      </c>
      <c r="D728" s="374">
        <v>468050882</v>
      </c>
      <c r="E728" s="393">
        <v>43759</v>
      </c>
      <c r="I728" s="373">
        <v>723</v>
      </c>
      <c r="J728" s="379" t="s">
        <v>1048</v>
      </c>
      <c r="K728" s="379" t="s">
        <v>1047</v>
      </c>
      <c r="L728" s="374">
        <v>20168100</v>
      </c>
      <c r="M728" s="375">
        <v>43787</v>
      </c>
      <c r="T728" s="163"/>
    </row>
    <row r="729" spans="1:20" x14ac:dyDescent="0.25">
      <c r="A729" s="373">
        <v>724</v>
      </c>
      <c r="B729" s="379" t="s">
        <v>1046</v>
      </c>
      <c r="C729" s="379" t="s">
        <v>702</v>
      </c>
      <c r="D729" s="374">
        <v>314204204</v>
      </c>
      <c r="E729" s="393">
        <v>43759</v>
      </c>
      <c r="I729" s="373">
        <v>724</v>
      </c>
      <c r="J729" s="379" t="s">
        <v>1045</v>
      </c>
      <c r="K729" s="379" t="s">
        <v>1044</v>
      </c>
      <c r="L729" s="374">
        <v>9469233</v>
      </c>
      <c r="M729" s="375">
        <v>43787</v>
      </c>
      <c r="T729" s="163"/>
    </row>
    <row r="730" spans="1:20" x14ac:dyDescent="0.25">
      <c r="A730" s="373">
        <v>725</v>
      </c>
      <c r="B730" s="379" t="s">
        <v>1043</v>
      </c>
      <c r="C730" s="379" t="s">
        <v>601</v>
      </c>
      <c r="D730" s="374">
        <v>562112564</v>
      </c>
      <c r="E730" s="393">
        <v>43759</v>
      </c>
      <c r="I730" s="373">
        <v>725</v>
      </c>
      <c r="J730" s="379" t="s">
        <v>1042</v>
      </c>
      <c r="K730" s="379" t="s">
        <v>1041</v>
      </c>
      <c r="L730" s="374">
        <v>13920860</v>
      </c>
      <c r="M730" s="375">
        <v>43787</v>
      </c>
      <c r="T730" s="163"/>
    </row>
    <row r="731" spans="1:20" x14ac:dyDescent="0.25">
      <c r="A731" s="373">
        <v>726</v>
      </c>
      <c r="B731" s="379" t="s">
        <v>1040</v>
      </c>
      <c r="C731" s="379" t="s">
        <v>522</v>
      </c>
      <c r="D731" s="374">
        <v>186050008</v>
      </c>
      <c r="E731" s="393">
        <v>43759</v>
      </c>
      <c r="I731" s="373">
        <v>726</v>
      </c>
      <c r="J731" s="379" t="s">
        <v>1039</v>
      </c>
      <c r="K731" s="379" t="s">
        <v>964</v>
      </c>
      <c r="L731" s="374">
        <v>19897704</v>
      </c>
      <c r="M731" s="375">
        <v>43788</v>
      </c>
      <c r="T731" s="163"/>
    </row>
    <row r="732" spans="1:20" x14ac:dyDescent="0.25">
      <c r="A732" s="373">
        <v>727</v>
      </c>
      <c r="B732" s="379" t="s">
        <v>1038</v>
      </c>
      <c r="C732" s="380" t="s">
        <v>1037</v>
      </c>
      <c r="D732" s="374">
        <v>329450907</v>
      </c>
      <c r="E732" s="393">
        <v>43759</v>
      </c>
      <c r="I732" s="373">
        <v>727</v>
      </c>
      <c r="J732" s="379" t="s">
        <v>1036</v>
      </c>
      <c r="K732" s="379" t="s">
        <v>1035</v>
      </c>
      <c r="L732" s="374">
        <v>5006597</v>
      </c>
      <c r="M732" s="375">
        <v>43788</v>
      </c>
      <c r="T732" s="163"/>
    </row>
    <row r="733" spans="1:20" x14ac:dyDescent="0.25">
      <c r="A733" s="373">
        <v>728</v>
      </c>
      <c r="B733" s="379" t="s">
        <v>1034</v>
      </c>
      <c r="C733" s="379" t="s">
        <v>1033</v>
      </c>
      <c r="D733" s="374">
        <v>644653226</v>
      </c>
      <c r="E733" s="393">
        <v>43759</v>
      </c>
      <c r="I733" s="373">
        <v>728</v>
      </c>
      <c r="J733" s="379" t="s">
        <v>1032</v>
      </c>
      <c r="K733" s="379" t="s">
        <v>1031</v>
      </c>
      <c r="L733" s="374">
        <v>5866992</v>
      </c>
      <c r="M733" s="375">
        <v>43788</v>
      </c>
      <c r="T733" s="163"/>
    </row>
    <row r="734" spans="1:20" x14ac:dyDescent="0.25">
      <c r="A734" s="373">
        <v>729</v>
      </c>
      <c r="B734" s="379" t="s">
        <v>1030</v>
      </c>
      <c r="C734" s="373" t="s">
        <v>875</v>
      </c>
      <c r="D734" s="374">
        <v>1332782648</v>
      </c>
      <c r="E734" s="393">
        <v>43759</v>
      </c>
      <c r="I734" s="373">
        <v>729</v>
      </c>
      <c r="J734" s="379" t="s">
        <v>1029</v>
      </c>
      <c r="K734" s="379" t="s">
        <v>1028</v>
      </c>
      <c r="L734" s="374">
        <v>15475622</v>
      </c>
      <c r="M734" s="375">
        <v>43788</v>
      </c>
      <c r="T734" s="163"/>
    </row>
    <row r="735" spans="1:20" x14ac:dyDescent="0.25">
      <c r="A735" s="373">
        <v>730</v>
      </c>
      <c r="B735" s="379" t="s">
        <v>1027</v>
      </c>
      <c r="C735" s="379" t="s">
        <v>525</v>
      </c>
      <c r="D735" s="374">
        <v>1375181097</v>
      </c>
      <c r="E735" s="393">
        <v>43759</v>
      </c>
      <c r="I735" s="373">
        <v>730</v>
      </c>
      <c r="J735" s="379" t="s">
        <v>1026</v>
      </c>
      <c r="K735" s="379" t="s">
        <v>1025</v>
      </c>
      <c r="L735" s="374">
        <v>17608234</v>
      </c>
      <c r="M735" s="375">
        <v>43788</v>
      </c>
      <c r="T735" s="163"/>
    </row>
    <row r="736" spans="1:20" x14ac:dyDescent="0.25">
      <c r="A736" s="373">
        <v>731</v>
      </c>
      <c r="B736" s="379" t="s">
        <v>1024</v>
      </c>
      <c r="C736" s="379" t="s">
        <v>601</v>
      </c>
      <c r="D736" s="374">
        <v>1316338395</v>
      </c>
      <c r="E736" s="393">
        <v>43760</v>
      </c>
      <c r="I736" s="373">
        <v>731</v>
      </c>
      <c r="J736" s="379" t="s">
        <v>1023</v>
      </c>
      <c r="K736" s="379" t="s">
        <v>1022</v>
      </c>
      <c r="L736" s="374">
        <v>4705000</v>
      </c>
      <c r="M736" s="375">
        <v>43788</v>
      </c>
      <c r="T736" s="163"/>
    </row>
    <row r="737" spans="1:20" x14ac:dyDescent="0.25">
      <c r="A737" s="373">
        <v>732</v>
      </c>
      <c r="B737" s="379" t="s">
        <v>1021</v>
      </c>
      <c r="C737" s="379" t="s">
        <v>283</v>
      </c>
      <c r="D737" s="381">
        <v>341705</v>
      </c>
      <c r="E737" s="393">
        <v>43760</v>
      </c>
      <c r="I737" s="373">
        <v>732</v>
      </c>
      <c r="J737" s="379" t="s">
        <v>1020</v>
      </c>
      <c r="K737" s="379" t="s">
        <v>1019</v>
      </c>
      <c r="L737" s="374">
        <v>28644200</v>
      </c>
      <c r="M737" s="375">
        <v>43788</v>
      </c>
      <c r="T737" s="163"/>
    </row>
    <row r="738" spans="1:20" x14ac:dyDescent="0.25">
      <c r="A738" s="373">
        <v>733</v>
      </c>
      <c r="B738" s="379" t="s">
        <v>1018</v>
      </c>
      <c r="C738" s="379" t="s">
        <v>623</v>
      </c>
      <c r="D738" s="374">
        <v>288567310</v>
      </c>
      <c r="E738" s="393">
        <v>43760</v>
      </c>
      <c r="I738" s="373">
        <v>733</v>
      </c>
      <c r="J738" s="379" t="s">
        <v>1017</v>
      </c>
      <c r="K738" s="379" t="s">
        <v>1016</v>
      </c>
      <c r="L738" s="374">
        <v>25555184</v>
      </c>
      <c r="M738" s="375">
        <v>43788</v>
      </c>
      <c r="T738" s="163"/>
    </row>
    <row r="739" spans="1:20" x14ac:dyDescent="0.25">
      <c r="A739" s="373">
        <v>734</v>
      </c>
      <c r="B739" s="379" t="s">
        <v>1015</v>
      </c>
      <c r="C739" s="379" t="s">
        <v>522</v>
      </c>
      <c r="D739" s="374">
        <v>350902626</v>
      </c>
      <c r="E739" s="393">
        <v>43760</v>
      </c>
      <c r="I739" s="373">
        <v>734</v>
      </c>
      <c r="J739" s="379" t="s">
        <v>1014</v>
      </c>
      <c r="K739" s="379" t="s">
        <v>1013</v>
      </c>
      <c r="L739" s="374">
        <v>7800000</v>
      </c>
      <c r="M739" s="375">
        <v>43788</v>
      </c>
      <c r="T739" s="163"/>
    </row>
    <row r="740" spans="1:20" x14ac:dyDescent="0.25">
      <c r="A740" s="373">
        <v>735</v>
      </c>
      <c r="B740" s="379" t="s">
        <v>1012</v>
      </c>
      <c r="C740" s="379" t="s">
        <v>852</v>
      </c>
      <c r="D740" s="374">
        <v>41248966</v>
      </c>
      <c r="E740" s="393">
        <v>43760</v>
      </c>
      <c r="I740" s="373">
        <v>735</v>
      </c>
      <c r="J740" s="379" t="s">
        <v>1011</v>
      </c>
      <c r="K740" s="379" t="s">
        <v>1010</v>
      </c>
      <c r="L740" s="374">
        <v>14207844</v>
      </c>
      <c r="M740" s="375">
        <v>43789</v>
      </c>
      <c r="T740" s="163"/>
    </row>
    <row r="741" spans="1:20" x14ac:dyDescent="0.25">
      <c r="A741" s="373">
        <v>736</v>
      </c>
      <c r="B741" s="379" t="s">
        <v>1009</v>
      </c>
      <c r="C741" s="379" t="s">
        <v>331</v>
      </c>
      <c r="D741" s="374">
        <v>406555703</v>
      </c>
      <c r="E741" s="393">
        <v>43760</v>
      </c>
      <c r="I741" s="373"/>
      <c r="J741" s="379" t="s">
        <v>1008</v>
      </c>
      <c r="K741" s="379" t="s">
        <v>1007</v>
      </c>
      <c r="L741" s="374">
        <v>79680596</v>
      </c>
      <c r="M741" s="375">
        <v>43794</v>
      </c>
      <c r="T741" s="163"/>
    </row>
    <row r="742" spans="1:20" x14ac:dyDescent="0.25">
      <c r="A742" s="373">
        <v>737</v>
      </c>
      <c r="B742" s="379" t="s">
        <v>1006</v>
      </c>
      <c r="C742" s="379" t="s">
        <v>302</v>
      </c>
      <c r="D742" s="374">
        <v>259717500</v>
      </c>
      <c r="E742" s="393">
        <v>43760</v>
      </c>
      <c r="I742" s="373"/>
      <c r="J742" s="379" t="s">
        <v>1005</v>
      </c>
      <c r="K742" s="379" t="s">
        <v>1004</v>
      </c>
      <c r="L742" s="374">
        <v>49263152</v>
      </c>
      <c r="M742" s="375">
        <v>43794</v>
      </c>
      <c r="T742" s="163"/>
    </row>
    <row r="743" spans="1:20" x14ac:dyDescent="0.25">
      <c r="A743" s="373">
        <v>738</v>
      </c>
      <c r="B743" s="379" t="s">
        <v>1003</v>
      </c>
      <c r="C743" s="379" t="s">
        <v>498</v>
      </c>
      <c r="D743" s="374">
        <v>231972138</v>
      </c>
      <c r="E743" s="393">
        <v>43760</v>
      </c>
      <c r="I743" s="373"/>
      <c r="J743" s="379" t="s">
        <v>1002</v>
      </c>
      <c r="K743" s="379" t="s">
        <v>1001</v>
      </c>
      <c r="L743" s="374">
        <v>26424685</v>
      </c>
      <c r="M743" s="375">
        <v>43794</v>
      </c>
      <c r="T743" s="163"/>
    </row>
    <row r="744" spans="1:20" x14ac:dyDescent="0.25">
      <c r="A744" s="373">
        <v>739</v>
      </c>
      <c r="B744" s="379" t="s">
        <v>1000</v>
      </c>
      <c r="C744" s="379" t="s">
        <v>551</v>
      </c>
      <c r="D744" s="374">
        <v>10295175</v>
      </c>
      <c r="E744" s="393">
        <v>43760</v>
      </c>
      <c r="I744" s="373"/>
      <c r="J744" s="379" t="s">
        <v>999</v>
      </c>
      <c r="K744" s="379" t="s">
        <v>998</v>
      </c>
      <c r="L744" s="374">
        <v>95086510</v>
      </c>
      <c r="M744" s="375">
        <v>43795</v>
      </c>
      <c r="T744" s="163"/>
    </row>
    <row r="745" spans="1:20" x14ac:dyDescent="0.25">
      <c r="A745" s="373">
        <v>740</v>
      </c>
      <c r="B745" s="379" t="s">
        <v>997</v>
      </c>
      <c r="C745" s="379" t="s">
        <v>949</v>
      </c>
      <c r="D745" s="374">
        <v>423732405</v>
      </c>
      <c r="E745" s="393">
        <v>43760</v>
      </c>
      <c r="I745" s="373"/>
      <c r="J745" s="379" t="s">
        <v>996</v>
      </c>
      <c r="K745" s="379" t="s">
        <v>995</v>
      </c>
      <c r="L745" s="374">
        <v>3507222</v>
      </c>
      <c r="M745" s="375">
        <v>43795</v>
      </c>
      <c r="T745" s="163"/>
    </row>
    <row r="746" spans="1:20" x14ac:dyDescent="0.25">
      <c r="A746" s="373">
        <v>741</v>
      </c>
      <c r="B746" s="379" t="s">
        <v>994</v>
      </c>
      <c r="C746" s="379" t="s">
        <v>875</v>
      </c>
      <c r="D746" s="374">
        <v>1002281469</v>
      </c>
      <c r="E746" s="393">
        <v>43760</v>
      </c>
      <c r="I746" s="373"/>
      <c r="J746" s="379" t="s">
        <v>993</v>
      </c>
      <c r="K746" s="379" t="s">
        <v>992</v>
      </c>
      <c r="L746" s="374">
        <v>41713183</v>
      </c>
      <c r="M746" s="375">
        <v>43795</v>
      </c>
      <c r="T746" s="163"/>
    </row>
    <row r="747" spans="1:20" x14ac:dyDescent="0.25">
      <c r="A747" s="373">
        <v>742</v>
      </c>
      <c r="B747" s="379" t="s">
        <v>991</v>
      </c>
      <c r="C747" s="379" t="s">
        <v>322</v>
      </c>
      <c r="D747" s="374"/>
      <c r="E747" s="393">
        <v>43761</v>
      </c>
      <c r="I747" s="373"/>
      <c r="J747" s="379" t="s">
        <v>990</v>
      </c>
      <c r="K747" s="379" t="s">
        <v>989</v>
      </c>
      <c r="L747" s="374">
        <v>63701373</v>
      </c>
      <c r="M747" s="375">
        <v>43795</v>
      </c>
      <c r="T747" s="163"/>
    </row>
    <row r="748" spans="1:20" x14ac:dyDescent="0.25">
      <c r="A748" s="373">
        <v>743</v>
      </c>
      <c r="B748" s="379" t="s">
        <v>988</v>
      </c>
      <c r="C748" s="379" t="s">
        <v>543</v>
      </c>
      <c r="D748" s="374">
        <v>5092121</v>
      </c>
      <c r="E748" s="393">
        <v>43761</v>
      </c>
      <c r="I748" s="373"/>
      <c r="J748" s="379" t="s">
        <v>987</v>
      </c>
      <c r="K748" s="379" t="s">
        <v>986</v>
      </c>
      <c r="L748" s="374">
        <v>55321576</v>
      </c>
      <c r="M748" s="375">
        <v>43795</v>
      </c>
      <c r="T748" s="163"/>
    </row>
    <row r="749" spans="1:20" x14ac:dyDescent="0.25">
      <c r="A749" s="373">
        <v>744</v>
      </c>
      <c r="B749" s="379" t="s">
        <v>985</v>
      </c>
      <c r="C749" s="379" t="s">
        <v>522</v>
      </c>
      <c r="D749" s="374">
        <v>112680707</v>
      </c>
      <c r="E749" s="393">
        <v>43761</v>
      </c>
      <c r="I749" s="373"/>
      <c r="J749" s="379" t="s">
        <v>984</v>
      </c>
      <c r="K749" s="379" t="s">
        <v>983</v>
      </c>
      <c r="L749" s="374">
        <v>16914106</v>
      </c>
      <c r="M749" s="375">
        <v>43795</v>
      </c>
      <c r="T749" s="163"/>
    </row>
    <row r="750" spans="1:20" x14ac:dyDescent="0.25">
      <c r="A750" s="373">
        <v>745</v>
      </c>
      <c r="B750" s="379" t="s">
        <v>982</v>
      </c>
      <c r="C750" s="379" t="s">
        <v>322</v>
      </c>
      <c r="D750" s="374"/>
      <c r="E750" s="393">
        <v>43761</v>
      </c>
      <c r="I750" s="373"/>
      <c r="J750" s="379" t="s">
        <v>981</v>
      </c>
      <c r="K750" s="379" t="s">
        <v>980</v>
      </c>
      <c r="L750" s="374">
        <v>7985000</v>
      </c>
      <c r="M750" s="375">
        <v>43795</v>
      </c>
      <c r="T750" s="163"/>
    </row>
    <row r="751" spans="1:20" x14ac:dyDescent="0.25">
      <c r="A751" s="373">
        <v>746</v>
      </c>
      <c r="B751" s="379" t="s">
        <v>979</v>
      </c>
      <c r="C751" s="379" t="s">
        <v>978</v>
      </c>
      <c r="D751" s="374">
        <v>180757661</v>
      </c>
      <c r="E751" s="393">
        <v>43761</v>
      </c>
      <c r="I751" s="373"/>
      <c r="J751" s="379" t="s">
        <v>977</v>
      </c>
      <c r="K751" s="379" t="s">
        <v>976</v>
      </c>
      <c r="L751" s="374">
        <v>7535000</v>
      </c>
      <c r="M751" s="375">
        <v>43795</v>
      </c>
      <c r="T751" s="163"/>
    </row>
    <row r="752" spans="1:20" x14ac:dyDescent="0.25">
      <c r="A752" s="373">
        <v>747</v>
      </c>
      <c r="B752" s="379" t="s">
        <v>975</v>
      </c>
      <c r="C752" s="379" t="s">
        <v>875</v>
      </c>
      <c r="D752" s="374">
        <v>1229402951</v>
      </c>
      <c r="E752" s="393">
        <v>43761</v>
      </c>
      <c r="I752" s="373"/>
      <c r="J752" s="379" t="s">
        <v>974</v>
      </c>
      <c r="K752" s="379" t="s">
        <v>973</v>
      </c>
      <c r="L752" s="374">
        <v>17058323</v>
      </c>
      <c r="M752" s="375">
        <v>43795</v>
      </c>
      <c r="T752" s="163"/>
    </row>
    <row r="753" spans="1:20" x14ac:dyDescent="0.25">
      <c r="A753" s="373">
        <v>748</v>
      </c>
      <c r="B753" s="379" t="s">
        <v>972</v>
      </c>
      <c r="C753" s="379" t="s">
        <v>694</v>
      </c>
      <c r="D753" s="374">
        <v>100340239</v>
      </c>
      <c r="E753" s="393">
        <v>43762</v>
      </c>
      <c r="I753" s="373"/>
      <c r="J753" s="379" t="s">
        <v>971</v>
      </c>
      <c r="K753" s="379" t="s">
        <v>970</v>
      </c>
      <c r="L753" s="374">
        <v>17327049</v>
      </c>
      <c r="M753" s="375">
        <v>43795</v>
      </c>
      <c r="T753" s="163"/>
    </row>
    <row r="754" spans="1:20" x14ac:dyDescent="0.25">
      <c r="A754" s="373">
        <v>749</v>
      </c>
      <c r="B754" s="379" t="s">
        <v>969</v>
      </c>
      <c r="C754" s="379" t="s">
        <v>543</v>
      </c>
      <c r="D754" s="374">
        <v>448426314</v>
      </c>
      <c r="E754" s="393">
        <v>43762</v>
      </c>
      <c r="I754" s="373"/>
      <c r="J754" s="379" t="s">
        <v>968</v>
      </c>
      <c r="K754" s="379" t="s">
        <v>967</v>
      </c>
      <c r="L754" s="374">
        <v>230005000</v>
      </c>
      <c r="M754" s="375">
        <v>43795</v>
      </c>
      <c r="T754" s="163"/>
    </row>
    <row r="755" spans="1:20" x14ac:dyDescent="0.25">
      <c r="A755" s="373">
        <v>750</v>
      </c>
      <c r="B755" s="379" t="s">
        <v>966</v>
      </c>
      <c r="C755" s="379" t="s">
        <v>623</v>
      </c>
      <c r="D755" s="374">
        <v>227718558</v>
      </c>
      <c r="E755" s="393">
        <v>43762</v>
      </c>
      <c r="I755" s="373"/>
      <c r="J755" s="379" t="s">
        <v>965</v>
      </c>
      <c r="K755" s="379" t="s">
        <v>964</v>
      </c>
      <c r="L755" s="374">
        <v>11328000</v>
      </c>
      <c r="M755" s="375">
        <v>43795</v>
      </c>
      <c r="T755" s="163"/>
    </row>
    <row r="756" spans="1:20" x14ac:dyDescent="0.25">
      <c r="A756" s="373">
        <v>751</v>
      </c>
      <c r="B756" s="379" t="s">
        <v>963</v>
      </c>
      <c r="C756" s="379" t="s">
        <v>525</v>
      </c>
      <c r="D756" s="374">
        <v>582941524</v>
      </c>
      <c r="E756" s="393">
        <v>43762</v>
      </c>
      <c r="I756" s="373"/>
      <c r="J756" s="379" t="s">
        <v>962</v>
      </c>
      <c r="K756" s="379" t="s">
        <v>388</v>
      </c>
      <c r="L756" s="374"/>
      <c r="M756" s="373"/>
      <c r="T756" s="163"/>
    </row>
    <row r="757" spans="1:20" x14ac:dyDescent="0.25">
      <c r="A757" s="373">
        <v>752</v>
      </c>
      <c r="B757" s="379" t="s">
        <v>961</v>
      </c>
      <c r="C757" s="379" t="s">
        <v>601</v>
      </c>
      <c r="D757" s="374">
        <v>972302818</v>
      </c>
      <c r="E757" s="393">
        <v>43762</v>
      </c>
      <c r="I757" s="373"/>
      <c r="J757" s="379" t="s">
        <v>960</v>
      </c>
      <c r="K757" s="379" t="s">
        <v>959</v>
      </c>
      <c r="L757" s="374">
        <v>9411367</v>
      </c>
      <c r="M757" s="375">
        <v>43795</v>
      </c>
      <c r="T757" s="163"/>
    </row>
    <row r="758" spans="1:20" x14ac:dyDescent="0.25">
      <c r="A758" s="373">
        <v>753</v>
      </c>
      <c r="B758" s="379" t="s">
        <v>958</v>
      </c>
      <c r="C758" s="379" t="s">
        <v>322</v>
      </c>
      <c r="D758" s="374"/>
      <c r="E758" s="393">
        <v>43762</v>
      </c>
      <c r="I758" s="373"/>
      <c r="J758" s="379" t="s">
        <v>957</v>
      </c>
      <c r="K758" s="379" t="s">
        <v>388</v>
      </c>
      <c r="L758" s="374"/>
      <c r="M758" s="375">
        <v>43795</v>
      </c>
      <c r="T758" s="163"/>
    </row>
    <row r="759" spans="1:20" x14ac:dyDescent="0.25">
      <c r="A759" s="373">
        <v>754</v>
      </c>
      <c r="B759" s="379" t="s">
        <v>956</v>
      </c>
      <c r="C759" s="379" t="s">
        <v>302</v>
      </c>
      <c r="D759" s="374">
        <v>156490000</v>
      </c>
      <c r="E759" s="393">
        <v>43762</v>
      </c>
      <c r="I759" s="373"/>
      <c r="J759" s="379" t="s">
        <v>955</v>
      </c>
      <c r="K759" s="379" t="s">
        <v>954</v>
      </c>
      <c r="L759" s="374">
        <v>106170191</v>
      </c>
      <c r="M759" s="375">
        <v>43796</v>
      </c>
      <c r="T759" s="163"/>
    </row>
    <row r="760" spans="1:20" x14ac:dyDescent="0.25">
      <c r="A760" s="373">
        <v>755</v>
      </c>
      <c r="B760" s="379" t="s">
        <v>953</v>
      </c>
      <c r="C760" s="379" t="s">
        <v>522</v>
      </c>
      <c r="D760" s="374">
        <v>201226022</v>
      </c>
      <c r="E760" s="393">
        <v>43762</v>
      </c>
      <c r="I760" s="373"/>
      <c r="J760" s="379" t="s">
        <v>952</v>
      </c>
      <c r="K760" s="379" t="s">
        <v>951</v>
      </c>
      <c r="L760" s="374">
        <v>4730000</v>
      </c>
      <c r="M760" s="375">
        <v>43796</v>
      </c>
      <c r="T760" s="163"/>
    </row>
    <row r="761" spans="1:20" x14ac:dyDescent="0.25">
      <c r="A761" s="373">
        <v>756</v>
      </c>
      <c r="B761" s="379" t="s">
        <v>950</v>
      </c>
      <c r="C761" s="379" t="s">
        <v>949</v>
      </c>
      <c r="D761" s="374">
        <v>712148170</v>
      </c>
      <c r="E761" s="393">
        <v>43762</v>
      </c>
      <c r="I761" s="373"/>
      <c r="J761" s="379" t="s">
        <v>948</v>
      </c>
      <c r="K761" s="379" t="s">
        <v>88</v>
      </c>
      <c r="L761" s="374">
        <v>1055000</v>
      </c>
      <c r="M761" s="375">
        <v>43796</v>
      </c>
      <c r="T761" s="163"/>
    </row>
    <row r="762" spans="1:20" x14ac:dyDescent="0.25">
      <c r="A762" s="373">
        <v>757</v>
      </c>
      <c r="B762" s="379" t="s">
        <v>947</v>
      </c>
      <c r="C762" s="379" t="s">
        <v>875</v>
      </c>
      <c r="D762" s="374">
        <v>4665549</v>
      </c>
      <c r="E762" s="393">
        <v>43762</v>
      </c>
      <c r="I762" s="373"/>
      <c r="J762" s="379" t="s">
        <v>946</v>
      </c>
      <c r="K762" s="379" t="s">
        <v>388</v>
      </c>
      <c r="L762" s="374"/>
      <c r="M762" s="375"/>
      <c r="T762" s="163"/>
    </row>
    <row r="763" spans="1:20" x14ac:dyDescent="0.25">
      <c r="A763" s="373">
        <v>758</v>
      </c>
      <c r="B763" s="379" t="s">
        <v>945</v>
      </c>
      <c r="C763" s="379" t="s">
        <v>431</v>
      </c>
      <c r="D763" s="374">
        <v>44438098</v>
      </c>
      <c r="E763" s="393">
        <v>43763</v>
      </c>
      <c r="I763" s="373"/>
      <c r="J763" s="379" t="s">
        <v>944</v>
      </c>
      <c r="K763" s="379" t="s">
        <v>943</v>
      </c>
      <c r="L763" s="374">
        <v>1740936</v>
      </c>
      <c r="M763" s="375">
        <v>43796</v>
      </c>
      <c r="T763" s="163"/>
    </row>
    <row r="764" spans="1:20" x14ac:dyDescent="0.25">
      <c r="A764" s="373">
        <v>759</v>
      </c>
      <c r="B764" s="379" t="s">
        <v>942</v>
      </c>
      <c r="C764" s="379" t="s">
        <v>248</v>
      </c>
      <c r="D764" s="374">
        <v>107435500</v>
      </c>
      <c r="E764" s="393">
        <v>43763</v>
      </c>
      <c r="I764" s="373"/>
      <c r="J764" s="379" t="s">
        <v>941</v>
      </c>
      <c r="K764" s="379" t="s">
        <v>940</v>
      </c>
      <c r="L764" s="374">
        <v>2402171</v>
      </c>
      <c r="M764" s="375">
        <v>43796</v>
      </c>
      <c r="T764" s="163"/>
    </row>
    <row r="765" spans="1:20" x14ac:dyDescent="0.25">
      <c r="A765" s="373">
        <v>760</v>
      </c>
      <c r="B765" s="379" t="s">
        <v>939</v>
      </c>
      <c r="C765" s="379" t="s">
        <v>302</v>
      </c>
      <c r="D765" s="374">
        <v>98630000</v>
      </c>
      <c r="E765" s="393">
        <v>43763</v>
      </c>
      <c r="I765" s="373"/>
      <c r="J765" s="379" t="s">
        <v>938</v>
      </c>
      <c r="K765" s="379" t="s">
        <v>937</v>
      </c>
      <c r="L765" s="374">
        <v>1215000</v>
      </c>
      <c r="M765" s="375">
        <v>43796</v>
      </c>
      <c r="T765" s="163"/>
    </row>
    <row r="766" spans="1:20" x14ac:dyDescent="0.25">
      <c r="A766" s="373">
        <v>761</v>
      </c>
      <c r="B766" s="379" t="s">
        <v>936</v>
      </c>
      <c r="C766" s="379" t="s">
        <v>601</v>
      </c>
      <c r="D766" s="374">
        <v>60473229</v>
      </c>
      <c r="E766" s="393">
        <v>43763</v>
      </c>
      <c r="I766" s="373"/>
      <c r="J766" s="379" t="s">
        <v>935</v>
      </c>
      <c r="K766" s="379" t="s">
        <v>934</v>
      </c>
      <c r="L766" s="374">
        <v>30005000</v>
      </c>
      <c r="M766" s="375">
        <v>43797</v>
      </c>
      <c r="T766" s="163"/>
    </row>
    <row r="767" spans="1:20" x14ac:dyDescent="0.25">
      <c r="A767" s="373">
        <v>762</v>
      </c>
      <c r="B767" s="379" t="s">
        <v>933</v>
      </c>
      <c r="C767" s="379" t="s">
        <v>229</v>
      </c>
      <c r="D767" s="374">
        <v>1033671033</v>
      </c>
      <c r="E767" s="393">
        <v>43763</v>
      </c>
      <c r="I767" s="373"/>
      <c r="J767" s="379" t="s">
        <v>932</v>
      </c>
      <c r="K767" s="379" t="s">
        <v>931</v>
      </c>
      <c r="L767" s="374">
        <v>6719500</v>
      </c>
      <c r="M767" s="375">
        <v>43798</v>
      </c>
      <c r="T767" s="163"/>
    </row>
    <row r="768" spans="1:20" x14ac:dyDescent="0.25">
      <c r="A768" s="373">
        <v>763</v>
      </c>
      <c r="B768" s="379" t="s">
        <v>930</v>
      </c>
      <c r="C768" s="379" t="s">
        <v>910</v>
      </c>
      <c r="D768" s="374">
        <v>550844501</v>
      </c>
      <c r="E768" s="393">
        <v>43763</v>
      </c>
      <c r="I768" s="373"/>
      <c r="J768" s="379" t="s">
        <v>929</v>
      </c>
      <c r="K768" s="379" t="s">
        <v>928</v>
      </c>
      <c r="L768" s="374">
        <v>128001074</v>
      </c>
      <c r="M768" s="375">
        <v>43798</v>
      </c>
      <c r="T768" s="163"/>
    </row>
    <row r="769" spans="1:20" x14ac:dyDescent="0.25">
      <c r="A769" s="373">
        <v>764</v>
      </c>
      <c r="B769" s="379" t="s">
        <v>927</v>
      </c>
      <c r="C769" s="379" t="s">
        <v>885</v>
      </c>
      <c r="D769" s="374">
        <v>754789506</v>
      </c>
      <c r="E769" s="393">
        <v>43763</v>
      </c>
      <c r="I769" s="373"/>
      <c r="J769" s="379" t="s">
        <v>926</v>
      </c>
      <c r="K769" s="379" t="s">
        <v>925</v>
      </c>
      <c r="L769" s="422">
        <v>2005000</v>
      </c>
      <c r="M769" s="375">
        <v>43798</v>
      </c>
      <c r="T769" s="163"/>
    </row>
    <row r="770" spans="1:20" x14ac:dyDescent="0.25">
      <c r="A770" s="373">
        <v>765</v>
      </c>
      <c r="B770" s="379" t="s">
        <v>924</v>
      </c>
      <c r="C770" s="379" t="s">
        <v>522</v>
      </c>
      <c r="D770" s="374">
        <v>75439623</v>
      </c>
      <c r="E770" s="393">
        <v>43763</v>
      </c>
      <c r="I770" s="373"/>
      <c r="J770" s="379" t="s">
        <v>923</v>
      </c>
      <c r="K770" s="379" t="s">
        <v>642</v>
      </c>
      <c r="L770" s="422">
        <v>20005000</v>
      </c>
      <c r="M770" s="375">
        <v>43798</v>
      </c>
      <c r="T770" s="163"/>
    </row>
    <row r="771" spans="1:20" x14ac:dyDescent="0.25">
      <c r="A771" s="373">
        <v>766</v>
      </c>
      <c r="B771" s="379" t="s">
        <v>922</v>
      </c>
      <c r="C771" s="379" t="s">
        <v>543</v>
      </c>
      <c r="D771" s="374">
        <v>164290500</v>
      </c>
      <c r="E771" s="393">
        <v>43766</v>
      </c>
      <c r="I771" s="373"/>
      <c r="J771" s="379" t="s">
        <v>921</v>
      </c>
      <c r="K771" s="379" t="s">
        <v>756</v>
      </c>
      <c r="L771" s="422">
        <v>7095192</v>
      </c>
      <c r="M771" s="375">
        <v>43801</v>
      </c>
      <c r="T771" s="163"/>
    </row>
    <row r="772" spans="1:20" x14ac:dyDescent="0.25">
      <c r="A772" s="373">
        <v>767</v>
      </c>
      <c r="B772" s="379" t="s">
        <v>920</v>
      </c>
      <c r="C772" s="379" t="s">
        <v>322</v>
      </c>
      <c r="D772" s="374"/>
      <c r="E772" s="393">
        <v>43766</v>
      </c>
      <c r="I772" s="373"/>
      <c r="J772" s="379" t="s">
        <v>919</v>
      </c>
      <c r="K772" s="379" t="s">
        <v>753</v>
      </c>
      <c r="L772" s="422">
        <v>10904854</v>
      </c>
      <c r="M772" s="375">
        <v>43801</v>
      </c>
      <c r="T772" s="163"/>
    </row>
    <row r="773" spans="1:20" x14ac:dyDescent="0.25">
      <c r="A773" s="373">
        <v>768</v>
      </c>
      <c r="B773" s="379" t="s">
        <v>918</v>
      </c>
      <c r="C773" s="379" t="s">
        <v>702</v>
      </c>
      <c r="D773" s="374">
        <v>811271001</v>
      </c>
      <c r="E773" s="393">
        <v>43766</v>
      </c>
      <c r="I773" s="373"/>
      <c r="J773" s="379" t="s">
        <v>917</v>
      </c>
      <c r="K773" s="379" t="s">
        <v>916</v>
      </c>
      <c r="L773" s="422">
        <v>18888509</v>
      </c>
      <c r="M773" s="375">
        <v>43801</v>
      </c>
      <c r="T773" s="163"/>
    </row>
    <row r="774" spans="1:20" x14ac:dyDescent="0.25">
      <c r="A774" s="373">
        <v>769</v>
      </c>
      <c r="B774" s="379" t="s">
        <v>915</v>
      </c>
      <c r="C774" s="379" t="s">
        <v>601</v>
      </c>
      <c r="D774" s="374">
        <v>707515882</v>
      </c>
      <c r="E774" s="393">
        <v>43766</v>
      </c>
      <c r="I774" s="373"/>
      <c r="J774" s="379" t="s">
        <v>914</v>
      </c>
      <c r="K774" s="379" t="s">
        <v>621</v>
      </c>
      <c r="L774" s="422">
        <v>16008738</v>
      </c>
      <c r="M774" s="375">
        <v>43801</v>
      </c>
      <c r="T774" s="163"/>
    </row>
    <row r="775" spans="1:20" x14ac:dyDescent="0.25">
      <c r="A775" s="373">
        <v>770</v>
      </c>
      <c r="B775" s="379" t="s">
        <v>913</v>
      </c>
      <c r="C775" s="379" t="s">
        <v>885</v>
      </c>
      <c r="D775" s="374">
        <v>17984620</v>
      </c>
      <c r="E775" s="393">
        <v>43766</v>
      </c>
      <c r="I775" s="373"/>
      <c r="J775" s="379" t="s">
        <v>912</v>
      </c>
      <c r="K775" s="379" t="s">
        <v>618</v>
      </c>
      <c r="L775" s="422">
        <v>14341824</v>
      </c>
      <c r="M775" s="375">
        <v>43801</v>
      </c>
      <c r="T775" s="163"/>
    </row>
    <row r="776" spans="1:20" x14ac:dyDescent="0.25">
      <c r="A776" s="373">
        <v>771</v>
      </c>
      <c r="B776" s="379" t="s">
        <v>911</v>
      </c>
      <c r="C776" s="379" t="s">
        <v>910</v>
      </c>
      <c r="D776" s="374">
        <v>465200759</v>
      </c>
      <c r="E776" s="393">
        <v>43766</v>
      </c>
      <c r="I776" s="373"/>
      <c r="J776" s="379" t="s">
        <v>909</v>
      </c>
      <c r="K776" s="373"/>
      <c r="L776" s="422"/>
      <c r="M776" s="373"/>
      <c r="T776" s="163"/>
    </row>
    <row r="777" spans="1:20" x14ac:dyDescent="0.25">
      <c r="A777" s="373">
        <v>772</v>
      </c>
      <c r="B777" s="379" t="s">
        <v>908</v>
      </c>
      <c r="C777" s="379" t="s">
        <v>702</v>
      </c>
      <c r="D777" s="374">
        <v>428201025</v>
      </c>
      <c r="E777" s="393">
        <v>43767</v>
      </c>
      <c r="I777" s="373"/>
      <c r="J777" s="379" t="s">
        <v>907</v>
      </c>
      <c r="K777" s="373" t="s">
        <v>906</v>
      </c>
      <c r="L777" s="422">
        <v>48789222</v>
      </c>
      <c r="M777" s="375">
        <v>43801</v>
      </c>
      <c r="T777" s="163"/>
    </row>
    <row r="778" spans="1:20" x14ac:dyDescent="0.25">
      <c r="A778" s="373">
        <v>773</v>
      </c>
      <c r="B778" s="379" t="s">
        <v>905</v>
      </c>
      <c r="C778" s="379" t="s">
        <v>322</v>
      </c>
      <c r="D778" s="374"/>
      <c r="E778" s="393">
        <v>43767</v>
      </c>
      <c r="I778" s="373"/>
      <c r="J778" s="379" t="s">
        <v>904</v>
      </c>
      <c r="K778" s="373" t="s">
        <v>582</v>
      </c>
      <c r="L778" s="422">
        <v>24177918</v>
      </c>
      <c r="M778" s="375">
        <v>43801</v>
      </c>
      <c r="T778" s="163"/>
    </row>
    <row r="779" spans="1:20" x14ac:dyDescent="0.25">
      <c r="A779" s="373">
        <v>774</v>
      </c>
      <c r="B779" s="379" t="s">
        <v>903</v>
      </c>
      <c r="C779" s="379" t="s">
        <v>498</v>
      </c>
      <c r="D779" s="374">
        <v>416686602</v>
      </c>
      <c r="E779" s="393">
        <v>43767</v>
      </c>
      <c r="I779" s="373"/>
      <c r="J779" s="379" t="s">
        <v>902</v>
      </c>
      <c r="K779" s="373" t="s">
        <v>901</v>
      </c>
      <c r="L779" s="422">
        <v>37608044</v>
      </c>
      <c r="M779" s="375">
        <v>43801</v>
      </c>
      <c r="T779" s="163"/>
    </row>
    <row r="780" spans="1:20" x14ac:dyDescent="0.25">
      <c r="A780" s="373">
        <v>775</v>
      </c>
      <c r="B780" s="379" t="s">
        <v>900</v>
      </c>
      <c r="C780" s="379" t="s">
        <v>525</v>
      </c>
      <c r="D780" s="374">
        <v>27712900</v>
      </c>
      <c r="E780" s="393">
        <v>43767</v>
      </c>
      <c r="I780" s="373"/>
      <c r="J780" s="379" t="s">
        <v>899</v>
      </c>
      <c r="K780" s="373" t="s">
        <v>822</v>
      </c>
      <c r="L780" s="422">
        <v>30062490</v>
      </c>
      <c r="M780" s="375">
        <v>43802</v>
      </c>
      <c r="T780" s="163"/>
    </row>
    <row r="781" spans="1:20" x14ac:dyDescent="0.25">
      <c r="A781" s="373">
        <v>776</v>
      </c>
      <c r="B781" s="379" t="s">
        <v>898</v>
      </c>
      <c r="C781" s="379" t="s">
        <v>283</v>
      </c>
      <c r="D781" s="374">
        <v>172262000</v>
      </c>
      <c r="E781" s="393">
        <v>43767</v>
      </c>
      <c r="I781" s="373"/>
      <c r="J781" s="379" t="s">
        <v>897</v>
      </c>
      <c r="K781" s="373" t="s">
        <v>896</v>
      </c>
      <c r="L781" s="422">
        <v>13939736</v>
      </c>
      <c r="M781" s="375">
        <v>43802</v>
      </c>
      <c r="T781" s="163"/>
    </row>
    <row r="782" spans="1:20" x14ac:dyDescent="0.25">
      <c r="A782" s="373">
        <v>777</v>
      </c>
      <c r="B782" s="379" t="s">
        <v>895</v>
      </c>
      <c r="C782" s="379" t="s">
        <v>601</v>
      </c>
      <c r="D782" s="374">
        <v>1180933930</v>
      </c>
      <c r="E782" s="393">
        <v>43767</v>
      </c>
      <c r="I782" s="373"/>
      <c r="J782" s="379" t="s">
        <v>894</v>
      </c>
      <c r="K782" s="373" t="s">
        <v>893</v>
      </c>
      <c r="L782" s="422">
        <v>2727986</v>
      </c>
      <c r="M782" s="375">
        <v>43802</v>
      </c>
      <c r="T782" s="163"/>
    </row>
    <row r="783" spans="1:20" x14ac:dyDescent="0.25">
      <c r="A783" s="373">
        <v>778</v>
      </c>
      <c r="B783" s="379" t="s">
        <v>892</v>
      </c>
      <c r="C783" s="379" t="s">
        <v>429</v>
      </c>
      <c r="D783" s="374">
        <v>4390988</v>
      </c>
      <c r="E783" s="393">
        <v>43767</v>
      </c>
      <c r="I783" s="373"/>
      <c r="J783" s="379" t="s">
        <v>891</v>
      </c>
      <c r="K783" s="373" t="s">
        <v>890</v>
      </c>
      <c r="L783" s="422">
        <v>5390625</v>
      </c>
      <c r="M783" s="375">
        <v>43802</v>
      </c>
      <c r="T783" s="163"/>
    </row>
    <row r="784" spans="1:20" x14ac:dyDescent="0.25">
      <c r="A784" s="373">
        <v>779</v>
      </c>
      <c r="B784" s="379" t="s">
        <v>889</v>
      </c>
      <c r="C784" s="379" t="s">
        <v>525</v>
      </c>
      <c r="D784" s="374">
        <v>185856547</v>
      </c>
      <c r="E784" s="393">
        <v>43767</v>
      </c>
      <c r="I784" s="373"/>
      <c r="J784" s="379" t="s">
        <v>888</v>
      </c>
      <c r="K784" s="373" t="s">
        <v>887</v>
      </c>
      <c r="L784" s="422">
        <v>22198028</v>
      </c>
      <c r="M784" s="375">
        <v>43802</v>
      </c>
      <c r="T784" s="163"/>
    </row>
    <row r="785" spans="1:20" x14ac:dyDescent="0.25">
      <c r="A785" s="373">
        <v>780</v>
      </c>
      <c r="B785" s="379" t="s">
        <v>886</v>
      </c>
      <c r="C785" s="379" t="s">
        <v>885</v>
      </c>
      <c r="D785" s="374">
        <v>705972361</v>
      </c>
      <c r="E785" s="393">
        <v>43767</v>
      </c>
      <c r="I785" s="373"/>
      <c r="J785" s="379" t="s">
        <v>884</v>
      </c>
      <c r="K785" s="373" t="s">
        <v>883</v>
      </c>
      <c r="L785" s="422">
        <v>33439864</v>
      </c>
      <c r="M785" s="375">
        <v>43802</v>
      </c>
      <c r="T785" s="163"/>
    </row>
    <row r="786" spans="1:20" x14ac:dyDescent="0.25">
      <c r="A786" s="373">
        <v>781</v>
      </c>
      <c r="B786" s="379" t="s">
        <v>882</v>
      </c>
      <c r="C786" s="379" t="s">
        <v>431</v>
      </c>
      <c r="D786" s="374">
        <v>251375799</v>
      </c>
      <c r="E786" s="393">
        <v>43767</v>
      </c>
      <c r="I786" s="373"/>
      <c r="J786" s="379" t="s">
        <v>881</v>
      </c>
      <c r="K786" s="373" t="s">
        <v>880</v>
      </c>
      <c r="L786" s="422">
        <v>5277386</v>
      </c>
      <c r="M786" s="375">
        <v>43802</v>
      </c>
      <c r="T786" s="163"/>
    </row>
    <row r="787" spans="1:20" x14ac:dyDescent="0.25">
      <c r="A787" s="373">
        <v>782</v>
      </c>
      <c r="B787" s="379" t="s">
        <v>879</v>
      </c>
      <c r="C787" s="379" t="s">
        <v>522</v>
      </c>
      <c r="D787" s="374">
        <v>105532283</v>
      </c>
      <c r="E787" s="393">
        <v>43768</v>
      </c>
      <c r="I787" s="373"/>
      <c r="J787" s="379" t="s">
        <v>878</v>
      </c>
      <c r="K787" s="373" t="s">
        <v>877</v>
      </c>
      <c r="L787" s="423">
        <v>9434888</v>
      </c>
      <c r="M787" s="375">
        <v>43803</v>
      </c>
      <c r="T787" s="163"/>
    </row>
    <row r="788" spans="1:20" x14ac:dyDescent="0.25">
      <c r="A788" s="373">
        <v>783</v>
      </c>
      <c r="B788" s="379" t="s">
        <v>876</v>
      </c>
      <c r="C788" s="379" t="s">
        <v>875</v>
      </c>
      <c r="D788" s="374">
        <v>1245963479</v>
      </c>
      <c r="E788" s="393">
        <v>43768</v>
      </c>
      <c r="I788" s="373"/>
      <c r="J788" s="379" t="s">
        <v>874</v>
      </c>
      <c r="K788" s="373" t="s">
        <v>873</v>
      </c>
      <c r="L788" s="422">
        <v>80600000</v>
      </c>
      <c r="M788" s="375">
        <v>43803</v>
      </c>
      <c r="T788" s="163"/>
    </row>
    <row r="789" spans="1:20" x14ac:dyDescent="0.25">
      <c r="A789" s="373">
        <v>784</v>
      </c>
      <c r="B789" s="379" t="s">
        <v>872</v>
      </c>
      <c r="C789" s="379" t="s">
        <v>543</v>
      </c>
      <c r="D789" s="374">
        <v>76498038</v>
      </c>
      <c r="E789" s="393">
        <v>43768</v>
      </c>
      <c r="I789" s="373"/>
      <c r="J789" s="379" t="s">
        <v>871</v>
      </c>
      <c r="K789" s="373" t="s">
        <v>621</v>
      </c>
      <c r="L789" s="422">
        <v>6055000</v>
      </c>
      <c r="M789" s="375">
        <v>43804</v>
      </c>
      <c r="T789" s="163"/>
    </row>
    <row r="790" spans="1:20" x14ac:dyDescent="0.25">
      <c r="A790" s="373">
        <v>785</v>
      </c>
      <c r="B790" s="379" t="s">
        <v>870</v>
      </c>
      <c r="C790" s="379" t="s">
        <v>702</v>
      </c>
      <c r="D790" s="374">
        <v>424949136</v>
      </c>
      <c r="E790" s="393">
        <v>43768</v>
      </c>
      <c r="I790" s="373"/>
      <c r="J790" s="379" t="s">
        <v>869</v>
      </c>
      <c r="K790" s="373" t="s">
        <v>388</v>
      </c>
      <c r="L790" s="422"/>
      <c r="M790" s="373"/>
      <c r="T790" s="163"/>
    </row>
    <row r="791" spans="1:20" x14ac:dyDescent="0.25">
      <c r="A791" s="373">
        <v>786</v>
      </c>
      <c r="B791" s="379" t="s">
        <v>868</v>
      </c>
      <c r="C791" s="379" t="s">
        <v>601</v>
      </c>
      <c r="D791" s="374">
        <v>1069337805</v>
      </c>
      <c r="E791" s="393">
        <v>43768</v>
      </c>
      <c r="I791" s="373"/>
      <c r="J791" s="379" t="s">
        <v>867</v>
      </c>
      <c r="K791" s="373" t="s">
        <v>866</v>
      </c>
      <c r="L791" s="422">
        <v>1409000</v>
      </c>
      <c r="M791" s="375">
        <v>43804</v>
      </c>
      <c r="T791" s="163"/>
    </row>
    <row r="792" spans="1:20" x14ac:dyDescent="0.25">
      <c r="A792" s="373">
        <v>787</v>
      </c>
      <c r="B792" s="379" t="s">
        <v>865</v>
      </c>
      <c r="C792" s="379" t="s">
        <v>525</v>
      </c>
      <c r="D792" s="374">
        <v>390930494</v>
      </c>
      <c r="E792" s="393">
        <v>43768</v>
      </c>
      <c r="I792" s="373"/>
      <c r="J792" s="379" t="s">
        <v>864</v>
      </c>
      <c r="K792" s="373" t="s">
        <v>863</v>
      </c>
      <c r="L792" s="374">
        <v>4331000</v>
      </c>
      <c r="M792" s="375">
        <v>43804</v>
      </c>
      <c r="T792" s="163"/>
    </row>
    <row r="793" spans="1:20" x14ac:dyDescent="0.25">
      <c r="A793" s="373">
        <v>788</v>
      </c>
      <c r="B793" s="379" t="s">
        <v>862</v>
      </c>
      <c r="C793" s="379" t="s">
        <v>288</v>
      </c>
      <c r="D793" s="374">
        <v>12606000</v>
      </c>
      <c r="E793" s="393">
        <v>43768</v>
      </c>
      <c r="I793" s="373"/>
      <c r="J793" s="379" t="s">
        <v>861</v>
      </c>
      <c r="K793" s="373" t="s">
        <v>621</v>
      </c>
      <c r="L793" s="374">
        <v>15249520</v>
      </c>
      <c r="M793" s="375">
        <v>43808</v>
      </c>
      <c r="T793" s="163"/>
    </row>
    <row r="794" spans="1:20" x14ac:dyDescent="0.25">
      <c r="A794" s="373">
        <v>789</v>
      </c>
      <c r="B794" s="379" t="s">
        <v>860</v>
      </c>
      <c r="C794" s="379" t="s">
        <v>288</v>
      </c>
      <c r="D794" s="374">
        <v>58791100</v>
      </c>
      <c r="E794" s="393">
        <v>43768</v>
      </c>
      <c r="I794" s="373"/>
      <c r="J794" s="379" t="s">
        <v>859</v>
      </c>
      <c r="K794" s="373" t="s">
        <v>585</v>
      </c>
      <c r="L794" s="374">
        <v>19807950</v>
      </c>
      <c r="M794" s="375">
        <v>43808</v>
      </c>
      <c r="T794" s="163"/>
    </row>
    <row r="795" spans="1:20" x14ac:dyDescent="0.25">
      <c r="A795" s="373">
        <v>790</v>
      </c>
      <c r="B795" s="379" t="s">
        <v>858</v>
      </c>
      <c r="C795" s="379" t="s">
        <v>288</v>
      </c>
      <c r="D795" s="374">
        <v>70666200</v>
      </c>
      <c r="E795" s="393">
        <v>43768</v>
      </c>
      <c r="I795" s="373"/>
      <c r="J795" s="379" t="s">
        <v>857</v>
      </c>
      <c r="K795" s="373" t="s">
        <v>618</v>
      </c>
      <c r="L795" s="374">
        <v>19212291</v>
      </c>
      <c r="M795" s="375">
        <v>43808</v>
      </c>
      <c r="T795" s="163"/>
    </row>
    <row r="796" spans="1:20" x14ac:dyDescent="0.25">
      <c r="A796" s="373">
        <v>791</v>
      </c>
      <c r="B796" s="379" t="s">
        <v>856</v>
      </c>
      <c r="C796" s="379" t="s">
        <v>498</v>
      </c>
      <c r="D796" s="374">
        <v>106637544</v>
      </c>
      <c r="E796" s="393">
        <v>43769</v>
      </c>
      <c r="I796" s="373"/>
      <c r="J796" s="379" t="s">
        <v>855</v>
      </c>
      <c r="K796" s="373" t="s">
        <v>854</v>
      </c>
      <c r="L796" s="374">
        <v>64551822</v>
      </c>
      <c r="M796" s="375">
        <v>43808</v>
      </c>
      <c r="T796" s="163"/>
    </row>
    <row r="797" spans="1:20" x14ac:dyDescent="0.25">
      <c r="A797" s="373">
        <v>792</v>
      </c>
      <c r="B797" s="379" t="s">
        <v>853</v>
      </c>
      <c r="C797" s="379" t="s">
        <v>852</v>
      </c>
      <c r="D797" s="374">
        <v>38695400</v>
      </c>
      <c r="E797" s="393">
        <v>43769</v>
      </c>
      <c r="I797" s="373"/>
      <c r="J797" s="379" t="s">
        <v>851</v>
      </c>
      <c r="K797" s="373" t="s">
        <v>777</v>
      </c>
      <c r="L797" s="374">
        <v>9540045</v>
      </c>
      <c r="M797" s="375">
        <v>43808</v>
      </c>
      <c r="T797" s="163"/>
    </row>
    <row r="798" spans="1:20" x14ac:dyDescent="0.25">
      <c r="A798" s="373">
        <v>793</v>
      </c>
      <c r="B798" s="379" t="s">
        <v>850</v>
      </c>
      <c r="C798" s="379" t="s">
        <v>601</v>
      </c>
      <c r="D798" s="374">
        <v>451482540</v>
      </c>
      <c r="E798" s="393">
        <v>43769</v>
      </c>
      <c r="I798" s="373"/>
      <c r="J798" s="379" t="s">
        <v>849</v>
      </c>
      <c r="K798" s="373" t="s">
        <v>756</v>
      </c>
      <c r="L798" s="374">
        <v>8382649</v>
      </c>
      <c r="M798" s="375">
        <v>43808</v>
      </c>
      <c r="T798" s="163"/>
    </row>
    <row r="799" spans="1:20" x14ac:dyDescent="0.25">
      <c r="A799" s="373">
        <v>794</v>
      </c>
      <c r="B799" s="379" t="s">
        <v>848</v>
      </c>
      <c r="C799" s="379" t="s">
        <v>257</v>
      </c>
      <c r="D799" s="374">
        <v>417653000</v>
      </c>
      <c r="E799" s="393">
        <v>43769</v>
      </c>
      <c r="I799" s="373"/>
      <c r="J799" s="379" t="s">
        <v>847</v>
      </c>
      <c r="K799" s="373" t="s">
        <v>846</v>
      </c>
      <c r="L799" s="374">
        <v>15527907</v>
      </c>
      <c r="M799" s="375">
        <v>43808</v>
      </c>
      <c r="T799" s="163"/>
    </row>
    <row r="800" spans="1:20" x14ac:dyDescent="0.25">
      <c r="A800" s="373">
        <v>795</v>
      </c>
      <c r="B800" s="379" t="s">
        <v>845</v>
      </c>
      <c r="C800" s="379" t="s">
        <v>623</v>
      </c>
      <c r="D800" s="374">
        <v>114288817</v>
      </c>
      <c r="E800" s="393">
        <v>43769</v>
      </c>
      <c r="I800" s="373"/>
      <c r="J800" s="379" t="s">
        <v>844</v>
      </c>
      <c r="K800" s="373" t="s">
        <v>843</v>
      </c>
      <c r="L800" s="374">
        <v>98000000</v>
      </c>
      <c r="M800" s="375">
        <v>43808</v>
      </c>
      <c r="T800" s="163"/>
    </row>
    <row r="801" spans="1:20" x14ac:dyDescent="0.25">
      <c r="A801" s="373">
        <v>796</v>
      </c>
      <c r="B801" s="379" t="s">
        <v>842</v>
      </c>
      <c r="C801" s="379" t="s">
        <v>525</v>
      </c>
      <c r="D801" s="374">
        <v>600103927</v>
      </c>
      <c r="E801" s="393">
        <v>43769</v>
      </c>
      <c r="I801" s="373"/>
      <c r="J801" s="379" t="s">
        <v>841</v>
      </c>
      <c r="K801" s="373" t="s">
        <v>665</v>
      </c>
      <c r="L801" s="374"/>
      <c r="M801" s="375">
        <v>43809</v>
      </c>
      <c r="T801" s="163"/>
    </row>
    <row r="802" spans="1:20" x14ac:dyDescent="0.25">
      <c r="A802" s="373">
        <v>797</v>
      </c>
      <c r="B802" s="379" t="s">
        <v>840</v>
      </c>
      <c r="C802" s="379" t="s">
        <v>276</v>
      </c>
      <c r="D802" s="374">
        <v>47424328</v>
      </c>
      <c r="E802" s="393">
        <v>43769</v>
      </c>
      <c r="I802" s="373"/>
      <c r="J802" s="379" t="s">
        <v>839</v>
      </c>
      <c r="K802" s="373" t="s">
        <v>599</v>
      </c>
      <c r="L802" s="374">
        <v>15530484</v>
      </c>
      <c r="M802" s="375">
        <v>43809</v>
      </c>
      <c r="T802" s="163"/>
    </row>
    <row r="803" spans="1:20" x14ac:dyDescent="0.25">
      <c r="A803" s="373">
        <v>798</v>
      </c>
      <c r="B803" s="379" t="s">
        <v>838</v>
      </c>
      <c r="C803" s="379" t="s">
        <v>837</v>
      </c>
      <c r="D803" s="374">
        <v>1505000</v>
      </c>
      <c r="E803" s="393">
        <v>43769</v>
      </c>
      <c r="I803" s="373"/>
      <c r="J803" s="379" t="s">
        <v>836</v>
      </c>
      <c r="K803" s="373" t="s">
        <v>594</v>
      </c>
      <c r="L803" s="374">
        <v>5104507</v>
      </c>
      <c r="M803" s="375">
        <v>43809</v>
      </c>
      <c r="T803" s="163"/>
    </row>
    <row r="804" spans="1:20" x14ac:dyDescent="0.25">
      <c r="A804" s="373">
        <v>799</v>
      </c>
      <c r="B804" s="379" t="s">
        <v>835</v>
      </c>
      <c r="C804" s="379" t="s">
        <v>209</v>
      </c>
      <c r="D804" s="374">
        <v>50105000</v>
      </c>
      <c r="E804" s="393">
        <v>43769</v>
      </c>
      <c r="I804" s="373"/>
      <c r="J804" s="379" t="s">
        <v>834</v>
      </c>
      <c r="K804" s="373" t="s">
        <v>612</v>
      </c>
      <c r="L804" s="374">
        <v>21627961</v>
      </c>
      <c r="M804" s="375">
        <v>43809</v>
      </c>
      <c r="T804" s="163"/>
    </row>
    <row r="805" spans="1:20" x14ac:dyDescent="0.25">
      <c r="A805" s="373">
        <v>800</v>
      </c>
      <c r="B805" s="379" t="s">
        <v>833</v>
      </c>
      <c r="C805" s="379" t="s">
        <v>832</v>
      </c>
      <c r="D805" s="374">
        <v>565715419</v>
      </c>
      <c r="E805" s="393">
        <v>43769</v>
      </c>
      <c r="I805" s="373"/>
      <c r="J805" s="379" t="s">
        <v>831</v>
      </c>
      <c r="K805" s="373" t="s">
        <v>753</v>
      </c>
      <c r="L805" s="374">
        <v>1691000</v>
      </c>
      <c r="M805" s="375">
        <v>43809</v>
      </c>
      <c r="T805" s="163"/>
    </row>
    <row r="806" spans="1:20" x14ac:dyDescent="0.25">
      <c r="A806" s="373">
        <v>801</v>
      </c>
      <c r="B806" s="379" t="s">
        <v>830</v>
      </c>
      <c r="C806" s="379" t="s">
        <v>385</v>
      </c>
      <c r="D806" s="374">
        <v>40659412</v>
      </c>
      <c r="E806" s="393">
        <v>43769</v>
      </c>
      <c r="I806" s="373"/>
      <c r="J806" s="379" t="s">
        <v>829</v>
      </c>
      <c r="K806" s="373" t="s">
        <v>828</v>
      </c>
      <c r="L806" s="374">
        <v>988800</v>
      </c>
      <c r="M806" s="375">
        <v>43809</v>
      </c>
      <c r="T806" s="163"/>
    </row>
    <row r="807" spans="1:20" x14ac:dyDescent="0.25">
      <c r="A807" s="373">
        <v>802</v>
      </c>
      <c r="B807" s="379" t="s">
        <v>827</v>
      </c>
      <c r="C807" s="379" t="s">
        <v>798</v>
      </c>
      <c r="D807" s="374">
        <v>356549333</v>
      </c>
      <c r="E807" s="393">
        <v>43769</v>
      </c>
      <c r="I807" s="373"/>
      <c r="J807" s="379" t="s">
        <v>826</v>
      </c>
      <c r="K807" s="373" t="s">
        <v>825</v>
      </c>
      <c r="L807" s="374"/>
      <c r="M807" s="375">
        <v>43809</v>
      </c>
      <c r="T807" s="163"/>
    </row>
    <row r="808" spans="1:20" x14ac:dyDescent="0.25">
      <c r="A808" s="373">
        <v>803</v>
      </c>
      <c r="B808" s="379" t="s">
        <v>824</v>
      </c>
      <c r="C808" s="379" t="s">
        <v>322</v>
      </c>
      <c r="D808" s="374"/>
      <c r="E808" s="393">
        <v>43769</v>
      </c>
      <c r="I808" s="373"/>
      <c r="J808" s="379" t="s">
        <v>823</v>
      </c>
      <c r="K808" s="373" t="s">
        <v>822</v>
      </c>
      <c r="L808" s="374">
        <v>18689062</v>
      </c>
      <c r="M808" s="375">
        <v>43809</v>
      </c>
      <c r="T808" s="163"/>
    </row>
    <row r="809" spans="1:20" x14ac:dyDescent="0.25">
      <c r="A809" s="373">
        <v>804</v>
      </c>
      <c r="B809" s="379" t="s">
        <v>821</v>
      </c>
      <c r="C809" s="379" t="s">
        <v>702</v>
      </c>
      <c r="D809" s="374">
        <v>1756369789</v>
      </c>
      <c r="E809" s="393">
        <v>43770</v>
      </c>
      <c r="I809" s="373"/>
      <c r="J809" s="379" t="s">
        <v>820</v>
      </c>
      <c r="K809" s="373" t="s">
        <v>608</v>
      </c>
      <c r="L809" s="374">
        <v>25160627</v>
      </c>
      <c r="M809" s="375">
        <v>43809</v>
      </c>
      <c r="T809" s="163"/>
    </row>
    <row r="810" spans="1:20" x14ac:dyDescent="0.25">
      <c r="A810" s="373">
        <v>805</v>
      </c>
      <c r="B810" s="379" t="s">
        <v>819</v>
      </c>
      <c r="C810" s="379" t="s">
        <v>543</v>
      </c>
      <c r="D810" s="374">
        <v>88841735</v>
      </c>
      <c r="E810" s="393">
        <v>43770</v>
      </c>
      <c r="I810" s="373"/>
      <c r="J810" s="379" t="s">
        <v>818</v>
      </c>
      <c r="K810" s="373" t="s">
        <v>605</v>
      </c>
      <c r="L810" s="374">
        <v>10050000</v>
      </c>
      <c r="M810" s="375">
        <v>43809</v>
      </c>
      <c r="T810" s="163"/>
    </row>
    <row r="811" spans="1:20" x14ac:dyDescent="0.25">
      <c r="A811" s="373">
        <v>806</v>
      </c>
      <c r="B811" s="379" t="s">
        <v>817</v>
      </c>
      <c r="C811" s="379" t="s">
        <v>522</v>
      </c>
      <c r="D811" s="374">
        <v>268990555</v>
      </c>
      <c r="E811" s="393">
        <v>43770</v>
      </c>
      <c r="I811" s="373"/>
      <c r="J811" s="379" t="s">
        <v>816</v>
      </c>
      <c r="K811" s="373" t="s">
        <v>388</v>
      </c>
      <c r="L811" s="374"/>
      <c r="M811" s="373"/>
      <c r="T811" s="163"/>
    </row>
    <row r="812" spans="1:20" x14ac:dyDescent="0.25">
      <c r="A812" s="373">
        <v>807</v>
      </c>
      <c r="B812" s="379" t="s">
        <v>815</v>
      </c>
      <c r="C812" s="379" t="s">
        <v>431</v>
      </c>
      <c r="D812" s="374">
        <v>227010280</v>
      </c>
      <c r="E812" s="393">
        <v>43770</v>
      </c>
      <c r="I812" s="373"/>
      <c r="J812" s="379" t="s">
        <v>814</v>
      </c>
      <c r="K812" s="373" t="s">
        <v>813</v>
      </c>
      <c r="L812" s="374">
        <v>63782274</v>
      </c>
      <c r="M812" s="375">
        <v>43809</v>
      </c>
      <c r="T812" s="163"/>
    </row>
    <row r="813" spans="1:20" x14ac:dyDescent="0.25">
      <c r="A813" s="373">
        <v>808</v>
      </c>
      <c r="B813" s="379" t="s">
        <v>812</v>
      </c>
      <c r="C813" s="379" t="s">
        <v>322</v>
      </c>
      <c r="D813" s="374"/>
      <c r="E813" s="393">
        <v>43770</v>
      </c>
      <c r="I813" s="373"/>
      <c r="J813" s="379" t="s">
        <v>811</v>
      </c>
      <c r="K813" s="373" t="s">
        <v>720</v>
      </c>
      <c r="L813" s="374">
        <v>3950000</v>
      </c>
      <c r="M813" s="375">
        <v>43810</v>
      </c>
      <c r="T813" s="163"/>
    </row>
    <row r="814" spans="1:20" x14ac:dyDescent="0.25">
      <c r="A814" s="373">
        <v>809</v>
      </c>
      <c r="B814" s="379" t="s">
        <v>810</v>
      </c>
      <c r="C814" s="379" t="s">
        <v>809</v>
      </c>
      <c r="D814" s="374">
        <v>841989591</v>
      </c>
      <c r="E814" s="393">
        <v>43770</v>
      </c>
      <c r="I814" s="373"/>
      <c r="J814" s="379" t="s">
        <v>808</v>
      </c>
      <c r="K814" s="373" t="s">
        <v>807</v>
      </c>
      <c r="L814" s="374">
        <v>18953536</v>
      </c>
      <c r="M814" s="375">
        <v>43811</v>
      </c>
      <c r="T814" s="163"/>
    </row>
    <row r="815" spans="1:20" x14ac:dyDescent="0.25">
      <c r="A815" s="373">
        <v>810</v>
      </c>
      <c r="B815" s="379" t="s">
        <v>806</v>
      </c>
      <c r="C815" s="379" t="s">
        <v>702</v>
      </c>
      <c r="D815" s="374">
        <v>1499934829</v>
      </c>
      <c r="E815" s="393">
        <v>43770</v>
      </c>
      <c r="I815" s="373"/>
      <c r="J815" s="379" t="s">
        <v>805</v>
      </c>
      <c r="K815" s="373" t="s">
        <v>725</v>
      </c>
      <c r="L815" s="374">
        <v>16284837</v>
      </c>
      <c r="M815" s="375">
        <v>43811</v>
      </c>
      <c r="T815" s="163"/>
    </row>
    <row r="816" spans="1:20" x14ac:dyDescent="0.25">
      <c r="A816" s="373">
        <v>811</v>
      </c>
      <c r="B816" s="379" t="s">
        <v>804</v>
      </c>
      <c r="C816" s="379" t="s">
        <v>322</v>
      </c>
      <c r="D816" s="374"/>
      <c r="E816" s="393"/>
      <c r="I816" s="373"/>
      <c r="J816" s="379" t="s">
        <v>803</v>
      </c>
      <c r="K816" s="373" t="s">
        <v>802</v>
      </c>
      <c r="L816" s="374">
        <v>15004461</v>
      </c>
      <c r="M816" s="375">
        <v>43811</v>
      </c>
      <c r="T816" s="163"/>
    </row>
    <row r="817" spans="1:20" x14ac:dyDescent="0.25">
      <c r="A817" s="373">
        <v>812</v>
      </c>
      <c r="B817" s="379" t="s">
        <v>801</v>
      </c>
      <c r="C817" s="379" t="s">
        <v>431</v>
      </c>
      <c r="D817" s="374">
        <v>253205900</v>
      </c>
      <c r="E817" s="393">
        <v>43770</v>
      </c>
      <c r="I817" s="373"/>
      <c r="J817" s="379" t="s">
        <v>800</v>
      </c>
      <c r="K817" s="373" t="s">
        <v>599</v>
      </c>
      <c r="L817" s="374">
        <v>8367615</v>
      </c>
      <c r="M817" s="375">
        <v>43811</v>
      </c>
      <c r="T817" s="163"/>
    </row>
    <row r="818" spans="1:20" x14ac:dyDescent="0.25">
      <c r="A818" s="373">
        <v>813</v>
      </c>
      <c r="B818" s="379" t="s">
        <v>799</v>
      </c>
      <c r="C818" s="379" t="s">
        <v>798</v>
      </c>
      <c r="D818" s="374">
        <v>387880941</v>
      </c>
      <c r="E818" s="393">
        <v>43770</v>
      </c>
      <c r="I818" s="373"/>
      <c r="J818" s="379" t="s">
        <v>797</v>
      </c>
      <c r="K818" s="373" t="s">
        <v>796</v>
      </c>
      <c r="L818" s="374">
        <v>7736755</v>
      </c>
      <c r="M818" s="375">
        <v>43811</v>
      </c>
      <c r="T818" s="163"/>
    </row>
    <row r="819" spans="1:20" x14ac:dyDescent="0.25">
      <c r="A819" s="373">
        <v>814</v>
      </c>
      <c r="B819" s="379" t="s">
        <v>795</v>
      </c>
      <c r="C819" s="379" t="s">
        <v>601</v>
      </c>
      <c r="D819" s="374">
        <v>396462893</v>
      </c>
      <c r="E819" s="393">
        <v>43772</v>
      </c>
      <c r="I819" s="373"/>
      <c r="J819" s="379" t="s">
        <v>794</v>
      </c>
      <c r="K819" s="373" t="s">
        <v>608</v>
      </c>
      <c r="L819" s="374">
        <v>14055207</v>
      </c>
      <c r="M819" s="375">
        <v>43811</v>
      </c>
      <c r="T819" s="163"/>
    </row>
    <row r="820" spans="1:20" x14ac:dyDescent="0.25">
      <c r="A820" s="373">
        <v>815</v>
      </c>
      <c r="B820" s="379" t="s">
        <v>793</v>
      </c>
      <c r="C820" s="379" t="s">
        <v>522</v>
      </c>
      <c r="D820" s="374">
        <v>372285964</v>
      </c>
      <c r="E820" s="393">
        <v>43772</v>
      </c>
      <c r="I820" s="373"/>
      <c r="J820" s="379" t="s">
        <v>792</v>
      </c>
      <c r="K820" s="373" t="s">
        <v>791</v>
      </c>
      <c r="L820" s="374">
        <v>1338339</v>
      </c>
      <c r="M820" s="375">
        <v>43811</v>
      </c>
      <c r="T820" s="163"/>
    </row>
    <row r="821" spans="1:20" x14ac:dyDescent="0.25">
      <c r="A821" s="373">
        <v>816</v>
      </c>
      <c r="B821" s="379" t="s">
        <v>790</v>
      </c>
      <c r="C821" s="379" t="s">
        <v>789</v>
      </c>
      <c r="D821" s="374">
        <v>461065500</v>
      </c>
      <c r="E821" s="393">
        <v>43773</v>
      </c>
      <c r="I821" s="373"/>
      <c r="J821" s="379" t="s">
        <v>788</v>
      </c>
      <c r="K821" s="373" t="s">
        <v>605</v>
      </c>
      <c r="L821" s="374">
        <v>11425930</v>
      </c>
      <c r="M821" s="375">
        <v>43811</v>
      </c>
      <c r="T821" s="163"/>
    </row>
    <row r="822" spans="1:20" x14ac:dyDescent="0.25">
      <c r="A822" s="373">
        <v>817</v>
      </c>
      <c r="B822" s="379" t="s">
        <v>787</v>
      </c>
      <c r="C822" s="379" t="s">
        <v>623</v>
      </c>
      <c r="D822" s="374">
        <v>120317305</v>
      </c>
      <c r="E822" s="393">
        <v>43774</v>
      </c>
      <c r="I822" s="373"/>
      <c r="J822" s="379" t="s">
        <v>786</v>
      </c>
      <c r="K822" s="373" t="s">
        <v>388</v>
      </c>
      <c r="L822" s="374"/>
      <c r="M822" s="373"/>
      <c r="T822" s="163"/>
    </row>
    <row r="823" spans="1:20" x14ac:dyDescent="0.25">
      <c r="A823" s="373">
        <v>818</v>
      </c>
      <c r="B823" s="379" t="s">
        <v>785</v>
      </c>
      <c r="C823" s="379" t="s">
        <v>322</v>
      </c>
      <c r="D823" s="374"/>
      <c r="E823" s="393">
        <v>43774</v>
      </c>
      <c r="I823" s="373"/>
      <c r="J823" s="379" t="s">
        <v>784</v>
      </c>
      <c r="K823" s="373" t="s">
        <v>756</v>
      </c>
      <c r="L823" s="374">
        <v>2713663</v>
      </c>
      <c r="M823" s="375">
        <v>43811</v>
      </c>
      <c r="T823" s="163"/>
    </row>
    <row r="824" spans="1:20" x14ac:dyDescent="0.25">
      <c r="A824" s="373">
        <v>819</v>
      </c>
      <c r="B824" s="379" t="s">
        <v>783</v>
      </c>
      <c r="C824" s="379" t="s">
        <v>257</v>
      </c>
      <c r="D824" s="374">
        <v>311624000</v>
      </c>
      <c r="E824" s="393">
        <v>43774</v>
      </c>
      <c r="I824" s="373"/>
      <c r="J824" s="379" t="s">
        <v>782</v>
      </c>
      <c r="K824" s="373" t="s">
        <v>621</v>
      </c>
      <c r="L824" s="374">
        <v>12221818</v>
      </c>
      <c r="M824" s="375">
        <v>43811</v>
      </c>
      <c r="T824" s="163"/>
    </row>
    <row r="825" spans="1:20" x14ac:dyDescent="0.25">
      <c r="A825" s="373">
        <v>820</v>
      </c>
      <c r="B825" s="379" t="s">
        <v>781</v>
      </c>
      <c r="C825" s="379" t="s">
        <v>522</v>
      </c>
      <c r="D825" s="374">
        <v>206763376</v>
      </c>
      <c r="E825" s="393">
        <v>43774</v>
      </c>
      <c r="I825" s="373"/>
      <c r="J825" s="379" t="s">
        <v>780</v>
      </c>
      <c r="K825" s="373" t="s">
        <v>585</v>
      </c>
      <c r="L825" s="374">
        <v>10678370</v>
      </c>
      <c r="M825" s="375">
        <v>43811</v>
      </c>
      <c r="T825" s="163"/>
    </row>
    <row r="826" spans="1:20" x14ac:dyDescent="0.25">
      <c r="A826" s="373">
        <v>821</v>
      </c>
      <c r="B826" s="379" t="s">
        <v>779</v>
      </c>
      <c r="C826" s="379" t="s">
        <v>129</v>
      </c>
      <c r="D826" s="374">
        <v>104043702</v>
      </c>
      <c r="E826" s="393">
        <v>43774</v>
      </c>
      <c r="I826" s="373"/>
      <c r="J826" s="379" t="s">
        <v>778</v>
      </c>
      <c r="K826" s="373" t="s">
        <v>777</v>
      </c>
      <c r="L826" s="374">
        <v>554320</v>
      </c>
      <c r="M826" s="375">
        <v>43811</v>
      </c>
      <c r="T826" s="163"/>
    </row>
    <row r="827" spans="1:20" x14ac:dyDescent="0.25">
      <c r="A827" s="373">
        <v>822</v>
      </c>
      <c r="B827" s="379" t="s">
        <v>776</v>
      </c>
      <c r="C827" s="379" t="s">
        <v>322</v>
      </c>
      <c r="D827" s="374"/>
      <c r="E827" s="393">
        <v>43774</v>
      </c>
      <c r="I827" s="373"/>
      <c r="J827" s="379" t="s">
        <v>775</v>
      </c>
      <c r="K827" s="373" t="s">
        <v>618</v>
      </c>
      <c r="L827" s="374">
        <v>10105689</v>
      </c>
      <c r="M827" s="375">
        <v>43811</v>
      </c>
      <c r="T827" s="163"/>
    </row>
    <row r="828" spans="1:20" x14ac:dyDescent="0.25">
      <c r="A828" s="373">
        <v>823</v>
      </c>
      <c r="B828" s="379" t="s">
        <v>774</v>
      </c>
      <c r="C828" s="379" t="s">
        <v>322</v>
      </c>
      <c r="D828" s="374"/>
      <c r="E828" s="393">
        <v>43774</v>
      </c>
      <c r="I828" s="373"/>
      <c r="J828" s="379" t="s">
        <v>773</v>
      </c>
      <c r="K828" s="373" t="s">
        <v>388</v>
      </c>
      <c r="L828" s="374"/>
      <c r="M828" s="373"/>
      <c r="T828" s="163"/>
    </row>
    <row r="829" spans="1:20" x14ac:dyDescent="0.25">
      <c r="A829" s="373">
        <v>824</v>
      </c>
      <c r="B829" s="379" t="s">
        <v>772</v>
      </c>
      <c r="C829" s="379" t="s">
        <v>22</v>
      </c>
      <c r="D829" s="374">
        <v>425122532</v>
      </c>
      <c r="E829" s="393">
        <v>43774</v>
      </c>
      <c r="I829" s="373"/>
      <c r="J829" s="379" t="s">
        <v>771</v>
      </c>
      <c r="K829" s="373" t="s">
        <v>770</v>
      </c>
      <c r="L829" s="374">
        <v>2038500</v>
      </c>
      <c r="M829" s="375">
        <v>43811</v>
      </c>
      <c r="T829" s="163"/>
    </row>
    <row r="830" spans="1:20" x14ac:dyDescent="0.25">
      <c r="A830" s="373">
        <v>825</v>
      </c>
      <c r="B830" s="379" t="s">
        <v>769</v>
      </c>
      <c r="C830" s="379" t="s">
        <v>322</v>
      </c>
      <c r="D830" s="374"/>
      <c r="E830" s="393">
        <v>43774</v>
      </c>
      <c r="I830" s="373"/>
      <c r="J830" s="379" t="s">
        <v>768</v>
      </c>
      <c r="K830" s="373" t="s">
        <v>767</v>
      </c>
      <c r="L830" s="374">
        <v>1655000</v>
      </c>
      <c r="M830" s="375">
        <v>43812</v>
      </c>
      <c r="T830" s="163"/>
    </row>
    <row r="831" spans="1:20" x14ac:dyDescent="0.25">
      <c r="A831" s="373">
        <v>826</v>
      </c>
      <c r="B831" s="379" t="s">
        <v>766</v>
      </c>
      <c r="C831" s="379" t="s">
        <v>23</v>
      </c>
      <c r="D831" s="374">
        <v>1002276223</v>
      </c>
      <c r="E831" s="393">
        <v>43774</v>
      </c>
      <c r="I831" s="373"/>
      <c r="J831" s="379" t="s">
        <v>765</v>
      </c>
      <c r="K831" s="373" t="s">
        <v>605</v>
      </c>
      <c r="L831" s="374">
        <v>7762000</v>
      </c>
      <c r="M831" s="375">
        <v>43812</v>
      </c>
      <c r="T831" s="163"/>
    </row>
    <row r="832" spans="1:20" x14ac:dyDescent="0.25">
      <c r="A832" s="373">
        <v>827</v>
      </c>
      <c r="B832" s="379" t="s">
        <v>764</v>
      </c>
      <c r="C832" s="379" t="s">
        <v>210</v>
      </c>
      <c r="D832" s="374">
        <v>792797900</v>
      </c>
      <c r="E832" s="393">
        <v>43774</v>
      </c>
      <c r="I832" s="373"/>
      <c r="J832" s="379" t="s">
        <v>763</v>
      </c>
      <c r="K832" s="373" t="s">
        <v>582</v>
      </c>
      <c r="L832" s="374">
        <v>19491883</v>
      </c>
      <c r="M832" s="375">
        <v>43812</v>
      </c>
      <c r="T832" s="163"/>
    </row>
    <row r="833" spans="1:20" x14ac:dyDescent="0.25">
      <c r="A833" s="373">
        <v>828</v>
      </c>
      <c r="B833" s="379" t="s">
        <v>762</v>
      </c>
      <c r="C833" s="379" t="s">
        <v>283</v>
      </c>
      <c r="D833" s="374">
        <v>170855000</v>
      </c>
      <c r="E833" s="393">
        <v>43774</v>
      </c>
      <c r="I833" s="373"/>
      <c r="J833" s="379" t="s">
        <v>761</v>
      </c>
      <c r="K833" s="373" t="s">
        <v>760</v>
      </c>
      <c r="L833" s="374">
        <v>980000</v>
      </c>
      <c r="M833" s="375">
        <v>43815</v>
      </c>
      <c r="T833" s="163"/>
    </row>
    <row r="834" spans="1:20" x14ac:dyDescent="0.25">
      <c r="A834" s="373">
        <v>829</v>
      </c>
      <c r="B834" s="379" t="s">
        <v>759</v>
      </c>
      <c r="C834" s="379" t="s">
        <v>758</v>
      </c>
      <c r="D834" s="374">
        <v>185073314</v>
      </c>
      <c r="E834" s="393">
        <v>43774</v>
      </c>
      <c r="I834" s="373"/>
      <c r="J834" s="379" t="s">
        <v>757</v>
      </c>
      <c r="K834" s="373" t="s">
        <v>756</v>
      </c>
      <c r="L834" s="374">
        <v>16558101</v>
      </c>
      <c r="M834" s="375">
        <v>43815</v>
      </c>
      <c r="T834" s="163"/>
    </row>
    <row r="835" spans="1:20" x14ac:dyDescent="0.25">
      <c r="A835" s="373">
        <v>830</v>
      </c>
      <c r="B835" s="379" t="s">
        <v>755</v>
      </c>
      <c r="C835" s="379" t="s">
        <v>495</v>
      </c>
      <c r="D835" s="374">
        <v>7205000</v>
      </c>
      <c r="E835" s="393">
        <v>43774</v>
      </c>
      <c r="I835" s="373"/>
      <c r="J835" s="379" t="s">
        <v>754</v>
      </c>
      <c r="K835" s="373" t="s">
        <v>753</v>
      </c>
      <c r="L835" s="374">
        <v>13919512</v>
      </c>
      <c r="M835" s="375">
        <v>43815</v>
      </c>
      <c r="T835" s="163"/>
    </row>
    <row r="836" spans="1:20" x14ac:dyDescent="0.25">
      <c r="A836" s="373">
        <v>831</v>
      </c>
      <c r="B836" s="379" t="s">
        <v>752</v>
      </c>
      <c r="C836" s="379" t="s">
        <v>495</v>
      </c>
      <c r="D836" s="374">
        <v>28005000</v>
      </c>
      <c r="E836" s="393">
        <v>43774</v>
      </c>
      <c r="I836" s="373"/>
      <c r="J836" s="379" t="s">
        <v>751</v>
      </c>
      <c r="K836" s="373" t="s">
        <v>605</v>
      </c>
      <c r="L836" s="374">
        <v>43170311</v>
      </c>
      <c r="M836" s="375">
        <v>43815</v>
      </c>
      <c r="T836" s="163"/>
    </row>
    <row r="837" spans="1:20" x14ac:dyDescent="0.25">
      <c r="A837" s="373">
        <v>832</v>
      </c>
      <c r="B837" s="379" t="s">
        <v>750</v>
      </c>
      <c r="C837" s="379" t="s">
        <v>322</v>
      </c>
      <c r="D837" s="374"/>
      <c r="E837" s="393"/>
      <c r="I837" s="373"/>
      <c r="J837" s="379" t="s">
        <v>749</v>
      </c>
      <c r="K837" s="373" t="s">
        <v>618</v>
      </c>
      <c r="L837" s="374">
        <v>20513251</v>
      </c>
      <c r="M837" s="375">
        <v>43815</v>
      </c>
      <c r="T837" s="163"/>
    </row>
    <row r="838" spans="1:20" x14ac:dyDescent="0.25">
      <c r="A838" s="373">
        <v>833</v>
      </c>
      <c r="B838" s="379" t="s">
        <v>748</v>
      </c>
      <c r="C838" s="379" t="s">
        <v>22</v>
      </c>
      <c r="D838" s="374">
        <v>653074570</v>
      </c>
      <c r="E838" s="393">
        <v>43775</v>
      </c>
      <c r="I838" s="373"/>
      <c r="J838" s="379" t="s">
        <v>747</v>
      </c>
      <c r="K838" s="373" t="s">
        <v>621</v>
      </c>
      <c r="L838" s="374">
        <v>22871269</v>
      </c>
      <c r="M838" s="375">
        <v>43815</v>
      </c>
      <c r="T838" s="163"/>
    </row>
    <row r="839" spans="1:20" x14ac:dyDescent="0.25">
      <c r="A839" s="373">
        <v>834</v>
      </c>
      <c r="B839" s="379" t="s">
        <v>746</v>
      </c>
      <c r="C839" s="379" t="s">
        <v>322</v>
      </c>
      <c r="D839" s="374"/>
      <c r="E839" s="393"/>
      <c r="I839" s="373"/>
      <c r="J839" s="379" t="s">
        <v>745</v>
      </c>
      <c r="K839" s="373" t="s">
        <v>585</v>
      </c>
      <c r="L839" s="374">
        <v>29260927</v>
      </c>
      <c r="M839" s="375">
        <v>43815</v>
      </c>
      <c r="T839" s="163"/>
    </row>
    <row r="840" spans="1:20" x14ac:dyDescent="0.25">
      <c r="A840" s="373">
        <v>835</v>
      </c>
      <c r="B840" s="379" t="s">
        <v>744</v>
      </c>
      <c r="C840" s="379" t="s">
        <v>322</v>
      </c>
      <c r="D840" s="374"/>
      <c r="E840" s="393"/>
      <c r="I840" s="373"/>
      <c r="J840" s="379" t="s">
        <v>743</v>
      </c>
      <c r="K840" s="373" t="s">
        <v>742</v>
      </c>
      <c r="L840" s="374">
        <v>32973080</v>
      </c>
      <c r="M840" s="375">
        <v>43815</v>
      </c>
      <c r="T840" s="163"/>
    </row>
    <row r="841" spans="1:20" x14ac:dyDescent="0.25">
      <c r="A841" s="373">
        <v>836</v>
      </c>
      <c r="B841" s="379" t="s">
        <v>741</v>
      </c>
      <c r="C841" s="379" t="s">
        <v>23</v>
      </c>
      <c r="D841" s="374">
        <v>1658531356</v>
      </c>
      <c r="E841" s="393">
        <v>43775</v>
      </c>
      <c r="I841" s="373"/>
      <c r="J841" s="379" t="s">
        <v>740</v>
      </c>
      <c r="K841" s="373" t="s">
        <v>557</v>
      </c>
      <c r="L841" s="374">
        <v>25917106</v>
      </c>
      <c r="M841" s="375">
        <v>43816</v>
      </c>
      <c r="T841" s="163"/>
    </row>
    <row r="842" spans="1:20" x14ac:dyDescent="0.25">
      <c r="A842" s="373">
        <v>837</v>
      </c>
      <c r="B842" s="379" t="s">
        <v>739</v>
      </c>
      <c r="C842" s="379" t="s">
        <v>522</v>
      </c>
      <c r="D842" s="374">
        <v>288059716</v>
      </c>
      <c r="E842" s="393">
        <v>43775</v>
      </c>
      <c r="I842" s="373"/>
      <c r="J842" s="379" t="s">
        <v>738</v>
      </c>
      <c r="K842" s="373" t="s">
        <v>612</v>
      </c>
      <c r="L842" s="374">
        <v>41333076</v>
      </c>
      <c r="M842" s="375">
        <v>43816</v>
      </c>
      <c r="T842" s="163"/>
    </row>
    <row r="843" spans="1:20" x14ac:dyDescent="0.25">
      <c r="A843" s="373">
        <v>838</v>
      </c>
      <c r="B843" s="379" t="s">
        <v>737</v>
      </c>
      <c r="C843" s="379" t="s">
        <v>736</v>
      </c>
      <c r="D843" s="374">
        <v>536390966</v>
      </c>
      <c r="E843" s="393">
        <v>43775</v>
      </c>
      <c r="I843" s="373"/>
      <c r="J843" s="379" t="s">
        <v>735</v>
      </c>
      <c r="K843" s="373" t="s">
        <v>599</v>
      </c>
      <c r="L843" s="374">
        <v>25828585</v>
      </c>
      <c r="M843" s="375">
        <v>43816</v>
      </c>
      <c r="T843" s="163"/>
    </row>
    <row r="844" spans="1:20" x14ac:dyDescent="0.25">
      <c r="A844" s="373">
        <v>839</v>
      </c>
      <c r="B844" s="379" t="s">
        <v>734</v>
      </c>
      <c r="C844" s="379" t="s">
        <v>601</v>
      </c>
      <c r="D844" s="374">
        <v>108612881</v>
      </c>
      <c r="E844" s="393">
        <v>43775</v>
      </c>
      <c r="I844" s="373"/>
      <c r="J844" s="379" t="s">
        <v>733</v>
      </c>
      <c r="K844" s="373" t="s">
        <v>585</v>
      </c>
      <c r="L844" s="374">
        <v>3258500</v>
      </c>
      <c r="M844" s="375">
        <v>43816</v>
      </c>
      <c r="T844" s="163"/>
    </row>
    <row r="845" spans="1:20" x14ac:dyDescent="0.25">
      <c r="A845" s="373">
        <v>840</v>
      </c>
      <c r="B845" s="379" t="s">
        <v>732</v>
      </c>
      <c r="C845" s="379" t="s">
        <v>731</v>
      </c>
      <c r="D845" s="374">
        <v>797552242</v>
      </c>
      <c r="E845" s="393">
        <v>43776</v>
      </c>
      <c r="I845" s="373"/>
      <c r="J845" s="379" t="s">
        <v>730</v>
      </c>
      <c r="K845" s="373" t="s">
        <v>594</v>
      </c>
      <c r="L845" s="374">
        <v>3862794</v>
      </c>
      <c r="M845" s="375">
        <v>43816</v>
      </c>
      <c r="T845" s="163"/>
    </row>
    <row r="846" spans="1:20" x14ac:dyDescent="0.25">
      <c r="A846" s="373">
        <v>841</v>
      </c>
      <c r="B846" s="379" t="s">
        <v>729</v>
      </c>
      <c r="C846" s="379" t="s">
        <v>709</v>
      </c>
      <c r="D846" s="374">
        <v>249078240</v>
      </c>
      <c r="E846" s="393">
        <v>43776</v>
      </c>
      <c r="I846" s="373"/>
      <c r="J846" s="379" t="s">
        <v>728</v>
      </c>
      <c r="K846" s="373" t="s">
        <v>608</v>
      </c>
      <c r="L846" s="374">
        <v>28789315</v>
      </c>
      <c r="M846" s="375">
        <v>43816</v>
      </c>
      <c r="T846" s="163"/>
    </row>
    <row r="847" spans="1:20" x14ac:dyDescent="0.25">
      <c r="A847" s="373">
        <v>842</v>
      </c>
      <c r="B847" s="379" t="s">
        <v>727</v>
      </c>
      <c r="C847" s="379" t="s">
        <v>525</v>
      </c>
      <c r="D847" s="374">
        <v>2460578460</v>
      </c>
      <c r="E847" s="393">
        <v>43776</v>
      </c>
      <c r="I847" s="373"/>
      <c r="J847" s="379" t="s">
        <v>726</v>
      </c>
      <c r="K847" s="373" t="s">
        <v>725</v>
      </c>
      <c r="L847" s="374">
        <v>31727520</v>
      </c>
      <c r="M847" s="375">
        <v>43816</v>
      </c>
      <c r="T847" s="163"/>
    </row>
    <row r="848" spans="1:20" x14ac:dyDescent="0.25">
      <c r="A848" s="373">
        <v>843</v>
      </c>
      <c r="B848" s="379" t="s">
        <v>724</v>
      </c>
      <c r="C848" s="379" t="s">
        <v>23</v>
      </c>
      <c r="D848" s="374">
        <v>36775125</v>
      </c>
      <c r="E848" s="393">
        <v>43776</v>
      </c>
      <c r="I848" s="373"/>
      <c r="J848" s="379" t="s">
        <v>723</v>
      </c>
      <c r="K848" s="373" t="s">
        <v>665</v>
      </c>
      <c r="L848" s="374">
        <v>14260863</v>
      </c>
      <c r="M848" s="375">
        <v>43816</v>
      </c>
      <c r="T848" s="163"/>
    </row>
    <row r="849" spans="1:20" x14ac:dyDescent="0.25">
      <c r="A849" s="373">
        <v>844</v>
      </c>
      <c r="B849" s="379" t="s">
        <v>722</v>
      </c>
      <c r="C849" s="379" t="s">
        <v>388</v>
      </c>
      <c r="D849" s="374"/>
      <c r="E849" s="393">
        <v>43776</v>
      </c>
      <c r="I849" s="373"/>
      <c r="J849" s="379" t="s">
        <v>721</v>
      </c>
      <c r="K849" s="373" t="s">
        <v>720</v>
      </c>
      <c r="L849" s="374">
        <v>1950000</v>
      </c>
      <c r="M849" s="375">
        <v>43816</v>
      </c>
      <c r="T849" s="163"/>
    </row>
    <row r="850" spans="1:20" x14ac:dyDescent="0.25">
      <c r="A850" s="373">
        <v>845</v>
      </c>
      <c r="B850" s="379" t="s">
        <v>719</v>
      </c>
      <c r="C850" s="379" t="s">
        <v>718</v>
      </c>
      <c r="D850" s="374">
        <v>400981645</v>
      </c>
      <c r="E850" s="393">
        <v>43776</v>
      </c>
      <c r="I850" s="373"/>
      <c r="J850" s="379" t="s">
        <v>717</v>
      </c>
      <c r="K850" s="373" t="s">
        <v>612</v>
      </c>
      <c r="L850" s="374">
        <v>13200000</v>
      </c>
      <c r="M850" s="375">
        <v>43817</v>
      </c>
      <c r="T850" s="163"/>
    </row>
    <row r="851" spans="1:20" x14ac:dyDescent="0.25">
      <c r="A851" s="373">
        <v>846</v>
      </c>
      <c r="B851" s="379" t="s">
        <v>716</v>
      </c>
      <c r="C851" s="379" t="s">
        <v>417</v>
      </c>
      <c r="D851" s="374">
        <v>70868624</v>
      </c>
      <c r="E851" s="393">
        <v>43777</v>
      </c>
      <c r="I851" s="373"/>
      <c r="J851" s="379" t="s">
        <v>715</v>
      </c>
      <c r="K851" s="373" t="s">
        <v>588</v>
      </c>
      <c r="L851" s="374">
        <v>5135000</v>
      </c>
      <c r="M851" s="375">
        <v>43817</v>
      </c>
      <c r="T851" s="163"/>
    </row>
    <row r="852" spans="1:20" x14ac:dyDescent="0.25">
      <c r="A852" s="373">
        <v>847</v>
      </c>
      <c r="B852" s="379" t="s">
        <v>714</v>
      </c>
      <c r="C852" s="379" t="s">
        <v>525</v>
      </c>
      <c r="D852" s="374">
        <v>1624120517</v>
      </c>
      <c r="E852" s="393">
        <v>43777</v>
      </c>
      <c r="I852" s="373"/>
      <c r="J852" s="379" t="s">
        <v>713</v>
      </c>
      <c r="K852" s="373" t="s">
        <v>608</v>
      </c>
      <c r="L852" s="374">
        <v>33587979</v>
      </c>
      <c r="M852" s="375">
        <v>43817</v>
      </c>
      <c r="T852" s="163"/>
    </row>
    <row r="853" spans="1:20" x14ac:dyDescent="0.25">
      <c r="A853" s="373">
        <v>848</v>
      </c>
      <c r="B853" s="379" t="s">
        <v>712</v>
      </c>
      <c r="C853" s="379" t="s">
        <v>522</v>
      </c>
      <c r="D853" s="374">
        <v>383127426</v>
      </c>
      <c r="E853" s="393">
        <v>43777</v>
      </c>
      <c r="I853" s="373"/>
      <c r="J853" s="379" t="s">
        <v>711</v>
      </c>
      <c r="K853" s="373" t="s">
        <v>557</v>
      </c>
      <c r="L853" s="374">
        <v>5645000</v>
      </c>
      <c r="M853" s="375">
        <v>43817</v>
      </c>
      <c r="T853" s="163"/>
    </row>
    <row r="854" spans="1:20" x14ac:dyDescent="0.25">
      <c r="A854" s="373">
        <v>849</v>
      </c>
      <c r="B854" s="379" t="s">
        <v>710</v>
      </c>
      <c r="C854" s="379" t="s">
        <v>709</v>
      </c>
      <c r="D854" s="374">
        <v>299702550</v>
      </c>
      <c r="E854" s="393">
        <v>43780</v>
      </c>
      <c r="I854" s="373"/>
      <c r="J854" s="379" t="s">
        <v>708</v>
      </c>
      <c r="K854" s="373" t="s">
        <v>599</v>
      </c>
      <c r="L854" s="374">
        <v>11751934</v>
      </c>
      <c r="M854" s="375">
        <v>43817</v>
      </c>
      <c r="T854" s="163"/>
    </row>
    <row r="855" spans="1:20" x14ac:dyDescent="0.25">
      <c r="A855" s="373">
        <v>850</v>
      </c>
      <c r="B855" s="379" t="s">
        <v>707</v>
      </c>
      <c r="C855" s="379" t="s">
        <v>522</v>
      </c>
      <c r="D855" s="374">
        <v>139565969</v>
      </c>
      <c r="E855" s="393">
        <v>43780</v>
      </c>
      <c r="I855" s="373"/>
      <c r="J855" s="379" t="s">
        <v>706</v>
      </c>
      <c r="K855" s="373" t="s">
        <v>605</v>
      </c>
      <c r="L855" s="374">
        <v>14915000</v>
      </c>
      <c r="M855" s="375">
        <v>43817</v>
      </c>
      <c r="T855" s="163"/>
    </row>
    <row r="856" spans="1:20" x14ac:dyDescent="0.25">
      <c r="A856" s="373">
        <v>851</v>
      </c>
      <c r="B856" s="379" t="s">
        <v>705</v>
      </c>
      <c r="C856" s="379" t="s">
        <v>525</v>
      </c>
      <c r="D856" s="374">
        <v>1246375827</v>
      </c>
      <c r="E856" s="393">
        <v>43780</v>
      </c>
      <c r="I856" s="373"/>
      <c r="J856" s="379" t="s">
        <v>704</v>
      </c>
      <c r="K856" s="373" t="s">
        <v>618</v>
      </c>
      <c r="L856" s="374">
        <v>14075384</v>
      </c>
      <c r="M856" s="375">
        <v>43817</v>
      </c>
      <c r="T856" s="163"/>
    </row>
    <row r="857" spans="1:20" x14ac:dyDescent="0.25">
      <c r="A857" s="373">
        <v>852</v>
      </c>
      <c r="B857" s="379" t="s">
        <v>703</v>
      </c>
      <c r="C857" s="379" t="s">
        <v>702</v>
      </c>
      <c r="D857" s="374">
        <v>419801741</v>
      </c>
      <c r="E857" s="393">
        <v>43780</v>
      </c>
      <c r="I857" s="373"/>
      <c r="J857" s="379" t="s">
        <v>701</v>
      </c>
      <c r="K857" s="373" t="s">
        <v>700</v>
      </c>
      <c r="L857" s="374">
        <v>2425000</v>
      </c>
      <c r="M857" s="375">
        <v>43817</v>
      </c>
      <c r="T857" s="163"/>
    </row>
    <row r="858" spans="1:20" x14ac:dyDescent="0.25">
      <c r="A858" s="373">
        <v>853</v>
      </c>
      <c r="B858" s="379" t="s">
        <v>699</v>
      </c>
      <c r="C858" s="379" t="s">
        <v>322</v>
      </c>
      <c r="D858" s="374"/>
      <c r="E858" s="393">
        <v>43780</v>
      </c>
      <c r="I858" s="373"/>
      <c r="J858" s="379" t="s">
        <v>698</v>
      </c>
      <c r="K858" s="373" t="s">
        <v>585</v>
      </c>
      <c r="L858" s="374">
        <v>4895000</v>
      </c>
      <c r="M858" s="375">
        <v>43817</v>
      </c>
      <c r="T858" s="163"/>
    </row>
    <row r="859" spans="1:20" x14ac:dyDescent="0.25">
      <c r="A859" s="373">
        <v>854</v>
      </c>
      <c r="B859" s="379" t="s">
        <v>697</v>
      </c>
      <c r="C859" s="379" t="s">
        <v>417</v>
      </c>
      <c r="D859" s="374">
        <v>63171352</v>
      </c>
      <c r="E859" s="393">
        <v>43780</v>
      </c>
      <c r="I859" s="373"/>
      <c r="J859" s="379" t="s">
        <v>696</v>
      </c>
      <c r="K859" s="373" t="s">
        <v>621</v>
      </c>
      <c r="L859" s="374">
        <v>7705000</v>
      </c>
      <c r="M859" s="375">
        <v>43817</v>
      </c>
      <c r="T859" s="163"/>
    </row>
    <row r="860" spans="1:20" x14ac:dyDescent="0.25">
      <c r="A860" s="373">
        <v>855</v>
      </c>
      <c r="B860" s="379" t="s">
        <v>695</v>
      </c>
      <c r="C860" s="379" t="s">
        <v>694</v>
      </c>
      <c r="D860" s="374">
        <v>100483459</v>
      </c>
      <c r="E860" s="393">
        <v>43780</v>
      </c>
      <c r="I860" s="373"/>
      <c r="J860" s="379" t="s">
        <v>693</v>
      </c>
      <c r="K860" s="373" t="s">
        <v>594</v>
      </c>
      <c r="L860" s="374">
        <v>2635955</v>
      </c>
      <c r="M860" s="375">
        <v>43817</v>
      </c>
      <c r="T860" s="163"/>
    </row>
    <row r="861" spans="1:20" x14ac:dyDescent="0.25">
      <c r="A861" s="373">
        <v>856</v>
      </c>
      <c r="B861" s="379" t="s">
        <v>692</v>
      </c>
      <c r="C861" s="379" t="s">
        <v>276</v>
      </c>
      <c r="D861" s="374">
        <v>153240123</v>
      </c>
      <c r="E861" s="393">
        <v>43780</v>
      </c>
      <c r="I861" s="373"/>
      <c r="J861" s="379" t="s">
        <v>691</v>
      </c>
      <c r="K861" s="373" t="s">
        <v>690</v>
      </c>
      <c r="L861" s="374">
        <v>533338333</v>
      </c>
      <c r="M861" s="375">
        <v>43817</v>
      </c>
      <c r="T861" s="163"/>
    </row>
    <row r="862" spans="1:20" x14ac:dyDescent="0.25">
      <c r="A862" s="373">
        <v>857</v>
      </c>
      <c r="B862" s="379" t="s">
        <v>689</v>
      </c>
      <c r="C862" s="379" t="s">
        <v>688</v>
      </c>
      <c r="D862" s="374">
        <v>516610774</v>
      </c>
      <c r="E862" s="393">
        <v>43780</v>
      </c>
      <c r="I862" s="373"/>
      <c r="J862" s="379" t="s">
        <v>687</v>
      </c>
      <c r="K862" s="373" t="s">
        <v>686</v>
      </c>
      <c r="L862" s="374">
        <v>19503500</v>
      </c>
      <c r="M862" s="375">
        <v>43817</v>
      </c>
      <c r="T862" s="163"/>
    </row>
    <row r="863" spans="1:20" x14ac:dyDescent="0.25">
      <c r="A863" s="373">
        <v>858</v>
      </c>
      <c r="B863" s="379" t="s">
        <v>685</v>
      </c>
      <c r="C863" s="379" t="s">
        <v>322</v>
      </c>
      <c r="D863" s="374"/>
      <c r="E863" s="393"/>
      <c r="I863" s="373"/>
      <c r="J863" s="379" t="s">
        <v>684</v>
      </c>
      <c r="K863" s="373" t="s">
        <v>683</v>
      </c>
      <c r="L863" s="374">
        <v>2561897</v>
      </c>
      <c r="M863" s="375">
        <v>43817</v>
      </c>
      <c r="T863" s="163"/>
    </row>
    <row r="864" spans="1:20" x14ac:dyDescent="0.25">
      <c r="A864" s="373">
        <v>859</v>
      </c>
      <c r="B864" s="379" t="s">
        <v>682</v>
      </c>
      <c r="C864" s="379" t="s">
        <v>601</v>
      </c>
      <c r="D864" s="374">
        <v>301307341</v>
      </c>
      <c r="E864" s="393">
        <v>43781</v>
      </c>
      <c r="I864" s="373"/>
      <c r="J864" s="379" t="s">
        <v>681</v>
      </c>
      <c r="K864" s="373" t="s">
        <v>680</v>
      </c>
      <c r="L864" s="374">
        <v>3183322</v>
      </c>
      <c r="M864" s="375">
        <v>43817</v>
      </c>
      <c r="T864" s="163"/>
    </row>
    <row r="865" spans="1:20" x14ac:dyDescent="0.25">
      <c r="A865" s="373">
        <v>860</v>
      </c>
      <c r="B865" s="379" t="s">
        <v>679</v>
      </c>
      <c r="C865" s="379" t="s">
        <v>525</v>
      </c>
      <c r="D865" s="374">
        <v>319426544</v>
      </c>
      <c r="E865" s="393">
        <v>43781</v>
      </c>
      <c r="I865" s="373"/>
      <c r="J865" s="379" t="s">
        <v>678</v>
      </c>
      <c r="K865" s="373" t="s">
        <v>677</v>
      </c>
      <c r="L865" s="374">
        <v>8479992</v>
      </c>
      <c r="M865" s="375">
        <v>43818</v>
      </c>
      <c r="T865" s="163"/>
    </row>
    <row r="866" spans="1:20" x14ac:dyDescent="0.25">
      <c r="A866" s="373">
        <v>861</v>
      </c>
      <c r="B866" s="379" t="s">
        <v>676</v>
      </c>
      <c r="C866" s="379" t="s">
        <v>543</v>
      </c>
      <c r="D866" s="374">
        <v>212424507</v>
      </c>
      <c r="E866" s="393">
        <v>43781</v>
      </c>
      <c r="I866" s="373"/>
      <c r="J866" s="379" t="s">
        <v>675</v>
      </c>
      <c r="K866" s="373" t="s">
        <v>674</v>
      </c>
      <c r="L866" s="374">
        <v>17255005</v>
      </c>
      <c r="M866" s="375">
        <v>43819</v>
      </c>
      <c r="T866" s="163"/>
    </row>
    <row r="867" spans="1:20" x14ac:dyDescent="0.25">
      <c r="A867" s="373">
        <v>862</v>
      </c>
      <c r="B867" s="379" t="s">
        <v>673</v>
      </c>
      <c r="C867" s="379" t="s">
        <v>331</v>
      </c>
      <c r="D867" s="374">
        <v>230753470</v>
      </c>
      <c r="E867" s="393">
        <v>43781</v>
      </c>
      <c r="I867" s="373"/>
      <c r="J867" s="379" t="s">
        <v>672</v>
      </c>
      <c r="K867" s="373" t="s">
        <v>608</v>
      </c>
      <c r="L867" s="374">
        <v>27928541</v>
      </c>
      <c r="M867" s="375">
        <v>43822</v>
      </c>
      <c r="T867" s="163"/>
    </row>
    <row r="868" spans="1:20" x14ac:dyDescent="0.25">
      <c r="A868" s="373">
        <v>863</v>
      </c>
      <c r="B868" s="379" t="s">
        <v>671</v>
      </c>
      <c r="C868" s="379" t="s">
        <v>302</v>
      </c>
      <c r="D868" s="374">
        <v>387930000</v>
      </c>
      <c r="E868" s="393">
        <v>43781</v>
      </c>
      <c r="I868" s="373"/>
      <c r="J868" s="379" t="s">
        <v>670</v>
      </c>
      <c r="K868" s="373" t="s">
        <v>557</v>
      </c>
      <c r="L868" s="374">
        <v>28232994</v>
      </c>
      <c r="M868" s="375">
        <v>43822</v>
      </c>
      <c r="T868" s="163"/>
    </row>
    <row r="869" spans="1:20" x14ac:dyDescent="0.25">
      <c r="A869" s="373">
        <v>864</v>
      </c>
      <c r="B869" s="379" t="s">
        <v>669</v>
      </c>
      <c r="C869" s="379" t="s">
        <v>283</v>
      </c>
      <c r="D869" s="374">
        <v>199805000</v>
      </c>
      <c r="E869" s="393">
        <v>43781</v>
      </c>
      <c r="I869" s="373"/>
      <c r="J869" s="379" t="s">
        <v>668</v>
      </c>
      <c r="K869" s="373" t="s">
        <v>612</v>
      </c>
      <c r="L869" s="374">
        <v>42495753</v>
      </c>
      <c r="M869" s="375">
        <v>43822</v>
      </c>
      <c r="T869" s="163"/>
    </row>
    <row r="870" spans="1:20" x14ac:dyDescent="0.25">
      <c r="A870" s="373">
        <v>865</v>
      </c>
      <c r="B870" s="379" t="s">
        <v>667</v>
      </c>
      <c r="C870" s="379" t="s">
        <v>23</v>
      </c>
      <c r="D870" s="374">
        <v>1777485931</v>
      </c>
      <c r="E870" s="393">
        <v>43781</v>
      </c>
      <c r="I870" s="373"/>
      <c r="J870" s="379" t="s">
        <v>666</v>
      </c>
      <c r="K870" s="373" t="s">
        <v>665</v>
      </c>
      <c r="L870" s="374">
        <v>7423769</v>
      </c>
      <c r="M870" s="375">
        <v>43822</v>
      </c>
      <c r="T870" s="163"/>
    </row>
    <row r="871" spans="1:20" x14ac:dyDescent="0.25">
      <c r="A871" s="373">
        <v>866</v>
      </c>
      <c r="B871" s="379" t="s">
        <v>664</v>
      </c>
      <c r="C871" s="379" t="s">
        <v>498</v>
      </c>
      <c r="D871" s="374">
        <v>202906508</v>
      </c>
      <c r="E871" s="393">
        <v>43781</v>
      </c>
      <c r="I871" s="373"/>
      <c r="J871" s="379" t="s">
        <v>663</v>
      </c>
      <c r="K871" s="373" t="s">
        <v>662</v>
      </c>
      <c r="L871" s="374">
        <v>4278141</v>
      </c>
      <c r="M871" s="375">
        <v>43822</v>
      </c>
      <c r="T871" s="163"/>
    </row>
    <row r="872" spans="1:20" x14ac:dyDescent="0.25">
      <c r="A872" s="373">
        <v>867</v>
      </c>
      <c r="B872" s="379" t="s">
        <v>661</v>
      </c>
      <c r="C872" s="379" t="s">
        <v>22</v>
      </c>
      <c r="D872" s="374">
        <v>40280002</v>
      </c>
      <c r="E872" s="393">
        <v>43781</v>
      </c>
      <c r="I872" s="373"/>
      <c r="J872" s="379" t="s">
        <v>660</v>
      </c>
      <c r="K872" s="373" t="s">
        <v>605</v>
      </c>
      <c r="L872" s="374">
        <v>30872100</v>
      </c>
      <c r="M872" s="375">
        <v>43822</v>
      </c>
      <c r="T872" s="163"/>
    </row>
    <row r="873" spans="1:20" x14ac:dyDescent="0.25">
      <c r="A873" s="373">
        <v>868</v>
      </c>
      <c r="B873" s="379" t="s">
        <v>659</v>
      </c>
      <c r="C873" s="373" t="s">
        <v>522</v>
      </c>
      <c r="D873" s="374">
        <v>389842039</v>
      </c>
      <c r="E873" s="393">
        <v>43782</v>
      </c>
      <c r="I873" s="373"/>
      <c r="J873" s="379" t="s">
        <v>658</v>
      </c>
      <c r="K873" s="373" t="s">
        <v>585</v>
      </c>
      <c r="L873" s="374">
        <v>18027641</v>
      </c>
      <c r="M873" s="375">
        <v>43822</v>
      </c>
      <c r="T873" s="163"/>
    </row>
    <row r="874" spans="1:20" x14ac:dyDescent="0.25">
      <c r="A874" s="373">
        <v>869</v>
      </c>
      <c r="B874" s="379" t="s">
        <v>657</v>
      </c>
      <c r="C874" s="373" t="s">
        <v>543</v>
      </c>
      <c r="D874" s="374">
        <v>59784737</v>
      </c>
      <c r="E874" s="393">
        <v>43782</v>
      </c>
      <c r="I874" s="373"/>
      <c r="J874" s="379" t="s">
        <v>656</v>
      </c>
      <c r="K874" s="373" t="s">
        <v>655</v>
      </c>
      <c r="L874" s="374">
        <v>8731159</v>
      </c>
      <c r="M874" s="375">
        <v>43822</v>
      </c>
      <c r="T874" s="163"/>
    </row>
    <row r="875" spans="1:20" x14ac:dyDescent="0.25">
      <c r="A875" s="373">
        <v>870</v>
      </c>
      <c r="B875" s="379" t="s">
        <v>654</v>
      </c>
      <c r="C875" s="373" t="s">
        <v>283</v>
      </c>
      <c r="D875" s="374">
        <v>180905000</v>
      </c>
      <c r="E875" s="393">
        <v>43782</v>
      </c>
      <c r="I875" s="373"/>
      <c r="J875" s="379" t="s">
        <v>653</v>
      </c>
      <c r="K875" s="373" t="s">
        <v>618</v>
      </c>
      <c r="L875" s="374">
        <v>32431055</v>
      </c>
      <c r="M875" s="375">
        <v>43822</v>
      </c>
      <c r="T875" s="163"/>
    </row>
    <row r="876" spans="1:20" x14ac:dyDescent="0.25">
      <c r="A876" s="373">
        <v>871</v>
      </c>
      <c r="B876" s="379" t="s">
        <v>652</v>
      </c>
      <c r="C876" s="373" t="s">
        <v>601</v>
      </c>
      <c r="D876" s="374">
        <v>344404551</v>
      </c>
      <c r="E876" s="393">
        <v>43782</v>
      </c>
      <c r="I876" s="373"/>
      <c r="J876" s="379" t="s">
        <v>651</v>
      </c>
      <c r="K876" s="373" t="s">
        <v>621</v>
      </c>
      <c r="L876" s="374">
        <v>15465607</v>
      </c>
      <c r="M876" s="375">
        <v>43822</v>
      </c>
      <c r="T876" s="163"/>
    </row>
    <row r="877" spans="1:20" x14ac:dyDescent="0.25">
      <c r="A877" s="373">
        <v>872</v>
      </c>
      <c r="B877" s="379" t="s">
        <v>650</v>
      </c>
      <c r="C877" s="373" t="s">
        <v>431</v>
      </c>
      <c r="D877" s="374">
        <v>247777532</v>
      </c>
      <c r="E877" s="393">
        <v>43782</v>
      </c>
      <c r="I877" s="373"/>
      <c r="J877" s="379" t="s">
        <v>649</v>
      </c>
      <c r="K877" s="373" t="s">
        <v>615</v>
      </c>
      <c r="L877" s="374">
        <v>8261749</v>
      </c>
      <c r="M877" s="375">
        <v>43822</v>
      </c>
      <c r="T877" s="163"/>
    </row>
    <row r="878" spans="1:20" x14ac:dyDescent="0.25">
      <c r="A878" s="373">
        <v>873</v>
      </c>
      <c r="B878" s="379" t="s">
        <v>648</v>
      </c>
      <c r="C878" s="373" t="s">
        <v>331</v>
      </c>
      <c r="D878" s="374">
        <v>261476499</v>
      </c>
      <c r="E878" s="393">
        <v>43782</v>
      </c>
      <c r="I878" s="373"/>
      <c r="J878" s="379" t="s">
        <v>647</v>
      </c>
      <c r="K878" s="373" t="s">
        <v>588</v>
      </c>
      <c r="L878" s="374">
        <v>15489288</v>
      </c>
      <c r="M878" s="375">
        <v>43822</v>
      </c>
      <c r="T878" s="163"/>
    </row>
    <row r="879" spans="1:20" x14ac:dyDescent="0.25">
      <c r="A879" s="373">
        <v>874</v>
      </c>
      <c r="B879" s="379" t="s">
        <v>646</v>
      </c>
      <c r="C879" s="373" t="s">
        <v>623</v>
      </c>
      <c r="D879" s="374">
        <v>157081594</v>
      </c>
      <c r="E879" s="393">
        <v>43782</v>
      </c>
      <c r="I879" s="373"/>
      <c r="J879" s="379" t="s">
        <v>645</v>
      </c>
      <c r="K879" s="373" t="s">
        <v>599</v>
      </c>
      <c r="L879" s="374">
        <v>17455353</v>
      </c>
      <c r="M879" s="375">
        <v>43822</v>
      </c>
      <c r="T879" s="163"/>
    </row>
    <row r="880" spans="1:20" x14ac:dyDescent="0.25">
      <c r="A880" s="373">
        <v>875</v>
      </c>
      <c r="B880" s="379" t="s">
        <v>644</v>
      </c>
      <c r="C880" s="373" t="s">
        <v>525</v>
      </c>
      <c r="D880" s="374">
        <v>97049025</v>
      </c>
      <c r="E880" s="393">
        <v>43782</v>
      </c>
      <c r="I880" s="373"/>
      <c r="J880" s="379" t="s">
        <v>643</v>
      </c>
      <c r="K880" s="373" t="s">
        <v>642</v>
      </c>
      <c r="L880" s="374">
        <v>10000000</v>
      </c>
      <c r="M880" s="375">
        <v>43822</v>
      </c>
      <c r="T880" s="163"/>
    </row>
    <row r="881" spans="1:20" x14ac:dyDescent="0.25">
      <c r="A881" s="373">
        <v>876</v>
      </c>
      <c r="B881" s="379" t="s">
        <v>641</v>
      </c>
      <c r="C881" s="373" t="s">
        <v>528</v>
      </c>
      <c r="D881" s="374">
        <v>1455789382</v>
      </c>
      <c r="E881" s="393">
        <v>43782</v>
      </c>
      <c r="I881" s="373"/>
      <c r="J881" s="379" t="s">
        <v>640</v>
      </c>
      <c r="K881" s="373" t="s">
        <v>621</v>
      </c>
      <c r="L881" s="374">
        <v>1404101</v>
      </c>
      <c r="M881" s="375">
        <v>43825</v>
      </c>
      <c r="T881" s="163"/>
    </row>
    <row r="882" spans="1:20" x14ac:dyDescent="0.25">
      <c r="A882" s="373">
        <v>877</v>
      </c>
      <c r="B882" s="379" t="s">
        <v>639</v>
      </c>
      <c r="C882" s="373" t="s">
        <v>638</v>
      </c>
      <c r="D882" s="374">
        <v>6622046</v>
      </c>
      <c r="E882" s="393">
        <v>43782</v>
      </c>
      <c r="I882" s="373"/>
      <c r="J882" s="379" t="s">
        <v>637</v>
      </c>
      <c r="K882" s="373" t="s">
        <v>585</v>
      </c>
      <c r="L882" s="374">
        <v>8830615</v>
      </c>
      <c r="M882" s="375">
        <v>43822</v>
      </c>
      <c r="T882" s="163"/>
    </row>
    <row r="883" spans="1:20" x14ac:dyDescent="0.25">
      <c r="A883" s="373">
        <v>878</v>
      </c>
      <c r="B883" s="379" t="s">
        <v>636</v>
      </c>
      <c r="C883" s="373" t="s">
        <v>322</v>
      </c>
      <c r="D883" s="374"/>
      <c r="E883" s="393"/>
      <c r="I883" s="373"/>
      <c r="J883" s="379" t="s">
        <v>635</v>
      </c>
      <c r="K883" s="373" t="s">
        <v>599</v>
      </c>
      <c r="L883" s="374">
        <v>4344058</v>
      </c>
      <c r="M883" s="375">
        <v>43825</v>
      </c>
      <c r="T883" s="163"/>
    </row>
    <row r="884" spans="1:20" x14ac:dyDescent="0.25">
      <c r="A884" s="373">
        <v>879</v>
      </c>
      <c r="B884" s="379" t="s">
        <v>634</v>
      </c>
      <c r="C884" s="373" t="s">
        <v>633</v>
      </c>
      <c r="D884" s="374">
        <v>400000000</v>
      </c>
      <c r="E884" s="393">
        <v>43782</v>
      </c>
      <c r="I884" s="373"/>
      <c r="J884" s="379" t="s">
        <v>632</v>
      </c>
      <c r="K884" s="373" t="s">
        <v>608</v>
      </c>
      <c r="L884" s="374">
        <v>15586000</v>
      </c>
      <c r="M884" s="375">
        <v>42730</v>
      </c>
      <c r="T884" s="163"/>
    </row>
    <row r="885" spans="1:20" x14ac:dyDescent="0.25">
      <c r="A885" s="373">
        <v>880</v>
      </c>
      <c r="B885" s="379" t="s">
        <v>631</v>
      </c>
      <c r="C885" s="373" t="s">
        <v>525</v>
      </c>
      <c r="D885" s="374">
        <v>355606564</v>
      </c>
      <c r="E885" s="393">
        <v>43783</v>
      </c>
      <c r="I885" s="373"/>
      <c r="J885" s="379" t="s">
        <v>630</v>
      </c>
      <c r="K885" s="373" t="s">
        <v>629</v>
      </c>
      <c r="L885" s="374">
        <v>8616413</v>
      </c>
      <c r="M885" s="375">
        <v>43825</v>
      </c>
      <c r="T885" s="163"/>
    </row>
    <row r="886" spans="1:20" x14ac:dyDescent="0.25">
      <c r="A886" s="373">
        <v>881</v>
      </c>
      <c r="B886" s="379" t="s">
        <v>628</v>
      </c>
      <c r="C886" s="373" t="s">
        <v>331</v>
      </c>
      <c r="D886" s="374">
        <v>111562977</v>
      </c>
      <c r="E886" s="393">
        <v>43783</v>
      </c>
      <c r="I886" s="373"/>
      <c r="J886" s="379" t="s">
        <v>627</v>
      </c>
      <c r="K886" s="373" t="s">
        <v>615</v>
      </c>
      <c r="L886" s="374">
        <v>3095769</v>
      </c>
      <c r="M886" s="375">
        <v>43825</v>
      </c>
      <c r="T886" s="163"/>
    </row>
    <row r="887" spans="1:20" x14ac:dyDescent="0.25">
      <c r="A887" s="373">
        <v>882</v>
      </c>
      <c r="B887" s="379" t="s">
        <v>626</v>
      </c>
      <c r="C887" s="373" t="s">
        <v>302</v>
      </c>
      <c r="D887" s="374">
        <v>98625000</v>
      </c>
      <c r="E887" s="393">
        <v>43783</v>
      </c>
      <c r="I887" s="373"/>
      <c r="J887" s="379" t="s">
        <v>625</v>
      </c>
      <c r="K887" s="373" t="s">
        <v>591</v>
      </c>
      <c r="L887" s="374">
        <v>2143500</v>
      </c>
      <c r="M887" s="375">
        <v>43825</v>
      </c>
      <c r="T887" s="163"/>
    </row>
    <row r="888" spans="1:20" x14ac:dyDescent="0.25">
      <c r="A888" s="373">
        <v>883</v>
      </c>
      <c r="B888" s="379" t="s">
        <v>624</v>
      </c>
      <c r="C888" s="373" t="s">
        <v>623</v>
      </c>
      <c r="D888" s="374">
        <v>164277518</v>
      </c>
      <c r="E888" s="393">
        <v>43783</v>
      </c>
      <c r="I888" s="373"/>
      <c r="J888" s="379" t="s">
        <v>622</v>
      </c>
      <c r="K888" s="373" t="s">
        <v>621</v>
      </c>
      <c r="L888" s="374">
        <v>18434438</v>
      </c>
      <c r="M888" s="375">
        <v>43829</v>
      </c>
      <c r="T888" s="163"/>
    </row>
    <row r="889" spans="1:20" x14ac:dyDescent="0.25">
      <c r="A889" s="373">
        <v>884</v>
      </c>
      <c r="B889" s="379" t="s">
        <v>620</v>
      </c>
      <c r="C889" s="379" t="s">
        <v>543</v>
      </c>
      <c r="D889" s="374">
        <v>360314316</v>
      </c>
      <c r="E889" s="393">
        <v>43783</v>
      </c>
      <c r="I889" s="373"/>
      <c r="J889" s="379" t="s">
        <v>619</v>
      </c>
      <c r="K889" s="373" t="s">
        <v>618</v>
      </c>
      <c r="L889" s="374">
        <v>18018912</v>
      </c>
      <c r="M889" s="375">
        <v>43829</v>
      </c>
      <c r="T889" s="163"/>
    </row>
    <row r="890" spans="1:20" x14ac:dyDescent="0.25">
      <c r="A890" s="373">
        <v>885</v>
      </c>
      <c r="B890" s="379" t="s">
        <v>617</v>
      </c>
      <c r="C890" s="379" t="s">
        <v>601</v>
      </c>
      <c r="D890" s="374">
        <v>649161171</v>
      </c>
      <c r="E890" s="393">
        <v>43783</v>
      </c>
      <c r="I890" s="373"/>
      <c r="J890" s="379" t="s">
        <v>616</v>
      </c>
      <c r="K890" s="373" t="s">
        <v>615</v>
      </c>
      <c r="L890" s="374">
        <v>8793612</v>
      </c>
      <c r="M890" s="375">
        <v>43829</v>
      </c>
      <c r="T890" s="163"/>
    </row>
    <row r="891" spans="1:20" x14ac:dyDescent="0.25">
      <c r="A891" s="373">
        <v>886</v>
      </c>
      <c r="B891" s="379" t="s">
        <v>614</v>
      </c>
      <c r="C891" s="379" t="s">
        <v>528</v>
      </c>
      <c r="D891" s="374">
        <v>1515680638</v>
      </c>
      <c r="E891" s="393">
        <v>43783</v>
      </c>
      <c r="I891" s="373"/>
      <c r="J891" s="379" t="s">
        <v>613</v>
      </c>
      <c r="K891" s="373" t="s">
        <v>612</v>
      </c>
      <c r="L891" s="374">
        <v>36902022</v>
      </c>
      <c r="M891" s="375">
        <v>43829</v>
      </c>
      <c r="T891" s="163"/>
    </row>
    <row r="892" spans="1:20" x14ac:dyDescent="0.25">
      <c r="A892" s="373">
        <v>887</v>
      </c>
      <c r="B892" s="379" t="s">
        <v>611</v>
      </c>
      <c r="C892" s="379" t="s">
        <v>610</v>
      </c>
      <c r="D892" s="374">
        <v>104406059</v>
      </c>
      <c r="E892" s="393">
        <v>43784</v>
      </c>
      <c r="I892" s="373"/>
      <c r="J892" s="379" t="s">
        <v>609</v>
      </c>
      <c r="K892" s="373" t="s">
        <v>608</v>
      </c>
      <c r="L892" s="374">
        <v>25123804</v>
      </c>
      <c r="M892" s="375">
        <v>43829</v>
      </c>
      <c r="T892" s="163"/>
    </row>
    <row r="893" spans="1:20" x14ac:dyDescent="0.25">
      <c r="A893" s="373">
        <v>888</v>
      </c>
      <c r="B893" s="379" t="s">
        <v>607</v>
      </c>
      <c r="C893" s="379" t="s">
        <v>331</v>
      </c>
      <c r="D893" s="374">
        <v>144557079</v>
      </c>
      <c r="E893" s="393">
        <v>43784</v>
      </c>
      <c r="I893" s="373"/>
      <c r="J893" s="379" t="s">
        <v>606</v>
      </c>
      <c r="K893" s="373" t="s">
        <v>605</v>
      </c>
      <c r="L893" s="374">
        <v>66902109</v>
      </c>
      <c r="M893" s="375">
        <v>43829</v>
      </c>
      <c r="T893" s="163"/>
    </row>
    <row r="894" spans="1:20" x14ac:dyDescent="0.25">
      <c r="A894" s="373">
        <v>889</v>
      </c>
      <c r="B894" s="379" t="s">
        <v>604</v>
      </c>
      <c r="C894" s="379" t="s">
        <v>543</v>
      </c>
      <c r="D894" s="374">
        <v>152775516</v>
      </c>
      <c r="E894" s="393">
        <v>43784</v>
      </c>
      <c r="I894" s="373"/>
      <c r="J894" s="379" t="s">
        <v>603</v>
      </c>
      <c r="K894" s="373" t="s">
        <v>557</v>
      </c>
      <c r="L894" s="374">
        <v>20476597</v>
      </c>
      <c r="M894" s="375">
        <v>43829</v>
      </c>
      <c r="T894" s="163"/>
    </row>
    <row r="895" spans="1:20" x14ac:dyDescent="0.25">
      <c r="A895" s="373">
        <v>890</v>
      </c>
      <c r="B895" s="379" t="s">
        <v>602</v>
      </c>
      <c r="C895" s="379" t="s">
        <v>601</v>
      </c>
      <c r="D895" s="374">
        <v>773264378</v>
      </c>
      <c r="E895" s="393">
        <v>43784</v>
      </c>
      <c r="I895" s="373"/>
      <c r="J895" s="379" t="s">
        <v>600</v>
      </c>
      <c r="K895" s="373" t="s">
        <v>599</v>
      </c>
      <c r="L895" s="374">
        <v>22745576</v>
      </c>
      <c r="M895" s="375">
        <v>43829</v>
      </c>
      <c r="T895" s="163"/>
    </row>
    <row r="896" spans="1:20" x14ac:dyDescent="0.25">
      <c r="A896" s="373">
        <v>891</v>
      </c>
      <c r="B896" s="379" t="s">
        <v>598</v>
      </c>
      <c r="C896" s="379" t="s">
        <v>322</v>
      </c>
      <c r="D896" s="374"/>
      <c r="E896" s="393"/>
      <c r="I896" s="373"/>
      <c r="J896" s="379" t="s">
        <v>597</v>
      </c>
      <c r="K896" s="373" t="s">
        <v>588</v>
      </c>
      <c r="L896" s="374">
        <v>9158045</v>
      </c>
      <c r="M896" s="375">
        <v>43829</v>
      </c>
      <c r="T896" s="163"/>
    </row>
    <row r="897" spans="1:20" x14ac:dyDescent="0.25">
      <c r="A897" s="373">
        <v>892</v>
      </c>
      <c r="B897" s="379" t="s">
        <v>596</v>
      </c>
      <c r="C897" s="379" t="s">
        <v>522</v>
      </c>
      <c r="D897" s="374">
        <v>141719337</v>
      </c>
      <c r="E897" s="393">
        <v>43784</v>
      </c>
      <c r="I897" s="373"/>
      <c r="J897" s="379" t="s">
        <v>595</v>
      </c>
      <c r="K897" s="373" t="s">
        <v>594</v>
      </c>
      <c r="L897" s="374">
        <v>3989709</v>
      </c>
      <c r="M897" s="375">
        <v>43829</v>
      </c>
      <c r="T897" s="163"/>
    </row>
    <row r="898" spans="1:20" x14ac:dyDescent="0.25">
      <c r="A898" s="373">
        <v>893</v>
      </c>
      <c r="B898" s="379" t="s">
        <v>593</v>
      </c>
      <c r="C898" s="379" t="s">
        <v>322</v>
      </c>
      <c r="D898" s="374"/>
      <c r="E898" s="393"/>
      <c r="I898" s="373"/>
      <c r="J898" s="379" t="s">
        <v>592</v>
      </c>
      <c r="K898" s="373" t="s">
        <v>591</v>
      </c>
      <c r="L898" s="374">
        <v>6908215</v>
      </c>
      <c r="M898" s="375">
        <v>43829</v>
      </c>
      <c r="T898" s="163"/>
    </row>
    <row r="899" spans="1:20" x14ac:dyDescent="0.25">
      <c r="A899" s="373">
        <v>894</v>
      </c>
      <c r="B899" s="379" t="s">
        <v>590</v>
      </c>
      <c r="C899" s="379" t="s">
        <v>322</v>
      </c>
      <c r="D899" s="374"/>
      <c r="E899" s="393"/>
      <c r="I899" s="373"/>
      <c r="J899" s="379" t="s">
        <v>589</v>
      </c>
      <c r="K899" s="373" t="s">
        <v>588</v>
      </c>
      <c r="L899" s="374">
        <v>19758570</v>
      </c>
      <c r="M899" s="375">
        <v>43829</v>
      </c>
      <c r="T899" s="163"/>
    </row>
    <row r="900" spans="1:20" x14ac:dyDescent="0.25">
      <c r="A900" s="373">
        <v>895</v>
      </c>
      <c r="B900" s="379" t="s">
        <v>587</v>
      </c>
      <c r="C900" s="379" t="s">
        <v>528</v>
      </c>
      <c r="D900" s="374">
        <v>1251162195</v>
      </c>
      <c r="E900" s="393">
        <v>43784</v>
      </c>
      <c r="I900" s="373"/>
      <c r="J900" s="379" t="s">
        <v>586</v>
      </c>
      <c r="K900" s="373" t="s">
        <v>585</v>
      </c>
      <c r="L900" s="374">
        <v>17433278</v>
      </c>
      <c r="M900" s="375">
        <v>43829</v>
      </c>
      <c r="T900" s="163"/>
    </row>
    <row r="901" spans="1:20" x14ac:dyDescent="0.25">
      <c r="A901" s="373">
        <v>896</v>
      </c>
      <c r="B901" s="379" t="s">
        <v>584</v>
      </c>
      <c r="C901" s="379" t="s">
        <v>525</v>
      </c>
      <c r="D901" s="374">
        <v>1008150623</v>
      </c>
      <c r="E901" s="393">
        <v>43787</v>
      </c>
      <c r="I901" s="373"/>
      <c r="J901" s="379" t="s">
        <v>583</v>
      </c>
      <c r="K901" s="373" t="s">
        <v>582</v>
      </c>
      <c r="L901" s="374">
        <v>18622277</v>
      </c>
      <c r="M901" s="375">
        <v>43829</v>
      </c>
      <c r="T901" s="163"/>
    </row>
    <row r="902" spans="1:20" x14ac:dyDescent="0.25">
      <c r="A902" s="373">
        <v>897</v>
      </c>
      <c r="B902" s="379" t="s">
        <v>581</v>
      </c>
      <c r="C902" s="379" t="s">
        <v>522</v>
      </c>
      <c r="D902" s="374">
        <v>192659916</v>
      </c>
      <c r="E902" s="393">
        <v>43787</v>
      </c>
      <c r="I902" s="373"/>
      <c r="J902" s="379" t="s">
        <v>580</v>
      </c>
      <c r="K902" s="373"/>
      <c r="L902" s="374"/>
      <c r="M902" s="373"/>
      <c r="T902" s="163"/>
    </row>
    <row r="903" spans="1:20" x14ac:dyDescent="0.25">
      <c r="A903" s="373">
        <v>898</v>
      </c>
      <c r="B903" s="379" t="s">
        <v>579</v>
      </c>
      <c r="C903" s="379" t="s">
        <v>578</v>
      </c>
      <c r="D903" s="374">
        <v>1000045125</v>
      </c>
      <c r="E903" s="393">
        <v>43787</v>
      </c>
      <c r="I903" s="373"/>
      <c r="J903" s="379" t="s">
        <v>577</v>
      </c>
      <c r="K903" s="373"/>
      <c r="L903" s="374"/>
      <c r="M903" s="373"/>
      <c r="T903" s="163"/>
    </row>
    <row r="904" spans="1:20" x14ac:dyDescent="0.25">
      <c r="A904" s="373">
        <v>899</v>
      </c>
      <c r="B904" s="379" t="s">
        <v>576</v>
      </c>
      <c r="C904" s="379" t="s">
        <v>431</v>
      </c>
      <c r="D904" s="374">
        <v>237722300</v>
      </c>
      <c r="E904" s="393">
        <v>43787</v>
      </c>
      <c r="I904" s="373"/>
      <c r="J904" s="379" t="s">
        <v>575</v>
      </c>
      <c r="K904" s="373"/>
      <c r="L904" s="374"/>
      <c r="M904" s="373"/>
      <c r="T904" s="163"/>
    </row>
    <row r="905" spans="1:20" x14ac:dyDescent="0.25">
      <c r="A905" s="373">
        <v>900</v>
      </c>
      <c r="B905" s="379" t="s">
        <v>574</v>
      </c>
      <c r="C905" s="379" t="s">
        <v>295</v>
      </c>
      <c r="D905" s="374">
        <v>378844093</v>
      </c>
      <c r="E905" s="393">
        <v>43787</v>
      </c>
      <c r="I905" s="373"/>
      <c r="J905" s="379" t="s">
        <v>573</v>
      </c>
      <c r="K905" s="373"/>
      <c r="L905" s="374"/>
      <c r="M905" s="373"/>
      <c r="T905" s="163"/>
    </row>
    <row r="906" spans="1:20" x14ac:dyDescent="0.25">
      <c r="A906" s="373">
        <v>901</v>
      </c>
      <c r="B906" s="379" t="s">
        <v>572</v>
      </c>
      <c r="C906" s="379" t="s">
        <v>543</v>
      </c>
      <c r="D906" s="374">
        <v>123051676</v>
      </c>
      <c r="E906" s="393">
        <v>43787</v>
      </c>
      <c r="I906" s="373"/>
      <c r="J906" s="379" t="s">
        <v>571</v>
      </c>
      <c r="K906" s="373" t="s">
        <v>570</v>
      </c>
      <c r="L906" s="374">
        <v>35033501</v>
      </c>
      <c r="M906" s="375">
        <v>43826</v>
      </c>
      <c r="T906" s="163"/>
    </row>
    <row r="907" spans="1:20" x14ac:dyDescent="0.25">
      <c r="A907" s="373">
        <v>902</v>
      </c>
      <c r="B907" s="379" t="s">
        <v>569</v>
      </c>
      <c r="C907" s="379" t="s">
        <v>568</v>
      </c>
      <c r="D907" s="374">
        <v>10000000</v>
      </c>
      <c r="E907" s="393">
        <v>43787</v>
      </c>
      <c r="I907" s="373"/>
      <c r="J907" s="379" t="s">
        <v>567</v>
      </c>
      <c r="K907" s="373" t="s">
        <v>566</v>
      </c>
      <c r="L907" s="374">
        <v>133039435</v>
      </c>
      <c r="M907" s="375">
        <v>43829</v>
      </c>
      <c r="T907" s="163"/>
    </row>
    <row r="908" spans="1:20" x14ac:dyDescent="0.25">
      <c r="A908" s="373">
        <v>903</v>
      </c>
      <c r="B908" s="379" t="s">
        <v>565</v>
      </c>
      <c r="C908" s="379" t="s">
        <v>525</v>
      </c>
      <c r="D908" s="374">
        <v>340517534</v>
      </c>
      <c r="E908" s="393">
        <v>43789</v>
      </c>
      <c r="I908" s="373"/>
      <c r="J908" s="379" t="s">
        <v>564</v>
      </c>
      <c r="K908" s="373" t="s">
        <v>563</v>
      </c>
      <c r="L908" s="374">
        <v>2440500</v>
      </c>
      <c r="M908" s="375">
        <v>43829</v>
      </c>
      <c r="T908" s="163"/>
    </row>
    <row r="909" spans="1:20" x14ac:dyDescent="0.25">
      <c r="A909" s="373">
        <v>904</v>
      </c>
      <c r="B909" s="379" t="s">
        <v>562</v>
      </c>
      <c r="C909" s="379" t="s">
        <v>425</v>
      </c>
      <c r="D909" s="374">
        <v>711339568</v>
      </c>
      <c r="E909" s="393">
        <v>43789</v>
      </c>
      <c r="I909" s="373"/>
      <c r="J909" s="379" t="s">
        <v>561</v>
      </c>
      <c r="K909" s="373" t="s">
        <v>560</v>
      </c>
      <c r="L909" s="374">
        <v>10000000</v>
      </c>
      <c r="M909" s="375">
        <v>43829</v>
      </c>
      <c r="T909" s="163"/>
    </row>
    <row r="910" spans="1:20" x14ac:dyDescent="0.25">
      <c r="A910" s="373">
        <v>905</v>
      </c>
      <c r="B910" s="379" t="s">
        <v>559</v>
      </c>
      <c r="C910" s="379" t="s">
        <v>522</v>
      </c>
      <c r="D910" s="374">
        <v>133289328</v>
      </c>
      <c r="E910" s="393">
        <v>43789</v>
      </c>
      <c r="I910" s="373"/>
      <c r="J910" s="379" t="s">
        <v>558</v>
      </c>
      <c r="K910" s="373" t="s">
        <v>557</v>
      </c>
      <c r="L910" s="374">
        <v>4577875</v>
      </c>
      <c r="M910" s="375">
        <v>43830</v>
      </c>
      <c r="T910" s="163"/>
    </row>
    <row r="911" spans="1:20" x14ac:dyDescent="0.25">
      <c r="A911" s="373">
        <v>906</v>
      </c>
      <c r="B911" s="379" t="s">
        <v>556</v>
      </c>
      <c r="C911" s="379" t="s">
        <v>498</v>
      </c>
      <c r="D911" s="374">
        <v>251689352</v>
      </c>
      <c r="E911" s="393">
        <v>43789</v>
      </c>
      <c r="I911" s="373"/>
      <c r="J911" s="379" t="s">
        <v>555</v>
      </c>
      <c r="K911" s="385" t="s">
        <v>388</v>
      </c>
      <c r="L911" s="374"/>
      <c r="M911" s="373"/>
      <c r="T911" s="163"/>
    </row>
    <row r="912" spans="1:20" x14ac:dyDescent="0.25">
      <c r="A912" s="373">
        <v>907</v>
      </c>
      <c r="B912" s="379" t="s">
        <v>554</v>
      </c>
      <c r="C912" s="379" t="s">
        <v>498</v>
      </c>
      <c r="D912" s="374">
        <v>541402666</v>
      </c>
      <c r="E912" s="393">
        <v>43791</v>
      </c>
      <c r="I912" s="373"/>
      <c r="J912" s="379" t="s">
        <v>553</v>
      </c>
      <c r="K912" s="385" t="s">
        <v>388</v>
      </c>
      <c r="L912" s="374"/>
      <c r="M912" s="373"/>
      <c r="T912" s="163"/>
    </row>
    <row r="913" spans="1:20" x14ac:dyDescent="0.25">
      <c r="A913" s="373">
        <v>908</v>
      </c>
      <c r="B913" s="379" t="s">
        <v>552</v>
      </c>
      <c r="C913" s="664" t="s">
        <v>388</v>
      </c>
      <c r="D913" s="374"/>
      <c r="E913" s="393"/>
      <c r="I913" s="373"/>
      <c r="J913" s="379" t="s">
        <v>550</v>
      </c>
      <c r="K913" s="385" t="s">
        <v>388</v>
      </c>
      <c r="L913" s="373"/>
      <c r="M913" s="373"/>
      <c r="T913" s="163"/>
    </row>
    <row r="914" spans="1:20" x14ac:dyDescent="0.25">
      <c r="A914" s="373">
        <v>909</v>
      </c>
      <c r="B914" s="379" t="s">
        <v>549</v>
      </c>
      <c r="C914" s="379" t="s">
        <v>286</v>
      </c>
      <c r="D914" s="374">
        <v>100158309</v>
      </c>
      <c r="E914" s="393">
        <v>43788</v>
      </c>
      <c r="I914" s="373"/>
      <c r="J914" s="379" t="s">
        <v>548</v>
      </c>
      <c r="K914" s="385" t="s">
        <v>388</v>
      </c>
      <c r="L914" s="373"/>
      <c r="M914" s="373"/>
      <c r="T914" s="163"/>
    </row>
    <row r="915" spans="1:20" x14ac:dyDescent="0.25">
      <c r="A915" s="373">
        <v>910</v>
      </c>
      <c r="B915" s="379" t="s">
        <v>547</v>
      </c>
      <c r="C915" s="379" t="s">
        <v>257</v>
      </c>
      <c r="D915" s="374">
        <v>25822720</v>
      </c>
      <c r="E915" s="393">
        <v>43788</v>
      </c>
      <c r="I915" s="373"/>
      <c r="J915" s="379" t="s">
        <v>546</v>
      </c>
      <c r="K915" s="385" t="s">
        <v>388</v>
      </c>
      <c r="L915" s="373"/>
      <c r="M915" s="373"/>
      <c r="T915" s="163"/>
    </row>
    <row r="916" spans="1:20" x14ac:dyDescent="0.25">
      <c r="A916" s="373">
        <v>911</v>
      </c>
      <c r="B916" s="379" t="s">
        <v>545</v>
      </c>
      <c r="C916" s="379" t="s">
        <v>525</v>
      </c>
      <c r="D916" s="374">
        <v>1102595831</v>
      </c>
      <c r="E916" s="393">
        <v>43788</v>
      </c>
      <c r="I916" s="373"/>
      <c r="J916" s="402" t="s">
        <v>3140</v>
      </c>
      <c r="K916" s="424" t="s">
        <v>3190</v>
      </c>
      <c r="L916" s="425">
        <v>30137943</v>
      </c>
      <c r="M916" s="401">
        <v>43836</v>
      </c>
      <c r="T916" s="163"/>
    </row>
    <row r="917" spans="1:20" x14ac:dyDescent="0.25">
      <c r="A917" s="373">
        <v>912</v>
      </c>
      <c r="B917" s="379" t="s">
        <v>544</v>
      </c>
      <c r="C917" s="379" t="s">
        <v>543</v>
      </c>
      <c r="D917" s="374">
        <v>286781914</v>
      </c>
      <c r="E917" s="393">
        <v>43788</v>
      </c>
      <c r="I917" s="373"/>
      <c r="J917" s="402" t="s">
        <v>3141</v>
      </c>
      <c r="K917" s="424" t="s">
        <v>3191</v>
      </c>
      <c r="L917" s="425">
        <v>37260163</v>
      </c>
      <c r="M917" s="401">
        <v>43836</v>
      </c>
      <c r="T917" s="163"/>
    </row>
    <row r="918" spans="1:20" x14ac:dyDescent="0.25">
      <c r="A918" s="373">
        <v>913</v>
      </c>
      <c r="B918" s="379" t="s">
        <v>542</v>
      </c>
      <c r="C918" s="379" t="s">
        <v>425</v>
      </c>
      <c r="D918" s="374">
        <v>381265788</v>
      </c>
      <c r="E918" s="393">
        <v>43788</v>
      </c>
      <c r="I918" s="373"/>
      <c r="J918" s="402" t="s">
        <v>3142</v>
      </c>
      <c r="K918" s="424" t="s">
        <v>3192</v>
      </c>
      <c r="L918" s="425">
        <v>27089883</v>
      </c>
      <c r="M918" s="401">
        <v>43836</v>
      </c>
      <c r="T918" s="163"/>
    </row>
    <row r="919" spans="1:20" x14ac:dyDescent="0.25">
      <c r="A919" s="373">
        <v>914</v>
      </c>
      <c r="B919" s="379" t="s">
        <v>541</v>
      </c>
      <c r="C919" s="379" t="s">
        <v>528</v>
      </c>
      <c r="D919" s="374">
        <v>1000000000</v>
      </c>
      <c r="E919" s="393">
        <v>43788</v>
      </c>
      <c r="I919" s="373"/>
      <c r="J919" s="402" t="s">
        <v>3143</v>
      </c>
      <c r="K919" s="424" t="s">
        <v>3193</v>
      </c>
      <c r="L919" s="425">
        <v>17540530</v>
      </c>
      <c r="M919" s="401">
        <v>43836</v>
      </c>
      <c r="T919" s="163"/>
    </row>
    <row r="920" spans="1:20" x14ac:dyDescent="0.25">
      <c r="A920" s="373">
        <v>915</v>
      </c>
      <c r="B920" s="379" t="s">
        <v>540</v>
      </c>
      <c r="C920" s="379" t="s">
        <v>539</v>
      </c>
      <c r="D920" s="374">
        <v>1244249592</v>
      </c>
      <c r="E920" s="393">
        <v>43788</v>
      </c>
      <c r="I920" s="373"/>
      <c r="J920" s="402" t="s">
        <v>3144</v>
      </c>
      <c r="K920" s="424" t="s">
        <v>388</v>
      </c>
      <c r="L920" s="425"/>
      <c r="M920" s="401"/>
      <c r="T920" s="163"/>
    </row>
    <row r="921" spans="1:20" x14ac:dyDescent="0.25">
      <c r="A921" s="373">
        <v>916</v>
      </c>
      <c r="B921" s="379" t="s">
        <v>538</v>
      </c>
      <c r="C921" s="379" t="s">
        <v>522</v>
      </c>
      <c r="D921" s="374">
        <v>386768034</v>
      </c>
      <c r="E921" s="393">
        <v>43788</v>
      </c>
      <c r="I921" s="373"/>
      <c r="J921" s="402" t="s">
        <v>3145</v>
      </c>
      <c r="K921" s="424" t="s">
        <v>3194</v>
      </c>
      <c r="L921" s="425">
        <v>9343574</v>
      </c>
      <c r="M921" s="401">
        <v>43836</v>
      </c>
      <c r="T921" s="163"/>
    </row>
    <row r="922" spans="1:20" x14ac:dyDescent="0.25">
      <c r="A922" s="373">
        <v>917</v>
      </c>
      <c r="B922" s="379" t="s">
        <v>537</v>
      </c>
      <c r="C922" s="379" t="s">
        <v>295</v>
      </c>
      <c r="D922" s="374">
        <v>237218668</v>
      </c>
      <c r="E922" s="393">
        <v>43789</v>
      </c>
      <c r="I922" s="373"/>
      <c r="J922" s="402" t="s">
        <v>3146</v>
      </c>
      <c r="K922" s="424" t="s">
        <v>3195</v>
      </c>
      <c r="L922" s="425">
        <v>34222763</v>
      </c>
      <c r="M922" s="401">
        <v>43836</v>
      </c>
      <c r="T922" s="163"/>
    </row>
    <row r="923" spans="1:20" x14ac:dyDescent="0.25">
      <c r="A923" s="373">
        <v>918</v>
      </c>
      <c r="B923" s="379" t="s">
        <v>536</v>
      </c>
      <c r="C923" s="379" t="s">
        <v>535</v>
      </c>
      <c r="D923" s="374">
        <v>41052651</v>
      </c>
      <c r="E923" s="393">
        <v>43796</v>
      </c>
      <c r="I923" s="373"/>
      <c r="J923" s="402" t="s">
        <v>3147</v>
      </c>
      <c r="K923" s="424" t="s">
        <v>3196</v>
      </c>
      <c r="L923" s="425">
        <v>26309585</v>
      </c>
      <c r="M923" s="401">
        <v>43836</v>
      </c>
      <c r="T923" s="163"/>
    </row>
    <row r="924" spans="1:20" x14ac:dyDescent="0.25">
      <c r="A924" s="373">
        <v>919</v>
      </c>
      <c r="B924" s="379" t="s">
        <v>534</v>
      </c>
      <c r="C924" s="379" t="s">
        <v>528</v>
      </c>
      <c r="D924" s="374">
        <v>1220718881</v>
      </c>
      <c r="E924" s="393">
        <v>43789</v>
      </c>
      <c r="I924" s="373"/>
      <c r="J924" s="402" t="s">
        <v>3148</v>
      </c>
      <c r="K924" s="424" t="s">
        <v>388</v>
      </c>
      <c r="L924" s="425"/>
      <c r="M924" s="401"/>
      <c r="T924" s="163"/>
    </row>
    <row r="925" spans="1:20" x14ac:dyDescent="0.25">
      <c r="A925" s="373">
        <v>920</v>
      </c>
      <c r="B925" s="379" t="s">
        <v>533</v>
      </c>
      <c r="C925" s="379" t="s">
        <v>322</v>
      </c>
      <c r="D925" s="374"/>
      <c r="E925" s="393"/>
      <c r="I925" s="373"/>
      <c r="J925" s="402" t="s">
        <v>3149</v>
      </c>
      <c r="K925" s="424" t="s">
        <v>3197</v>
      </c>
      <c r="L925" s="425">
        <v>32928422</v>
      </c>
      <c r="M925" s="401">
        <v>43836</v>
      </c>
      <c r="T925" s="163"/>
    </row>
    <row r="926" spans="1:20" x14ac:dyDescent="0.25">
      <c r="A926" s="373">
        <v>921</v>
      </c>
      <c r="B926" s="379" t="s">
        <v>532</v>
      </c>
      <c r="C926" s="379" t="s">
        <v>322</v>
      </c>
      <c r="D926" s="374"/>
      <c r="E926" s="393"/>
      <c r="I926" s="373"/>
      <c r="J926" s="402" t="s">
        <v>3150</v>
      </c>
      <c r="K926" s="424" t="s">
        <v>3198</v>
      </c>
      <c r="L926" s="425">
        <v>27464244</v>
      </c>
      <c r="M926" s="401">
        <v>43836</v>
      </c>
      <c r="T926" s="163"/>
    </row>
    <row r="927" spans="1:20" x14ac:dyDescent="0.25">
      <c r="A927" s="373">
        <v>922</v>
      </c>
      <c r="B927" s="379" t="s">
        <v>531</v>
      </c>
      <c r="C927" s="379" t="s">
        <v>295</v>
      </c>
      <c r="D927" s="374">
        <v>397185387</v>
      </c>
      <c r="E927" s="393">
        <v>43790</v>
      </c>
      <c r="I927" s="373"/>
      <c r="J927" s="402" t="s">
        <v>3151</v>
      </c>
      <c r="K927" s="424" t="s">
        <v>3199</v>
      </c>
      <c r="L927" s="425">
        <v>1255000</v>
      </c>
      <c r="M927" s="401">
        <v>43843</v>
      </c>
      <c r="T927" s="163"/>
    </row>
    <row r="928" spans="1:20" x14ac:dyDescent="0.25">
      <c r="A928" s="373">
        <v>923</v>
      </c>
      <c r="B928" s="379" t="s">
        <v>530</v>
      </c>
      <c r="C928" s="379"/>
      <c r="D928" s="374"/>
      <c r="E928" s="393"/>
      <c r="I928" s="373"/>
      <c r="J928" s="402" t="s">
        <v>3152</v>
      </c>
      <c r="K928" s="424" t="s">
        <v>3200</v>
      </c>
      <c r="L928" s="425">
        <v>1445000</v>
      </c>
      <c r="M928" s="401">
        <v>43843</v>
      </c>
      <c r="T928" s="163"/>
    </row>
    <row r="929" spans="1:20" x14ac:dyDescent="0.25">
      <c r="A929" s="373">
        <v>924</v>
      </c>
      <c r="B929" s="379" t="s">
        <v>529</v>
      </c>
      <c r="C929" s="379" t="s">
        <v>528</v>
      </c>
      <c r="D929" s="374">
        <v>402123339</v>
      </c>
      <c r="E929" s="393">
        <v>43790</v>
      </c>
      <c r="I929" s="373"/>
      <c r="J929" s="402" t="s">
        <v>3153</v>
      </c>
      <c r="K929" s="424" t="s">
        <v>3201</v>
      </c>
      <c r="L929" s="425">
        <v>20303324</v>
      </c>
      <c r="M929" s="401">
        <v>43844</v>
      </c>
      <c r="T929" s="163"/>
    </row>
    <row r="930" spans="1:20" x14ac:dyDescent="0.25">
      <c r="A930" s="373">
        <v>925</v>
      </c>
      <c r="B930" s="379" t="s">
        <v>527</v>
      </c>
      <c r="C930" s="379" t="s">
        <v>425</v>
      </c>
      <c r="D930" s="374">
        <v>596802446</v>
      </c>
      <c r="E930" s="393">
        <v>43790</v>
      </c>
      <c r="I930" s="373"/>
      <c r="J930" s="402" t="s">
        <v>3154</v>
      </c>
      <c r="K930" s="424" t="s">
        <v>3202</v>
      </c>
      <c r="L930" s="425">
        <v>16964987</v>
      </c>
      <c r="M930" s="401">
        <v>43844</v>
      </c>
      <c r="T930" s="163"/>
    </row>
    <row r="931" spans="1:20" x14ac:dyDescent="0.25">
      <c r="A931" s="373">
        <v>926</v>
      </c>
      <c r="B931" s="379" t="s">
        <v>526</v>
      </c>
      <c r="C931" s="379" t="s">
        <v>525</v>
      </c>
      <c r="D931" s="374">
        <v>964456803</v>
      </c>
      <c r="E931" s="393">
        <v>43790</v>
      </c>
      <c r="I931" s="373"/>
      <c r="J931" s="402" t="s">
        <v>3155</v>
      </c>
      <c r="K931" s="424" t="s">
        <v>3203</v>
      </c>
      <c r="L931" s="425">
        <v>4843922</v>
      </c>
      <c r="M931" s="401">
        <v>43844</v>
      </c>
      <c r="T931" s="163"/>
    </row>
    <row r="932" spans="1:20" x14ac:dyDescent="0.25">
      <c r="A932" s="373">
        <v>927</v>
      </c>
      <c r="B932" s="379" t="s">
        <v>524</v>
      </c>
      <c r="C932" s="379" t="s">
        <v>522</v>
      </c>
      <c r="D932" s="374">
        <v>19018940</v>
      </c>
      <c r="E932" s="393">
        <v>43790</v>
      </c>
      <c r="I932" s="373"/>
      <c r="J932" s="402" t="s">
        <v>3156</v>
      </c>
      <c r="K932" s="424" t="s">
        <v>388</v>
      </c>
      <c r="L932" s="425"/>
      <c r="M932" s="401"/>
      <c r="T932" s="163"/>
    </row>
    <row r="933" spans="1:20" x14ac:dyDescent="0.25">
      <c r="A933" s="373">
        <v>928</v>
      </c>
      <c r="B933" s="379" t="s">
        <v>523</v>
      </c>
      <c r="C933" s="379" t="s">
        <v>522</v>
      </c>
      <c r="D933" s="374">
        <v>320941265</v>
      </c>
      <c r="E933" s="393">
        <v>43791</v>
      </c>
      <c r="I933" s="373"/>
      <c r="J933" s="402" t="s">
        <v>3157</v>
      </c>
      <c r="K933" s="424" t="s">
        <v>3205</v>
      </c>
      <c r="L933" s="425">
        <v>24603618</v>
      </c>
      <c r="M933" s="401">
        <v>43844</v>
      </c>
      <c r="T933" s="163"/>
    </row>
    <row r="934" spans="1:20" x14ac:dyDescent="0.25">
      <c r="A934" s="373">
        <v>929</v>
      </c>
      <c r="B934" s="379" t="s">
        <v>521</v>
      </c>
      <c r="C934" s="379" t="s">
        <v>295</v>
      </c>
      <c r="D934" s="374">
        <v>910930484</v>
      </c>
      <c r="E934" s="393">
        <v>43791</v>
      </c>
      <c r="I934" s="373"/>
      <c r="J934" s="402" t="s">
        <v>3158</v>
      </c>
      <c r="K934" s="424" t="s">
        <v>3206</v>
      </c>
      <c r="L934" s="425">
        <v>33044352</v>
      </c>
      <c r="M934" s="401">
        <v>43844</v>
      </c>
      <c r="T934" s="163"/>
    </row>
    <row r="935" spans="1:20" x14ac:dyDescent="0.25">
      <c r="A935" s="373">
        <v>930</v>
      </c>
      <c r="B935" s="379" t="s">
        <v>520</v>
      </c>
      <c r="C935" s="379" t="s">
        <v>519</v>
      </c>
      <c r="D935" s="374">
        <v>45459676</v>
      </c>
      <c r="E935" s="393">
        <v>43791</v>
      </c>
      <c r="I935" s="373"/>
      <c r="J935" s="402" t="s">
        <v>3159</v>
      </c>
      <c r="K935" s="424" t="s">
        <v>3812</v>
      </c>
      <c r="L935" s="425"/>
      <c r="M935" s="401"/>
      <c r="T935" s="163"/>
    </row>
    <row r="936" spans="1:20" x14ac:dyDescent="0.25">
      <c r="A936" s="373">
        <v>931</v>
      </c>
      <c r="B936" s="379" t="s">
        <v>518</v>
      </c>
      <c r="C936" s="379" t="s">
        <v>425</v>
      </c>
      <c r="D936" s="374">
        <v>1230227123</v>
      </c>
      <c r="E936" s="393">
        <v>43791</v>
      </c>
      <c r="I936" s="373"/>
      <c r="J936" s="402" t="s">
        <v>3160</v>
      </c>
      <c r="K936" s="406" t="s">
        <v>3922</v>
      </c>
      <c r="L936" s="425">
        <v>12248923</v>
      </c>
      <c r="M936" s="407">
        <v>43844</v>
      </c>
      <c r="T936" s="163"/>
    </row>
    <row r="937" spans="1:20" x14ac:dyDescent="0.25">
      <c r="A937" s="373">
        <v>932</v>
      </c>
      <c r="B937" s="379" t="s">
        <v>517</v>
      </c>
      <c r="C937" s="379" t="s">
        <v>516</v>
      </c>
      <c r="D937" s="374">
        <v>8012256</v>
      </c>
      <c r="E937" s="393">
        <v>43794</v>
      </c>
      <c r="I937" s="373"/>
      <c r="J937" s="402" t="s">
        <v>3161</v>
      </c>
      <c r="K937" s="406" t="s">
        <v>674</v>
      </c>
      <c r="L937" s="425">
        <v>16751317</v>
      </c>
      <c r="M937" s="407">
        <v>43844</v>
      </c>
      <c r="T937" s="163"/>
    </row>
    <row r="938" spans="1:20" x14ac:dyDescent="0.25">
      <c r="A938" s="373"/>
      <c r="B938" s="379" t="s">
        <v>515</v>
      </c>
      <c r="C938" s="379" t="s">
        <v>514</v>
      </c>
      <c r="D938" s="374">
        <v>500003500</v>
      </c>
      <c r="E938" s="393">
        <v>43794</v>
      </c>
      <c r="I938" s="373"/>
      <c r="J938" s="402" t="s">
        <v>3162</v>
      </c>
      <c r="K938" s="406" t="s">
        <v>4210</v>
      </c>
      <c r="L938" s="425">
        <v>7596778</v>
      </c>
      <c r="M938" s="407">
        <v>43845</v>
      </c>
      <c r="T938" s="163"/>
    </row>
    <row r="939" spans="1:20" x14ac:dyDescent="0.25">
      <c r="A939" s="373"/>
      <c r="B939" s="379" t="s">
        <v>513</v>
      </c>
      <c r="C939" s="379" t="s">
        <v>295</v>
      </c>
      <c r="D939" s="374">
        <v>407818209</v>
      </c>
      <c r="E939" s="393">
        <v>43794</v>
      </c>
      <c r="I939" s="373"/>
      <c r="J939" s="402" t="s">
        <v>3163</v>
      </c>
      <c r="K939" s="406" t="s">
        <v>4304</v>
      </c>
      <c r="L939" s="425">
        <v>537500</v>
      </c>
      <c r="M939" s="407">
        <v>43845</v>
      </c>
      <c r="T939" s="163"/>
    </row>
    <row r="940" spans="1:20" x14ac:dyDescent="0.25">
      <c r="A940" s="373"/>
      <c r="B940" s="379" t="s">
        <v>512</v>
      </c>
      <c r="C940" s="379" t="s">
        <v>511</v>
      </c>
      <c r="D940" s="374">
        <v>151328017</v>
      </c>
      <c r="E940" s="393">
        <v>43794</v>
      </c>
      <c r="I940" s="373"/>
      <c r="J940" s="402" t="s">
        <v>3164</v>
      </c>
      <c r="K940" s="406" t="s">
        <v>388</v>
      </c>
      <c r="L940" s="425"/>
      <c r="M940" s="407"/>
      <c r="T940" s="163"/>
    </row>
    <row r="941" spans="1:20" x14ac:dyDescent="0.25">
      <c r="A941" s="373"/>
      <c r="B941" s="379" t="s">
        <v>510</v>
      </c>
      <c r="C941" s="379" t="s">
        <v>425</v>
      </c>
      <c r="D941" s="374">
        <v>1384712591</v>
      </c>
      <c r="E941" s="393">
        <v>43794</v>
      </c>
      <c r="I941" s="373"/>
      <c r="J941" s="379" t="s">
        <v>3165</v>
      </c>
      <c r="K941" s="385" t="s">
        <v>3207</v>
      </c>
      <c r="L941" s="373">
        <v>34062532</v>
      </c>
      <c r="M941" s="375">
        <v>43836</v>
      </c>
      <c r="T941" s="163"/>
    </row>
    <row r="942" spans="1:20" x14ac:dyDescent="0.25">
      <c r="A942" s="373"/>
      <c r="B942" s="379" t="s">
        <v>509</v>
      </c>
      <c r="C942" s="379" t="s">
        <v>293</v>
      </c>
      <c r="D942" s="374">
        <v>70270530</v>
      </c>
      <c r="E942" s="393">
        <v>43794</v>
      </c>
      <c r="I942" s="373"/>
      <c r="J942" s="379" t="s">
        <v>3166</v>
      </c>
      <c r="K942" s="385" t="s">
        <v>3208</v>
      </c>
      <c r="L942" s="373">
        <v>5745300</v>
      </c>
      <c r="M942" s="375">
        <v>43836</v>
      </c>
      <c r="T942" s="163"/>
    </row>
    <row r="943" spans="1:20" x14ac:dyDescent="0.25">
      <c r="A943" s="373"/>
      <c r="B943" s="379" t="s">
        <v>508</v>
      </c>
      <c r="C943" s="379" t="s">
        <v>452</v>
      </c>
      <c r="D943" s="374">
        <v>90516548</v>
      </c>
      <c r="E943" s="393">
        <v>43794</v>
      </c>
      <c r="I943" s="373"/>
      <c r="J943" s="379" t="s">
        <v>3167</v>
      </c>
      <c r="K943" s="385" t="s">
        <v>3209</v>
      </c>
      <c r="L943" s="373">
        <v>7388965</v>
      </c>
      <c r="M943" s="375">
        <v>43836</v>
      </c>
      <c r="T943" s="163"/>
    </row>
    <row r="944" spans="1:20" x14ac:dyDescent="0.25">
      <c r="A944" s="373"/>
      <c r="B944" s="379" t="s">
        <v>507</v>
      </c>
      <c r="C944" s="379" t="s">
        <v>506</v>
      </c>
      <c r="D944" s="374">
        <v>1057391897</v>
      </c>
      <c r="E944" s="393">
        <v>43794</v>
      </c>
      <c r="I944" s="373"/>
      <c r="J944" s="379" t="s">
        <v>3168</v>
      </c>
      <c r="K944" s="385" t="s">
        <v>3210</v>
      </c>
      <c r="L944" s="373">
        <v>1715900</v>
      </c>
      <c r="M944" s="375">
        <v>43836</v>
      </c>
      <c r="T944" s="163"/>
    </row>
    <row r="945" spans="1:20" x14ac:dyDescent="0.25">
      <c r="A945" s="373"/>
      <c r="B945" s="379" t="s">
        <v>505</v>
      </c>
      <c r="C945" s="379" t="s">
        <v>333</v>
      </c>
      <c r="D945" s="374">
        <v>203028141</v>
      </c>
      <c r="E945" s="393">
        <v>43795</v>
      </c>
      <c r="I945" s="373"/>
      <c r="J945" s="379" t="s">
        <v>3169</v>
      </c>
      <c r="K945" s="384" t="s">
        <v>388</v>
      </c>
      <c r="L945" s="373"/>
      <c r="M945" s="375"/>
      <c r="T945" s="163"/>
    </row>
    <row r="946" spans="1:20" x14ac:dyDescent="0.25">
      <c r="A946" s="373"/>
      <c r="B946" s="379" t="s">
        <v>504</v>
      </c>
      <c r="C946" s="379" t="s">
        <v>318</v>
      </c>
      <c r="D946" s="374">
        <v>603263960</v>
      </c>
      <c r="E946" s="393">
        <v>43795</v>
      </c>
      <c r="I946" s="373"/>
      <c r="J946" s="379" t="s">
        <v>3170</v>
      </c>
      <c r="K946" s="385" t="s">
        <v>3212</v>
      </c>
      <c r="L946" s="373">
        <v>53300000</v>
      </c>
      <c r="M946" s="375">
        <v>43837</v>
      </c>
      <c r="T946" s="163"/>
    </row>
    <row r="947" spans="1:20" x14ac:dyDescent="0.25">
      <c r="A947" s="373"/>
      <c r="B947" s="379" t="s">
        <v>503</v>
      </c>
      <c r="C947" s="379" t="s">
        <v>425</v>
      </c>
      <c r="D947" s="374">
        <v>863191001</v>
      </c>
      <c r="E947" s="393">
        <v>43795</v>
      </c>
      <c r="I947" s="373"/>
      <c r="J947" s="379" t="s">
        <v>3171</v>
      </c>
      <c r="K947" s="385" t="s">
        <v>943</v>
      </c>
      <c r="L947" s="373">
        <v>1093034</v>
      </c>
      <c r="M947" s="375">
        <v>43837</v>
      </c>
      <c r="T947" s="163"/>
    </row>
    <row r="948" spans="1:20" x14ac:dyDescent="0.25">
      <c r="A948" s="373"/>
      <c r="B948" s="379" t="s">
        <v>502</v>
      </c>
      <c r="C948" s="379" t="s">
        <v>440</v>
      </c>
      <c r="D948" s="374">
        <v>127595458</v>
      </c>
      <c r="E948" s="393">
        <v>43795</v>
      </c>
      <c r="I948" s="373"/>
      <c r="J948" s="379" t="s">
        <v>3172</v>
      </c>
      <c r="K948" s="385" t="s">
        <v>388</v>
      </c>
      <c r="L948" s="373"/>
      <c r="M948" s="373"/>
      <c r="T948" s="163"/>
    </row>
    <row r="949" spans="1:20" x14ac:dyDescent="0.25">
      <c r="A949" s="373"/>
      <c r="B949" s="379" t="s">
        <v>501</v>
      </c>
      <c r="C949" s="379" t="s">
        <v>248</v>
      </c>
      <c r="D949" s="374">
        <v>310233500</v>
      </c>
      <c r="E949" s="393">
        <v>43795</v>
      </c>
      <c r="I949" s="373"/>
      <c r="J949" s="379" t="s">
        <v>3173</v>
      </c>
      <c r="K949" s="385" t="s">
        <v>3211</v>
      </c>
      <c r="L949" s="373">
        <v>4331000</v>
      </c>
      <c r="M949" s="375">
        <v>43837</v>
      </c>
      <c r="T949" s="163"/>
    </row>
    <row r="950" spans="1:20" x14ac:dyDescent="0.25">
      <c r="A950" s="373"/>
      <c r="B950" s="379" t="s">
        <v>500</v>
      </c>
      <c r="C950" s="379" t="s">
        <v>23</v>
      </c>
      <c r="D950" s="374">
        <v>1166356123</v>
      </c>
      <c r="E950" s="393">
        <v>43795</v>
      </c>
      <c r="I950" s="373"/>
      <c r="J950" s="379" t="s">
        <v>3174</v>
      </c>
      <c r="K950" s="385" t="s">
        <v>3213</v>
      </c>
      <c r="L950" s="373">
        <v>4628800</v>
      </c>
      <c r="M950" s="426">
        <v>43838</v>
      </c>
      <c r="T950" s="163"/>
    </row>
    <row r="951" spans="1:20" x14ac:dyDescent="0.25">
      <c r="A951" s="373"/>
      <c r="B951" s="379" t="s">
        <v>499</v>
      </c>
      <c r="C951" s="379" t="s">
        <v>498</v>
      </c>
      <c r="D951" s="374">
        <v>311496770</v>
      </c>
      <c r="E951" s="393">
        <v>43795</v>
      </c>
      <c r="I951" s="373"/>
      <c r="J951" s="379" t="s">
        <v>3175</v>
      </c>
      <c r="K951" s="385" t="s">
        <v>3214</v>
      </c>
      <c r="L951" s="373">
        <v>51808472</v>
      </c>
      <c r="M951" s="375">
        <v>43838</v>
      </c>
      <c r="T951" s="163"/>
    </row>
    <row r="952" spans="1:20" x14ac:dyDescent="0.25">
      <c r="A952" s="373"/>
      <c r="B952" s="379" t="s">
        <v>497</v>
      </c>
      <c r="C952" s="379" t="s">
        <v>425</v>
      </c>
      <c r="D952" s="374">
        <v>99821329</v>
      </c>
      <c r="E952" s="393">
        <v>43795</v>
      </c>
      <c r="I952" s="373"/>
      <c r="J952" s="379" t="s">
        <v>3176</v>
      </c>
      <c r="K952" s="385" t="s">
        <v>582</v>
      </c>
      <c r="L952" s="373">
        <v>16832000</v>
      </c>
      <c r="M952" s="375">
        <v>43838</v>
      </c>
      <c r="T952" s="163"/>
    </row>
    <row r="953" spans="1:20" x14ac:dyDescent="0.25">
      <c r="A953" s="373"/>
      <c r="B953" s="379" t="s">
        <v>496</v>
      </c>
      <c r="C953" s="379" t="s">
        <v>495</v>
      </c>
      <c r="D953" s="374">
        <v>4505000</v>
      </c>
      <c r="E953" s="393">
        <v>43795</v>
      </c>
      <c r="I953" s="373"/>
      <c r="J953" s="379" t="s">
        <v>3177</v>
      </c>
      <c r="K953" s="385" t="s">
        <v>813</v>
      </c>
      <c r="L953" s="373">
        <v>64774663</v>
      </c>
      <c r="M953" s="375">
        <v>43840</v>
      </c>
      <c r="T953" s="163"/>
    </row>
    <row r="954" spans="1:20" x14ac:dyDescent="0.25">
      <c r="A954" s="373"/>
      <c r="B954" s="379" t="s">
        <v>494</v>
      </c>
      <c r="C954" s="379" t="s">
        <v>452</v>
      </c>
      <c r="D954" s="374">
        <v>236380061</v>
      </c>
      <c r="E954" s="393">
        <v>43796</v>
      </c>
      <c r="I954" s="373"/>
      <c r="J954" s="379" t="s">
        <v>3178</v>
      </c>
      <c r="K954" s="385" t="s">
        <v>3215</v>
      </c>
      <c r="L954" s="373">
        <v>1063500</v>
      </c>
      <c r="M954" s="375">
        <v>43839</v>
      </c>
      <c r="T954" s="163"/>
    </row>
    <row r="955" spans="1:20" x14ac:dyDescent="0.25">
      <c r="A955" s="373"/>
      <c r="B955" s="379" t="s">
        <v>493</v>
      </c>
      <c r="C955" s="379" t="s">
        <v>302</v>
      </c>
      <c r="D955" s="374">
        <v>203830000</v>
      </c>
      <c r="E955" s="393">
        <v>43796</v>
      </c>
      <c r="I955" s="373"/>
      <c r="J955" s="379" t="s">
        <v>3179</v>
      </c>
      <c r="K955" s="385" t="s">
        <v>3216</v>
      </c>
      <c r="L955" s="373">
        <v>1702500</v>
      </c>
      <c r="M955" s="375">
        <v>43839</v>
      </c>
      <c r="T955" s="163"/>
    </row>
    <row r="956" spans="1:20" x14ac:dyDescent="0.25">
      <c r="A956" s="373"/>
      <c r="B956" s="379" t="s">
        <v>492</v>
      </c>
      <c r="C956" s="379" t="s">
        <v>425</v>
      </c>
      <c r="D956" s="374">
        <v>567477631</v>
      </c>
      <c r="E956" s="393">
        <v>43796</v>
      </c>
      <c r="I956" s="373"/>
      <c r="J956" s="379" t="s">
        <v>3180</v>
      </c>
      <c r="K956" s="384" t="s">
        <v>388</v>
      </c>
      <c r="L956" s="373"/>
      <c r="M956" s="375"/>
      <c r="T956" s="163"/>
    </row>
    <row r="957" spans="1:20" x14ac:dyDescent="0.25">
      <c r="A957" s="373"/>
      <c r="B957" s="379" t="s">
        <v>491</v>
      </c>
      <c r="C957" s="379" t="s">
        <v>320</v>
      </c>
      <c r="D957" s="374">
        <v>901733536</v>
      </c>
      <c r="E957" s="393">
        <v>43796</v>
      </c>
      <c r="I957" s="373"/>
      <c r="J957" s="379" t="s">
        <v>3181</v>
      </c>
      <c r="K957" s="385" t="s">
        <v>3196</v>
      </c>
      <c r="L957" s="373">
        <v>47914350</v>
      </c>
      <c r="M957" s="375">
        <v>43843</v>
      </c>
      <c r="T957" s="163"/>
    </row>
    <row r="958" spans="1:20" x14ac:dyDescent="0.25">
      <c r="A958" s="373"/>
      <c r="B958" s="379" t="s">
        <v>490</v>
      </c>
      <c r="C958" s="379" t="s">
        <v>312</v>
      </c>
      <c r="D958" s="374">
        <v>414688743</v>
      </c>
      <c r="E958" s="393">
        <v>43796</v>
      </c>
      <c r="I958" s="373"/>
      <c r="J958" s="379" t="s">
        <v>3182</v>
      </c>
      <c r="K958" s="385" t="s">
        <v>3217</v>
      </c>
      <c r="L958" s="373">
        <v>11562332</v>
      </c>
      <c r="M958" s="375">
        <v>43843</v>
      </c>
      <c r="T958" s="163"/>
    </row>
    <row r="959" spans="1:20" x14ac:dyDescent="0.25">
      <c r="A959" s="373"/>
      <c r="B959" s="379" t="s">
        <v>489</v>
      </c>
      <c r="C959" s="373"/>
      <c r="D959" s="374"/>
      <c r="E959" s="393"/>
      <c r="I959" s="373"/>
      <c r="J959" s="379" t="s">
        <v>3183</v>
      </c>
      <c r="K959" s="385" t="s">
        <v>3198</v>
      </c>
      <c r="L959" s="373">
        <v>18111188</v>
      </c>
      <c r="M959" s="375">
        <v>43843</v>
      </c>
      <c r="T959" s="163"/>
    </row>
    <row r="960" spans="1:20" x14ac:dyDescent="0.25">
      <c r="A960" s="373"/>
      <c r="B960" s="379" t="s">
        <v>488</v>
      </c>
      <c r="C960" s="373" t="s">
        <v>283</v>
      </c>
      <c r="D960" s="374">
        <v>180900000</v>
      </c>
      <c r="E960" s="393">
        <v>43797</v>
      </c>
      <c r="I960" s="373"/>
      <c r="J960" s="379" t="s">
        <v>3184</v>
      </c>
      <c r="K960" s="385" t="s">
        <v>388</v>
      </c>
      <c r="L960" s="373"/>
      <c r="M960" s="373"/>
      <c r="T960" s="163"/>
    </row>
    <row r="961" spans="1:20" x14ac:dyDescent="0.25">
      <c r="A961" s="373"/>
      <c r="B961" s="379" t="s">
        <v>487</v>
      </c>
      <c r="C961" s="373" t="s">
        <v>425</v>
      </c>
      <c r="D961" s="374">
        <v>766425525</v>
      </c>
      <c r="E961" s="393">
        <v>43797</v>
      </c>
      <c r="I961" s="373"/>
      <c r="J961" s="379" t="s">
        <v>3185</v>
      </c>
      <c r="K961" s="385" t="s">
        <v>3208</v>
      </c>
      <c r="L961" s="373">
        <v>12367600</v>
      </c>
      <c r="M961" s="375">
        <v>43843</v>
      </c>
      <c r="T961" s="163"/>
    </row>
    <row r="962" spans="1:20" x14ac:dyDescent="0.25">
      <c r="A962" s="373"/>
      <c r="B962" s="379" t="s">
        <v>486</v>
      </c>
      <c r="C962" s="373" t="s">
        <v>248</v>
      </c>
      <c r="D962" s="374">
        <v>423533500</v>
      </c>
      <c r="E962" s="393">
        <v>43797</v>
      </c>
      <c r="I962" s="373"/>
      <c r="J962" s="379" t="s">
        <v>3186</v>
      </c>
      <c r="K962" s="385" t="s">
        <v>3209</v>
      </c>
      <c r="L962" s="373">
        <v>11455261</v>
      </c>
      <c r="M962" s="375">
        <v>43843</v>
      </c>
      <c r="T962" s="163"/>
    </row>
    <row r="963" spans="1:20" x14ac:dyDescent="0.25">
      <c r="A963" s="373"/>
      <c r="B963" s="379" t="s">
        <v>485</v>
      </c>
      <c r="C963" s="373" t="s">
        <v>312</v>
      </c>
      <c r="D963" s="374">
        <v>152347687</v>
      </c>
      <c r="E963" s="393">
        <v>43797</v>
      </c>
      <c r="I963" s="373"/>
      <c r="J963" s="379" t="s">
        <v>3187</v>
      </c>
      <c r="K963" s="385" t="s">
        <v>3218</v>
      </c>
      <c r="L963" s="373">
        <v>25129476</v>
      </c>
      <c r="M963" s="375">
        <v>43843</v>
      </c>
      <c r="T963" s="163"/>
    </row>
    <row r="964" spans="1:20" x14ac:dyDescent="0.25">
      <c r="A964" s="373"/>
      <c r="B964" s="379" t="s">
        <v>484</v>
      </c>
      <c r="C964" s="373" t="s">
        <v>452</v>
      </c>
      <c r="D964" s="374">
        <v>128162674</v>
      </c>
      <c r="E964" s="393">
        <v>43797</v>
      </c>
      <c r="I964" s="373"/>
      <c r="J964" s="379" t="s">
        <v>3188</v>
      </c>
      <c r="K964" s="385" t="s">
        <v>388</v>
      </c>
      <c r="L964" s="373"/>
      <c r="M964" s="373"/>
      <c r="T964" s="163"/>
    </row>
    <row r="965" spans="1:20" x14ac:dyDescent="0.25">
      <c r="A965" s="373"/>
      <c r="B965" s="379" t="s">
        <v>483</v>
      </c>
      <c r="C965" s="373" t="s">
        <v>482</v>
      </c>
      <c r="D965" s="374">
        <v>148799017</v>
      </c>
      <c r="E965" s="393">
        <v>43797</v>
      </c>
      <c r="I965" s="373"/>
      <c r="J965" s="379" t="s">
        <v>3189</v>
      </c>
      <c r="K965" s="385" t="s">
        <v>3219</v>
      </c>
      <c r="L965" s="373">
        <v>1888742</v>
      </c>
      <c r="M965" s="375">
        <v>43843</v>
      </c>
      <c r="T965" s="163"/>
    </row>
    <row r="966" spans="1:20" x14ac:dyDescent="0.25">
      <c r="A966" s="373"/>
      <c r="B966" s="379" t="s">
        <v>481</v>
      </c>
      <c r="C966" s="373" t="s">
        <v>320</v>
      </c>
      <c r="D966" s="374">
        <v>47244625</v>
      </c>
      <c r="E966" s="393">
        <v>43797</v>
      </c>
      <c r="I966" s="373"/>
      <c r="J966" s="379" t="s">
        <v>3220</v>
      </c>
      <c r="K966" s="385" t="s">
        <v>388</v>
      </c>
      <c r="L966" s="374"/>
      <c r="M966" s="373"/>
      <c r="T966" s="163"/>
    </row>
    <row r="967" spans="1:20" x14ac:dyDescent="0.25">
      <c r="A967" s="373"/>
      <c r="B967" s="379" t="s">
        <v>480</v>
      </c>
      <c r="C967" s="373" t="s">
        <v>288</v>
      </c>
      <c r="D967" s="374">
        <v>58791100</v>
      </c>
      <c r="E967" s="393">
        <v>43797</v>
      </c>
      <c r="I967" s="373"/>
      <c r="J967" s="379" t="s">
        <v>3221</v>
      </c>
      <c r="K967" s="385" t="s">
        <v>3241</v>
      </c>
      <c r="L967" s="374">
        <v>8560900</v>
      </c>
      <c r="M967" s="375">
        <v>43845</v>
      </c>
      <c r="T967" s="163"/>
    </row>
    <row r="968" spans="1:20" x14ac:dyDescent="0.25">
      <c r="A968" s="373"/>
      <c r="B968" s="379" t="s">
        <v>479</v>
      </c>
      <c r="C968" s="373" t="s">
        <v>388</v>
      </c>
      <c r="D968" s="374"/>
      <c r="E968" s="393"/>
      <c r="I968" s="373"/>
      <c r="J968" s="379" t="s">
        <v>3222</v>
      </c>
      <c r="K968" s="385" t="s">
        <v>3242</v>
      </c>
      <c r="L968" s="374">
        <v>883000</v>
      </c>
      <c r="M968" s="375">
        <v>43845</v>
      </c>
      <c r="T968" s="163"/>
    </row>
    <row r="969" spans="1:20" x14ac:dyDescent="0.25">
      <c r="A969" s="373"/>
      <c r="B969" s="379" t="s">
        <v>478</v>
      </c>
      <c r="C969" s="373" t="s">
        <v>288</v>
      </c>
      <c r="D969" s="374">
        <v>70666200</v>
      </c>
      <c r="E969" s="393">
        <v>43797</v>
      </c>
      <c r="I969" s="373"/>
      <c r="J969" s="379" t="s">
        <v>3223</v>
      </c>
      <c r="K969" s="385" t="s">
        <v>3243</v>
      </c>
      <c r="L969" s="374">
        <v>7639850</v>
      </c>
      <c r="M969" s="375">
        <v>43845</v>
      </c>
      <c r="T969" s="163"/>
    </row>
    <row r="970" spans="1:20" x14ac:dyDescent="0.25">
      <c r="A970" s="373"/>
      <c r="B970" s="379" t="s">
        <v>477</v>
      </c>
      <c r="C970" s="373" t="s">
        <v>388</v>
      </c>
      <c r="D970" s="374"/>
      <c r="E970" s="393"/>
      <c r="I970" s="373"/>
      <c r="J970" s="379" t="s">
        <v>3224</v>
      </c>
      <c r="K970" s="385" t="s">
        <v>3244</v>
      </c>
      <c r="L970" s="374">
        <v>1302000</v>
      </c>
      <c r="M970" s="375">
        <v>43845</v>
      </c>
      <c r="T970" s="163"/>
    </row>
    <row r="971" spans="1:20" x14ac:dyDescent="0.25">
      <c r="A971" s="373"/>
      <c r="B971" s="379" t="s">
        <v>476</v>
      </c>
      <c r="C971" s="373" t="s">
        <v>475</v>
      </c>
      <c r="D971" s="374">
        <v>70666200</v>
      </c>
      <c r="E971" s="393">
        <v>43797</v>
      </c>
      <c r="I971" s="373"/>
      <c r="J971" s="379" t="s">
        <v>3225</v>
      </c>
      <c r="K971" s="385" t="s">
        <v>3245</v>
      </c>
      <c r="L971" s="374">
        <v>7222089</v>
      </c>
      <c r="M971" s="375">
        <v>43845</v>
      </c>
      <c r="T971" s="163"/>
    </row>
    <row r="972" spans="1:20" x14ac:dyDescent="0.25">
      <c r="A972" s="373"/>
      <c r="B972" s="379" t="s">
        <v>474</v>
      </c>
      <c r="C972" s="373" t="s">
        <v>288</v>
      </c>
      <c r="D972" s="374">
        <v>12606000</v>
      </c>
      <c r="E972" s="393">
        <v>43797</v>
      </c>
      <c r="I972" s="373"/>
      <c r="J972" s="379" t="s">
        <v>3226</v>
      </c>
      <c r="K972" s="385" t="s">
        <v>3246</v>
      </c>
      <c r="L972" s="374">
        <v>12908000</v>
      </c>
      <c r="M972" s="375">
        <v>43845</v>
      </c>
      <c r="T972" s="163"/>
    </row>
    <row r="973" spans="1:20" x14ac:dyDescent="0.25">
      <c r="A973" s="373"/>
      <c r="B973" s="379" t="s">
        <v>473</v>
      </c>
      <c r="C973" s="373" t="s">
        <v>229</v>
      </c>
      <c r="D973" s="374">
        <v>406603628</v>
      </c>
      <c r="E973" s="393">
        <v>43798</v>
      </c>
      <c r="I973" s="373"/>
      <c r="J973" s="379" t="s">
        <v>3227</v>
      </c>
      <c r="K973" s="373"/>
      <c r="L973" s="374"/>
      <c r="M973" s="373"/>
      <c r="T973" s="163"/>
    </row>
    <row r="974" spans="1:20" x14ac:dyDescent="0.25">
      <c r="A974" s="373"/>
      <c r="B974" s="379" t="s">
        <v>472</v>
      </c>
      <c r="C974" s="373" t="s">
        <v>452</v>
      </c>
      <c r="D974" s="374">
        <v>214375748</v>
      </c>
      <c r="E974" s="393">
        <v>43798</v>
      </c>
      <c r="I974" s="373"/>
      <c r="J974" s="379" t="s">
        <v>3228</v>
      </c>
      <c r="K974" s="385" t="s">
        <v>3242</v>
      </c>
      <c r="L974" s="374">
        <v>2352000</v>
      </c>
      <c r="M974" s="375">
        <v>43846</v>
      </c>
      <c r="T974" s="163"/>
    </row>
    <row r="975" spans="1:20" x14ac:dyDescent="0.25">
      <c r="A975" s="373"/>
      <c r="B975" s="379" t="s">
        <v>471</v>
      </c>
      <c r="C975" s="373" t="s">
        <v>339</v>
      </c>
      <c r="D975" s="374">
        <v>393710974</v>
      </c>
      <c r="E975" s="393">
        <v>43798</v>
      </c>
      <c r="I975" s="373"/>
      <c r="J975" s="379" t="s">
        <v>3229</v>
      </c>
      <c r="K975" s="385" t="s">
        <v>3247</v>
      </c>
      <c r="L975" s="374">
        <v>6432800</v>
      </c>
      <c r="M975" s="375">
        <v>43846</v>
      </c>
      <c r="T975" s="163"/>
    </row>
    <row r="976" spans="1:20" x14ac:dyDescent="0.25">
      <c r="A976" s="373"/>
      <c r="B976" s="379" t="s">
        <v>470</v>
      </c>
      <c r="C976" s="373" t="s">
        <v>320</v>
      </c>
      <c r="D976" s="374">
        <v>512718402</v>
      </c>
      <c r="E976" s="393">
        <v>43798</v>
      </c>
      <c r="I976" s="373"/>
      <c r="J976" s="379" t="s">
        <v>3230</v>
      </c>
      <c r="K976" s="384" t="s">
        <v>388</v>
      </c>
      <c r="L976" s="374"/>
      <c r="M976" s="375"/>
      <c r="T976" s="163"/>
    </row>
    <row r="977" spans="1:20" x14ac:dyDescent="0.25">
      <c r="A977" s="373"/>
      <c r="B977" s="379" t="s">
        <v>469</v>
      </c>
      <c r="C977" s="373" t="s">
        <v>468</v>
      </c>
      <c r="D977" s="374">
        <v>5938333</v>
      </c>
      <c r="E977" s="393">
        <v>43798</v>
      </c>
      <c r="I977" s="373"/>
      <c r="J977" s="379" t="s">
        <v>3231</v>
      </c>
      <c r="K977" s="385" t="s">
        <v>3249</v>
      </c>
      <c r="L977" s="374">
        <v>330500</v>
      </c>
      <c r="M977" s="375">
        <v>43846</v>
      </c>
      <c r="T977" s="163"/>
    </row>
    <row r="978" spans="1:20" x14ac:dyDescent="0.25">
      <c r="A978" s="373"/>
      <c r="B978" s="379" t="s">
        <v>467</v>
      </c>
      <c r="C978" s="373" t="s">
        <v>276</v>
      </c>
      <c r="D978" s="374">
        <v>352683512</v>
      </c>
      <c r="E978" s="393">
        <v>43798</v>
      </c>
      <c r="I978" s="373"/>
      <c r="J978" s="379" t="s">
        <v>3232</v>
      </c>
      <c r="K978" s="385" t="s">
        <v>3248</v>
      </c>
      <c r="L978" s="374">
        <v>9002000</v>
      </c>
      <c r="M978" s="375">
        <v>43846</v>
      </c>
      <c r="T978" s="163"/>
    </row>
    <row r="979" spans="1:20" x14ac:dyDescent="0.25">
      <c r="A979" s="373"/>
      <c r="B979" s="379" t="s">
        <v>466</v>
      </c>
      <c r="C979" s="373" t="s">
        <v>440</v>
      </c>
      <c r="D979" s="374">
        <v>29051002</v>
      </c>
      <c r="E979" s="393">
        <v>43798</v>
      </c>
      <c r="I979" s="373"/>
      <c r="J979" s="379" t="s">
        <v>3233</v>
      </c>
      <c r="K979" s="384" t="s">
        <v>388</v>
      </c>
      <c r="L979" s="374"/>
      <c r="M979" s="375"/>
      <c r="T979" s="163"/>
    </row>
    <row r="980" spans="1:20" x14ac:dyDescent="0.25">
      <c r="A980" s="373"/>
      <c r="B980" s="379" t="s">
        <v>465</v>
      </c>
      <c r="C980" s="373" t="s">
        <v>295</v>
      </c>
      <c r="D980" s="374">
        <v>1601531496</v>
      </c>
      <c r="E980" s="393">
        <v>43801</v>
      </c>
      <c r="I980" s="373"/>
      <c r="J980" s="379" t="s">
        <v>3234</v>
      </c>
      <c r="K980" s="385" t="s">
        <v>3250</v>
      </c>
      <c r="L980" s="374">
        <v>35364061</v>
      </c>
      <c r="M980" s="375">
        <v>43847</v>
      </c>
      <c r="T980" s="163"/>
    </row>
    <row r="981" spans="1:20" x14ac:dyDescent="0.25">
      <c r="A981" s="373"/>
      <c r="B981" s="379" t="s">
        <v>464</v>
      </c>
      <c r="C981" s="373" t="s">
        <v>425</v>
      </c>
      <c r="D981" s="374">
        <v>511756708</v>
      </c>
      <c r="E981" s="393">
        <v>43801</v>
      </c>
      <c r="I981" s="373"/>
      <c r="J981" s="379" t="s">
        <v>3235</v>
      </c>
      <c r="K981" s="385" t="s">
        <v>324</v>
      </c>
      <c r="L981" s="374">
        <v>100297088</v>
      </c>
      <c r="M981" s="375">
        <v>43847</v>
      </c>
      <c r="T981" s="163"/>
    </row>
    <row r="982" spans="1:20" x14ac:dyDescent="0.25">
      <c r="A982" s="373"/>
      <c r="B982" s="379" t="s">
        <v>463</v>
      </c>
      <c r="C982" s="373" t="s">
        <v>429</v>
      </c>
      <c r="D982" s="374">
        <v>17701951</v>
      </c>
      <c r="E982" s="393">
        <v>43801</v>
      </c>
      <c r="I982" s="373"/>
      <c r="J982" s="379" t="s">
        <v>3236</v>
      </c>
      <c r="K982" s="385" t="s">
        <v>3251</v>
      </c>
      <c r="L982" s="374">
        <v>35580624</v>
      </c>
      <c r="M982" s="375">
        <v>43850</v>
      </c>
      <c r="T982" s="163"/>
    </row>
    <row r="983" spans="1:20" x14ac:dyDescent="0.25">
      <c r="A983" s="373"/>
      <c r="B983" s="379" t="s">
        <v>462</v>
      </c>
      <c r="C983" s="373" t="s">
        <v>452</v>
      </c>
      <c r="D983" s="374">
        <v>211209246</v>
      </c>
      <c r="E983" s="393">
        <v>43804</v>
      </c>
      <c r="I983" s="373"/>
      <c r="J983" s="379" t="s">
        <v>3237</v>
      </c>
      <c r="K983" s="385" t="s">
        <v>3252</v>
      </c>
      <c r="L983" s="374">
        <v>9345588</v>
      </c>
      <c r="M983" s="375">
        <v>43850</v>
      </c>
      <c r="T983" s="163"/>
    </row>
    <row r="984" spans="1:20" x14ac:dyDescent="0.25">
      <c r="A984" s="373"/>
      <c r="B984" s="379" t="s">
        <v>461</v>
      </c>
      <c r="C984" s="373" t="s">
        <v>293</v>
      </c>
      <c r="D984" s="374">
        <v>181503745</v>
      </c>
      <c r="E984" s="393">
        <v>43804</v>
      </c>
      <c r="I984" s="373"/>
      <c r="J984" s="379" t="s">
        <v>3238</v>
      </c>
      <c r="K984" s="385" t="s">
        <v>1372</v>
      </c>
      <c r="L984" s="374">
        <v>23491885</v>
      </c>
      <c r="M984" s="375">
        <v>43850</v>
      </c>
      <c r="T984" s="163"/>
    </row>
    <row r="985" spans="1:20" x14ac:dyDescent="0.25">
      <c r="A985" s="373"/>
      <c r="B985" s="379" t="s">
        <v>460</v>
      </c>
      <c r="C985" s="373" t="s">
        <v>433</v>
      </c>
      <c r="D985" s="374">
        <v>546842247</v>
      </c>
      <c r="E985" s="393">
        <v>43804</v>
      </c>
      <c r="I985" s="373"/>
      <c r="J985" s="379" t="s">
        <v>3239</v>
      </c>
      <c r="K985" s="385" t="s">
        <v>3253</v>
      </c>
      <c r="L985" s="374">
        <v>10204600</v>
      </c>
      <c r="M985" s="375">
        <v>43850</v>
      </c>
      <c r="T985" s="163"/>
    </row>
    <row r="986" spans="1:20" x14ac:dyDescent="0.25">
      <c r="A986" s="373"/>
      <c r="B986" s="382" t="s">
        <v>459</v>
      </c>
      <c r="C986" s="382"/>
      <c r="D986" s="383"/>
      <c r="E986" s="395"/>
      <c r="I986" s="373"/>
      <c r="J986" s="379" t="s">
        <v>3240</v>
      </c>
      <c r="K986" s="384" t="s">
        <v>388</v>
      </c>
      <c r="L986" s="374"/>
      <c r="M986" s="375"/>
      <c r="T986" s="163"/>
    </row>
    <row r="987" spans="1:20" x14ac:dyDescent="0.25">
      <c r="A987" s="373"/>
      <c r="B987" s="382" t="s">
        <v>458</v>
      </c>
      <c r="C987" s="382"/>
      <c r="D987" s="383"/>
      <c r="E987" s="395"/>
      <c r="I987" s="373"/>
      <c r="J987" s="379" t="s">
        <v>3255</v>
      </c>
      <c r="K987" s="385" t="s">
        <v>3254</v>
      </c>
      <c r="L987" s="374">
        <v>15606072</v>
      </c>
      <c r="M987" s="375">
        <v>43850</v>
      </c>
      <c r="T987" s="163"/>
    </row>
    <row r="988" spans="1:20" x14ac:dyDescent="0.25">
      <c r="A988" s="373"/>
      <c r="B988" s="379" t="s">
        <v>457</v>
      </c>
      <c r="C988" s="373" t="s">
        <v>388</v>
      </c>
      <c r="D988" s="374"/>
      <c r="E988" s="393"/>
      <c r="I988" s="373"/>
      <c r="J988" s="379" t="s">
        <v>3256</v>
      </c>
      <c r="K988" s="385" t="s">
        <v>720</v>
      </c>
      <c r="L988" s="374">
        <v>3900000</v>
      </c>
      <c r="M988" s="375">
        <v>43850</v>
      </c>
      <c r="T988" s="163"/>
    </row>
    <row r="989" spans="1:20" x14ac:dyDescent="0.25">
      <c r="A989" s="373"/>
      <c r="B989" s="379" t="s">
        <v>456</v>
      </c>
      <c r="C989" s="373" t="s">
        <v>276</v>
      </c>
      <c r="D989" s="374">
        <v>13041301</v>
      </c>
      <c r="E989" s="393">
        <v>43801</v>
      </c>
      <c r="I989" s="373"/>
      <c r="J989" s="379" t="s">
        <v>3257</v>
      </c>
      <c r="K989" s="385" t="s">
        <v>3259</v>
      </c>
      <c r="L989" s="374">
        <v>19785324</v>
      </c>
      <c r="M989" s="375">
        <v>43850</v>
      </c>
      <c r="T989" s="163"/>
    </row>
    <row r="990" spans="1:20" x14ac:dyDescent="0.25">
      <c r="A990" s="373"/>
      <c r="B990" s="379" t="s">
        <v>455</v>
      </c>
      <c r="C990" s="373" t="s">
        <v>23</v>
      </c>
      <c r="D990" s="374">
        <v>909155673</v>
      </c>
      <c r="E990" s="393">
        <v>43801</v>
      </c>
      <c r="I990" s="373"/>
      <c r="J990" s="379" t="s">
        <v>3258</v>
      </c>
      <c r="K990" s="385" t="s">
        <v>3260</v>
      </c>
      <c r="L990" s="374">
        <v>3000000</v>
      </c>
      <c r="M990" s="375">
        <v>43850</v>
      </c>
      <c r="T990" s="163"/>
    </row>
    <row r="991" spans="1:20" x14ac:dyDescent="0.25">
      <c r="A991" s="373"/>
      <c r="B991" s="379" t="s">
        <v>454</v>
      </c>
      <c r="C991" s="373" t="s">
        <v>302</v>
      </c>
      <c r="D991" s="374">
        <v>203106750</v>
      </c>
      <c r="E991" s="393">
        <v>43801</v>
      </c>
      <c r="I991" s="373"/>
      <c r="J991" s="379" t="s">
        <v>3286</v>
      </c>
      <c r="K991" s="385" t="s">
        <v>582</v>
      </c>
      <c r="L991" s="374">
        <v>20077741</v>
      </c>
      <c r="M991" s="375">
        <v>43850</v>
      </c>
      <c r="T991" s="163"/>
    </row>
    <row r="992" spans="1:20" x14ac:dyDescent="0.25">
      <c r="A992" s="373"/>
      <c r="B992" s="379" t="s">
        <v>453</v>
      </c>
      <c r="C992" s="373" t="s">
        <v>452</v>
      </c>
      <c r="D992" s="374">
        <v>184409445</v>
      </c>
      <c r="E992" s="393">
        <v>43801</v>
      </c>
      <c r="I992" s="373"/>
      <c r="J992" s="379" t="s">
        <v>3287</v>
      </c>
      <c r="K992" s="385" t="s">
        <v>3409</v>
      </c>
      <c r="L992" s="374">
        <v>6234325</v>
      </c>
      <c r="M992" s="375">
        <v>43851</v>
      </c>
      <c r="T992" s="163"/>
    </row>
    <row r="993" spans="1:20" x14ac:dyDescent="0.25">
      <c r="A993" s="373"/>
      <c r="B993" s="379" t="s">
        <v>451</v>
      </c>
      <c r="C993" s="373" t="s">
        <v>450</v>
      </c>
      <c r="D993" s="374">
        <v>981334929</v>
      </c>
      <c r="E993" s="393">
        <v>43801</v>
      </c>
      <c r="I993" s="373"/>
      <c r="J993" s="379" t="s">
        <v>3288</v>
      </c>
      <c r="K993" s="385" t="s">
        <v>3410</v>
      </c>
      <c r="L993" s="374">
        <v>22141243</v>
      </c>
      <c r="M993" s="375">
        <v>43851</v>
      </c>
      <c r="T993" s="163"/>
    </row>
    <row r="994" spans="1:20" x14ac:dyDescent="0.25">
      <c r="A994" s="373"/>
      <c r="B994" s="379" t="s">
        <v>449</v>
      </c>
      <c r="C994" s="373" t="s">
        <v>295</v>
      </c>
      <c r="D994" s="374">
        <v>475514030</v>
      </c>
      <c r="E994" s="393">
        <v>43802</v>
      </c>
      <c r="I994" s="373"/>
      <c r="J994" s="379" t="s">
        <v>3289</v>
      </c>
      <c r="K994" s="385" t="s">
        <v>3195</v>
      </c>
      <c r="L994" s="374">
        <v>27181662</v>
      </c>
      <c r="M994" s="375">
        <v>43851</v>
      </c>
      <c r="T994" s="163"/>
    </row>
    <row r="995" spans="1:20" x14ac:dyDescent="0.25">
      <c r="A995" s="373"/>
      <c r="B995" s="379" t="s">
        <v>448</v>
      </c>
      <c r="C995" s="373" t="s">
        <v>302</v>
      </c>
      <c r="D995" s="374">
        <v>197255000</v>
      </c>
      <c r="E995" s="393">
        <v>43802</v>
      </c>
      <c r="I995" s="373"/>
      <c r="J995" s="379" t="s">
        <v>3290</v>
      </c>
      <c r="K995" s="385" t="s">
        <v>3411</v>
      </c>
      <c r="L995" s="374">
        <v>14514291</v>
      </c>
      <c r="M995" s="375">
        <v>43851</v>
      </c>
      <c r="T995" s="163"/>
    </row>
    <row r="996" spans="1:20" x14ac:dyDescent="0.25">
      <c r="A996" s="373"/>
      <c r="B996" s="379" t="s">
        <v>447</v>
      </c>
      <c r="C996" s="373" t="s">
        <v>333</v>
      </c>
      <c r="D996" s="374">
        <v>143917744</v>
      </c>
      <c r="E996" s="393">
        <v>43802</v>
      </c>
      <c r="I996" s="373"/>
      <c r="J996" s="379" t="s">
        <v>3291</v>
      </c>
      <c r="K996" s="385" t="s">
        <v>3412</v>
      </c>
      <c r="L996" s="374">
        <v>13201832</v>
      </c>
      <c r="M996" s="375">
        <v>43851</v>
      </c>
      <c r="T996" s="163"/>
    </row>
    <row r="997" spans="1:20" x14ac:dyDescent="0.25">
      <c r="A997" s="373"/>
      <c r="B997" s="379" t="s">
        <v>446</v>
      </c>
      <c r="C997" s="373" t="s">
        <v>425</v>
      </c>
      <c r="D997" s="374">
        <v>90593156</v>
      </c>
      <c r="E997" s="393">
        <v>43802</v>
      </c>
      <c r="I997" s="373"/>
      <c r="J997" s="379" t="s">
        <v>3292</v>
      </c>
      <c r="K997" s="385" t="s">
        <v>388</v>
      </c>
      <c r="L997" s="374"/>
      <c r="M997" s="373"/>
      <c r="T997" s="163"/>
    </row>
    <row r="998" spans="1:20" x14ac:dyDescent="0.25">
      <c r="A998" s="373"/>
      <c r="B998" s="379" t="s">
        <v>445</v>
      </c>
      <c r="C998" s="373" t="s">
        <v>248</v>
      </c>
      <c r="D998" s="374">
        <v>533031500</v>
      </c>
      <c r="E998" s="393">
        <v>43802</v>
      </c>
      <c r="I998" s="373"/>
      <c r="J998" s="379" t="s">
        <v>3293</v>
      </c>
      <c r="K998" s="385" t="s">
        <v>3413</v>
      </c>
      <c r="L998" s="374">
        <v>17162449</v>
      </c>
      <c r="M998" s="375">
        <v>43851</v>
      </c>
      <c r="T998" s="163"/>
    </row>
    <row r="999" spans="1:20" x14ac:dyDescent="0.25">
      <c r="A999" s="373"/>
      <c r="B999" s="379" t="s">
        <v>444</v>
      </c>
      <c r="C999" s="373" t="s">
        <v>433</v>
      </c>
      <c r="D999" s="374">
        <v>566290534</v>
      </c>
      <c r="E999" s="393">
        <v>43802</v>
      </c>
      <c r="I999" s="373"/>
      <c r="J999" s="379" t="s">
        <v>3294</v>
      </c>
      <c r="K999" s="385" t="s">
        <v>3204</v>
      </c>
      <c r="L999" s="374">
        <v>6017323</v>
      </c>
      <c r="M999" s="375">
        <v>43851</v>
      </c>
      <c r="T999" s="163"/>
    </row>
    <row r="1000" spans="1:20" x14ac:dyDescent="0.25">
      <c r="A1000" s="373"/>
      <c r="B1000" s="379" t="s">
        <v>443</v>
      </c>
      <c r="C1000" s="373" t="s">
        <v>320</v>
      </c>
      <c r="D1000" s="374">
        <v>934712740</v>
      </c>
      <c r="E1000" s="393">
        <v>43802</v>
      </c>
      <c r="I1000" s="373"/>
      <c r="J1000" s="379" t="s">
        <v>3295</v>
      </c>
      <c r="K1000" s="385" t="s">
        <v>3217</v>
      </c>
      <c r="L1000" s="374">
        <v>7391449</v>
      </c>
      <c r="M1000" s="375">
        <v>43853</v>
      </c>
      <c r="T1000" s="163"/>
    </row>
    <row r="1001" spans="1:20" x14ac:dyDescent="0.25">
      <c r="A1001" s="373"/>
      <c r="B1001" s="379" t="s">
        <v>442</v>
      </c>
      <c r="C1001" s="373" t="s">
        <v>431</v>
      </c>
      <c r="D1001" s="374">
        <v>1242219940</v>
      </c>
      <c r="E1001" s="393">
        <v>43803</v>
      </c>
      <c r="I1001" s="373"/>
      <c r="J1001" s="379" t="s">
        <v>3296</v>
      </c>
      <c r="K1001" s="385" t="s">
        <v>3404</v>
      </c>
      <c r="L1001" s="374">
        <v>23383835</v>
      </c>
      <c r="M1001" s="375">
        <v>43853</v>
      </c>
      <c r="T1001" s="163"/>
    </row>
    <row r="1002" spans="1:20" x14ac:dyDescent="0.25">
      <c r="A1002" s="373"/>
      <c r="B1002" s="379" t="s">
        <v>441</v>
      </c>
      <c r="C1002" s="373" t="s">
        <v>440</v>
      </c>
      <c r="D1002" s="374">
        <v>76707336</v>
      </c>
      <c r="E1002" s="393">
        <v>43803</v>
      </c>
      <c r="I1002" s="373"/>
      <c r="J1002" s="379" t="s">
        <v>3297</v>
      </c>
      <c r="K1002" s="385" t="s">
        <v>3414</v>
      </c>
      <c r="L1002" s="374">
        <v>33077959</v>
      </c>
      <c r="M1002" s="375">
        <v>43853</v>
      </c>
      <c r="T1002" s="163"/>
    </row>
    <row r="1003" spans="1:20" x14ac:dyDescent="0.25">
      <c r="A1003" s="373"/>
      <c r="B1003" s="379" t="s">
        <v>439</v>
      </c>
      <c r="C1003" s="373" t="s">
        <v>425</v>
      </c>
      <c r="D1003" s="374">
        <v>419752350</v>
      </c>
      <c r="E1003" s="393">
        <v>43803</v>
      </c>
      <c r="I1003" s="373"/>
      <c r="J1003" s="379" t="s">
        <v>3298</v>
      </c>
      <c r="K1003" s="385" t="s">
        <v>3392</v>
      </c>
      <c r="L1003" s="374">
        <v>28783570</v>
      </c>
      <c r="M1003" s="375">
        <v>43853</v>
      </c>
      <c r="T1003" s="163"/>
    </row>
    <row r="1004" spans="1:20" x14ac:dyDescent="0.25">
      <c r="A1004" s="373"/>
      <c r="B1004" s="379" t="s">
        <v>438</v>
      </c>
      <c r="C1004" s="373" t="s">
        <v>429</v>
      </c>
      <c r="D1004" s="374">
        <v>137649113</v>
      </c>
      <c r="E1004" s="393">
        <v>43803</v>
      </c>
      <c r="I1004" s="373"/>
      <c r="J1004" s="379" t="s">
        <v>3299</v>
      </c>
      <c r="K1004" s="385" t="s">
        <v>3391</v>
      </c>
      <c r="L1004" s="374">
        <v>25063163</v>
      </c>
      <c r="M1004" s="375">
        <v>43853</v>
      </c>
      <c r="T1004" s="163"/>
    </row>
    <row r="1005" spans="1:20" x14ac:dyDescent="0.25">
      <c r="A1005" s="373"/>
      <c r="B1005" s="379" t="s">
        <v>437</v>
      </c>
      <c r="C1005" s="373" t="s">
        <v>276</v>
      </c>
      <c r="D1005" s="374">
        <v>4641245</v>
      </c>
      <c r="E1005" s="393">
        <v>43803</v>
      </c>
      <c r="I1005" s="373"/>
      <c r="J1005" s="379" t="s">
        <v>3300</v>
      </c>
      <c r="K1005" s="385" t="s">
        <v>3399</v>
      </c>
      <c r="L1005" s="374">
        <v>12683978</v>
      </c>
      <c r="M1005" s="375">
        <v>43853</v>
      </c>
      <c r="T1005" s="163"/>
    </row>
    <row r="1006" spans="1:20" x14ac:dyDescent="0.25">
      <c r="A1006" s="373"/>
      <c r="B1006" s="379" t="s">
        <v>436</v>
      </c>
      <c r="C1006" s="373" t="s">
        <v>435</v>
      </c>
      <c r="D1006" s="374">
        <v>572044025</v>
      </c>
      <c r="E1006" s="393">
        <v>43803</v>
      </c>
      <c r="I1006" s="373"/>
      <c r="J1006" s="379" t="s">
        <v>3301</v>
      </c>
      <c r="K1006" s="385" t="s">
        <v>3415</v>
      </c>
      <c r="L1006" s="374">
        <v>5122373</v>
      </c>
      <c r="M1006" s="375">
        <v>43858</v>
      </c>
      <c r="T1006" s="163"/>
    </row>
    <row r="1007" spans="1:20" x14ac:dyDescent="0.25">
      <c r="A1007" s="373"/>
      <c r="B1007" s="379" t="s">
        <v>434</v>
      </c>
      <c r="C1007" s="373" t="s">
        <v>433</v>
      </c>
      <c r="D1007" s="374">
        <v>1456776229</v>
      </c>
      <c r="E1007" s="393">
        <v>43803</v>
      </c>
      <c r="I1007" s="373"/>
      <c r="J1007" s="379" t="s">
        <v>3302</v>
      </c>
      <c r="K1007" s="385" t="s">
        <v>3388</v>
      </c>
      <c r="L1007" s="374">
        <v>21397525</v>
      </c>
      <c r="M1007" s="375">
        <v>43858</v>
      </c>
      <c r="T1007" s="163"/>
    </row>
    <row r="1008" spans="1:20" x14ac:dyDescent="0.25">
      <c r="A1008" s="373"/>
      <c r="B1008" s="379" t="s">
        <v>432</v>
      </c>
      <c r="C1008" s="373" t="s">
        <v>431</v>
      </c>
      <c r="D1008" s="374">
        <v>108995900</v>
      </c>
      <c r="E1008" s="393">
        <v>43804</v>
      </c>
      <c r="I1008" s="373"/>
      <c r="J1008" s="379" t="s">
        <v>3303</v>
      </c>
      <c r="K1008" s="385" t="s">
        <v>388</v>
      </c>
      <c r="L1008" s="374"/>
      <c r="M1008" s="373"/>
      <c r="T1008" s="163"/>
    </row>
    <row r="1009" spans="1:20" x14ac:dyDescent="0.25">
      <c r="A1009" s="373"/>
      <c r="B1009" s="379" t="s">
        <v>430</v>
      </c>
      <c r="C1009" s="373" t="s">
        <v>429</v>
      </c>
      <c r="D1009" s="374">
        <v>71242800</v>
      </c>
      <c r="E1009" s="393">
        <v>43804</v>
      </c>
      <c r="I1009" s="373"/>
      <c r="J1009" s="379" t="s">
        <v>3304</v>
      </c>
      <c r="K1009" s="385" t="s">
        <v>3416</v>
      </c>
      <c r="L1009" s="374">
        <v>17002474</v>
      </c>
      <c r="M1009" s="375">
        <v>43858</v>
      </c>
      <c r="T1009" s="163"/>
    </row>
    <row r="1010" spans="1:20" x14ac:dyDescent="0.25">
      <c r="A1010" s="373"/>
      <c r="B1010" s="379" t="s">
        <v>428</v>
      </c>
      <c r="C1010" s="373" t="s">
        <v>427</v>
      </c>
      <c r="D1010" s="374">
        <v>505951282</v>
      </c>
      <c r="E1010" s="393">
        <v>43804</v>
      </c>
      <c r="I1010" s="373"/>
      <c r="J1010" s="379" t="s">
        <v>3305</v>
      </c>
      <c r="K1010" s="385" t="s">
        <v>3203</v>
      </c>
      <c r="L1010" s="374">
        <v>2704870</v>
      </c>
      <c r="M1010" s="375">
        <v>43858</v>
      </c>
      <c r="T1010" s="163"/>
    </row>
    <row r="1011" spans="1:20" x14ac:dyDescent="0.25">
      <c r="A1011" s="373"/>
      <c r="B1011" s="379" t="s">
        <v>426</v>
      </c>
      <c r="C1011" s="373" t="s">
        <v>425</v>
      </c>
      <c r="D1011" s="374">
        <v>572888196</v>
      </c>
      <c r="E1011" s="393">
        <v>43804</v>
      </c>
      <c r="I1011" s="373"/>
      <c r="J1011" s="379" t="s">
        <v>3306</v>
      </c>
      <c r="K1011" s="385" t="s">
        <v>3206</v>
      </c>
      <c r="L1011" s="374">
        <v>23576127</v>
      </c>
      <c r="M1011" s="375">
        <v>43858</v>
      </c>
      <c r="T1011" s="163"/>
    </row>
    <row r="1012" spans="1:20" x14ac:dyDescent="0.25">
      <c r="A1012" s="373"/>
      <c r="B1012" s="379" t="s">
        <v>424</v>
      </c>
      <c r="C1012" s="373" t="s">
        <v>293</v>
      </c>
      <c r="D1012" s="374">
        <v>181503745</v>
      </c>
      <c r="E1012" s="393">
        <v>43804</v>
      </c>
      <c r="I1012" s="373"/>
      <c r="J1012" s="379" t="s">
        <v>3307</v>
      </c>
      <c r="K1012" s="385" t="s">
        <v>3417</v>
      </c>
      <c r="L1012" s="374">
        <v>25492195</v>
      </c>
      <c r="M1012" s="375">
        <v>43858</v>
      </c>
      <c r="T1012" s="163"/>
    </row>
    <row r="1013" spans="1:20" x14ac:dyDescent="0.25">
      <c r="A1013" s="373"/>
      <c r="B1013" s="379" t="s">
        <v>423</v>
      </c>
      <c r="C1013" s="379" t="s">
        <v>341</v>
      </c>
      <c r="D1013" s="374">
        <v>1205978558</v>
      </c>
      <c r="E1013" s="393">
        <v>43805</v>
      </c>
      <c r="I1013" s="373"/>
      <c r="J1013" s="379" t="s">
        <v>3308</v>
      </c>
      <c r="K1013" s="385" t="s">
        <v>3418</v>
      </c>
      <c r="L1013" s="374">
        <v>9463700</v>
      </c>
      <c r="M1013" s="375">
        <v>43858</v>
      </c>
      <c r="T1013" s="163"/>
    </row>
    <row r="1014" spans="1:20" x14ac:dyDescent="0.25">
      <c r="A1014" s="373"/>
      <c r="B1014" s="379" t="s">
        <v>422</v>
      </c>
      <c r="C1014" s="379" t="s">
        <v>421</v>
      </c>
      <c r="D1014" s="374">
        <v>510845093</v>
      </c>
      <c r="E1014" s="393">
        <v>43805</v>
      </c>
      <c r="I1014" s="373"/>
      <c r="J1014" s="379" t="s">
        <v>3309</v>
      </c>
      <c r="K1014" s="385" t="s">
        <v>3419</v>
      </c>
      <c r="L1014" s="374">
        <v>25266535</v>
      </c>
      <c r="M1014" s="375">
        <v>43858</v>
      </c>
      <c r="T1014" s="163"/>
    </row>
    <row r="1015" spans="1:20" x14ac:dyDescent="0.25">
      <c r="A1015" s="373"/>
      <c r="B1015" s="379" t="s">
        <v>420</v>
      </c>
      <c r="C1015" s="379" t="s">
        <v>250</v>
      </c>
      <c r="D1015" s="374">
        <v>100690394</v>
      </c>
      <c r="E1015" s="393">
        <v>43805</v>
      </c>
      <c r="I1015" s="373"/>
      <c r="J1015" s="379" t="s">
        <v>3310</v>
      </c>
      <c r="K1015" s="385" t="s">
        <v>3420</v>
      </c>
      <c r="L1015" s="374">
        <v>1652000</v>
      </c>
      <c r="M1015" s="375">
        <v>43873</v>
      </c>
      <c r="T1015" s="163"/>
    </row>
    <row r="1016" spans="1:20" x14ac:dyDescent="0.25">
      <c r="A1016" s="373"/>
      <c r="B1016" s="379" t="s">
        <v>419</v>
      </c>
      <c r="C1016" s="379" t="s">
        <v>385</v>
      </c>
      <c r="D1016" s="374">
        <v>229431464</v>
      </c>
      <c r="E1016" s="393">
        <v>43805</v>
      </c>
      <c r="I1016" s="373"/>
      <c r="J1016" s="362" t="s">
        <v>3336</v>
      </c>
      <c r="K1016" s="362" t="s">
        <v>4249</v>
      </c>
      <c r="L1016" s="387">
        <v>407600</v>
      </c>
      <c r="M1016" s="371">
        <v>43859</v>
      </c>
      <c r="T1016" s="163"/>
    </row>
    <row r="1017" spans="1:20" x14ac:dyDescent="0.25">
      <c r="A1017" s="373"/>
      <c r="B1017" s="379" t="s">
        <v>418</v>
      </c>
      <c r="C1017" s="379" t="s">
        <v>417</v>
      </c>
      <c r="D1017" s="374">
        <v>109512691</v>
      </c>
      <c r="E1017" s="393">
        <v>43805</v>
      </c>
      <c r="I1017" s="373"/>
      <c r="J1017" s="362" t="s">
        <v>3337</v>
      </c>
      <c r="K1017" s="362" t="s">
        <v>3912</v>
      </c>
      <c r="L1017" s="387">
        <v>1482080</v>
      </c>
      <c r="M1017" s="371">
        <v>43859</v>
      </c>
      <c r="T1017" s="163"/>
    </row>
    <row r="1018" spans="1:20" x14ac:dyDescent="0.25">
      <c r="A1018" s="373"/>
      <c r="B1018" s="379" t="s">
        <v>416</v>
      </c>
      <c r="C1018" s="379" t="s">
        <v>259</v>
      </c>
      <c r="D1018" s="374">
        <v>1154713463</v>
      </c>
      <c r="E1018" s="393">
        <v>43805</v>
      </c>
      <c r="I1018" s="373"/>
      <c r="J1018" s="362" t="s">
        <v>3338</v>
      </c>
      <c r="K1018" s="362" t="s">
        <v>4294</v>
      </c>
      <c r="L1018" s="387">
        <v>1604640</v>
      </c>
      <c r="M1018" s="371">
        <v>43859</v>
      </c>
      <c r="T1018" s="163"/>
    </row>
    <row r="1019" spans="1:20" x14ac:dyDescent="0.25">
      <c r="A1019" s="373"/>
      <c r="B1019" s="379" t="s">
        <v>415</v>
      </c>
      <c r="C1019" s="379" t="s">
        <v>366</v>
      </c>
      <c r="D1019" s="374">
        <v>3429173348</v>
      </c>
      <c r="E1019" s="393">
        <v>43805</v>
      </c>
      <c r="I1019" s="373"/>
      <c r="J1019" s="362" t="s">
        <v>3339</v>
      </c>
      <c r="K1019" s="362" t="s">
        <v>388</v>
      </c>
      <c r="L1019" s="387"/>
      <c r="M1019" s="371"/>
      <c r="T1019" s="163"/>
    </row>
    <row r="1020" spans="1:20" x14ac:dyDescent="0.25">
      <c r="A1020" s="373"/>
      <c r="B1020" s="379" t="s">
        <v>414</v>
      </c>
      <c r="C1020" s="379" t="s">
        <v>259</v>
      </c>
      <c r="D1020" s="374">
        <v>546622535</v>
      </c>
      <c r="E1020" s="393">
        <v>43808</v>
      </c>
      <c r="I1020" s="373"/>
      <c r="J1020" s="362" t="s">
        <v>3340</v>
      </c>
      <c r="K1020" s="362" t="s">
        <v>3535</v>
      </c>
      <c r="L1020" s="387">
        <v>12118050</v>
      </c>
      <c r="M1020" s="371">
        <v>43859</v>
      </c>
      <c r="T1020" s="163"/>
    </row>
    <row r="1021" spans="1:20" x14ac:dyDescent="0.25">
      <c r="A1021" s="373"/>
      <c r="B1021" s="379" t="s">
        <v>413</v>
      </c>
      <c r="C1021" s="379" t="s">
        <v>322</v>
      </c>
      <c r="D1021" s="374"/>
      <c r="E1021" s="393">
        <v>43808</v>
      </c>
      <c r="I1021" s="373"/>
      <c r="J1021" s="362" t="s">
        <v>3341</v>
      </c>
      <c r="K1021" s="362" t="s">
        <v>4295</v>
      </c>
      <c r="L1021" s="387">
        <v>130752146</v>
      </c>
      <c r="M1021" s="371">
        <v>43859</v>
      </c>
      <c r="T1021" s="163"/>
    </row>
    <row r="1022" spans="1:20" x14ac:dyDescent="0.25">
      <c r="A1022" s="373"/>
      <c r="B1022" s="379" t="s">
        <v>412</v>
      </c>
      <c r="C1022" s="379" t="s">
        <v>304</v>
      </c>
      <c r="D1022" s="374">
        <v>93477238</v>
      </c>
      <c r="E1022" s="393">
        <v>43808</v>
      </c>
      <c r="I1022" s="373"/>
      <c r="J1022" s="362" t="s">
        <v>3342</v>
      </c>
      <c r="K1022" s="362" t="s">
        <v>674</v>
      </c>
      <c r="L1022" s="387">
        <v>16752789</v>
      </c>
      <c r="M1022" s="371">
        <v>43859</v>
      </c>
      <c r="T1022" s="163"/>
    </row>
    <row r="1023" spans="1:20" x14ac:dyDescent="0.25">
      <c r="A1023" s="373"/>
      <c r="B1023" s="379" t="s">
        <v>411</v>
      </c>
      <c r="C1023" s="379" t="s">
        <v>250</v>
      </c>
      <c r="D1023" s="374">
        <v>545827207</v>
      </c>
      <c r="E1023" s="393">
        <v>43808</v>
      </c>
      <c r="I1023" s="373"/>
      <c r="J1023" s="362" t="s">
        <v>3343</v>
      </c>
      <c r="K1023" s="362" t="s">
        <v>3532</v>
      </c>
      <c r="L1023" s="387">
        <v>3000304</v>
      </c>
      <c r="M1023" s="371">
        <v>43859</v>
      </c>
      <c r="T1023" s="163"/>
    </row>
    <row r="1024" spans="1:20" x14ac:dyDescent="0.25">
      <c r="A1024" s="373"/>
      <c r="B1024" s="379" t="s">
        <v>410</v>
      </c>
      <c r="C1024" s="379" t="s">
        <v>254</v>
      </c>
      <c r="D1024" s="374">
        <v>92683021</v>
      </c>
      <c r="E1024" s="393">
        <v>43808</v>
      </c>
      <c r="I1024" s="373"/>
      <c r="J1024" s="362" t="s">
        <v>3344</v>
      </c>
      <c r="K1024" s="362" t="s">
        <v>4296</v>
      </c>
      <c r="L1024" s="387">
        <v>70486751</v>
      </c>
      <c r="M1024" s="371">
        <v>43872</v>
      </c>
      <c r="T1024" s="163"/>
    </row>
    <row r="1025" spans="1:20" x14ac:dyDescent="0.25">
      <c r="A1025" s="373"/>
      <c r="B1025" s="379" t="s">
        <v>409</v>
      </c>
      <c r="C1025" s="379" t="s">
        <v>252</v>
      </c>
      <c r="D1025" s="374">
        <v>145731500</v>
      </c>
      <c r="E1025" s="393">
        <v>43808</v>
      </c>
      <c r="I1025" s="373"/>
      <c r="J1025" s="362" t="s">
        <v>3345</v>
      </c>
      <c r="K1025" s="362" t="s">
        <v>4297</v>
      </c>
      <c r="L1025" s="387">
        <v>25497230</v>
      </c>
      <c r="M1025" s="371">
        <v>43872</v>
      </c>
      <c r="T1025" s="163"/>
    </row>
    <row r="1026" spans="1:20" x14ac:dyDescent="0.25">
      <c r="A1026" s="373"/>
      <c r="B1026" s="379" t="s">
        <v>408</v>
      </c>
      <c r="C1026" s="379" t="s">
        <v>407</v>
      </c>
      <c r="D1026" s="374">
        <v>327093808</v>
      </c>
      <c r="E1026" s="393">
        <v>43808</v>
      </c>
      <c r="I1026" s="373"/>
      <c r="J1026" s="362" t="s">
        <v>3346</v>
      </c>
      <c r="K1026" s="362" t="s">
        <v>4298</v>
      </c>
      <c r="L1026" s="387">
        <v>4322000</v>
      </c>
      <c r="M1026" s="371">
        <v>43860</v>
      </c>
      <c r="T1026" s="163"/>
    </row>
    <row r="1027" spans="1:20" x14ac:dyDescent="0.25">
      <c r="A1027" s="373"/>
      <c r="B1027" s="379" t="s">
        <v>406</v>
      </c>
      <c r="C1027" s="379" t="s">
        <v>405</v>
      </c>
      <c r="D1027" s="374">
        <v>858571928</v>
      </c>
      <c r="E1027" s="393">
        <v>43808</v>
      </c>
      <c r="I1027" s="373"/>
      <c r="J1027" s="362" t="s">
        <v>3347</v>
      </c>
      <c r="K1027" s="362" t="s">
        <v>3926</v>
      </c>
      <c r="L1027" s="387">
        <v>3415000</v>
      </c>
      <c r="M1027" s="371">
        <v>43860</v>
      </c>
      <c r="T1027" s="163"/>
    </row>
    <row r="1028" spans="1:20" x14ac:dyDescent="0.25">
      <c r="A1028" s="373"/>
      <c r="B1028" s="379" t="s">
        <v>404</v>
      </c>
      <c r="C1028" s="379" t="s">
        <v>403</v>
      </c>
      <c r="D1028" s="374">
        <v>445960042</v>
      </c>
      <c r="E1028" s="393">
        <v>43808</v>
      </c>
      <c r="I1028" s="373"/>
      <c r="J1028" s="362" t="s">
        <v>3348</v>
      </c>
      <c r="K1028" s="362" t="s">
        <v>4299</v>
      </c>
      <c r="L1028" s="387">
        <v>594250</v>
      </c>
      <c r="M1028" s="371">
        <v>43860</v>
      </c>
      <c r="T1028" s="163"/>
    </row>
    <row r="1029" spans="1:20" x14ac:dyDescent="0.25">
      <c r="A1029" s="373"/>
      <c r="B1029" s="379" t="s">
        <v>402</v>
      </c>
      <c r="C1029" s="379" t="s">
        <v>298</v>
      </c>
      <c r="D1029" s="374">
        <v>125349776</v>
      </c>
      <c r="E1029" s="393">
        <v>43809</v>
      </c>
      <c r="I1029" s="373"/>
      <c r="J1029" s="362" t="s">
        <v>3349</v>
      </c>
      <c r="K1029" s="362" t="s">
        <v>4300</v>
      </c>
      <c r="L1029" s="387">
        <v>10181698</v>
      </c>
      <c r="M1029" s="371">
        <v>43861</v>
      </c>
      <c r="T1029" s="163"/>
    </row>
    <row r="1030" spans="1:20" x14ac:dyDescent="0.25">
      <c r="A1030" s="373"/>
      <c r="B1030" s="379" t="s">
        <v>401</v>
      </c>
      <c r="C1030" s="379" t="s">
        <v>333</v>
      </c>
      <c r="D1030" s="374">
        <v>166059836</v>
      </c>
      <c r="E1030" s="393">
        <v>43809</v>
      </c>
      <c r="I1030" s="373"/>
      <c r="J1030" s="362" t="s">
        <v>3350</v>
      </c>
      <c r="K1030" s="362" t="s">
        <v>4301</v>
      </c>
      <c r="L1030" s="387">
        <v>1250000</v>
      </c>
      <c r="M1030" s="371">
        <v>43861</v>
      </c>
      <c r="T1030" s="163"/>
    </row>
    <row r="1031" spans="1:20" x14ac:dyDescent="0.25">
      <c r="A1031" s="373"/>
      <c r="B1031" s="379" t="s">
        <v>400</v>
      </c>
      <c r="C1031" s="379" t="s">
        <v>246</v>
      </c>
      <c r="D1031" s="374">
        <v>311343710</v>
      </c>
      <c r="E1031" s="393">
        <v>43809</v>
      </c>
      <c r="I1031" s="373"/>
      <c r="J1031" s="362" t="s">
        <v>3351</v>
      </c>
      <c r="K1031" s="362" t="s">
        <v>4282</v>
      </c>
      <c r="L1031" s="387">
        <v>18685746</v>
      </c>
      <c r="M1031" s="371">
        <v>43864</v>
      </c>
      <c r="T1031" s="163"/>
    </row>
    <row r="1032" spans="1:20" x14ac:dyDescent="0.25">
      <c r="A1032" s="373"/>
      <c r="B1032" s="379" t="s">
        <v>399</v>
      </c>
      <c r="C1032" s="379" t="s">
        <v>259</v>
      </c>
      <c r="D1032" s="374">
        <v>360933635</v>
      </c>
      <c r="E1032" s="393">
        <v>43809</v>
      </c>
      <c r="I1032" s="373"/>
      <c r="J1032" s="362" t="s">
        <v>3352</v>
      </c>
      <c r="K1032" s="362" t="s">
        <v>4240</v>
      </c>
      <c r="L1032" s="387">
        <v>8124341</v>
      </c>
      <c r="M1032" s="371">
        <v>43864</v>
      </c>
      <c r="T1032" s="163"/>
    </row>
    <row r="1033" spans="1:20" x14ac:dyDescent="0.25">
      <c r="A1033" s="373"/>
      <c r="B1033" s="379" t="s">
        <v>398</v>
      </c>
      <c r="C1033" s="379" t="s">
        <v>397</v>
      </c>
      <c r="D1033" s="374">
        <v>1435738527</v>
      </c>
      <c r="E1033" s="393">
        <v>43809</v>
      </c>
      <c r="I1033" s="373"/>
      <c r="J1033" s="362" t="s">
        <v>3353</v>
      </c>
      <c r="K1033" s="362" t="s">
        <v>3934</v>
      </c>
      <c r="L1033" s="387">
        <v>8797793</v>
      </c>
      <c r="M1033" s="371">
        <v>43864</v>
      </c>
      <c r="T1033" s="163"/>
    </row>
    <row r="1034" spans="1:20" x14ac:dyDescent="0.25">
      <c r="A1034" s="373"/>
      <c r="B1034" s="379" t="s">
        <v>396</v>
      </c>
      <c r="C1034" s="379" t="s">
        <v>320</v>
      </c>
      <c r="D1034" s="374">
        <v>1969753161</v>
      </c>
      <c r="E1034" s="393">
        <v>43809</v>
      </c>
      <c r="I1034" s="373"/>
      <c r="J1034" s="362" t="s">
        <v>3354</v>
      </c>
      <c r="K1034" s="362" t="s">
        <v>3935</v>
      </c>
      <c r="L1034" s="387">
        <v>18529773</v>
      </c>
      <c r="M1034" s="371">
        <v>43864</v>
      </c>
      <c r="T1034" s="163"/>
    </row>
    <row r="1035" spans="1:20" x14ac:dyDescent="0.25">
      <c r="A1035" s="373"/>
      <c r="B1035" s="379" t="s">
        <v>395</v>
      </c>
      <c r="C1035" s="379" t="s">
        <v>394</v>
      </c>
      <c r="D1035" s="374">
        <v>286907650</v>
      </c>
      <c r="E1035" s="393">
        <v>43809</v>
      </c>
      <c r="I1035" s="373"/>
      <c r="J1035" s="362" t="s">
        <v>3355</v>
      </c>
      <c r="K1035" s="362" t="s">
        <v>3936</v>
      </c>
      <c r="L1035" s="387">
        <v>16242314</v>
      </c>
      <c r="M1035" s="371">
        <v>43864</v>
      </c>
      <c r="T1035" s="163"/>
    </row>
    <row r="1036" spans="1:20" x14ac:dyDescent="0.25">
      <c r="A1036" s="373"/>
      <c r="B1036" s="379" t="s">
        <v>393</v>
      </c>
      <c r="C1036" s="379" t="s">
        <v>259</v>
      </c>
      <c r="D1036" s="374">
        <v>782213862</v>
      </c>
      <c r="E1036" s="393">
        <v>43810</v>
      </c>
      <c r="I1036" s="373"/>
      <c r="J1036" s="362" t="s">
        <v>3356</v>
      </c>
      <c r="K1036" s="362" t="s">
        <v>4302</v>
      </c>
      <c r="L1036" s="387">
        <v>35100000</v>
      </c>
      <c r="M1036" s="371">
        <v>43864</v>
      </c>
      <c r="T1036" s="163"/>
    </row>
    <row r="1037" spans="1:20" x14ac:dyDescent="0.25">
      <c r="A1037" s="373"/>
      <c r="B1037" s="379" t="s">
        <v>392</v>
      </c>
      <c r="C1037" s="379" t="s">
        <v>246</v>
      </c>
      <c r="D1037" s="374">
        <v>839724800</v>
      </c>
      <c r="E1037" s="393">
        <v>43810</v>
      </c>
      <c r="I1037" s="373"/>
      <c r="J1037" s="362" t="s">
        <v>3357</v>
      </c>
      <c r="K1037" s="362" t="s">
        <v>4303</v>
      </c>
      <c r="L1037" s="387">
        <v>33157189</v>
      </c>
      <c r="M1037" s="371">
        <v>43864</v>
      </c>
      <c r="T1037" s="163"/>
    </row>
    <row r="1038" spans="1:20" x14ac:dyDescent="0.25">
      <c r="A1038" s="373"/>
      <c r="B1038" s="379" t="s">
        <v>391</v>
      </c>
      <c r="C1038" s="379" t="s">
        <v>320</v>
      </c>
      <c r="D1038" s="374">
        <v>867723969</v>
      </c>
      <c r="E1038" s="393">
        <v>43810</v>
      </c>
      <c r="I1038" s="373"/>
      <c r="J1038" s="362" t="s">
        <v>3358</v>
      </c>
      <c r="K1038" s="362" t="s">
        <v>3939</v>
      </c>
      <c r="L1038" s="387">
        <v>17258951</v>
      </c>
      <c r="M1038" s="371">
        <v>43865</v>
      </c>
      <c r="T1038" s="163"/>
    </row>
    <row r="1039" spans="1:20" x14ac:dyDescent="0.25">
      <c r="A1039" s="373"/>
      <c r="B1039" s="379" t="s">
        <v>390</v>
      </c>
      <c r="C1039" s="379" t="s">
        <v>254</v>
      </c>
      <c r="D1039" s="374">
        <v>22163378</v>
      </c>
      <c r="E1039" s="393">
        <v>43810</v>
      </c>
      <c r="I1039" s="373"/>
      <c r="J1039" s="362" t="s">
        <v>3359</v>
      </c>
      <c r="K1039" s="362" t="s">
        <v>4210</v>
      </c>
      <c r="L1039" s="387">
        <v>6839250</v>
      </c>
      <c r="M1039" s="371">
        <v>43865</v>
      </c>
      <c r="T1039" s="163"/>
    </row>
    <row r="1040" spans="1:20" x14ac:dyDescent="0.25">
      <c r="A1040" s="373"/>
      <c r="B1040" s="379" t="s">
        <v>389</v>
      </c>
      <c r="C1040" s="379" t="s">
        <v>388</v>
      </c>
      <c r="D1040" s="374"/>
      <c r="E1040" s="393"/>
      <c r="I1040" s="373"/>
      <c r="J1040" s="362" t="s">
        <v>3360</v>
      </c>
      <c r="K1040" s="362" t="s">
        <v>4215</v>
      </c>
      <c r="L1040" s="387">
        <v>4827840</v>
      </c>
      <c r="M1040" s="371">
        <v>43865</v>
      </c>
      <c r="T1040" s="163"/>
    </row>
    <row r="1041" spans="1:20" x14ac:dyDescent="0.25">
      <c r="A1041" s="373"/>
      <c r="B1041" s="379" t="s">
        <v>387</v>
      </c>
      <c r="C1041" s="379" t="s">
        <v>385</v>
      </c>
      <c r="D1041" s="374">
        <v>347128828</v>
      </c>
      <c r="E1041" s="393">
        <v>43810</v>
      </c>
      <c r="I1041" s="373"/>
      <c r="J1041" s="379" t="s">
        <v>3361</v>
      </c>
      <c r="K1041" s="385" t="s">
        <v>3362</v>
      </c>
      <c r="L1041" s="374">
        <v>36862801</v>
      </c>
      <c r="M1041" s="375">
        <v>43852</v>
      </c>
      <c r="T1041" s="163"/>
    </row>
    <row r="1042" spans="1:20" x14ac:dyDescent="0.25">
      <c r="A1042" s="373"/>
      <c r="B1042" s="379" t="s">
        <v>386</v>
      </c>
      <c r="C1042" s="379" t="s">
        <v>385</v>
      </c>
      <c r="D1042" s="374">
        <v>347128828</v>
      </c>
      <c r="E1042" s="393">
        <v>43810</v>
      </c>
      <c r="I1042" s="373"/>
      <c r="J1042" s="379" t="s">
        <v>3363</v>
      </c>
      <c r="K1042" s="385" t="s">
        <v>3371</v>
      </c>
      <c r="L1042" s="374">
        <v>1640648</v>
      </c>
      <c r="M1042" s="375">
        <v>43852</v>
      </c>
      <c r="T1042" s="163"/>
    </row>
    <row r="1043" spans="1:20" x14ac:dyDescent="0.25">
      <c r="A1043" s="373"/>
      <c r="B1043" s="379" t="s">
        <v>384</v>
      </c>
      <c r="C1043" s="379" t="s">
        <v>383</v>
      </c>
      <c r="D1043" s="374">
        <v>507503445</v>
      </c>
      <c r="E1043" s="393">
        <v>43811</v>
      </c>
      <c r="I1043" s="373"/>
      <c r="J1043" s="379" t="s">
        <v>3364</v>
      </c>
      <c r="K1043" s="385" t="s">
        <v>3372</v>
      </c>
      <c r="L1043" s="374">
        <v>46033049</v>
      </c>
      <c r="M1043" s="375">
        <v>43852</v>
      </c>
      <c r="T1043" s="163"/>
    </row>
    <row r="1044" spans="1:20" x14ac:dyDescent="0.25">
      <c r="A1044" s="373"/>
      <c r="B1044" s="379" t="s">
        <v>382</v>
      </c>
      <c r="C1044" s="379" t="s">
        <v>320</v>
      </c>
      <c r="D1044" s="374">
        <v>723642708</v>
      </c>
      <c r="E1044" s="393">
        <v>43811</v>
      </c>
      <c r="I1044" s="373"/>
      <c r="J1044" s="379" t="s">
        <v>3365</v>
      </c>
      <c r="K1044" s="385" t="s">
        <v>3373</v>
      </c>
      <c r="L1044" s="374">
        <v>20007252</v>
      </c>
      <c r="M1044" s="375">
        <v>43852</v>
      </c>
      <c r="T1044" s="163"/>
    </row>
    <row r="1045" spans="1:20" x14ac:dyDescent="0.25">
      <c r="A1045" s="373"/>
      <c r="B1045" s="379" t="s">
        <v>381</v>
      </c>
      <c r="C1045" s="379" t="s">
        <v>252</v>
      </c>
      <c r="D1045" s="374">
        <v>102999800</v>
      </c>
      <c r="E1045" s="393">
        <v>43811</v>
      </c>
      <c r="I1045" s="373"/>
      <c r="J1045" s="379" t="s">
        <v>3366</v>
      </c>
      <c r="K1045" s="385" t="s">
        <v>1251</v>
      </c>
      <c r="L1045" s="374">
        <v>21731711</v>
      </c>
      <c r="M1045" s="375">
        <v>43852</v>
      </c>
      <c r="T1045" s="163"/>
    </row>
    <row r="1046" spans="1:20" x14ac:dyDescent="0.25">
      <c r="A1046" s="373"/>
      <c r="B1046" s="379" t="s">
        <v>380</v>
      </c>
      <c r="C1046" s="379" t="s">
        <v>379</v>
      </c>
      <c r="D1046" s="374">
        <v>48823055</v>
      </c>
      <c r="E1046" s="393">
        <v>43811</v>
      </c>
      <c r="I1046" s="373"/>
      <c r="J1046" s="379" t="s">
        <v>3367</v>
      </c>
      <c r="K1046" s="385" t="s">
        <v>3374</v>
      </c>
      <c r="L1046" s="374">
        <v>10088921</v>
      </c>
      <c r="M1046" s="375">
        <v>43852</v>
      </c>
      <c r="T1046" s="163"/>
    </row>
    <row r="1047" spans="1:20" x14ac:dyDescent="0.25">
      <c r="A1047" s="373"/>
      <c r="B1047" s="379" t="s">
        <v>378</v>
      </c>
      <c r="C1047" s="379" t="s">
        <v>250</v>
      </c>
      <c r="D1047" s="374">
        <v>175148798</v>
      </c>
      <c r="E1047" s="393">
        <v>43811</v>
      </c>
      <c r="I1047" s="373"/>
      <c r="J1047" s="379" t="s">
        <v>3368</v>
      </c>
      <c r="K1047" s="385" t="s">
        <v>3375</v>
      </c>
      <c r="L1047" s="374">
        <v>21064177</v>
      </c>
      <c r="M1047" s="375">
        <v>43852</v>
      </c>
      <c r="T1047" s="163"/>
    </row>
    <row r="1048" spans="1:20" x14ac:dyDescent="0.25">
      <c r="A1048" s="373"/>
      <c r="B1048" s="379" t="s">
        <v>377</v>
      </c>
      <c r="C1048" s="379" t="s">
        <v>283</v>
      </c>
      <c r="D1048" s="374">
        <v>179096000</v>
      </c>
      <c r="E1048" s="393">
        <v>43811</v>
      </c>
      <c r="I1048" s="373"/>
      <c r="J1048" s="379" t="s">
        <v>3369</v>
      </c>
      <c r="K1048" s="373"/>
      <c r="L1048" s="374"/>
      <c r="M1048" s="373"/>
      <c r="T1048" s="163"/>
    </row>
    <row r="1049" spans="1:20" x14ac:dyDescent="0.25">
      <c r="A1049" s="373"/>
      <c r="B1049" s="379" t="s">
        <v>376</v>
      </c>
      <c r="C1049" s="379" t="s">
        <v>254</v>
      </c>
      <c r="D1049" s="374">
        <v>7259211</v>
      </c>
      <c r="E1049" s="393">
        <v>43811</v>
      </c>
      <c r="I1049" s="373"/>
      <c r="J1049" s="379" t="s">
        <v>3370</v>
      </c>
      <c r="K1049" s="373"/>
      <c r="L1049" s="374"/>
      <c r="M1049" s="373"/>
      <c r="T1049" s="163"/>
    </row>
    <row r="1050" spans="1:20" x14ac:dyDescent="0.25">
      <c r="A1050" s="373"/>
      <c r="B1050" s="379" t="s">
        <v>375</v>
      </c>
      <c r="C1050" s="379" t="s">
        <v>324</v>
      </c>
      <c r="D1050" s="374">
        <v>101998554</v>
      </c>
      <c r="E1050" s="393">
        <v>43811</v>
      </c>
      <c r="I1050" s="373"/>
      <c r="J1050" s="379" t="s">
        <v>3376</v>
      </c>
      <c r="K1050" s="385" t="s">
        <v>3385</v>
      </c>
      <c r="L1050" s="374">
        <v>400002000</v>
      </c>
      <c r="M1050" s="375">
        <v>43854</v>
      </c>
      <c r="T1050" s="163"/>
    </row>
    <row r="1051" spans="1:20" x14ac:dyDescent="0.25">
      <c r="A1051" s="373"/>
      <c r="B1051" s="379" t="s">
        <v>374</v>
      </c>
      <c r="C1051" s="379" t="s">
        <v>259</v>
      </c>
      <c r="D1051" s="374">
        <v>390959042</v>
      </c>
      <c r="E1051" s="393">
        <v>43811</v>
      </c>
      <c r="I1051" s="373"/>
      <c r="J1051" s="379" t="s">
        <v>3377</v>
      </c>
      <c r="K1051" s="385" t="s">
        <v>3386</v>
      </c>
      <c r="L1051" s="374">
        <v>21524082</v>
      </c>
      <c r="M1051" s="375">
        <v>43854</v>
      </c>
      <c r="T1051" s="163"/>
    </row>
    <row r="1052" spans="1:20" x14ac:dyDescent="0.25">
      <c r="A1052" s="373"/>
      <c r="B1052" s="379" t="s">
        <v>373</v>
      </c>
      <c r="C1052" s="379" t="s">
        <v>372</v>
      </c>
      <c r="D1052" s="374">
        <v>70000000</v>
      </c>
      <c r="E1052" s="393">
        <v>43811</v>
      </c>
      <c r="I1052" s="373"/>
      <c r="J1052" s="379" t="s">
        <v>3378</v>
      </c>
      <c r="K1052" s="385" t="s">
        <v>3387</v>
      </c>
      <c r="L1052" s="374">
        <v>10377000</v>
      </c>
      <c r="M1052" s="375">
        <v>43854</v>
      </c>
      <c r="T1052" s="163"/>
    </row>
    <row r="1053" spans="1:20" x14ac:dyDescent="0.25">
      <c r="A1053" s="373"/>
      <c r="B1053" s="379" t="s">
        <v>371</v>
      </c>
      <c r="C1053" s="379" t="s">
        <v>252</v>
      </c>
      <c r="D1053" s="374">
        <v>106275875</v>
      </c>
      <c r="E1053" s="393">
        <v>43812</v>
      </c>
      <c r="I1053" s="373"/>
      <c r="J1053" s="379" t="s">
        <v>3379</v>
      </c>
      <c r="K1053" s="385" t="s">
        <v>3388</v>
      </c>
      <c r="L1053" s="374">
        <v>4670327</v>
      </c>
      <c r="M1053" s="375">
        <v>43854</v>
      </c>
      <c r="T1053" s="163"/>
    </row>
    <row r="1054" spans="1:20" x14ac:dyDescent="0.25">
      <c r="A1054" s="373"/>
      <c r="B1054" s="379" t="s">
        <v>370</v>
      </c>
      <c r="C1054" s="379" t="s">
        <v>250</v>
      </c>
      <c r="D1054" s="374">
        <v>215402283</v>
      </c>
      <c r="E1054" s="393">
        <v>43812</v>
      </c>
      <c r="I1054" s="373"/>
      <c r="J1054" s="379" t="s">
        <v>3380</v>
      </c>
      <c r="K1054" s="385" t="s">
        <v>3389</v>
      </c>
      <c r="L1054" s="374">
        <v>7095295</v>
      </c>
      <c r="M1054" s="375">
        <v>43854</v>
      </c>
      <c r="T1054" s="163"/>
    </row>
    <row r="1055" spans="1:20" x14ac:dyDescent="0.25">
      <c r="A1055" s="373"/>
      <c r="B1055" s="379" t="s">
        <v>369</v>
      </c>
      <c r="C1055" s="379" t="s">
        <v>259</v>
      </c>
      <c r="D1055" s="374">
        <v>443000000</v>
      </c>
      <c r="E1055" s="393">
        <v>43812</v>
      </c>
      <c r="I1055" s="373"/>
      <c r="J1055" s="379" t="s">
        <v>3381</v>
      </c>
      <c r="K1055" s="385" t="s">
        <v>3390</v>
      </c>
      <c r="L1055" s="374">
        <v>12432000</v>
      </c>
      <c r="M1055" s="375">
        <v>43854</v>
      </c>
      <c r="T1055" s="163"/>
    </row>
    <row r="1056" spans="1:20" x14ac:dyDescent="0.25">
      <c r="A1056" s="373"/>
      <c r="B1056" s="379" t="s">
        <v>368</v>
      </c>
      <c r="C1056" s="379" t="s">
        <v>254</v>
      </c>
      <c r="D1056" s="374">
        <v>4715807</v>
      </c>
      <c r="E1056" s="393">
        <v>43812</v>
      </c>
      <c r="I1056" s="373"/>
      <c r="J1056" s="379" t="s">
        <v>3382</v>
      </c>
      <c r="K1056" s="385" t="s">
        <v>3391</v>
      </c>
      <c r="L1056" s="374">
        <v>15284620</v>
      </c>
      <c r="M1056" s="375">
        <v>43854</v>
      </c>
      <c r="T1056" s="163"/>
    </row>
    <row r="1057" spans="1:20" x14ac:dyDescent="0.25">
      <c r="A1057" s="373"/>
      <c r="B1057" s="379" t="s">
        <v>367</v>
      </c>
      <c r="C1057" s="379" t="s">
        <v>366</v>
      </c>
      <c r="D1057" s="374">
        <v>1671908257</v>
      </c>
      <c r="E1057" s="393">
        <v>43812</v>
      </c>
      <c r="I1057" s="373"/>
      <c r="J1057" s="379" t="s">
        <v>3383</v>
      </c>
      <c r="K1057" s="385" t="s">
        <v>3401</v>
      </c>
      <c r="L1057" s="374">
        <v>12504013</v>
      </c>
      <c r="M1057" s="375">
        <v>43854</v>
      </c>
      <c r="T1057" s="163"/>
    </row>
    <row r="1058" spans="1:20" x14ac:dyDescent="0.25">
      <c r="A1058" s="373"/>
      <c r="B1058" s="379" t="s">
        <v>365</v>
      </c>
      <c r="C1058" s="379" t="s">
        <v>320</v>
      </c>
      <c r="D1058" s="374">
        <v>394913160</v>
      </c>
      <c r="E1058" s="393">
        <v>43815</v>
      </c>
      <c r="I1058" s="373"/>
      <c r="J1058" s="379" t="s">
        <v>3384</v>
      </c>
      <c r="K1058" s="385" t="s">
        <v>3400</v>
      </c>
      <c r="L1058" s="374">
        <v>7010279</v>
      </c>
      <c r="M1058" s="375">
        <v>43857</v>
      </c>
      <c r="T1058" s="163"/>
    </row>
    <row r="1059" spans="1:20" x14ac:dyDescent="0.25">
      <c r="A1059" s="373"/>
      <c r="B1059" s="379" t="s">
        <v>364</v>
      </c>
      <c r="C1059" s="379" t="s">
        <v>341</v>
      </c>
      <c r="D1059" s="374">
        <v>1164197349</v>
      </c>
      <c r="E1059" s="393">
        <v>43815</v>
      </c>
      <c r="I1059" s="373"/>
      <c r="J1059" s="379" t="s">
        <v>3393</v>
      </c>
      <c r="K1059" s="385" t="s">
        <v>3402</v>
      </c>
      <c r="L1059" s="374">
        <v>8875900</v>
      </c>
      <c r="M1059" s="375">
        <v>43857</v>
      </c>
      <c r="T1059" s="163"/>
    </row>
    <row r="1060" spans="1:20" x14ac:dyDescent="0.25">
      <c r="A1060" s="373"/>
      <c r="B1060" s="379" t="s">
        <v>363</v>
      </c>
      <c r="C1060" s="379" t="s">
        <v>250</v>
      </c>
      <c r="D1060" s="374">
        <v>105755722</v>
      </c>
      <c r="E1060" s="393">
        <v>43815</v>
      </c>
      <c r="I1060" s="373"/>
      <c r="J1060" s="379" t="s">
        <v>3394</v>
      </c>
      <c r="K1060" s="385" t="s">
        <v>3403</v>
      </c>
      <c r="L1060" s="374">
        <v>32567452</v>
      </c>
      <c r="M1060" s="375">
        <v>43857</v>
      </c>
      <c r="T1060" s="163"/>
    </row>
    <row r="1061" spans="1:20" x14ac:dyDescent="0.25">
      <c r="A1061" s="373"/>
      <c r="B1061" s="379" t="s">
        <v>362</v>
      </c>
      <c r="C1061" s="379" t="s">
        <v>252</v>
      </c>
      <c r="D1061" s="374">
        <v>128122700</v>
      </c>
      <c r="E1061" s="393">
        <v>43815</v>
      </c>
      <c r="I1061" s="373"/>
      <c r="J1061" s="379" t="s">
        <v>3395</v>
      </c>
      <c r="K1061" s="385" t="s">
        <v>3404</v>
      </c>
      <c r="L1061" s="374">
        <v>14808371</v>
      </c>
      <c r="M1061" s="375">
        <v>43857</v>
      </c>
      <c r="T1061" s="163"/>
    </row>
    <row r="1062" spans="1:20" x14ac:dyDescent="0.25">
      <c r="A1062" s="373"/>
      <c r="B1062" s="379" t="s">
        <v>361</v>
      </c>
      <c r="C1062" s="379" t="s">
        <v>324</v>
      </c>
      <c r="D1062" s="374">
        <v>99810382</v>
      </c>
      <c r="E1062" s="393">
        <v>43815</v>
      </c>
      <c r="I1062" s="373"/>
      <c r="J1062" s="379" t="s">
        <v>3396</v>
      </c>
      <c r="K1062" s="385" t="s">
        <v>3405</v>
      </c>
      <c r="L1062" s="374">
        <v>17178793</v>
      </c>
      <c r="M1062" s="375">
        <v>43857</v>
      </c>
      <c r="T1062" s="163"/>
    </row>
    <row r="1063" spans="1:20" x14ac:dyDescent="0.25">
      <c r="A1063" s="373"/>
      <c r="B1063" s="379" t="s">
        <v>360</v>
      </c>
      <c r="C1063" s="379" t="s">
        <v>302</v>
      </c>
      <c r="D1063" s="374">
        <v>167667500</v>
      </c>
      <c r="E1063" s="393">
        <v>43815</v>
      </c>
      <c r="I1063" s="373"/>
      <c r="J1063" s="379" t="s">
        <v>3397</v>
      </c>
      <c r="K1063" s="385" t="s">
        <v>3406</v>
      </c>
      <c r="L1063" s="374">
        <v>19853412</v>
      </c>
      <c r="M1063" s="375">
        <v>43857</v>
      </c>
      <c r="T1063" s="163"/>
    </row>
    <row r="1064" spans="1:20" x14ac:dyDescent="0.25">
      <c r="A1064" s="373"/>
      <c r="B1064" s="379" t="s">
        <v>359</v>
      </c>
      <c r="C1064" s="379" t="s">
        <v>358</v>
      </c>
      <c r="D1064" s="374">
        <v>394656445</v>
      </c>
      <c r="E1064" s="393">
        <v>43815</v>
      </c>
      <c r="I1064" s="373"/>
      <c r="J1064" s="379" t="s">
        <v>3398</v>
      </c>
      <c r="K1064" s="385" t="s">
        <v>3202</v>
      </c>
      <c r="L1064" s="374">
        <v>4229000</v>
      </c>
      <c r="M1064" s="375">
        <v>43859</v>
      </c>
      <c r="T1064" s="163"/>
    </row>
    <row r="1065" spans="1:20" x14ac:dyDescent="0.25">
      <c r="A1065" s="373"/>
      <c r="B1065" s="382" t="s">
        <v>357</v>
      </c>
      <c r="C1065" s="382"/>
      <c r="D1065" s="383"/>
      <c r="E1065" s="395"/>
      <c r="I1065" s="373"/>
      <c r="J1065" s="379" t="s">
        <v>3407</v>
      </c>
      <c r="K1065" s="385" t="s">
        <v>3408</v>
      </c>
      <c r="L1065" s="374">
        <v>11579916</v>
      </c>
      <c r="M1065" s="375">
        <v>43859</v>
      </c>
      <c r="T1065" s="163"/>
    </row>
    <row r="1066" spans="1:20" x14ac:dyDescent="0.25">
      <c r="A1066" s="373"/>
      <c r="B1066" s="379" t="s">
        <v>356</v>
      </c>
      <c r="C1066" s="373" t="s">
        <v>341</v>
      </c>
      <c r="D1066" s="374">
        <v>1220430242</v>
      </c>
      <c r="E1066" s="393">
        <v>43816</v>
      </c>
      <c r="I1066" s="373"/>
      <c r="J1066" s="362" t="s">
        <v>3421</v>
      </c>
      <c r="K1066" s="362" t="s">
        <v>3943</v>
      </c>
      <c r="L1066" s="387">
        <v>21884691</v>
      </c>
      <c r="M1066" s="371">
        <v>43865</v>
      </c>
      <c r="T1066" s="163"/>
    </row>
    <row r="1067" spans="1:20" x14ac:dyDescent="0.25">
      <c r="A1067" s="373"/>
      <c r="B1067" s="379" t="s">
        <v>355</v>
      </c>
      <c r="C1067" s="373" t="s">
        <v>354</v>
      </c>
      <c r="D1067" s="374">
        <v>919656497</v>
      </c>
      <c r="E1067" s="393">
        <v>43816</v>
      </c>
      <c r="I1067" s="373"/>
      <c r="J1067" s="362" t="s">
        <v>3422</v>
      </c>
      <c r="K1067" s="362" t="s">
        <v>3944</v>
      </c>
      <c r="L1067" s="387">
        <v>14991995</v>
      </c>
      <c r="M1067" s="371">
        <v>43865</v>
      </c>
      <c r="T1067" s="163"/>
    </row>
    <row r="1068" spans="1:20" x14ac:dyDescent="0.25">
      <c r="A1068" s="373"/>
      <c r="B1068" s="379" t="s">
        <v>353</v>
      </c>
      <c r="C1068" s="373" t="s">
        <v>352</v>
      </c>
      <c r="D1068" s="374">
        <v>71236099</v>
      </c>
      <c r="E1068" s="393">
        <v>43816</v>
      </c>
      <c r="I1068" s="373"/>
      <c r="J1068" s="362" t="s">
        <v>3423</v>
      </c>
      <c r="K1068" s="362" t="s">
        <v>3942</v>
      </c>
      <c r="L1068" s="387">
        <v>42211574</v>
      </c>
      <c r="M1068" s="371">
        <v>43865</v>
      </c>
      <c r="T1068" s="163"/>
    </row>
    <row r="1069" spans="1:20" x14ac:dyDescent="0.25">
      <c r="A1069" s="373"/>
      <c r="B1069" s="379" t="s">
        <v>351</v>
      </c>
      <c r="C1069" s="373" t="s">
        <v>350</v>
      </c>
      <c r="D1069" s="374">
        <v>1668945282</v>
      </c>
      <c r="E1069" s="393">
        <v>43816</v>
      </c>
      <c r="I1069" s="373"/>
      <c r="J1069" s="362" t="s">
        <v>3424</v>
      </c>
      <c r="K1069" s="362" t="s">
        <v>4213</v>
      </c>
      <c r="L1069" s="387">
        <v>20306065</v>
      </c>
      <c r="M1069" s="371">
        <v>43865</v>
      </c>
      <c r="T1069" s="163"/>
    </row>
    <row r="1070" spans="1:20" x14ac:dyDescent="0.25">
      <c r="A1070" s="373"/>
      <c r="B1070" s="379" t="s">
        <v>349</v>
      </c>
      <c r="C1070" s="373" t="s">
        <v>250</v>
      </c>
      <c r="D1070" s="374">
        <v>197961951</v>
      </c>
      <c r="E1070" s="393">
        <v>43817</v>
      </c>
      <c r="I1070" s="373"/>
      <c r="J1070" s="362" t="s">
        <v>3425</v>
      </c>
      <c r="K1070" s="362" t="s">
        <v>3939</v>
      </c>
      <c r="L1070" s="387">
        <v>24635792</v>
      </c>
      <c r="M1070" s="371">
        <v>43865</v>
      </c>
      <c r="T1070" s="163"/>
    </row>
    <row r="1071" spans="1:20" x14ac:dyDescent="0.25">
      <c r="A1071" s="373"/>
      <c r="B1071" s="379" t="s">
        <v>348</v>
      </c>
      <c r="C1071" s="373" t="s">
        <v>252</v>
      </c>
      <c r="D1071" s="374">
        <v>122657900</v>
      </c>
      <c r="E1071" s="393">
        <v>43817</v>
      </c>
      <c r="I1071" s="373"/>
      <c r="J1071" s="362" t="s">
        <v>3426</v>
      </c>
      <c r="K1071" s="362" t="s">
        <v>3915</v>
      </c>
      <c r="L1071" s="387">
        <v>77147513</v>
      </c>
      <c r="M1071" s="371">
        <v>43866</v>
      </c>
      <c r="T1071" s="163"/>
    </row>
    <row r="1072" spans="1:20" x14ac:dyDescent="0.25">
      <c r="A1072" s="373"/>
      <c r="B1072" s="379" t="s">
        <v>347</v>
      </c>
      <c r="C1072" s="373" t="s">
        <v>259</v>
      </c>
      <c r="D1072" s="374">
        <v>744037773</v>
      </c>
      <c r="E1072" s="393">
        <v>43817</v>
      </c>
      <c r="I1072" s="373"/>
      <c r="J1072" s="362" t="s">
        <v>3427</v>
      </c>
      <c r="K1072" s="362" t="s">
        <v>3935</v>
      </c>
      <c r="L1072" s="387">
        <v>8161028</v>
      </c>
      <c r="M1072" s="371">
        <v>43866</v>
      </c>
      <c r="T1072" s="163"/>
    </row>
    <row r="1073" spans="1:20" x14ac:dyDescent="0.25">
      <c r="A1073" s="373"/>
      <c r="B1073" s="379" t="s">
        <v>346</v>
      </c>
      <c r="C1073" s="373" t="s">
        <v>22</v>
      </c>
      <c r="D1073" s="374">
        <v>798757813</v>
      </c>
      <c r="E1073" s="393">
        <v>43817</v>
      </c>
      <c r="I1073" s="373"/>
      <c r="J1073" s="362" t="s">
        <v>3428</v>
      </c>
      <c r="K1073" s="362" t="s">
        <v>3943</v>
      </c>
      <c r="L1073" s="387">
        <v>3175955</v>
      </c>
      <c r="M1073" s="371">
        <v>43866</v>
      </c>
      <c r="T1073" s="163"/>
    </row>
    <row r="1074" spans="1:20" x14ac:dyDescent="0.25">
      <c r="A1074" s="373"/>
      <c r="B1074" s="379" t="s">
        <v>345</v>
      </c>
      <c r="C1074" s="373" t="s">
        <v>250</v>
      </c>
      <c r="D1074" s="374">
        <v>208639801</v>
      </c>
      <c r="E1074" s="393">
        <v>43819</v>
      </c>
      <c r="I1074" s="373"/>
      <c r="J1074" s="362" t="s">
        <v>3429</v>
      </c>
      <c r="K1074" s="362" t="s">
        <v>3939</v>
      </c>
      <c r="L1074" s="387">
        <v>2830155</v>
      </c>
      <c r="M1074" s="371">
        <v>43866</v>
      </c>
      <c r="T1074" s="163"/>
    </row>
    <row r="1075" spans="1:20" x14ac:dyDescent="0.25">
      <c r="A1075" s="373"/>
      <c r="B1075" s="379" t="s">
        <v>344</v>
      </c>
      <c r="C1075" s="373" t="s">
        <v>259</v>
      </c>
      <c r="D1075" s="374">
        <v>756652652</v>
      </c>
      <c r="E1075" s="393">
        <v>43819</v>
      </c>
      <c r="I1075" s="373"/>
      <c r="J1075" s="362" t="s">
        <v>3430</v>
      </c>
      <c r="K1075" s="362" t="s">
        <v>677</v>
      </c>
      <c r="L1075" s="387">
        <v>370332</v>
      </c>
      <c r="M1075" s="371">
        <v>43866</v>
      </c>
      <c r="T1075" s="163"/>
    </row>
    <row r="1076" spans="1:20" x14ac:dyDescent="0.25">
      <c r="A1076" s="373"/>
      <c r="B1076" s="379" t="s">
        <v>343</v>
      </c>
      <c r="C1076" s="373" t="s">
        <v>293</v>
      </c>
      <c r="D1076" s="374">
        <v>173489883</v>
      </c>
      <c r="E1076" s="393">
        <v>43819</v>
      </c>
      <c r="I1076" s="373"/>
      <c r="J1076" s="362" t="s">
        <v>3431</v>
      </c>
      <c r="K1076" s="362" t="s">
        <v>4284</v>
      </c>
      <c r="L1076" s="387">
        <v>2132500</v>
      </c>
      <c r="M1076" s="371">
        <v>43866</v>
      </c>
      <c r="T1076" s="163"/>
    </row>
    <row r="1077" spans="1:20" x14ac:dyDescent="0.25">
      <c r="A1077" s="373"/>
      <c r="B1077" s="379" t="s">
        <v>342</v>
      </c>
      <c r="C1077" s="373" t="s">
        <v>341</v>
      </c>
      <c r="D1077" s="374">
        <v>891717320</v>
      </c>
      <c r="E1077" s="393">
        <v>43819</v>
      </c>
      <c r="I1077" s="373"/>
      <c r="J1077" s="362" t="s">
        <v>3432</v>
      </c>
      <c r="K1077" s="362" t="s">
        <v>4284</v>
      </c>
      <c r="L1077" s="387">
        <v>1252000</v>
      </c>
      <c r="M1077" s="371">
        <v>43866</v>
      </c>
      <c r="T1077" s="163"/>
    </row>
    <row r="1078" spans="1:20" x14ac:dyDescent="0.25">
      <c r="A1078" s="373"/>
      <c r="B1078" s="379" t="s">
        <v>340</v>
      </c>
      <c r="C1078" s="373" t="s">
        <v>339</v>
      </c>
      <c r="D1078" s="374">
        <v>396544656</v>
      </c>
      <c r="E1078" s="393">
        <v>43819</v>
      </c>
      <c r="I1078" s="373"/>
      <c r="J1078" s="362" t="s">
        <v>3433</v>
      </c>
      <c r="K1078" s="362" t="s">
        <v>3541</v>
      </c>
      <c r="L1078" s="387">
        <v>6568396</v>
      </c>
      <c r="M1078" s="371">
        <v>43866</v>
      </c>
      <c r="T1078" s="163"/>
    </row>
    <row r="1079" spans="1:20" x14ac:dyDescent="0.25">
      <c r="A1079" s="373"/>
      <c r="B1079" s="379" t="s">
        <v>338</v>
      </c>
      <c r="C1079" s="373" t="s">
        <v>337</v>
      </c>
      <c r="D1079" s="374">
        <v>25836834</v>
      </c>
      <c r="E1079" s="393">
        <v>43817</v>
      </c>
      <c r="I1079" s="373"/>
      <c r="J1079" s="362" t="s">
        <v>3434</v>
      </c>
      <c r="K1079" s="362" t="s">
        <v>4282</v>
      </c>
      <c r="L1079" s="387">
        <v>36306446</v>
      </c>
      <c r="M1079" s="371">
        <v>43866</v>
      </c>
      <c r="T1079" s="163"/>
    </row>
    <row r="1080" spans="1:20" x14ac:dyDescent="0.25">
      <c r="A1080" s="373"/>
      <c r="B1080" s="379" t="s">
        <v>336</v>
      </c>
      <c r="C1080" s="373" t="s">
        <v>302</v>
      </c>
      <c r="D1080" s="374">
        <v>182461250</v>
      </c>
      <c r="E1080" s="393">
        <v>43819</v>
      </c>
      <c r="I1080" s="373"/>
      <c r="J1080" s="362" t="s">
        <v>3489</v>
      </c>
      <c r="K1080" s="362" t="s">
        <v>4240</v>
      </c>
      <c r="L1080" s="387">
        <v>13076200</v>
      </c>
      <c r="M1080" s="371">
        <v>43871</v>
      </c>
      <c r="T1080" s="163"/>
    </row>
    <row r="1081" spans="1:20" x14ac:dyDescent="0.25">
      <c r="A1081" s="373"/>
      <c r="B1081" s="379" t="s">
        <v>335</v>
      </c>
      <c r="C1081" s="373" t="s">
        <v>283</v>
      </c>
      <c r="D1081" s="374">
        <v>179096000</v>
      </c>
      <c r="E1081" s="393">
        <v>43819</v>
      </c>
      <c r="I1081" s="373"/>
      <c r="J1081" s="362" t="s">
        <v>3490</v>
      </c>
      <c r="K1081" s="362" t="s">
        <v>3934</v>
      </c>
      <c r="L1081" s="387">
        <v>15354498</v>
      </c>
      <c r="M1081" s="371">
        <v>43871</v>
      </c>
      <c r="T1081" s="163"/>
    </row>
    <row r="1082" spans="1:20" x14ac:dyDescent="0.25">
      <c r="A1082" s="373"/>
      <c r="B1082" s="379" t="s">
        <v>334</v>
      </c>
      <c r="C1082" s="373" t="s">
        <v>333</v>
      </c>
      <c r="D1082" s="374">
        <v>285726036</v>
      </c>
      <c r="E1082" s="393">
        <v>43819</v>
      </c>
      <c r="I1082" s="373"/>
      <c r="J1082" s="362" t="s">
        <v>3491</v>
      </c>
      <c r="K1082" s="362" t="s">
        <v>3935</v>
      </c>
      <c r="L1082" s="387">
        <v>27908385</v>
      </c>
      <c r="M1082" s="371">
        <v>43871</v>
      </c>
      <c r="T1082" s="163"/>
    </row>
    <row r="1083" spans="1:20" x14ac:dyDescent="0.25">
      <c r="A1083" s="373"/>
      <c r="B1083" s="379" t="s">
        <v>332</v>
      </c>
      <c r="C1083" s="373" t="s">
        <v>331</v>
      </c>
      <c r="D1083" s="374">
        <v>147554195</v>
      </c>
      <c r="E1083" s="393">
        <v>43819</v>
      </c>
      <c r="I1083" s="373"/>
      <c r="J1083" s="362" t="s">
        <v>3492</v>
      </c>
      <c r="K1083" s="362" t="s">
        <v>388</v>
      </c>
      <c r="L1083" s="387"/>
      <c r="M1083" s="371"/>
      <c r="T1083" s="163"/>
    </row>
    <row r="1084" spans="1:20" x14ac:dyDescent="0.25">
      <c r="A1084" s="373"/>
      <c r="B1084" s="382" t="s">
        <v>330</v>
      </c>
      <c r="C1084" s="382"/>
      <c r="D1084" s="383"/>
      <c r="E1084" s="395"/>
      <c r="I1084" s="373"/>
      <c r="J1084" s="362" t="s">
        <v>3493</v>
      </c>
      <c r="K1084" s="362" t="s">
        <v>3915</v>
      </c>
      <c r="L1084" s="387">
        <v>44405321</v>
      </c>
      <c r="M1084" s="371">
        <v>43871</v>
      </c>
      <c r="T1084" s="163"/>
    </row>
    <row r="1085" spans="1:20" x14ac:dyDescent="0.25">
      <c r="A1085" s="373"/>
      <c r="B1085" s="382" t="s">
        <v>329</v>
      </c>
      <c r="C1085" s="382"/>
      <c r="D1085" s="383"/>
      <c r="E1085" s="395"/>
      <c r="I1085" s="373"/>
      <c r="J1085" s="362" t="s">
        <v>3494</v>
      </c>
      <c r="K1085" s="362" t="s">
        <v>3936</v>
      </c>
      <c r="L1085" s="387">
        <v>32255413</v>
      </c>
      <c r="M1085" s="371">
        <v>43871</v>
      </c>
      <c r="T1085" s="163"/>
    </row>
    <row r="1086" spans="1:20" x14ac:dyDescent="0.25">
      <c r="A1086" s="373"/>
      <c r="B1086" s="382" t="s">
        <v>328</v>
      </c>
      <c r="C1086" s="382"/>
      <c r="D1086" s="383"/>
      <c r="E1086" s="395"/>
      <c r="I1086" s="373"/>
      <c r="J1086" s="362" t="s">
        <v>3495</v>
      </c>
      <c r="K1086" s="362" t="s">
        <v>4285</v>
      </c>
      <c r="L1086" s="387">
        <v>64276507</v>
      </c>
      <c r="M1086" s="371">
        <v>43871</v>
      </c>
      <c r="T1086" s="163"/>
    </row>
    <row r="1087" spans="1:20" x14ac:dyDescent="0.25">
      <c r="A1087" s="373"/>
      <c r="B1087" s="382" t="s">
        <v>327</v>
      </c>
      <c r="C1087" s="382"/>
      <c r="D1087" s="383"/>
      <c r="E1087" s="395"/>
      <c r="I1087" s="373"/>
      <c r="J1087" s="362" t="s">
        <v>3496</v>
      </c>
      <c r="K1087" s="362" t="s">
        <v>4210</v>
      </c>
      <c r="L1087" s="387">
        <v>6892281</v>
      </c>
      <c r="M1087" s="371">
        <v>43872</v>
      </c>
      <c r="T1087" s="163"/>
    </row>
    <row r="1088" spans="1:20" x14ac:dyDescent="0.25">
      <c r="A1088" s="373"/>
      <c r="B1088" s="384" t="s">
        <v>4609</v>
      </c>
      <c r="C1088" s="384" t="s">
        <v>4043</v>
      </c>
      <c r="D1088" s="374">
        <v>1287746506</v>
      </c>
      <c r="E1088" s="393">
        <v>43837</v>
      </c>
      <c r="I1088" s="373"/>
      <c r="J1088" s="362" t="s">
        <v>3497</v>
      </c>
      <c r="K1088" s="362" t="s">
        <v>4215</v>
      </c>
      <c r="L1088" s="387">
        <v>3843767</v>
      </c>
      <c r="M1088" s="371">
        <v>43872</v>
      </c>
      <c r="T1088" s="163"/>
    </row>
    <row r="1089" spans="1:20" x14ac:dyDescent="0.25">
      <c r="A1089" s="373"/>
      <c r="B1089" s="384" t="s">
        <v>4610</v>
      </c>
      <c r="C1089" s="384" t="s">
        <v>4189</v>
      </c>
      <c r="D1089" s="374">
        <v>1698394898</v>
      </c>
      <c r="E1089" s="393">
        <v>43837</v>
      </c>
      <c r="I1089" s="373"/>
      <c r="J1089" s="362" t="s">
        <v>3498</v>
      </c>
      <c r="K1089" s="362" t="s">
        <v>3943</v>
      </c>
      <c r="L1089" s="387">
        <v>28158910</v>
      </c>
      <c r="M1089" s="371">
        <v>43872</v>
      </c>
      <c r="T1089" s="163"/>
    </row>
    <row r="1090" spans="1:20" x14ac:dyDescent="0.25">
      <c r="A1090" s="373"/>
      <c r="B1090" s="384" t="s">
        <v>4611</v>
      </c>
      <c r="C1090" s="384" t="s">
        <v>4207</v>
      </c>
      <c r="D1090" s="374">
        <v>1720002800</v>
      </c>
      <c r="E1090" s="393">
        <v>43837</v>
      </c>
      <c r="I1090" s="373"/>
      <c r="J1090" s="362" t="s">
        <v>3499</v>
      </c>
      <c r="K1090" s="362" t="s">
        <v>4286</v>
      </c>
      <c r="L1090" s="387">
        <v>40490446</v>
      </c>
      <c r="M1090" s="371">
        <v>43872</v>
      </c>
      <c r="T1090" s="163"/>
    </row>
    <row r="1091" spans="1:20" x14ac:dyDescent="0.25">
      <c r="A1091" s="373"/>
      <c r="B1091" s="384" t="s">
        <v>4612</v>
      </c>
      <c r="C1091" s="384" t="s">
        <v>4068</v>
      </c>
      <c r="D1091" s="374">
        <v>1033257034</v>
      </c>
      <c r="E1091" s="393">
        <v>43837</v>
      </c>
      <c r="I1091" s="373"/>
      <c r="J1091" s="379" t="s">
        <v>3500</v>
      </c>
      <c r="K1091" s="388" t="s">
        <v>3522</v>
      </c>
      <c r="L1091" s="374">
        <v>25090071</v>
      </c>
      <c r="M1091" s="375">
        <v>43879</v>
      </c>
      <c r="T1091" s="163"/>
    </row>
    <row r="1092" spans="1:20" x14ac:dyDescent="0.25">
      <c r="A1092" s="373"/>
      <c r="B1092" s="384" t="s">
        <v>4613</v>
      </c>
      <c r="C1092" s="384" t="s">
        <v>4053</v>
      </c>
      <c r="D1092" s="374">
        <v>302968243</v>
      </c>
      <c r="E1092" s="393">
        <v>43839</v>
      </c>
      <c r="I1092" s="373"/>
      <c r="J1092" s="379" t="s">
        <v>3501</v>
      </c>
      <c r="K1092" s="388" t="s">
        <v>3523</v>
      </c>
      <c r="L1092" s="374">
        <v>32849857</v>
      </c>
      <c r="M1092" s="375">
        <v>43879</v>
      </c>
      <c r="T1092" s="163"/>
    </row>
    <row r="1093" spans="1:20" x14ac:dyDescent="0.25">
      <c r="A1093" s="373"/>
      <c r="B1093" s="384" t="s">
        <v>4614</v>
      </c>
      <c r="C1093" s="384" t="s">
        <v>4199</v>
      </c>
      <c r="D1093" s="374">
        <v>9075475</v>
      </c>
      <c r="E1093" s="393">
        <v>43839</v>
      </c>
      <c r="I1093" s="373"/>
      <c r="J1093" s="379" t="s">
        <v>3502</v>
      </c>
      <c r="K1093" s="388" t="s">
        <v>3524</v>
      </c>
      <c r="L1093" s="374">
        <v>28248000</v>
      </c>
      <c r="M1093" s="375">
        <v>43879</v>
      </c>
      <c r="T1093" s="163"/>
    </row>
    <row r="1094" spans="1:20" x14ac:dyDescent="0.25">
      <c r="A1094" s="373"/>
      <c r="B1094" s="384" t="s">
        <v>4615</v>
      </c>
      <c r="C1094" s="384" t="s">
        <v>4036</v>
      </c>
      <c r="D1094" s="374">
        <v>606148631</v>
      </c>
      <c r="E1094" s="393">
        <v>43839</v>
      </c>
      <c r="I1094" s="373"/>
      <c r="J1094" s="379" t="s">
        <v>3503</v>
      </c>
      <c r="K1094" s="388" t="s">
        <v>3525</v>
      </c>
      <c r="L1094" s="374">
        <v>644000</v>
      </c>
      <c r="M1094" s="375">
        <v>43879</v>
      </c>
      <c r="T1094" s="163"/>
    </row>
    <row r="1095" spans="1:20" x14ac:dyDescent="0.25">
      <c r="A1095" s="373"/>
      <c r="B1095" s="384" t="s">
        <v>4616</v>
      </c>
      <c r="C1095" s="384" t="s">
        <v>4055</v>
      </c>
      <c r="D1095" s="374">
        <v>543611203</v>
      </c>
      <c r="E1095" s="393">
        <v>43839</v>
      </c>
      <c r="I1095" s="373"/>
      <c r="J1095" s="379" t="s">
        <v>3504</v>
      </c>
      <c r="K1095" s="388" t="s">
        <v>3526</v>
      </c>
      <c r="L1095" s="374">
        <v>1115000</v>
      </c>
      <c r="M1095" s="375">
        <v>43879</v>
      </c>
      <c r="T1095" s="163"/>
    </row>
    <row r="1096" spans="1:20" x14ac:dyDescent="0.25">
      <c r="A1096" s="373"/>
      <c r="B1096" s="384" t="s">
        <v>4617</v>
      </c>
      <c r="C1096" s="384" t="s">
        <v>4043</v>
      </c>
      <c r="D1096" s="374">
        <v>636167468</v>
      </c>
      <c r="E1096" s="393">
        <v>43839</v>
      </c>
      <c r="I1096" s="373"/>
      <c r="J1096" s="379" t="s">
        <v>3505</v>
      </c>
      <c r="K1096" s="388" t="s">
        <v>3527</v>
      </c>
      <c r="L1096" s="374">
        <v>3526000</v>
      </c>
      <c r="M1096" s="375">
        <v>43880</v>
      </c>
      <c r="T1096" s="163"/>
    </row>
    <row r="1097" spans="1:20" x14ac:dyDescent="0.25">
      <c r="A1097" s="373"/>
      <c r="B1097" s="384" t="s">
        <v>4618</v>
      </c>
      <c r="C1097" s="384" t="s">
        <v>4634</v>
      </c>
      <c r="D1097" s="374">
        <v>298081667</v>
      </c>
      <c r="E1097" s="393">
        <v>43839</v>
      </c>
      <c r="I1097" s="373"/>
      <c r="J1097" s="379" t="s">
        <v>3506</v>
      </c>
      <c r="K1097" s="388" t="s">
        <v>3528</v>
      </c>
      <c r="L1097" s="374">
        <v>3000000</v>
      </c>
      <c r="M1097" s="375">
        <v>43880</v>
      </c>
      <c r="T1097" s="163"/>
    </row>
    <row r="1098" spans="1:20" x14ac:dyDescent="0.25">
      <c r="A1098" s="373"/>
      <c r="B1098" s="384" t="s">
        <v>4619</v>
      </c>
      <c r="C1098" s="384" t="s">
        <v>4057</v>
      </c>
      <c r="D1098" s="374">
        <v>115371500</v>
      </c>
      <c r="E1098" s="393">
        <v>43840</v>
      </c>
      <c r="I1098" s="373"/>
      <c r="J1098" s="379" t="s">
        <v>3507</v>
      </c>
      <c r="K1098" s="388" t="s">
        <v>3529</v>
      </c>
      <c r="L1098" s="374">
        <v>1853358</v>
      </c>
      <c r="M1098" s="375">
        <v>43880</v>
      </c>
      <c r="T1098" s="163"/>
    </row>
    <row r="1099" spans="1:20" x14ac:dyDescent="0.25">
      <c r="A1099" s="373"/>
      <c r="B1099" s="384" t="s">
        <v>4620</v>
      </c>
      <c r="C1099" s="384" t="s">
        <v>4145</v>
      </c>
      <c r="D1099" s="374">
        <v>229329500</v>
      </c>
      <c r="E1099" s="393">
        <v>43840</v>
      </c>
      <c r="I1099" s="373"/>
      <c r="J1099" s="379" t="s">
        <v>3508</v>
      </c>
      <c r="K1099" s="388" t="s">
        <v>3530</v>
      </c>
      <c r="L1099" s="374">
        <v>18785982</v>
      </c>
      <c r="M1099" s="375">
        <v>43881</v>
      </c>
      <c r="T1099" s="163"/>
    </row>
    <row r="1100" spans="1:20" x14ac:dyDescent="0.25">
      <c r="A1100" s="373"/>
      <c r="B1100" s="384" t="s">
        <v>4621</v>
      </c>
      <c r="C1100" s="384" t="s">
        <v>4053</v>
      </c>
      <c r="D1100" s="374">
        <v>175247910</v>
      </c>
      <c r="E1100" s="393">
        <v>43840</v>
      </c>
      <c r="I1100" s="373"/>
      <c r="J1100" s="379" t="s">
        <v>3509</v>
      </c>
      <c r="K1100" s="388" t="s">
        <v>3531</v>
      </c>
      <c r="L1100" s="374">
        <v>4080304</v>
      </c>
      <c r="M1100" s="375">
        <v>43881</v>
      </c>
      <c r="T1100" s="163"/>
    </row>
    <row r="1101" spans="1:20" x14ac:dyDescent="0.25">
      <c r="A1101" s="373"/>
      <c r="B1101" s="384" t="s">
        <v>4622</v>
      </c>
      <c r="C1101" s="384" t="s">
        <v>4161</v>
      </c>
      <c r="D1101" s="374">
        <v>177591602</v>
      </c>
      <c r="E1101" s="393">
        <v>43840</v>
      </c>
      <c r="I1101" s="373"/>
      <c r="J1101" s="379" t="s">
        <v>3510</v>
      </c>
      <c r="K1101" s="388" t="s">
        <v>3532</v>
      </c>
      <c r="L1101" s="374">
        <v>22219703</v>
      </c>
      <c r="M1101" s="375">
        <v>43881</v>
      </c>
      <c r="T1101" s="163"/>
    </row>
    <row r="1102" spans="1:20" x14ac:dyDescent="0.25">
      <c r="A1102" s="373"/>
      <c r="B1102" s="384" t="s">
        <v>4623</v>
      </c>
      <c r="C1102" s="384" t="s">
        <v>4036</v>
      </c>
      <c r="D1102" s="374">
        <v>273212906</v>
      </c>
      <c r="E1102" s="393">
        <v>43840</v>
      </c>
      <c r="I1102" s="373"/>
      <c r="J1102" s="379" t="s">
        <v>3511</v>
      </c>
      <c r="K1102" s="388" t="s">
        <v>3533</v>
      </c>
      <c r="L1102" s="374">
        <v>6872033</v>
      </c>
      <c r="M1102" s="375">
        <v>43881</v>
      </c>
      <c r="T1102" s="163"/>
    </row>
    <row r="1103" spans="1:20" x14ac:dyDescent="0.25">
      <c r="A1103" s="373"/>
      <c r="B1103" s="384" t="s">
        <v>4624</v>
      </c>
      <c r="C1103" s="384" t="s">
        <v>4055</v>
      </c>
      <c r="D1103" s="374">
        <v>598347140</v>
      </c>
      <c r="E1103" s="393">
        <v>43840</v>
      </c>
      <c r="I1103" s="373"/>
      <c r="J1103" s="379" t="s">
        <v>3512</v>
      </c>
      <c r="K1103" s="388" t="s">
        <v>3534</v>
      </c>
      <c r="L1103" s="374">
        <v>14860636</v>
      </c>
      <c r="M1103" s="375">
        <v>43881</v>
      </c>
      <c r="T1103" s="163"/>
    </row>
    <row r="1104" spans="1:20" x14ac:dyDescent="0.25">
      <c r="A1104" s="373"/>
      <c r="B1104" s="384" t="s">
        <v>4625</v>
      </c>
      <c r="C1104" s="384" t="s">
        <v>4043</v>
      </c>
      <c r="D1104" s="374">
        <v>659528828</v>
      </c>
      <c r="E1104" s="393">
        <v>43840</v>
      </c>
      <c r="I1104" s="373"/>
      <c r="J1104" s="379" t="s">
        <v>3513</v>
      </c>
      <c r="K1104" s="388" t="s">
        <v>3535</v>
      </c>
      <c r="L1104" s="374">
        <v>15786490</v>
      </c>
      <c r="M1104" s="375">
        <v>43881</v>
      </c>
      <c r="T1104" s="163"/>
    </row>
    <row r="1105" spans="1:20" x14ac:dyDescent="0.25">
      <c r="A1105" s="373"/>
      <c r="B1105" s="384" t="s">
        <v>4626</v>
      </c>
      <c r="C1105" s="384" t="s">
        <v>4142</v>
      </c>
      <c r="D1105" s="374">
        <v>778283970</v>
      </c>
      <c r="E1105" s="393">
        <v>43839</v>
      </c>
      <c r="I1105" s="373"/>
      <c r="J1105" s="379" t="s">
        <v>3514</v>
      </c>
      <c r="K1105" s="388" t="s">
        <v>3536</v>
      </c>
      <c r="L1105" s="374">
        <v>5450000</v>
      </c>
      <c r="M1105" s="375">
        <v>43881</v>
      </c>
      <c r="T1105" s="163"/>
    </row>
    <row r="1106" spans="1:20" x14ac:dyDescent="0.25">
      <c r="A1106" s="373"/>
      <c r="B1106" s="384" t="s">
        <v>4627</v>
      </c>
      <c r="C1106" s="384" t="s">
        <v>4142</v>
      </c>
      <c r="D1106" s="374">
        <v>295265345</v>
      </c>
      <c r="E1106" s="393">
        <v>43840</v>
      </c>
      <c r="I1106" s="373"/>
      <c r="J1106" s="379" t="s">
        <v>3515</v>
      </c>
      <c r="K1106" s="388" t="s">
        <v>3537</v>
      </c>
      <c r="L1106" s="374">
        <v>7800000</v>
      </c>
      <c r="M1106" s="375">
        <v>43882</v>
      </c>
      <c r="T1106" s="163"/>
    </row>
    <row r="1107" spans="1:20" x14ac:dyDescent="0.25">
      <c r="A1107" s="373"/>
      <c r="B1107" s="384" t="s">
        <v>4628</v>
      </c>
      <c r="C1107" s="384" t="s">
        <v>216</v>
      </c>
      <c r="D1107" s="374">
        <v>149474567</v>
      </c>
      <c r="E1107" s="393">
        <v>43839</v>
      </c>
      <c r="I1107" s="373"/>
      <c r="J1107" s="379" t="s">
        <v>3516</v>
      </c>
      <c r="K1107" s="388" t="s">
        <v>3538</v>
      </c>
      <c r="L1107" s="374">
        <v>7173120</v>
      </c>
      <c r="M1107" s="375">
        <v>43882</v>
      </c>
      <c r="T1107" s="163"/>
    </row>
    <row r="1108" spans="1:20" x14ac:dyDescent="0.25">
      <c r="A1108" s="373"/>
      <c r="B1108" s="384" t="s">
        <v>4629</v>
      </c>
      <c r="C1108" s="384" t="s">
        <v>388</v>
      </c>
      <c r="D1108" s="374"/>
      <c r="E1108" s="393"/>
      <c r="I1108" s="373"/>
      <c r="J1108" s="379" t="s">
        <v>3517</v>
      </c>
      <c r="K1108" s="388" t="s">
        <v>3539</v>
      </c>
      <c r="L1108" s="374">
        <v>16810686</v>
      </c>
      <c r="M1108" s="375">
        <v>43882</v>
      </c>
      <c r="T1108" s="163"/>
    </row>
    <row r="1109" spans="1:20" x14ac:dyDescent="0.25">
      <c r="A1109" s="373"/>
      <c r="B1109" s="384" t="s">
        <v>4630</v>
      </c>
      <c r="C1109" s="384" t="s">
        <v>4055</v>
      </c>
      <c r="D1109" s="374">
        <v>1115733809</v>
      </c>
      <c r="E1109" s="393">
        <v>43844</v>
      </c>
      <c r="I1109" s="373"/>
      <c r="J1109" s="379" t="s">
        <v>3518</v>
      </c>
      <c r="K1109" s="388" t="s">
        <v>3540</v>
      </c>
      <c r="L1109" s="374">
        <v>3067304</v>
      </c>
      <c r="M1109" s="375">
        <v>43882</v>
      </c>
      <c r="T1109" s="163"/>
    </row>
    <row r="1110" spans="1:20" x14ac:dyDescent="0.25">
      <c r="A1110" s="373"/>
      <c r="B1110" s="384" t="s">
        <v>4631</v>
      </c>
      <c r="C1110" s="384" t="s">
        <v>4036</v>
      </c>
      <c r="D1110" s="374">
        <v>715946940</v>
      </c>
      <c r="E1110" s="393">
        <v>43844</v>
      </c>
      <c r="I1110" s="373"/>
      <c r="J1110" s="379" t="s">
        <v>3519</v>
      </c>
      <c r="K1110" s="388" t="s">
        <v>3541</v>
      </c>
      <c r="L1110" s="374">
        <v>12654690</v>
      </c>
      <c r="M1110" s="375">
        <v>43882</v>
      </c>
      <c r="T1110" s="163"/>
    </row>
    <row r="1111" spans="1:20" x14ac:dyDescent="0.25">
      <c r="A1111" s="373"/>
      <c r="B1111" s="384" t="s">
        <v>4632</v>
      </c>
      <c r="C1111" s="384" t="s">
        <v>3812</v>
      </c>
      <c r="D1111" s="374"/>
      <c r="E1111" s="393"/>
      <c r="I1111" s="373"/>
      <c r="J1111" s="379" t="s">
        <v>3520</v>
      </c>
      <c r="K1111" s="388" t="s">
        <v>3542</v>
      </c>
      <c r="L1111" s="374">
        <v>7700951</v>
      </c>
      <c r="M1111" s="375">
        <v>43882</v>
      </c>
      <c r="T1111" s="163"/>
    </row>
    <row r="1112" spans="1:20" x14ac:dyDescent="0.25">
      <c r="A1112" s="373"/>
      <c r="B1112" s="384" t="s">
        <v>4633</v>
      </c>
      <c r="C1112" s="384" t="s">
        <v>4057</v>
      </c>
      <c r="D1112" s="374">
        <v>280954911</v>
      </c>
      <c r="E1112" s="393">
        <v>43844</v>
      </c>
      <c r="I1112" s="373"/>
      <c r="J1112" s="379" t="s">
        <v>3521</v>
      </c>
      <c r="K1112" s="388" t="s">
        <v>3543</v>
      </c>
      <c r="L1112" s="374">
        <v>18207498</v>
      </c>
      <c r="M1112" s="375">
        <v>43882</v>
      </c>
      <c r="T1112" s="163"/>
    </row>
    <row r="1113" spans="1:20" x14ac:dyDescent="0.25">
      <c r="A1113" s="373"/>
      <c r="B1113" s="379" t="s">
        <v>326</v>
      </c>
      <c r="C1113" s="373" t="s">
        <v>250</v>
      </c>
      <c r="D1113" s="374">
        <v>173472102</v>
      </c>
      <c r="E1113" s="393">
        <v>43818</v>
      </c>
      <c r="I1113" s="373"/>
      <c r="J1113" s="379" t="s">
        <v>3544</v>
      </c>
      <c r="K1113" s="388" t="s">
        <v>388</v>
      </c>
      <c r="L1113" s="374"/>
      <c r="M1113" s="373"/>
      <c r="T1113" s="163"/>
    </row>
    <row r="1114" spans="1:20" x14ac:dyDescent="0.25">
      <c r="A1114" s="373"/>
      <c r="B1114" s="379" t="s">
        <v>325</v>
      </c>
      <c r="C1114" s="373" t="s">
        <v>324</v>
      </c>
      <c r="D1114" s="374">
        <v>100618253</v>
      </c>
      <c r="E1114" s="393">
        <v>43818</v>
      </c>
      <c r="I1114" s="373"/>
      <c r="J1114" s="379" t="s">
        <v>3545</v>
      </c>
      <c r="K1114" s="388" t="s">
        <v>3547</v>
      </c>
      <c r="L1114" s="374">
        <v>26173170</v>
      </c>
      <c r="M1114" s="375">
        <v>43882</v>
      </c>
      <c r="T1114" s="163"/>
    </row>
    <row r="1115" spans="1:20" x14ac:dyDescent="0.25">
      <c r="A1115" s="373"/>
      <c r="B1115" s="379" t="s">
        <v>323</v>
      </c>
      <c r="C1115" s="373" t="s">
        <v>322</v>
      </c>
      <c r="D1115" s="374"/>
      <c r="E1115" s="393"/>
      <c r="I1115" s="373"/>
      <c r="J1115" s="379" t="s">
        <v>3546</v>
      </c>
      <c r="K1115" s="388" t="s">
        <v>3548</v>
      </c>
      <c r="L1115" s="374">
        <v>24041967</v>
      </c>
      <c r="M1115" s="375">
        <v>43882</v>
      </c>
      <c r="T1115" s="163"/>
    </row>
    <row r="1116" spans="1:20" x14ac:dyDescent="0.25">
      <c r="A1116" s="373"/>
      <c r="B1116" s="379" t="s">
        <v>321</v>
      </c>
      <c r="C1116" s="373" t="s">
        <v>320</v>
      </c>
      <c r="D1116" s="374">
        <v>1159658636</v>
      </c>
      <c r="E1116" s="393">
        <v>43818</v>
      </c>
      <c r="I1116" s="373"/>
      <c r="J1116" s="362" t="s">
        <v>4208</v>
      </c>
      <c r="K1116" s="362" t="s">
        <v>3944</v>
      </c>
      <c r="L1116" s="387">
        <v>40470016</v>
      </c>
      <c r="M1116" s="371">
        <v>43907</v>
      </c>
      <c r="T1116" s="163"/>
    </row>
    <row r="1117" spans="1:20" x14ac:dyDescent="0.25">
      <c r="A1117" s="373"/>
      <c r="B1117" s="379" t="s">
        <v>319</v>
      </c>
      <c r="C1117" s="373" t="s">
        <v>318</v>
      </c>
      <c r="D1117" s="374">
        <v>393843918</v>
      </c>
      <c r="E1117" s="393">
        <v>43818</v>
      </c>
      <c r="I1117" s="373"/>
      <c r="J1117" s="362" t="s">
        <v>4209</v>
      </c>
      <c r="K1117" s="362" t="s">
        <v>4210</v>
      </c>
      <c r="L1117" s="387">
        <v>11084251</v>
      </c>
      <c r="M1117" s="371">
        <v>43907</v>
      </c>
      <c r="T1117" s="163"/>
    </row>
    <row r="1118" spans="1:20" x14ac:dyDescent="0.25">
      <c r="A1118" s="373"/>
      <c r="B1118" s="379" t="s">
        <v>317</v>
      </c>
      <c r="C1118" s="373" t="s">
        <v>259</v>
      </c>
      <c r="D1118" s="374">
        <v>1145360196</v>
      </c>
      <c r="E1118" s="393">
        <v>43818</v>
      </c>
      <c r="I1118" s="373"/>
      <c r="J1118" s="362" t="s">
        <v>4211</v>
      </c>
      <c r="K1118" s="362" t="s">
        <v>3943</v>
      </c>
      <c r="L1118" s="387">
        <v>30852095</v>
      </c>
      <c r="M1118" s="371">
        <v>43907</v>
      </c>
      <c r="T1118" s="163"/>
    </row>
    <row r="1119" spans="1:20" x14ac:dyDescent="0.25">
      <c r="A1119" s="373"/>
      <c r="B1119" s="379" t="s">
        <v>316</v>
      </c>
      <c r="C1119" s="373" t="s">
        <v>257</v>
      </c>
      <c r="D1119" s="374">
        <v>273521650</v>
      </c>
      <c r="E1119" s="393">
        <v>43822</v>
      </c>
      <c r="I1119" s="373"/>
      <c r="J1119" s="362" t="s">
        <v>4212</v>
      </c>
      <c r="K1119" s="362" t="s">
        <v>4213</v>
      </c>
      <c r="L1119" s="387">
        <v>45211077</v>
      </c>
      <c r="M1119" s="371">
        <v>43907</v>
      </c>
      <c r="T1119" s="163"/>
    </row>
    <row r="1120" spans="1:20" x14ac:dyDescent="0.25">
      <c r="A1120" s="373"/>
      <c r="B1120" s="379" t="s">
        <v>315</v>
      </c>
      <c r="C1120" s="373" t="s">
        <v>283</v>
      </c>
      <c r="D1120" s="374">
        <v>180905000</v>
      </c>
      <c r="E1120" s="393">
        <v>43822</v>
      </c>
      <c r="I1120" s="373"/>
      <c r="J1120" s="362" t="s">
        <v>4214</v>
      </c>
      <c r="K1120" s="362" t="s">
        <v>4215</v>
      </c>
      <c r="L1120" s="387">
        <v>4378258</v>
      </c>
      <c r="M1120" s="371">
        <v>43907</v>
      </c>
      <c r="T1120" s="163"/>
    </row>
    <row r="1121" spans="1:20" x14ac:dyDescent="0.25">
      <c r="A1121" s="373"/>
      <c r="B1121" s="379" t="s">
        <v>314</v>
      </c>
      <c r="C1121" s="373" t="s">
        <v>295</v>
      </c>
      <c r="D1121" s="374">
        <v>328861407</v>
      </c>
      <c r="E1121" s="393">
        <v>43822</v>
      </c>
      <c r="I1121" s="373"/>
      <c r="J1121" s="362" t="s">
        <v>4216</v>
      </c>
      <c r="K1121" s="362" t="s">
        <v>3942</v>
      </c>
      <c r="L1121" s="387">
        <v>85597258</v>
      </c>
      <c r="M1121" s="371">
        <v>43907</v>
      </c>
      <c r="T1121" s="163"/>
    </row>
    <row r="1122" spans="1:20" x14ac:dyDescent="0.25">
      <c r="A1122" s="373"/>
      <c r="B1122" s="379" t="s">
        <v>313</v>
      </c>
      <c r="C1122" s="373" t="s">
        <v>312</v>
      </c>
      <c r="D1122" s="374">
        <v>961862590</v>
      </c>
      <c r="E1122" s="393">
        <v>43822</v>
      </c>
      <c r="I1122" s="373"/>
      <c r="J1122" s="362" t="s">
        <v>4217</v>
      </c>
      <c r="K1122" s="362" t="s">
        <v>4218</v>
      </c>
      <c r="L1122" s="387">
        <v>5900000</v>
      </c>
      <c r="M1122" s="371">
        <v>43908</v>
      </c>
      <c r="T1122" s="163"/>
    </row>
    <row r="1123" spans="1:20" x14ac:dyDescent="0.25">
      <c r="A1123" s="373"/>
      <c r="B1123" s="379" t="s">
        <v>311</v>
      </c>
      <c r="C1123" s="373" t="s">
        <v>259</v>
      </c>
      <c r="D1123" s="374">
        <v>1545342596</v>
      </c>
      <c r="E1123" s="393">
        <v>43825</v>
      </c>
      <c r="I1123" s="373"/>
      <c r="J1123" s="362" t="s">
        <v>4219</v>
      </c>
      <c r="K1123" s="362" t="s">
        <v>4220</v>
      </c>
      <c r="L1123" s="387">
        <v>6971938</v>
      </c>
      <c r="M1123" s="371">
        <v>43908</v>
      </c>
      <c r="T1123" s="163"/>
    </row>
    <row r="1124" spans="1:20" x14ac:dyDescent="0.25">
      <c r="A1124" s="373"/>
      <c r="B1124" s="379" t="s">
        <v>310</v>
      </c>
      <c r="C1124" s="373" t="s">
        <v>293</v>
      </c>
      <c r="D1124" s="374">
        <v>47802265</v>
      </c>
      <c r="E1124" s="393">
        <v>43825</v>
      </c>
      <c r="I1124" s="373"/>
      <c r="J1124" s="362" t="s">
        <v>4221</v>
      </c>
      <c r="K1124" s="362" t="s">
        <v>4222</v>
      </c>
      <c r="L1124" s="387">
        <v>4983550</v>
      </c>
      <c r="M1124" s="371">
        <v>43908</v>
      </c>
      <c r="T1124" s="163"/>
    </row>
    <row r="1125" spans="1:20" x14ac:dyDescent="0.25">
      <c r="A1125" s="373"/>
      <c r="B1125" s="379" t="s">
        <v>309</v>
      </c>
      <c r="C1125" s="373" t="s">
        <v>250</v>
      </c>
      <c r="D1125" s="374">
        <v>222834500</v>
      </c>
      <c r="E1125" s="393">
        <v>43825</v>
      </c>
      <c r="I1125" s="373"/>
      <c r="J1125" s="362" t="s">
        <v>4223</v>
      </c>
      <c r="K1125" s="362" t="s">
        <v>4224</v>
      </c>
      <c r="L1125" s="387">
        <v>595500</v>
      </c>
      <c r="M1125" s="371">
        <v>43908</v>
      </c>
      <c r="T1125" s="163"/>
    </row>
    <row r="1126" spans="1:20" x14ac:dyDescent="0.25">
      <c r="A1126" s="373"/>
      <c r="B1126" s="379" t="s">
        <v>308</v>
      </c>
      <c r="C1126" s="373" t="s">
        <v>252</v>
      </c>
      <c r="D1126" s="374">
        <v>132980300</v>
      </c>
      <c r="E1126" s="393">
        <v>43825</v>
      </c>
      <c r="I1126" s="373"/>
      <c r="J1126" s="362" t="s">
        <v>4225</v>
      </c>
      <c r="K1126" s="362" t="s">
        <v>3547</v>
      </c>
      <c r="L1126" s="387">
        <v>9252000</v>
      </c>
      <c r="M1126" s="371">
        <v>43909</v>
      </c>
      <c r="T1126" s="163"/>
    </row>
    <row r="1127" spans="1:20" x14ac:dyDescent="0.25">
      <c r="A1127" s="373"/>
      <c r="B1127" s="379" t="s">
        <v>307</v>
      </c>
      <c r="C1127" s="373" t="s">
        <v>295</v>
      </c>
      <c r="D1127" s="374">
        <v>1444014121</v>
      </c>
      <c r="E1127" s="393">
        <v>43825</v>
      </c>
      <c r="I1127" s="373"/>
      <c r="J1127" s="362" t="s">
        <v>4226</v>
      </c>
      <c r="K1127" s="362" t="s">
        <v>3541</v>
      </c>
      <c r="L1127" s="387">
        <v>5892000</v>
      </c>
      <c r="M1127" s="371">
        <v>43909</v>
      </c>
      <c r="T1127" s="163"/>
    </row>
    <row r="1128" spans="1:20" x14ac:dyDescent="0.25">
      <c r="A1128" s="373"/>
      <c r="B1128" s="379" t="s">
        <v>306</v>
      </c>
      <c r="C1128" s="373" t="s">
        <v>246</v>
      </c>
      <c r="D1128" s="374">
        <v>853544085</v>
      </c>
      <c r="E1128" s="393">
        <v>43491</v>
      </c>
      <c r="I1128" s="373"/>
      <c r="J1128" s="362" t="s">
        <v>4227</v>
      </c>
      <c r="K1128" s="362" t="s">
        <v>3543</v>
      </c>
      <c r="L1128" s="387">
        <v>6132000</v>
      </c>
      <c r="M1128" s="371">
        <v>43910</v>
      </c>
      <c r="T1128" s="163"/>
    </row>
    <row r="1129" spans="1:20" x14ac:dyDescent="0.25">
      <c r="A1129" s="373"/>
      <c r="B1129" s="379" t="s">
        <v>305</v>
      </c>
      <c r="C1129" s="373" t="s">
        <v>304</v>
      </c>
      <c r="D1129" s="374">
        <v>17553450</v>
      </c>
      <c r="E1129" s="393">
        <v>43825</v>
      </c>
      <c r="I1129" s="373"/>
      <c r="J1129" s="362" t="s">
        <v>4228</v>
      </c>
      <c r="K1129" s="362" t="s">
        <v>3548</v>
      </c>
      <c r="L1129" s="387">
        <v>6450000</v>
      </c>
      <c r="M1129" s="371">
        <v>43910</v>
      </c>
      <c r="T1129" s="163"/>
    </row>
    <row r="1130" spans="1:20" x14ac:dyDescent="0.25">
      <c r="A1130" s="373"/>
      <c r="B1130" s="379" t="s">
        <v>303</v>
      </c>
      <c r="C1130" s="373" t="s">
        <v>302</v>
      </c>
      <c r="D1130" s="374">
        <v>212048750</v>
      </c>
      <c r="E1130" s="393">
        <v>43825</v>
      </c>
      <c r="I1130" s="373"/>
      <c r="J1130" s="362" t="s">
        <v>4229</v>
      </c>
      <c r="K1130" s="362" t="s">
        <v>3535</v>
      </c>
      <c r="L1130" s="387">
        <v>4752000</v>
      </c>
      <c r="M1130" s="371">
        <v>43910</v>
      </c>
      <c r="T1130" s="163"/>
    </row>
    <row r="1131" spans="1:20" x14ac:dyDescent="0.25">
      <c r="A1131" s="373"/>
      <c r="B1131" s="379" t="s">
        <v>301</v>
      </c>
      <c r="C1131" s="373" t="s">
        <v>300</v>
      </c>
      <c r="D1131" s="374">
        <v>808142928</v>
      </c>
      <c r="E1131" s="393">
        <v>43825</v>
      </c>
      <c r="I1131" s="373"/>
      <c r="J1131" s="362" t="s">
        <v>4230</v>
      </c>
      <c r="K1131" s="362" t="s">
        <v>4231</v>
      </c>
      <c r="L1131" s="387">
        <v>6252000</v>
      </c>
      <c r="M1131" s="371">
        <v>43910</v>
      </c>
      <c r="T1131" s="163"/>
    </row>
    <row r="1132" spans="1:20" x14ac:dyDescent="0.25">
      <c r="A1132" s="373"/>
      <c r="B1132" s="379" t="s">
        <v>299</v>
      </c>
      <c r="C1132" s="373" t="s">
        <v>298</v>
      </c>
      <c r="D1132" s="374">
        <v>83500</v>
      </c>
      <c r="E1132" s="393">
        <v>43825</v>
      </c>
      <c r="I1132" s="373"/>
      <c r="J1132" s="362" t="s">
        <v>4232</v>
      </c>
      <c r="K1132" s="362" t="s">
        <v>4233</v>
      </c>
      <c r="L1132" s="387">
        <v>3512000</v>
      </c>
      <c r="M1132" s="371">
        <v>43910</v>
      </c>
      <c r="T1132" s="163"/>
    </row>
    <row r="1133" spans="1:20" x14ac:dyDescent="0.25">
      <c r="A1133" s="373"/>
      <c r="B1133" s="379" t="s">
        <v>297</v>
      </c>
      <c r="C1133" s="373" t="s">
        <v>252</v>
      </c>
      <c r="D1133" s="374">
        <v>83500</v>
      </c>
      <c r="E1133" s="393">
        <v>43826</v>
      </c>
      <c r="I1133" s="373"/>
      <c r="J1133" s="362" t="s">
        <v>4234</v>
      </c>
      <c r="K1133" s="362" t="s">
        <v>674</v>
      </c>
      <c r="L1133" s="387">
        <v>18958106</v>
      </c>
      <c r="M1133" s="371">
        <v>43910</v>
      </c>
      <c r="T1133" s="163"/>
    </row>
    <row r="1134" spans="1:20" x14ac:dyDescent="0.25">
      <c r="A1134" s="373"/>
      <c r="B1134" s="379" t="s">
        <v>296</v>
      </c>
      <c r="C1134" s="373" t="s">
        <v>295</v>
      </c>
      <c r="D1134" s="374">
        <v>1494886565</v>
      </c>
      <c r="E1134" s="393">
        <v>43826</v>
      </c>
      <c r="I1134" s="373"/>
      <c r="J1134" s="362" t="s">
        <v>4235</v>
      </c>
      <c r="K1134" s="362" t="s">
        <v>3543</v>
      </c>
      <c r="L1134" s="387">
        <v>33205722</v>
      </c>
      <c r="M1134" s="371">
        <v>43910</v>
      </c>
      <c r="T1134" s="163"/>
    </row>
    <row r="1135" spans="1:20" x14ac:dyDescent="0.25">
      <c r="A1135" s="373"/>
      <c r="B1135" s="379" t="s">
        <v>294</v>
      </c>
      <c r="C1135" s="373" t="s">
        <v>293</v>
      </c>
      <c r="D1135" s="374">
        <v>52842790</v>
      </c>
      <c r="E1135" s="393">
        <v>43826</v>
      </c>
      <c r="I1135" s="373"/>
      <c r="J1135" s="362" t="s">
        <v>4236</v>
      </c>
      <c r="K1135" s="362" t="s">
        <v>4231</v>
      </c>
      <c r="L1135" s="387">
        <v>2539000</v>
      </c>
      <c r="M1135" s="371">
        <v>43910</v>
      </c>
      <c r="T1135" s="163"/>
    </row>
    <row r="1136" spans="1:20" x14ac:dyDescent="0.25">
      <c r="A1136" s="373"/>
      <c r="B1136" s="379" t="s">
        <v>292</v>
      </c>
      <c r="C1136" s="373" t="s">
        <v>250</v>
      </c>
      <c r="D1136" s="374">
        <v>92285146</v>
      </c>
      <c r="E1136" s="393">
        <v>43826</v>
      </c>
      <c r="I1136" s="373"/>
      <c r="J1136" s="362" t="s">
        <v>4237</v>
      </c>
      <c r="K1136" s="362" t="s">
        <v>4238</v>
      </c>
      <c r="L1136" s="387">
        <v>41378645</v>
      </c>
      <c r="M1136" s="371">
        <v>43913</v>
      </c>
      <c r="T1136" s="163"/>
    </row>
    <row r="1137" spans="1:20" x14ac:dyDescent="0.25">
      <c r="A1137" s="373"/>
      <c r="B1137" s="379" t="s">
        <v>291</v>
      </c>
      <c r="C1137" s="373" t="s">
        <v>246</v>
      </c>
      <c r="D1137" s="374">
        <v>198080094</v>
      </c>
      <c r="E1137" s="393">
        <v>43826</v>
      </c>
      <c r="I1137" s="373"/>
      <c r="J1137" s="362" t="s">
        <v>4239</v>
      </c>
      <c r="K1137" s="362" t="s">
        <v>4240</v>
      </c>
      <c r="L1137" s="387">
        <v>10147150</v>
      </c>
      <c r="M1137" s="371">
        <v>43913</v>
      </c>
      <c r="T1137" s="163"/>
    </row>
    <row r="1138" spans="1:20" x14ac:dyDescent="0.25">
      <c r="A1138" s="373"/>
      <c r="B1138" s="398" t="s">
        <v>290</v>
      </c>
      <c r="C1138" s="399" t="s">
        <v>288</v>
      </c>
      <c r="D1138" s="400">
        <v>70666200</v>
      </c>
      <c r="E1138" s="401">
        <v>43826</v>
      </c>
      <c r="I1138" s="373"/>
      <c r="J1138" s="362" t="s">
        <v>4241</v>
      </c>
      <c r="K1138" s="362" t="s">
        <v>3915</v>
      </c>
      <c r="L1138" s="387">
        <v>52819486</v>
      </c>
      <c r="M1138" s="371">
        <v>43913</v>
      </c>
      <c r="T1138" s="163"/>
    </row>
    <row r="1139" spans="1:20" x14ac:dyDescent="0.25">
      <c r="A1139" s="373"/>
      <c r="B1139" s="402" t="s">
        <v>289</v>
      </c>
      <c r="C1139" s="399" t="s">
        <v>288</v>
      </c>
      <c r="D1139" s="400">
        <v>12606000</v>
      </c>
      <c r="E1139" s="401">
        <v>43826</v>
      </c>
      <c r="I1139" s="373"/>
      <c r="J1139" s="362" t="s">
        <v>4242</v>
      </c>
      <c r="K1139" s="362" t="s">
        <v>3934</v>
      </c>
      <c r="L1139" s="387">
        <v>15351602</v>
      </c>
      <c r="M1139" s="371">
        <v>43913</v>
      </c>
      <c r="T1139" s="163"/>
    </row>
    <row r="1140" spans="1:20" x14ac:dyDescent="0.25">
      <c r="A1140" s="373"/>
      <c r="B1140" s="403" t="s">
        <v>287</v>
      </c>
      <c r="C1140" s="403" t="s">
        <v>286</v>
      </c>
      <c r="D1140" s="404">
        <v>97165422</v>
      </c>
      <c r="E1140" s="405">
        <v>43829</v>
      </c>
      <c r="I1140" s="373"/>
      <c r="J1140" s="362" t="s">
        <v>4243</v>
      </c>
      <c r="K1140" s="362" t="s">
        <v>3935</v>
      </c>
      <c r="L1140" s="387">
        <v>30399754</v>
      </c>
      <c r="M1140" s="371">
        <v>43913</v>
      </c>
      <c r="T1140" s="163"/>
    </row>
    <row r="1141" spans="1:20" x14ac:dyDescent="0.25">
      <c r="A1141" s="373"/>
      <c r="B1141" s="403" t="s">
        <v>285</v>
      </c>
      <c r="C1141" s="403" t="s">
        <v>23</v>
      </c>
      <c r="D1141" s="404">
        <v>29935453</v>
      </c>
      <c r="E1141" s="405">
        <v>43829</v>
      </c>
      <c r="I1141" s="373"/>
      <c r="J1141" s="362" t="s">
        <v>4244</v>
      </c>
      <c r="K1141" s="362" t="s">
        <v>4245</v>
      </c>
      <c r="L1141" s="387">
        <v>4848500</v>
      </c>
      <c r="M1141" s="371">
        <v>43901</v>
      </c>
      <c r="T1141" s="163"/>
    </row>
    <row r="1142" spans="1:20" x14ac:dyDescent="0.25">
      <c r="A1142" s="373"/>
      <c r="B1142" s="403" t="s">
        <v>284</v>
      </c>
      <c r="C1142" s="403" t="s">
        <v>283</v>
      </c>
      <c r="D1142" s="404">
        <v>542102000</v>
      </c>
      <c r="E1142" s="405">
        <v>43829</v>
      </c>
      <c r="I1142" s="373"/>
      <c r="J1142" s="362" t="s">
        <v>4246</v>
      </c>
      <c r="K1142" s="362" t="s">
        <v>4247</v>
      </c>
      <c r="L1142" s="387">
        <v>3062000</v>
      </c>
      <c r="M1142" s="371">
        <v>43902</v>
      </c>
      <c r="T1142" s="163"/>
    </row>
    <row r="1143" spans="1:20" x14ac:dyDescent="0.25">
      <c r="A1143" s="373"/>
      <c r="B1143" s="402" t="s">
        <v>282</v>
      </c>
      <c r="C1143" s="399" t="s">
        <v>259</v>
      </c>
      <c r="D1143" s="400">
        <v>1328941451</v>
      </c>
      <c r="E1143" s="401">
        <v>43830</v>
      </c>
      <c r="I1143" s="373"/>
      <c r="J1143" s="362" t="s">
        <v>4248</v>
      </c>
      <c r="K1143" s="362" t="s">
        <v>4249</v>
      </c>
      <c r="L1143" s="387">
        <v>531000</v>
      </c>
      <c r="M1143" s="371">
        <v>43902</v>
      </c>
      <c r="T1143" s="163"/>
    </row>
    <row r="1144" spans="1:20" x14ac:dyDescent="0.25">
      <c r="A1144" s="373"/>
      <c r="B1144" s="402" t="s">
        <v>281</v>
      </c>
      <c r="C1144" s="399" t="s">
        <v>23</v>
      </c>
      <c r="D1144" s="400">
        <v>521309663</v>
      </c>
      <c r="E1144" s="401">
        <v>43830</v>
      </c>
      <c r="I1144" s="373"/>
      <c r="J1144" s="362" t="s">
        <v>4250</v>
      </c>
      <c r="K1144" s="362" t="s">
        <v>3543</v>
      </c>
      <c r="L1144" s="387">
        <v>782000</v>
      </c>
      <c r="M1144" s="371">
        <v>43902</v>
      </c>
      <c r="T1144" s="163"/>
    </row>
    <row r="1145" spans="1:20" x14ac:dyDescent="0.25">
      <c r="A1145" s="373"/>
      <c r="B1145" s="402" t="s">
        <v>280</v>
      </c>
      <c r="C1145" s="399" t="s">
        <v>279</v>
      </c>
      <c r="D1145" s="400">
        <v>2029771382</v>
      </c>
      <c r="E1145" s="401">
        <v>43830</v>
      </c>
      <c r="I1145" s="373"/>
      <c r="J1145" s="362" t="s">
        <v>4251</v>
      </c>
      <c r="K1145" s="362" t="s">
        <v>3541</v>
      </c>
      <c r="L1145" s="387">
        <v>402000</v>
      </c>
      <c r="M1145" s="371">
        <v>43902</v>
      </c>
      <c r="T1145" s="163"/>
    </row>
    <row r="1146" spans="1:20" x14ac:dyDescent="0.25">
      <c r="A1146" s="373"/>
      <c r="B1146" s="402" t="s">
        <v>278</v>
      </c>
      <c r="C1146" s="399" t="s">
        <v>22</v>
      </c>
      <c r="D1146" s="400">
        <v>712841750</v>
      </c>
      <c r="E1146" s="401">
        <v>43830</v>
      </c>
      <c r="I1146" s="373"/>
      <c r="J1146" s="362" t="s">
        <v>4252</v>
      </c>
      <c r="K1146" s="362" t="s">
        <v>4253</v>
      </c>
      <c r="L1146" s="387">
        <v>32588591</v>
      </c>
      <c r="M1146" s="371">
        <v>43902</v>
      </c>
      <c r="T1146" s="163"/>
    </row>
    <row r="1147" spans="1:20" x14ac:dyDescent="0.25">
      <c r="A1147" s="373"/>
      <c r="B1147" s="402" t="s">
        <v>277</v>
      </c>
      <c r="C1147" s="399" t="s">
        <v>276</v>
      </c>
      <c r="D1147" s="400">
        <v>93676796</v>
      </c>
      <c r="E1147" s="401">
        <v>43830</v>
      </c>
      <c r="I1147" s="373"/>
      <c r="J1147" s="362" t="s">
        <v>4254</v>
      </c>
      <c r="K1147" s="362" t="s">
        <v>4255</v>
      </c>
      <c r="L1147" s="387">
        <v>1652000</v>
      </c>
      <c r="M1147" s="371">
        <v>43903</v>
      </c>
      <c r="T1147" s="163"/>
    </row>
    <row r="1148" spans="1:20" x14ac:dyDescent="0.25">
      <c r="A1148" s="373"/>
      <c r="B1148" s="402" t="s">
        <v>275</v>
      </c>
      <c r="C1148" s="406" t="s">
        <v>4196</v>
      </c>
      <c r="D1148" s="400">
        <v>957292448</v>
      </c>
      <c r="E1148" s="401">
        <v>43832</v>
      </c>
      <c r="I1148" s="373"/>
      <c r="J1148" s="362" t="s">
        <v>4256</v>
      </c>
      <c r="K1148" s="362" t="s">
        <v>683</v>
      </c>
      <c r="L1148" s="387">
        <v>2248000</v>
      </c>
      <c r="M1148" s="371">
        <v>43903</v>
      </c>
      <c r="T1148" s="163"/>
    </row>
    <row r="1149" spans="1:20" x14ac:dyDescent="0.25">
      <c r="A1149" s="373"/>
      <c r="B1149" s="402" t="s">
        <v>274</v>
      </c>
      <c r="C1149" s="406" t="s">
        <v>4197</v>
      </c>
      <c r="D1149" s="400">
        <v>306946994</v>
      </c>
      <c r="E1149" s="401">
        <v>43832</v>
      </c>
      <c r="I1149" s="373"/>
      <c r="J1149" s="362" t="s">
        <v>4257</v>
      </c>
      <c r="K1149" s="362" t="s">
        <v>4258</v>
      </c>
      <c r="L1149" s="387">
        <v>6702000</v>
      </c>
      <c r="M1149" s="371">
        <v>43903</v>
      </c>
      <c r="T1149" s="163"/>
    </row>
    <row r="1150" spans="1:20" x14ac:dyDescent="0.25">
      <c r="A1150" s="373"/>
      <c r="B1150" s="402" t="s">
        <v>273</v>
      </c>
      <c r="C1150" s="406" t="s">
        <v>4036</v>
      </c>
      <c r="D1150" s="400">
        <v>702790646</v>
      </c>
      <c r="E1150" s="401">
        <v>43833</v>
      </c>
      <c r="I1150" s="373"/>
      <c r="J1150" s="362" t="s">
        <v>4259</v>
      </c>
      <c r="K1150" s="362" t="s">
        <v>4260</v>
      </c>
      <c r="L1150" s="387">
        <v>945000</v>
      </c>
      <c r="M1150" s="371">
        <v>43903</v>
      </c>
      <c r="T1150" s="163"/>
    </row>
    <row r="1151" spans="1:20" x14ac:dyDescent="0.25">
      <c r="A1151" s="373"/>
      <c r="B1151" s="402" t="s">
        <v>272</v>
      </c>
      <c r="C1151" s="406" t="s">
        <v>4198</v>
      </c>
      <c r="D1151" s="400">
        <v>95039500</v>
      </c>
      <c r="E1151" s="401">
        <v>43833</v>
      </c>
      <c r="I1151" s="373"/>
      <c r="J1151" s="362" t="s">
        <v>4261</v>
      </c>
      <c r="K1151" s="362" t="s">
        <v>3547</v>
      </c>
      <c r="L1151" s="387">
        <v>4692000</v>
      </c>
      <c r="M1151" s="371">
        <v>43903</v>
      </c>
      <c r="T1151" s="163"/>
    </row>
    <row r="1152" spans="1:20" x14ac:dyDescent="0.25">
      <c r="A1152" s="373"/>
      <c r="B1152" s="402" t="s">
        <v>271</v>
      </c>
      <c r="C1152" s="406" t="s">
        <v>3985</v>
      </c>
      <c r="D1152" s="400">
        <v>33659883</v>
      </c>
      <c r="E1152" s="401">
        <v>43833</v>
      </c>
      <c r="I1152" s="373"/>
      <c r="J1152" s="362" t="s">
        <v>4262</v>
      </c>
      <c r="K1152" s="362" t="s">
        <v>4263</v>
      </c>
      <c r="L1152" s="387">
        <v>48036788</v>
      </c>
      <c r="M1152" s="371">
        <v>43906</v>
      </c>
      <c r="T1152" s="163"/>
    </row>
    <row r="1153" spans="1:20" x14ac:dyDescent="0.25">
      <c r="A1153" s="373"/>
      <c r="B1153" s="402" t="s">
        <v>270</v>
      </c>
      <c r="C1153" s="406" t="s">
        <v>388</v>
      </c>
      <c r="D1153" s="400"/>
      <c r="E1153" s="401"/>
      <c r="I1153" s="373"/>
      <c r="J1153" s="362" t="s">
        <v>4264</v>
      </c>
      <c r="K1153" s="362" t="s">
        <v>4240</v>
      </c>
      <c r="L1153" s="387">
        <v>42043081</v>
      </c>
      <c r="M1153" s="371">
        <v>43906</v>
      </c>
      <c r="T1153" s="163"/>
    </row>
    <row r="1154" spans="1:20" x14ac:dyDescent="0.25">
      <c r="A1154" s="373"/>
      <c r="B1154" s="402" t="s">
        <v>269</v>
      </c>
      <c r="C1154" s="406" t="s">
        <v>4161</v>
      </c>
      <c r="D1154" s="400">
        <v>177591602</v>
      </c>
      <c r="E1154" s="401">
        <v>43833</v>
      </c>
      <c r="I1154" s="373"/>
      <c r="J1154" s="362" t="s">
        <v>4265</v>
      </c>
      <c r="K1154" s="362" t="s">
        <v>3915</v>
      </c>
      <c r="L1154" s="387">
        <v>55742996</v>
      </c>
      <c r="M1154" s="371">
        <v>43906</v>
      </c>
      <c r="T1154" s="163"/>
    </row>
    <row r="1155" spans="1:20" x14ac:dyDescent="0.25">
      <c r="A1155" s="373"/>
      <c r="B1155" s="402" t="s">
        <v>268</v>
      </c>
      <c r="C1155" s="406" t="s">
        <v>4036</v>
      </c>
      <c r="D1155" s="400">
        <v>682789102</v>
      </c>
      <c r="E1155" s="401">
        <v>43836</v>
      </c>
      <c r="I1155" s="373"/>
      <c r="J1155" s="362" t="s">
        <v>4266</v>
      </c>
      <c r="K1155" s="362" t="s">
        <v>3934</v>
      </c>
      <c r="L1155" s="387">
        <v>12015969</v>
      </c>
      <c r="M1155" s="371">
        <v>43906</v>
      </c>
      <c r="T1155" s="163"/>
    </row>
    <row r="1156" spans="1:20" x14ac:dyDescent="0.25">
      <c r="A1156" s="373"/>
      <c r="B1156" s="402" t="s">
        <v>267</v>
      </c>
      <c r="C1156" s="406" t="s">
        <v>388</v>
      </c>
      <c r="D1156" s="400"/>
      <c r="E1156" s="401"/>
      <c r="I1156" s="373"/>
      <c r="J1156" s="362" t="s">
        <v>4267</v>
      </c>
      <c r="K1156" s="362" t="s">
        <v>3935</v>
      </c>
      <c r="L1156" s="387">
        <v>33700477</v>
      </c>
      <c r="M1156" s="371">
        <v>43906</v>
      </c>
      <c r="T1156" s="163"/>
    </row>
    <row r="1157" spans="1:20" x14ac:dyDescent="0.25">
      <c r="A1157" s="373"/>
      <c r="B1157" s="402" t="s">
        <v>266</v>
      </c>
      <c r="C1157" s="406" t="s">
        <v>388</v>
      </c>
      <c r="D1157" s="400"/>
      <c r="E1157" s="401"/>
      <c r="I1157" s="373"/>
      <c r="J1157" s="362" t="s">
        <v>4268</v>
      </c>
      <c r="K1157" s="362" t="s">
        <v>3936</v>
      </c>
      <c r="L1157" s="387">
        <v>25993123</v>
      </c>
      <c r="M1157" s="371">
        <v>43906</v>
      </c>
      <c r="T1157" s="163"/>
    </row>
    <row r="1158" spans="1:20" x14ac:dyDescent="0.25">
      <c r="A1158" s="373"/>
      <c r="B1158" s="402" t="s">
        <v>265</v>
      </c>
      <c r="C1158" s="406" t="s">
        <v>4055</v>
      </c>
      <c r="D1158" s="400">
        <v>450305398</v>
      </c>
      <c r="E1158" s="407">
        <v>43837</v>
      </c>
      <c r="I1158" s="373"/>
      <c r="J1158" s="362" t="s">
        <v>4269</v>
      </c>
      <c r="K1158" s="362" t="s">
        <v>4270</v>
      </c>
      <c r="L1158" s="387">
        <v>226000</v>
      </c>
      <c r="M1158" s="371">
        <v>43906</v>
      </c>
      <c r="T1158" s="163"/>
    </row>
    <row r="1159" spans="1:20" x14ac:dyDescent="0.25">
      <c r="A1159" s="373"/>
      <c r="B1159" s="402" t="s">
        <v>264</v>
      </c>
      <c r="C1159" s="406" t="s">
        <v>4199</v>
      </c>
      <c r="D1159" s="400">
        <v>18147450</v>
      </c>
      <c r="E1159" s="407">
        <v>43837</v>
      </c>
      <c r="I1159" s="373"/>
      <c r="J1159" s="362" t="s">
        <v>4271</v>
      </c>
      <c r="K1159" s="362" t="s">
        <v>4272</v>
      </c>
      <c r="L1159" s="387">
        <v>3000000</v>
      </c>
      <c r="M1159" s="371">
        <v>43906</v>
      </c>
      <c r="T1159" s="163"/>
    </row>
    <row r="1160" spans="1:20" x14ac:dyDescent="0.25">
      <c r="A1160" s="373"/>
      <c r="B1160" s="402" t="s">
        <v>263</v>
      </c>
      <c r="C1160" s="406" t="s">
        <v>4036</v>
      </c>
      <c r="D1160" s="400">
        <v>276352215</v>
      </c>
      <c r="E1160" s="407">
        <v>43837</v>
      </c>
      <c r="I1160" s="373"/>
      <c r="J1160" s="362" t="s">
        <v>4273</v>
      </c>
      <c r="K1160" s="362" t="s">
        <v>4274</v>
      </c>
      <c r="L1160" s="387">
        <v>9014816</v>
      </c>
      <c r="M1160" s="371">
        <v>43906</v>
      </c>
      <c r="T1160" s="163"/>
    </row>
    <row r="1161" spans="1:20" x14ac:dyDescent="0.25">
      <c r="A1161" s="373"/>
      <c r="B1161" s="402" t="s">
        <v>262</v>
      </c>
      <c r="C1161" s="406" t="s">
        <v>4117</v>
      </c>
      <c r="D1161" s="400">
        <v>180905000</v>
      </c>
      <c r="E1161" s="401">
        <v>43837</v>
      </c>
      <c r="I1161" s="373"/>
      <c r="J1161" s="362" t="s">
        <v>4275</v>
      </c>
      <c r="K1161" s="362" t="s">
        <v>4249</v>
      </c>
      <c r="L1161" s="387">
        <v>4752000</v>
      </c>
      <c r="M1161" s="371">
        <v>43907</v>
      </c>
      <c r="T1161" s="163"/>
    </row>
    <row r="1162" spans="1:20" x14ac:dyDescent="0.25">
      <c r="A1162" s="373"/>
      <c r="B1162" s="402" t="s">
        <v>261</v>
      </c>
      <c r="C1162" s="406" t="s">
        <v>4053</v>
      </c>
      <c r="D1162" s="400">
        <v>296051600</v>
      </c>
      <c r="E1162" s="401">
        <v>43837</v>
      </c>
      <c r="I1162" s="373"/>
      <c r="J1162" s="362" t="s">
        <v>4276</v>
      </c>
      <c r="K1162" s="362" t="s">
        <v>3812</v>
      </c>
      <c r="L1162" s="387"/>
      <c r="M1162" s="371"/>
      <c r="T1162" s="163"/>
    </row>
    <row r="1163" spans="1:20" x14ac:dyDescent="0.25">
      <c r="A1163" s="373"/>
      <c r="B1163" s="379" t="s">
        <v>260</v>
      </c>
      <c r="C1163" s="373" t="s">
        <v>259</v>
      </c>
      <c r="D1163" s="374">
        <v>332411568</v>
      </c>
      <c r="E1163" s="393">
        <v>43826</v>
      </c>
      <c r="I1163" s="373"/>
      <c r="J1163" s="362" t="s">
        <v>4277</v>
      </c>
      <c r="K1163" s="362" t="s">
        <v>4278</v>
      </c>
      <c r="L1163" s="387">
        <v>970000</v>
      </c>
      <c r="M1163" s="371">
        <v>43907</v>
      </c>
    </row>
    <row r="1164" spans="1:20" x14ac:dyDescent="0.25">
      <c r="A1164" s="373"/>
      <c r="B1164" s="379" t="s">
        <v>258</v>
      </c>
      <c r="C1164" s="373" t="s">
        <v>257</v>
      </c>
      <c r="D1164" s="374">
        <v>273521650</v>
      </c>
      <c r="E1164" s="393">
        <v>43829</v>
      </c>
      <c r="I1164" s="373"/>
      <c r="J1164" s="362" t="s">
        <v>4279</v>
      </c>
      <c r="K1164" s="362" t="s">
        <v>4247</v>
      </c>
      <c r="L1164" s="387">
        <v>2280000</v>
      </c>
      <c r="M1164" s="371">
        <v>43907</v>
      </c>
    </row>
    <row r="1165" spans="1:20" x14ac:dyDescent="0.25">
      <c r="A1165" s="373"/>
      <c r="B1165" s="379" t="s">
        <v>256</v>
      </c>
      <c r="C1165" s="373" t="s">
        <v>22</v>
      </c>
      <c r="D1165" s="374">
        <v>796201110</v>
      </c>
      <c r="E1165" s="393">
        <v>43826</v>
      </c>
      <c r="I1165" s="373"/>
      <c r="J1165" s="362" t="s">
        <v>4280</v>
      </c>
      <c r="K1165" s="362" t="s">
        <v>3939</v>
      </c>
      <c r="L1165" s="387">
        <v>30429664</v>
      </c>
      <c r="M1165" s="371">
        <v>43907</v>
      </c>
    </row>
    <row r="1166" spans="1:20" x14ac:dyDescent="0.25">
      <c r="A1166" s="373"/>
      <c r="B1166" s="379" t="s">
        <v>255</v>
      </c>
      <c r="C1166" s="373" t="s">
        <v>254</v>
      </c>
      <c r="D1166" s="374">
        <v>342936183</v>
      </c>
      <c r="E1166" s="393">
        <v>43829</v>
      </c>
      <c r="I1166" s="373"/>
      <c r="J1166" s="362" t="s">
        <v>3649</v>
      </c>
      <c r="K1166" s="362" t="s">
        <v>4287</v>
      </c>
      <c r="L1166" s="387">
        <v>16290000</v>
      </c>
      <c r="M1166" s="371">
        <v>43867</v>
      </c>
    </row>
    <row r="1167" spans="1:20" x14ac:dyDescent="0.25">
      <c r="A1167" s="373"/>
      <c r="B1167" s="379" t="s">
        <v>253</v>
      </c>
      <c r="C1167" s="373" t="s">
        <v>252</v>
      </c>
      <c r="D1167" s="374">
        <v>816369732</v>
      </c>
      <c r="E1167" s="393">
        <v>43829</v>
      </c>
      <c r="I1167" s="373"/>
      <c r="J1167" s="362" t="s">
        <v>3650</v>
      </c>
      <c r="K1167" s="362" t="s">
        <v>674</v>
      </c>
      <c r="L1167" s="387">
        <v>23042000</v>
      </c>
      <c r="M1167" s="371">
        <v>43867</v>
      </c>
    </row>
    <row r="1168" spans="1:20" x14ac:dyDescent="0.25">
      <c r="A1168" s="373"/>
      <c r="B1168" s="379" t="s">
        <v>251</v>
      </c>
      <c r="C1168" s="373" t="s">
        <v>250</v>
      </c>
      <c r="D1168" s="374">
        <v>120039056</v>
      </c>
      <c r="E1168" s="393">
        <v>43829</v>
      </c>
      <c r="I1168" s="373"/>
      <c r="J1168" s="362" t="s">
        <v>3651</v>
      </c>
      <c r="K1168" s="362" t="s">
        <v>4231</v>
      </c>
      <c r="L1168" s="387">
        <v>2289100</v>
      </c>
      <c r="M1168" s="371">
        <v>43867</v>
      </c>
    </row>
    <row r="1169" spans="1:13" x14ac:dyDescent="0.25">
      <c r="A1169" s="373"/>
      <c r="B1169" s="379" t="s">
        <v>249</v>
      </c>
      <c r="C1169" s="373" t="s">
        <v>248</v>
      </c>
      <c r="D1169" s="374">
        <v>330503500</v>
      </c>
      <c r="E1169" s="393">
        <v>43829</v>
      </c>
      <c r="I1169" s="373"/>
      <c r="J1169" s="362" t="s">
        <v>3652</v>
      </c>
      <c r="K1169" s="362" t="s">
        <v>4249</v>
      </c>
      <c r="L1169" s="387">
        <v>8222000</v>
      </c>
      <c r="M1169" s="371">
        <v>43872</v>
      </c>
    </row>
    <row r="1170" spans="1:13" x14ac:dyDescent="0.25">
      <c r="A1170" s="373"/>
      <c r="B1170" s="379" t="s">
        <v>247</v>
      </c>
      <c r="C1170" s="373" t="s">
        <v>246</v>
      </c>
      <c r="D1170" s="374">
        <v>233164049</v>
      </c>
      <c r="E1170" s="393">
        <v>43829</v>
      </c>
      <c r="I1170" s="373"/>
      <c r="J1170" s="362" t="s">
        <v>3653</v>
      </c>
      <c r="K1170" s="362" t="s">
        <v>388</v>
      </c>
      <c r="L1170" s="387"/>
      <c r="M1170" s="371"/>
    </row>
    <row r="1171" spans="1:13" x14ac:dyDescent="0.25">
      <c r="A1171" s="373"/>
      <c r="B1171" s="379" t="s">
        <v>245</v>
      </c>
      <c r="C1171" s="385" t="s">
        <v>3132</v>
      </c>
      <c r="D1171" s="374">
        <v>74582000</v>
      </c>
      <c r="E1171" s="393">
        <v>43850</v>
      </c>
      <c r="I1171" s="373"/>
      <c r="J1171" s="362" t="s">
        <v>3654</v>
      </c>
      <c r="K1171" s="362" t="s">
        <v>4288</v>
      </c>
      <c r="L1171" s="387">
        <v>16002000</v>
      </c>
      <c r="M1171" s="371">
        <v>43873</v>
      </c>
    </row>
    <row r="1172" spans="1:13" x14ac:dyDescent="0.25">
      <c r="A1172" s="373"/>
      <c r="B1172" s="379" t="s">
        <v>244</v>
      </c>
      <c r="C1172" s="385" t="s">
        <v>3133</v>
      </c>
      <c r="D1172" s="374">
        <v>3015140306</v>
      </c>
      <c r="E1172" s="393">
        <v>43829</v>
      </c>
      <c r="I1172" s="373"/>
      <c r="J1172" s="362" t="s">
        <v>3655</v>
      </c>
      <c r="K1172" s="362" t="s">
        <v>4289</v>
      </c>
      <c r="L1172" s="387">
        <v>4973000</v>
      </c>
      <c r="M1172" s="371">
        <v>43873</v>
      </c>
    </row>
    <row r="1173" spans="1:13" x14ac:dyDescent="0.25">
      <c r="A1173" s="373"/>
      <c r="B1173" s="379" t="s">
        <v>243</v>
      </c>
      <c r="C1173" s="385" t="s">
        <v>3134</v>
      </c>
      <c r="D1173" s="374">
        <v>300489406</v>
      </c>
      <c r="E1173" s="393">
        <v>43829</v>
      </c>
      <c r="I1173" s="373"/>
      <c r="J1173" s="362" t="s">
        <v>3656</v>
      </c>
      <c r="K1173" s="362" t="s">
        <v>4290</v>
      </c>
      <c r="L1173" s="387">
        <v>570000</v>
      </c>
      <c r="M1173" s="371">
        <v>43873</v>
      </c>
    </row>
    <row r="1174" spans="1:13" x14ac:dyDescent="0.25">
      <c r="A1174" s="373"/>
      <c r="B1174" s="379" t="s">
        <v>242</v>
      </c>
      <c r="C1174" s="385" t="s">
        <v>3135</v>
      </c>
      <c r="D1174" s="374">
        <v>240813218</v>
      </c>
      <c r="E1174" s="393">
        <v>43832</v>
      </c>
      <c r="I1174" s="373"/>
      <c r="J1174" s="362" t="s">
        <v>3657</v>
      </c>
      <c r="K1174" s="362" t="s">
        <v>3926</v>
      </c>
      <c r="L1174" s="387">
        <v>742000</v>
      </c>
      <c r="M1174" s="371">
        <v>43874</v>
      </c>
    </row>
    <row r="1175" spans="1:13" x14ac:dyDescent="0.25">
      <c r="A1175" s="373"/>
      <c r="B1175" s="379" t="s">
        <v>241</v>
      </c>
      <c r="C1175" s="385" t="s">
        <v>3136</v>
      </c>
      <c r="D1175" s="374">
        <v>53544351</v>
      </c>
      <c r="E1175" s="393">
        <v>43833</v>
      </c>
      <c r="I1175" s="373"/>
      <c r="J1175" s="362" t="s">
        <v>3658</v>
      </c>
      <c r="K1175" s="362" t="s">
        <v>3535</v>
      </c>
      <c r="L1175" s="387">
        <v>33776000</v>
      </c>
      <c r="M1175" s="371">
        <v>43874</v>
      </c>
    </row>
    <row r="1176" spans="1:13" x14ac:dyDescent="0.25">
      <c r="A1176" s="373"/>
      <c r="B1176" s="379" t="s">
        <v>240</v>
      </c>
      <c r="C1176" s="385" t="s">
        <v>3137</v>
      </c>
      <c r="D1176" s="374">
        <v>200000000</v>
      </c>
      <c r="E1176" s="393"/>
      <c r="I1176" s="373"/>
      <c r="J1176" s="362" t="s">
        <v>3659</v>
      </c>
      <c r="K1176" s="362" t="s">
        <v>388</v>
      </c>
      <c r="L1176" s="387"/>
      <c r="M1176" s="371"/>
    </row>
    <row r="1177" spans="1:13" x14ac:dyDescent="0.25">
      <c r="A1177" s="373"/>
      <c r="B1177" s="379" t="s">
        <v>239</v>
      </c>
      <c r="C1177" s="385" t="s">
        <v>3138</v>
      </c>
      <c r="D1177" s="374">
        <v>428594843</v>
      </c>
      <c r="E1177" s="393">
        <v>43832</v>
      </c>
      <c r="I1177" s="373"/>
      <c r="J1177" s="362" t="s">
        <v>3660</v>
      </c>
      <c r="K1177" s="362" t="s">
        <v>674</v>
      </c>
      <c r="L1177" s="387">
        <v>21165299</v>
      </c>
      <c r="M1177" s="371">
        <v>43874</v>
      </c>
    </row>
    <row r="1178" spans="1:13" x14ac:dyDescent="0.25">
      <c r="A1178" s="373"/>
      <c r="B1178" s="379" t="s">
        <v>238</v>
      </c>
      <c r="C1178" s="385" t="s">
        <v>3139</v>
      </c>
      <c r="D1178" s="386">
        <v>468638984</v>
      </c>
      <c r="E1178" s="393">
        <v>43832</v>
      </c>
      <c r="I1178" s="373"/>
      <c r="J1178" s="362" t="s">
        <v>3661</v>
      </c>
      <c r="K1178" s="362" t="s">
        <v>4291</v>
      </c>
      <c r="L1178" s="387">
        <v>4875250</v>
      </c>
      <c r="M1178" s="371">
        <v>43875</v>
      </c>
    </row>
    <row r="1179" spans="1:13" x14ac:dyDescent="0.25">
      <c r="A1179" s="373"/>
      <c r="B1179" s="379" t="s">
        <v>237</v>
      </c>
      <c r="C1179" s="385" t="s">
        <v>259</v>
      </c>
      <c r="D1179" s="386">
        <v>316601832</v>
      </c>
      <c r="E1179" s="393">
        <v>43832</v>
      </c>
      <c r="I1179" s="373"/>
      <c r="J1179" s="362" t="s">
        <v>3662</v>
      </c>
      <c r="K1179" s="362" t="s">
        <v>4292</v>
      </c>
      <c r="L1179" s="387">
        <v>33520817</v>
      </c>
      <c r="M1179" s="371">
        <v>43875</v>
      </c>
    </row>
    <row r="1180" spans="1:13" x14ac:dyDescent="0.25">
      <c r="A1180" s="373"/>
      <c r="B1180" s="379" t="s">
        <v>236</v>
      </c>
      <c r="C1180" s="385" t="s">
        <v>3135</v>
      </c>
      <c r="D1180" s="386">
        <v>276882926</v>
      </c>
      <c r="E1180" s="393">
        <v>43833</v>
      </c>
      <c r="I1180" s="373"/>
      <c r="J1180" s="362" t="s">
        <v>3663</v>
      </c>
      <c r="K1180" s="362" t="s">
        <v>4282</v>
      </c>
      <c r="L1180" s="387">
        <v>26669630</v>
      </c>
      <c r="M1180" s="371">
        <v>43878</v>
      </c>
    </row>
    <row r="1181" spans="1:13" x14ac:dyDescent="0.25">
      <c r="A1181" s="373"/>
      <c r="B1181" s="379" t="s">
        <v>235</v>
      </c>
      <c r="C1181" s="385" t="s">
        <v>3136</v>
      </c>
      <c r="D1181" s="386">
        <v>102549214</v>
      </c>
      <c r="E1181" s="393">
        <v>43832</v>
      </c>
      <c r="I1181" s="373"/>
      <c r="J1181" s="362" t="s">
        <v>3664</v>
      </c>
      <c r="K1181" s="362" t="s">
        <v>4240</v>
      </c>
      <c r="L1181" s="387">
        <v>7671700</v>
      </c>
      <c r="M1181" s="371">
        <v>43878</v>
      </c>
    </row>
    <row r="1182" spans="1:13" x14ac:dyDescent="0.25">
      <c r="A1182" s="373"/>
      <c r="B1182" s="379" t="s">
        <v>234</v>
      </c>
      <c r="C1182" s="385" t="s">
        <v>388</v>
      </c>
      <c r="D1182" s="386"/>
      <c r="E1182" s="393"/>
      <c r="I1182" s="373"/>
      <c r="J1182" s="362" t="s">
        <v>3665</v>
      </c>
      <c r="K1182" s="362" t="s">
        <v>3915</v>
      </c>
      <c r="L1182" s="387">
        <v>49145127</v>
      </c>
      <c r="M1182" s="371">
        <v>43878</v>
      </c>
    </row>
    <row r="1183" spans="1:13" x14ac:dyDescent="0.25">
      <c r="A1183" s="373"/>
      <c r="B1183" s="379" t="s">
        <v>233</v>
      </c>
      <c r="C1183" s="385" t="s">
        <v>3132</v>
      </c>
      <c r="D1183" s="386">
        <v>127533800</v>
      </c>
      <c r="E1183" s="393">
        <v>43847</v>
      </c>
      <c r="I1183" s="373"/>
      <c r="J1183" s="362" t="s">
        <v>3666</v>
      </c>
      <c r="K1183" s="362" t="s">
        <v>3934</v>
      </c>
      <c r="L1183" s="387">
        <v>8291831</v>
      </c>
      <c r="M1183" s="371">
        <v>43878</v>
      </c>
    </row>
    <row r="1184" spans="1:13" x14ac:dyDescent="0.25">
      <c r="B1184" s="362" t="s">
        <v>4635</v>
      </c>
      <c r="C1184" s="362" t="s">
        <v>4117</v>
      </c>
      <c r="D1184" s="391">
        <v>180905000</v>
      </c>
      <c r="E1184" s="371">
        <v>43836</v>
      </c>
      <c r="I1184" s="373"/>
      <c r="J1184" s="362" t="s">
        <v>3667</v>
      </c>
      <c r="K1184" s="362" t="s">
        <v>3935</v>
      </c>
      <c r="L1184" s="387">
        <v>21358762</v>
      </c>
      <c r="M1184" s="371">
        <v>43878</v>
      </c>
    </row>
    <row r="1185" spans="2:13" x14ac:dyDescent="0.25">
      <c r="B1185" s="362" t="s">
        <v>4636</v>
      </c>
      <c r="C1185" s="362" t="s">
        <v>4199</v>
      </c>
      <c r="D1185" s="391">
        <v>62319326</v>
      </c>
      <c r="E1185" s="371">
        <v>43836</v>
      </c>
      <c r="I1185" s="373"/>
      <c r="J1185" s="362" t="s">
        <v>3668</v>
      </c>
      <c r="K1185" s="362" t="s">
        <v>4293</v>
      </c>
      <c r="L1185" s="387">
        <v>19979837</v>
      </c>
      <c r="M1185" s="371">
        <v>43878</v>
      </c>
    </row>
    <row r="1186" spans="2:13" x14ac:dyDescent="0.25">
      <c r="B1186" s="362" t="s">
        <v>4637</v>
      </c>
      <c r="C1186" s="362" t="s">
        <v>4053</v>
      </c>
      <c r="D1186" s="391">
        <v>203111165</v>
      </c>
      <c r="E1186" s="371">
        <v>43836</v>
      </c>
      <c r="I1186" s="373"/>
      <c r="J1186" s="362" t="s">
        <v>3669</v>
      </c>
      <c r="K1186" s="362" t="s">
        <v>4210</v>
      </c>
      <c r="L1186" s="387">
        <v>7940734</v>
      </c>
      <c r="M1186" s="371">
        <v>43879</v>
      </c>
    </row>
    <row r="1187" spans="2:13" x14ac:dyDescent="0.25">
      <c r="B1187" s="362" t="s">
        <v>4638</v>
      </c>
      <c r="C1187" s="362" t="s">
        <v>4043</v>
      </c>
      <c r="D1187" s="391">
        <v>213356596</v>
      </c>
      <c r="E1187" s="371">
        <v>43836</v>
      </c>
      <c r="I1187" s="373"/>
      <c r="J1187" s="362" t="s">
        <v>3670</v>
      </c>
      <c r="K1187" s="362" t="s">
        <v>3942</v>
      </c>
      <c r="L1187" s="387">
        <v>33027887</v>
      </c>
      <c r="M1187" s="371">
        <v>43879</v>
      </c>
    </row>
    <row r="1188" spans="2:13" x14ac:dyDescent="0.25">
      <c r="B1188" s="362" t="s">
        <v>4639</v>
      </c>
      <c r="C1188" s="362" t="s">
        <v>4109</v>
      </c>
      <c r="D1188" s="391">
        <v>116695108</v>
      </c>
      <c r="E1188" s="371">
        <v>43836</v>
      </c>
      <c r="I1188" s="373"/>
      <c r="J1188" s="362" t="s">
        <v>3671</v>
      </c>
      <c r="K1188" s="362" t="s">
        <v>3944</v>
      </c>
      <c r="L1188" s="387">
        <v>25163131</v>
      </c>
      <c r="M1188" s="371">
        <v>43879</v>
      </c>
    </row>
    <row r="1189" spans="2:13" x14ac:dyDescent="0.25">
      <c r="B1189" s="362" t="s">
        <v>4640</v>
      </c>
      <c r="C1189" s="362" t="s">
        <v>4142</v>
      </c>
      <c r="D1189" s="391">
        <v>317556956</v>
      </c>
      <c r="E1189" s="371">
        <v>43836</v>
      </c>
      <c r="I1189" s="373"/>
      <c r="J1189" s="362" t="s">
        <v>3672</v>
      </c>
      <c r="K1189" s="362" t="s">
        <v>4215</v>
      </c>
      <c r="L1189" s="387">
        <v>5773021</v>
      </c>
      <c r="M1189" s="371">
        <v>43879</v>
      </c>
    </row>
    <row r="1190" spans="2:13" x14ac:dyDescent="0.25">
      <c r="B1190" s="362" t="s">
        <v>4641</v>
      </c>
      <c r="C1190" s="362" t="s">
        <v>388</v>
      </c>
      <c r="D1190" s="391"/>
      <c r="E1190" s="371"/>
      <c r="I1190" s="373"/>
      <c r="J1190" s="362" t="s">
        <v>3673</v>
      </c>
      <c r="K1190" s="362" t="s">
        <v>3943</v>
      </c>
      <c r="L1190" s="387">
        <v>20555731</v>
      </c>
      <c r="M1190" s="371">
        <v>43879</v>
      </c>
    </row>
    <row r="1191" spans="2:13" x14ac:dyDescent="0.25">
      <c r="B1191" s="362" t="s">
        <v>4642</v>
      </c>
      <c r="C1191" s="362" t="s">
        <v>4169</v>
      </c>
      <c r="D1191" s="391">
        <v>108818800</v>
      </c>
      <c r="E1191" s="371">
        <v>43838</v>
      </c>
      <c r="I1191" s="373"/>
      <c r="J1191" s="379" t="s">
        <v>3674</v>
      </c>
      <c r="K1191" s="389" t="s">
        <v>3913</v>
      </c>
      <c r="L1191" s="374">
        <v>19749564</v>
      </c>
      <c r="M1191" s="375">
        <v>43885</v>
      </c>
    </row>
    <row r="1192" spans="2:13" x14ac:dyDescent="0.25">
      <c r="B1192" s="362" t="s">
        <v>4643</v>
      </c>
      <c r="C1192" s="362" t="s">
        <v>4053</v>
      </c>
      <c r="D1192" s="391">
        <v>241661449</v>
      </c>
      <c r="E1192" s="371">
        <v>43838</v>
      </c>
      <c r="I1192" s="373"/>
      <c r="J1192" s="379" t="s">
        <v>3675</v>
      </c>
      <c r="K1192" s="389" t="s">
        <v>3914</v>
      </c>
      <c r="L1192" s="374">
        <v>12487223</v>
      </c>
      <c r="M1192" s="375">
        <v>43885</v>
      </c>
    </row>
    <row r="1193" spans="2:13" x14ac:dyDescent="0.25">
      <c r="B1193" s="362" t="s">
        <v>4644</v>
      </c>
      <c r="C1193" s="362" t="s">
        <v>4660</v>
      </c>
      <c r="D1193" s="391">
        <v>399804058</v>
      </c>
      <c r="E1193" s="371">
        <v>43838</v>
      </c>
      <c r="I1193" s="373"/>
      <c r="J1193" s="379" t="s">
        <v>3676</v>
      </c>
      <c r="K1193" s="389" t="s">
        <v>3915</v>
      </c>
      <c r="L1193" s="374">
        <v>40230401</v>
      </c>
      <c r="M1193" s="375">
        <v>43885</v>
      </c>
    </row>
    <row r="1194" spans="2:13" x14ac:dyDescent="0.25">
      <c r="B1194" s="362" t="s">
        <v>4645</v>
      </c>
      <c r="C1194" s="362" t="s">
        <v>3812</v>
      </c>
      <c r="D1194" s="391"/>
      <c r="E1194" s="371"/>
      <c r="I1194" s="373"/>
      <c r="J1194" s="379" t="s">
        <v>3677</v>
      </c>
      <c r="K1194" s="389" t="s">
        <v>3918</v>
      </c>
      <c r="L1194" s="374">
        <v>8390741</v>
      </c>
      <c r="M1194" s="375">
        <v>43885</v>
      </c>
    </row>
    <row r="1195" spans="2:13" x14ac:dyDescent="0.25">
      <c r="B1195" s="362" t="s">
        <v>4646</v>
      </c>
      <c r="C1195" s="362" t="s">
        <v>4199</v>
      </c>
      <c r="D1195" s="391">
        <v>18147450</v>
      </c>
      <c r="E1195" s="371">
        <v>43838</v>
      </c>
      <c r="I1195" s="373"/>
      <c r="J1195" s="379" t="s">
        <v>3678</v>
      </c>
      <c r="K1195" s="389" t="s">
        <v>3917</v>
      </c>
      <c r="L1195" s="374">
        <v>16579401</v>
      </c>
      <c r="M1195" s="375">
        <v>43885</v>
      </c>
    </row>
    <row r="1196" spans="2:13" x14ac:dyDescent="0.25">
      <c r="B1196" s="362" t="s">
        <v>4647</v>
      </c>
      <c r="C1196" s="362" t="s">
        <v>4152</v>
      </c>
      <c r="D1196" s="391">
        <v>457787240</v>
      </c>
      <c r="E1196" s="371">
        <v>43838</v>
      </c>
      <c r="I1196" s="373"/>
      <c r="J1196" s="379" t="s">
        <v>3679</v>
      </c>
      <c r="K1196" s="389" t="s">
        <v>3916</v>
      </c>
      <c r="L1196" s="374">
        <v>24712635</v>
      </c>
      <c r="M1196" s="375">
        <v>43885</v>
      </c>
    </row>
    <row r="1197" spans="2:13" x14ac:dyDescent="0.25">
      <c r="B1197" s="362" t="s">
        <v>4648</v>
      </c>
      <c r="C1197" s="362" t="s">
        <v>4036</v>
      </c>
      <c r="D1197" s="391">
        <v>637018151</v>
      </c>
      <c r="E1197" s="371">
        <v>43838</v>
      </c>
      <c r="I1197" s="373"/>
      <c r="J1197" s="379" t="s">
        <v>3680</v>
      </c>
      <c r="K1197" s="389" t="s">
        <v>674</v>
      </c>
      <c r="L1197" s="374">
        <v>13443026</v>
      </c>
      <c r="M1197" s="375">
        <v>43885</v>
      </c>
    </row>
    <row r="1198" spans="2:13" x14ac:dyDescent="0.25">
      <c r="B1198" s="362" t="s">
        <v>4649</v>
      </c>
      <c r="C1198" s="362" t="s">
        <v>4189</v>
      </c>
      <c r="D1198" s="391">
        <v>1569308033</v>
      </c>
      <c r="E1198" s="371">
        <v>43838</v>
      </c>
      <c r="I1198" s="373"/>
      <c r="J1198" s="379" t="s">
        <v>3681</v>
      </c>
      <c r="K1198" s="389" t="s">
        <v>3523</v>
      </c>
      <c r="L1198" s="374">
        <v>39943938</v>
      </c>
      <c r="M1198" s="375">
        <v>43886</v>
      </c>
    </row>
    <row r="1199" spans="2:13" x14ac:dyDescent="0.25">
      <c r="B1199" s="362" t="s">
        <v>4650</v>
      </c>
      <c r="C1199" s="362" t="s">
        <v>4188</v>
      </c>
      <c r="D1199" s="391">
        <v>624094614</v>
      </c>
      <c r="E1199" s="371">
        <v>43838</v>
      </c>
      <c r="I1199" s="373"/>
      <c r="J1199" s="379" t="s">
        <v>3682</v>
      </c>
      <c r="K1199" s="389" t="s">
        <v>3919</v>
      </c>
      <c r="L1199" s="374">
        <v>29355423</v>
      </c>
      <c r="M1199" s="375">
        <v>43886</v>
      </c>
    </row>
    <row r="1200" spans="2:13" x14ac:dyDescent="0.25">
      <c r="B1200" s="362" t="s">
        <v>4651</v>
      </c>
      <c r="C1200" s="362" t="s">
        <v>4661</v>
      </c>
      <c r="D1200" s="391">
        <v>12154906</v>
      </c>
      <c r="E1200" s="371">
        <v>43838</v>
      </c>
      <c r="I1200" s="373"/>
      <c r="J1200" s="379" t="s">
        <v>3683</v>
      </c>
      <c r="K1200" s="389" t="s">
        <v>3920</v>
      </c>
      <c r="L1200" s="374">
        <v>5127429</v>
      </c>
      <c r="M1200" s="375">
        <v>43886</v>
      </c>
    </row>
    <row r="1201" spans="1:13" x14ac:dyDescent="0.25">
      <c r="B1201" s="362" t="s">
        <v>4652</v>
      </c>
      <c r="C1201" s="362" t="s">
        <v>4053</v>
      </c>
      <c r="D1201" s="391">
        <v>345270701</v>
      </c>
      <c r="E1201" s="371">
        <v>43843</v>
      </c>
      <c r="I1201" s="373"/>
      <c r="J1201" s="379" t="s">
        <v>3684</v>
      </c>
      <c r="K1201" s="389" t="s">
        <v>3921</v>
      </c>
      <c r="L1201" s="374">
        <v>5304580</v>
      </c>
      <c r="M1201" s="375">
        <v>43886</v>
      </c>
    </row>
    <row r="1202" spans="1:13" x14ac:dyDescent="0.25">
      <c r="B1202" s="362" t="s">
        <v>4653</v>
      </c>
      <c r="C1202" s="362" t="s">
        <v>4055</v>
      </c>
      <c r="D1202" s="391">
        <v>847292761</v>
      </c>
      <c r="E1202" s="371">
        <v>43843</v>
      </c>
      <c r="I1202" s="373"/>
      <c r="J1202" s="379" t="s">
        <v>3685</v>
      </c>
      <c r="K1202" s="389" t="s">
        <v>3922</v>
      </c>
      <c r="L1202" s="374">
        <v>28451876</v>
      </c>
      <c r="M1202" s="375">
        <v>43886</v>
      </c>
    </row>
    <row r="1203" spans="1:13" x14ac:dyDescent="0.25">
      <c r="B1203" s="362" t="s">
        <v>4654</v>
      </c>
      <c r="C1203" s="362" t="s">
        <v>4036</v>
      </c>
      <c r="D1203" s="391">
        <v>231213177</v>
      </c>
      <c r="E1203" s="371">
        <v>43843</v>
      </c>
      <c r="I1203" s="373"/>
      <c r="J1203" s="379" t="s">
        <v>3686</v>
      </c>
      <c r="K1203" s="389" t="s">
        <v>3923</v>
      </c>
      <c r="L1203" s="374">
        <v>25095688</v>
      </c>
      <c r="M1203" s="375">
        <v>43886</v>
      </c>
    </row>
    <row r="1204" spans="1:13" x14ac:dyDescent="0.25">
      <c r="B1204" s="362" t="s">
        <v>4655</v>
      </c>
      <c r="C1204" s="362" t="s">
        <v>4199</v>
      </c>
      <c r="D1204" s="391">
        <v>9075475</v>
      </c>
      <c r="E1204" s="371">
        <v>43843</v>
      </c>
      <c r="I1204" s="373"/>
      <c r="J1204" s="379" t="s">
        <v>3687</v>
      </c>
      <c r="K1204" s="389" t="s">
        <v>3924</v>
      </c>
      <c r="L1204" s="374">
        <v>20946240</v>
      </c>
      <c r="M1204" s="375">
        <v>43886</v>
      </c>
    </row>
    <row r="1205" spans="1:13" x14ac:dyDescent="0.25">
      <c r="B1205" s="362" t="s">
        <v>4656</v>
      </c>
      <c r="C1205" s="362" t="s">
        <v>4190</v>
      </c>
      <c r="D1205" s="391">
        <v>97316318</v>
      </c>
      <c r="E1205" s="371">
        <v>43843</v>
      </c>
      <c r="I1205" s="373"/>
      <c r="J1205" s="379" t="s">
        <v>3688</v>
      </c>
      <c r="K1205" s="389" t="s">
        <v>3925</v>
      </c>
      <c r="L1205" s="374">
        <v>3422257</v>
      </c>
      <c r="M1205" s="375">
        <v>43887</v>
      </c>
    </row>
    <row r="1206" spans="1:13" x14ac:dyDescent="0.25">
      <c r="B1206" s="362" t="s">
        <v>4657</v>
      </c>
      <c r="C1206" s="362" t="s">
        <v>4142</v>
      </c>
      <c r="D1206" s="391">
        <v>2713631061</v>
      </c>
      <c r="E1206" s="371">
        <v>43843</v>
      </c>
      <c r="I1206" s="373"/>
      <c r="J1206" s="379" t="s">
        <v>3689</v>
      </c>
      <c r="K1206" s="389" t="s">
        <v>3926</v>
      </c>
      <c r="L1206" s="374">
        <v>1087000</v>
      </c>
      <c r="M1206" s="375">
        <v>43887</v>
      </c>
    </row>
    <row r="1207" spans="1:13" x14ac:dyDescent="0.25">
      <c r="B1207" s="362" t="s">
        <v>4658</v>
      </c>
      <c r="C1207" s="362" t="s">
        <v>4661</v>
      </c>
      <c r="D1207" s="391">
        <v>21442598</v>
      </c>
      <c r="E1207" s="371">
        <v>43843</v>
      </c>
      <c r="I1207" s="373"/>
      <c r="J1207" s="379" t="s">
        <v>3690</v>
      </c>
      <c r="K1207" s="389" t="s">
        <v>3530</v>
      </c>
      <c r="L1207" s="374">
        <v>2242000</v>
      </c>
      <c r="M1207" s="375">
        <v>43887</v>
      </c>
    </row>
    <row r="1208" spans="1:13" x14ac:dyDescent="0.25">
      <c r="B1208" s="362" t="s">
        <v>4659</v>
      </c>
      <c r="C1208" s="362" t="s">
        <v>4447</v>
      </c>
      <c r="D1208" s="391">
        <v>20142504</v>
      </c>
      <c r="E1208" s="371">
        <v>43843</v>
      </c>
      <c r="I1208" s="373"/>
      <c r="J1208" s="379" t="s">
        <v>3691</v>
      </c>
      <c r="K1208" s="389" t="s">
        <v>3912</v>
      </c>
      <c r="L1208" s="374">
        <v>7723200</v>
      </c>
      <c r="M1208" s="375">
        <v>43887</v>
      </c>
    </row>
    <row r="1209" spans="1:13" x14ac:dyDescent="0.25">
      <c r="A1209" s="373"/>
      <c r="B1209" s="362" t="s">
        <v>3261</v>
      </c>
      <c r="C1209" s="362" t="s">
        <v>4186</v>
      </c>
      <c r="D1209" s="387">
        <v>157133900</v>
      </c>
      <c r="E1209" s="371">
        <v>43850</v>
      </c>
      <c r="I1209" s="373"/>
      <c r="J1209" s="379" t="s">
        <v>3692</v>
      </c>
      <c r="K1209" s="389" t="s">
        <v>3927</v>
      </c>
      <c r="L1209" s="374">
        <v>4800857</v>
      </c>
      <c r="M1209" s="375">
        <v>43887</v>
      </c>
    </row>
    <row r="1210" spans="1:13" x14ac:dyDescent="0.25">
      <c r="A1210" s="373"/>
      <c r="B1210" s="362" t="s">
        <v>3262</v>
      </c>
      <c r="C1210" s="362" t="s">
        <v>4169</v>
      </c>
      <c r="D1210" s="387">
        <v>377378300</v>
      </c>
      <c r="E1210" s="371">
        <v>43850</v>
      </c>
      <c r="I1210" s="373"/>
      <c r="J1210" s="379" t="s">
        <v>3693</v>
      </c>
      <c r="K1210" s="389" t="s">
        <v>3535</v>
      </c>
      <c r="L1210" s="374">
        <v>9396500</v>
      </c>
      <c r="M1210" s="375">
        <v>43887</v>
      </c>
    </row>
    <row r="1211" spans="1:13" x14ac:dyDescent="0.25">
      <c r="A1211" s="373"/>
      <c r="B1211" s="362" t="s">
        <v>3263</v>
      </c>
      <c r="C1211" s="362" t="s">
        <v>3974</v>
      </c>
      <c r="D1211" s="387">
        <v>430869282</v>
      </c>
      <c r="E1211" s="371">
        <v>43850</v>
      </c>
      <c r="I1211" s="373"/>
      <c r="J1211" s="379" t="s">
        <v>3694</v>
      </c>
      <c r="K1211" s="389" t="s">
        <v>3547</v>
      </c>
      <c r="L1211" s="374">
        <v>14514480</v>
      </c>
      <c r="M1211" s="375">
        <v>43888</v>
      </c>
    </row>
    <row r="1212" spans="1:13" x14ac:dyDescent="0.25">
      <c r="A1212" s="373"/>
      <c r="B1212" s="362" t="s">
        <v>3264</v>
      </c>
      <c r="C1212" s="362" t="s">
        <v>4070</v>
      </c>
      <c r="D1212" s="387">
        <v>4539488</v>
      </c>
      <c r="E1212" s="371">
        <v>43850</v>
      </c>
      <c r="I1212" s="373"/>
      <c r="J1212" s="379" t="s">
        <v>3695</v>
      </c>
      <c r="K1212" s="389" t="s">
        <v>3540</v>
      </c>
      <c r="L1212" s="374">
        <v>12641250</v>
      </c>
      <c r="M1212" s="375">
        <v>43888</v>
      </c>
    </row>
    <row r="1213" spans="1:13" x14ac:dyDescent="0.25">
      <c r="A1213" s="373"/>
      <c r="B1213" s="362" t="s">
        <v>3265</v>
      </c>
      <c r="C1213" s="362" t="s">
        <v>4036</v>
      </c>
      <c r="D1213" s="387">
        <v>581381032</v>
      </c>
      <c r="E1213" s="371">
        <v>43850</v>
      </c>
      <c r="I1213" s="373"/>
      <c r="J1213" s="379" t="s">
        <v>3696</v>
      </c>
      <c r="K1213" s="389" t="s">
        <v>3543</v>
      </c>
      <c r="L1213" s="374">
        <v>592000</v>
      </c>
      <c r="M1213" s="375">
        <v>43888</v>
      </c>
    </row>
    <row r="1214" spans="1:13" x14ac:dyDescent="0.25">
      <c r="A1214" s="373"/>
      <c r="B1214" s="362" t="s">
        <v>3266</v>
      </c>
      <c r="C1214" s="362" t="s">
        <v>3985</v>
      </c>
      <c r="D1214" s="387">
        <v>393589779</v>
      </c>
      <c r="E1214" s="371">
        <v>43850</v>
      </c>
      <c r="I1214" s="373"/>
      <c r="J1214" s="379" t="s">
        <v>3697</v>
      </c>
      <c r="K1214" s="389" t="s">
        <v>3928</v>
      </c>
      <c r="L1214" s="374">
        <v>4323333</v>
      </c>
      <c r="M1214" s="375">
        <v>43888</v>
      </c>
    </row>
    <row r="1215" spans="1:13" x14ac:dyDescent="0.25">
      <c r="A1215" s="373"/>
      <c r="B1215" s="362" t="s">
        <v>3267</v>
      </c>
      <c r="C1215" s="362" t="s">
        <v>4187</v>
      </c>
      <c r="D1215" s="387">
        <v>118626766</v>
      </c>
      <c r="E1215" s="371">
        <v>43850</v>
      </c>
      <c r="I1215" s="373"/>
      <c r="J1215" s="379" t="s">
        <v>3698</v>
      </c>
      <c r="K1215" s="389" t="s">
        <v>3929</v>
      </c>
      <c r="L1215" s="374">
        <v>129197225</v>
      </c>
      <c r="M1215" s="375">
        <v>43888</v>
      </c>
    </row>
    <row r="1216" spans="1:13" x14ac:dyDescent="0.25">
      <c r="A1216" s="373"/>
      <c r="B1216" s="362" t="s">
        <v>3268</v>
      </c>
      <c r="C1216" s="362" t="s">
        <v>3980</v>
      </c>
      <c r="D1216" s="387">
        <v>291421009</v>
      </c>
      <c r="E1216" s="371">
        <v>43850</v>
      </c>
      <c r="I1216" s="373"/>
      <c r="J1216" s="379" t="s">
        <v>3749</v>
      </c>
      <c r="K1216" s="389" t="s">
        <v>3532</v>
      </c>
      <c r="L1216" s="374">
        <v>3261200</v>
      </c>
      <c r="M1216" s="375">
        <v>43889</v>
      </c>
    </row>
    <row r="1217" spans="1:13" x14ac:dyDescent="0.25">
      <c r="A1217" s="373"/>
      <c r="B1217" s="362" t="s">
        <v>3269</v>
      </c>
      <c r="C1217" s="362" t="s">
        <v>4179</v>
      </c>
      <c r="D1217" s="387">
        <v>317671136</v>
      </c>
      <c r="E1217" s="371">
        <v>43850</v>
      </c>
      <c r="I1217" s="373"/>
      <c r="J1217" s="379" t="s">
        <v>3750</v>
      </c>
      <c r="K1217" s="389" t="s">
        <v>3930</v>
      </c>
      <c r="L1217" s="374">
        <v>6702000</v>
      </c>
      <c r="M1217" s="375">
        <v>43889</v>
      </c>
    </row>
    <row r="1218" spans="1:13" x14ac:dyDescent="0.25">
      <c r="A1218" s="373"/>
      <c r="B1218" s="362" t="s">
        <v>3270</v>
      </c>
      <c r="C1218" s="362" t="s">
        <v>3967</v>
      </c>
      <c r="D1218" s="387">
        <v>729781682</v>
      </c>
      <c r="E1218" s="371">
        <v>43850</v>
      </c>
      <c r="I1218" s="373"/>
      <c r="J1218" s="379" t="s">
        <v>3751</v>
      </c>
      <c r="K1218" s="389" t="s">
        <v>3931</v>
      </c>
      <c r="L1218" s="374">
        <v>1950000</v>
      </c>
      <c r="M1218" s="375">
        <v>43889</v>
      </c>
    </row>
    <row r="1219" spans="1:13" x14ac:dyDescent="0.25">
      <c r="A1219" s="373"/>
      <c r="B1219" s="362" t="s">
        <v>3271</v>
      </c>
      <c r="C1219" s="362" t="s">
        <v>4188</v>
      </c>
      <c r="D1219" s="387">
        <v>22221731</v>
      </c>
      <c r="E1219" s="371">
        <v>43850</v>
      </c>
      <c r="I1219" s="373"/>
      <c r="J1219" s="379" t="s">
        <v>3752</v>
      </c>
      <c r="K1219" s="389" t="s">
        <v>3932</v>
      </c>
      <c r="L1219" s="374">
        <v>1781867</v>
      </c>
      <c r="M1219" s="375">
        <v>43889</v>
      </c>
    </row>
    <row r="1220" spans="1:13" x14ac:dyDescent="0.25">
      <c r="A1220" s="373"/>
      <c r="B1220" s="362" t="s">
        <v>3272</v>
      </c>
      <c r="C1220" s="362" t="s">
        <v>388</v>
      </c>
      <c r="D1220" s="387"/>
      <c r="E1220" s="371"/>
      <c r="I1220" s="373"/>
      <c r="J1220" s="379" t="s">
        <v>3753</v>
      </c>
      <c r="K1220" s="389" t="s">
        <v>3933</v>
      </c>
      <c r="L1220" s="374">
        <v>32595505</v>
      </c>
      <c r="M1220" s="375">
        <v>43892</v>
      </c>
    </row>
    <row r="1221" spans="1:13" x14ac:dyDescent="0.25">
      <c r="A1221" s="373"/>
      <c r="B1221" s="362" t="s">
        <v>3273</v>
      </c>
      <c r="C1221" s="362" t="s">
        <v>216</v>
      </c>
      <c r="D1221" s="387">
        <v>76000000</v>
      </c>
      <c r="E1221" s="371">
        <v>43850</v>
      </c>
      <c r="I1221" s="373"/>
      <c r="J1221" s="379" t="s">
        <v>3754</v>
      </c>
      <c r="K1221" s="389" t="s">
        <v>3926</v>
      </c>
      <c r="L1221" s="374">
        <v>19248400</v>
      </c>
      <c r="M1221" s="375">
        <v>43892</v>
      </c>
    </row>
    <row r="1222" spans="1:13" x14ac:dyDescent="0.25">
      <c r="A1222" s="373"/>
      <c r="B1222" s="362" t="s">
        <v>3274</v>
      </c>
      <c r="C1222" s="362" t="s">
        <v>4053</v>
      </c>
      <c r="D1222" s="387">
        <v>4112369</v>
      </c>
      <c r="E1222" s="371">
        <v>43851</v>
      </c>
      <c r="I1222" s="373"/>
      <c r="J1222" s="379" t="s">
        <v>3755</v>
      </c>
      <c r="K1222" s="389" t="s">
        <v>3915</v>
      </c>
      <c r="L1222" s="374">
        <v>56527419</v>
      </c>
      <c r="M1222" s="375">
        <v>43892</v>
      </c>
    </row>
    <row r="1223" spans="1:13" x14ac:dyDescent="0.25">
      <c r="A1223" s="373"/>
      <c r="B1223" s="362" t="s">
        <v>3275</v>
      </c>
      <c r="C1223" s="362" t="s">
        <v>388</v>
      </c>
      <c r="D1223" s="387"/>
      <c r="E1223" s="371"/>
      <c r="I1223" s="373"/>
      <c r="J1223" s="379" t="s">
        <v>3756</v>
      </c>
      <c r="K1223" s="384" t="s">
        <v>388</v>
      </c>
      <c r="L1223" s="374"/>
      <c r="M1223" s="375"/>
    </row>
    <row r="1224" spans="1:13" x14ac:dyDescent="0.25">
      <c r="A1224" s="373"/>
      <c r="B1224" s="362" t="s">
        <v>3276</v>
      </c>
      <c r="C1224" s="362" t="s">
        <v>3985</v>
      </c>
      <c r="D1224" s="387">
        <v>404143761</v>
      </c>
      <c r="E1224" s="371">
        <v>43851</v>
      </c>
      <c r="I1224" s="373"/>
      <c r="J1224" s="379" t="s">
        <v>3757</v>
      </c>
      <c r="K1224" s="384" t="s">
        <v>388</v>
      </c>
      <c r="L1224" s="374"/>
      <c r="M1224" s="375"/>
    </row>
    <row r="1225" spans="1:13" x14ac:dyDescent="0.25">
      <c r="A1225" s="373"/>
      <c r="B1225" s="362" t="s">
        <v>3277</v>
      </c>
      <c r="C1225" s="362" t="s">
        <v>4043</v>
      </c>
      <c r="D1225" s="387">
        <v>500695780</v>
      </c>
      <c r="E1225" s="371">
        <v>43851</v>
      </c>
      <c r="I1225" s="373"/>
      <c r="J1225" s="379" t="s">
        <v>3758</v>
      </c>
      <c r="K1225" s="389" t="s">
        <v>3936</v>
      </c>
      <c r="L1225" s="374">
        <v>25193967</v>
      </c>
      <c r="M1225" s="375">
        <v>43892</v>
      </c>
    </row>
    <row r="1226" spans="1:13" x14ac:dyDescent="0.25">
      <c r="A1226" s="373"/>
      <c r="B1226" s="362" t="s">
        <v>3278</v>
      </c>
      <c r="C1226" s="362" t="s">
        <v>3974</v>
      </c>
      <c r="D1226" s="387">
        <v>1276407155</v>
      </c>
      <c r="E1226" s="371">
        <v>43851</v>
      </c>
      <c r="I1226" s="373"/>
      <c r="J1226" s="379" t="s">
        <v>3759</v>
      </c>
      <c r="K1226" s="389" t="s">
        <v>3937</v>
      </c>
      <c r="L1226" s="374">
        <v>840000</v>
      </c>
      <c r="M1226" s="375">
        <v>43892</v>
      </c>
    </row>
    <row r="1227" spans="1:13" x14ac:dyDescent="0.25">
      <c r="A1227" s="373"/>
      <c r="B1227" s="362" t="s">
        <v>3279</v>
      </c>
      <c r="C1227" s="362" t="s">
        <v>4057</v>
      </c>
      <c r="D1227" s="387">
        <v>259885100</v>
      </c>
      <c r="E1227" s="371">
        <v>43851</v>
      </c>
      <c r="I1227" s="373"/>
      <c r="J1227" s="379" t="s">
        <v>3760</v>
      </c>
      <c r="K1227" s="389" t="s">
        <v>3938</v>
      </c>
      <c r="L1227" s="374">
        <v>3435500</v>
      </c>
      <c r="M1227" s="427">
        <v>43892</v>
      </c>
    </row>
    <row r="1228" spans="1:13" x14ac:dyDescent="0.25">
      <c r="A1228" s="373"/>
      <c r="B1228" s="362" t="s">
        <v>3280</v>
      </c>
      <c r="C1228" s="362" t="s">
        <v>4066</v>
      </c>
      <c r="D1228" s="387">
        <v>684597741</v>
      </c>
      <c r="E1228" s="371">
        <v>43851</v>
      </c>
      <c r="I1228" s="373"/>
      <c r="J1228" s="379" t="s">
        <v>3761</v>
      </c>
      <c r="K1228" s="389" t="s">
        <v>3935</v>
      </c>
      <c r="L1228" s="374">
        <v>28086482</v>
      </c>
      <c r="M1228" s="375">
        <v>43892</v>
      </c>
    </row>
    <row r="1229" spans="1:13" x14ac:dyDescent="0.25">
      <c r="A1229" s="373"/>
      <c r="B1229" s="362" t="s">
        <v>3281</v>
      </c>
      <c r="C1229" s="362" t="s">
        <v>4068</v>
      </c>
      <c r="D1229" s="387">
        <v>671057864</v>
      </c>
      <c r="E1229" s="371">
        <v>43851</v>
      </c>
      <c r="I1229" s="373"/>
      <c r="J1229" s="379" t="s">
        <v>3762</v>
      </c>
      <c r="K1229" s="389" t="s">
        <v>3934</v>
      </c>
      <c r="L1229" s="374">
        <v>10866784</v>
      </c>
      <c r="M1229" s="375">
        <v>43892</v>
      </c>
    </row>
    <row r="1230" spans="1:13" x14ac:dyDescent="0.25">
      <c r="A1230" s="373"/>
      <c r="B1230" s="362" t="s">
        <v>3282</v>
      </c>
      <c r="C1230" s="362" t="s">
        <v>4189</v>
      </c>
      <c r="D1230" s="387">
        <v>550606212</v>
      </c>
      <c r="E1230" s="371">
        <v>43851</v>
      </c>
      <c r="I1230" s="373"/>
      <c r="J1230" s="379" t="s">
        <v>3763</v>
      </c>
      <c r="K1230" s="389" t="s">
        <v>3939</v>
      </c>
      <c r="L1230" s="374">
        <v>25891147</v>
      </c>
      <c r="M1230" s="375">
        <v>43893</v>
      </c>
    </row>
    <row r="1231" spans="1:13" x14ac:dyDescent="0.25">
      <c r="A1231" s="373"/>
      <c r="B1231" s="362" t="s">
        <v>3283</v>
      </c>
      <c r="C1231" s="362" t="s">
        <v>4057</v>
      </c>
      <c r="D1231" s="387">
        <v>66688815</v>
      </c>
      <c r="E1231" s="371">
        <v>43878</v>
      </c>
      <c r="I1231" s="373"/>
      <c r="J1231" s="379" t="s">
        <v>3764</v>
      </c>
      <c r="K1231" s="389" t="s">
        <v>3940</v>
      </c>
      <c r="L1231" s="374">
        <v>9635222</v>
      </c>
      <c r="M1231" s="375">
        <v>43893</v>
      </c>
    </row>
    <row r="1232" spans="1:13" x14ac:dyDescent="0.25">
      <c r="A1232" s="373"/>
      <c r="B1232" s="362" t="s">
        <v>3284</v>
      </c>
      <c r="C1232" s="362" t="s">
        <v>4053</v>
      </c>
      <c r="D1232" s="387">
        <v>504284127</v>
      </c>
      <c r="E1232" s="371">
        <v>43878</v>
      </c>
      <c r="I1232" s="373"/>
      <c r="J1232" s="379" t="s">
        <v>3765</v>
      </c>
      <c r="K1232" s="389" t="s">
        <v>3941</v>
      </c>
      <c r="L1232" s="374">
        <v>3011196</v>
      </c>
      <c r="M1232" s="375">
        <v>43893</v>
      </c>
    </row>
    <row r="1233" spans="1:13" x14ac:dyDescent="0.25">
      <c r="A1233" s="373"/>
      <c r="B1233" s="362" t="s">
        <v>3285</v>
      </c>
      <c r="C1233" s="362" t="s">
        <v>4190</v>
      </c>
      <c r="D1233" s="387">
        <v>45814420</v>
      </c>
      <c r="E1233" s="371">
        <v>43878</v>
      </c>
      <c r="I1233" s="373"/>
      <c r="J1233" s="379" t="s">
        <v>3766</v>
      </c>
      <c r="K1233" s="389" t="s">
        <v>3942</v>
      </c>
      <c r="L1233" s="374">
        <v>43607685</v>
      </c>
      <c r="M1233" s="375">
        <v>43893</v>
      </c>
    </row>
    <row r="1234" spans="1:13" x14ac:dyDescent="0.25">
      <c r="A1234" s="373"/>
      <c r="B1234" s="362" t="s">
        <v>3311</v>
      </c>
      <c r="C1234" s="362" t="s">
        <v>388</v>
      </c>
      <c r="D1234" s="387"/>
      <c r="E1234" s="371"/>
      <c r="I1234" s="373"/>
      <c r="J1234" s="379" t="s">
        <v>3767</v>
      </c>
      <c r="K1234" s="389" t="s">
        <v>3943</v>
      </c>
      <c r="L1234" s="374">
        <v>20081407</v>
      </c>
      <c r="M1234" s="375">
        <v>43893</v>
      </c>
    </row>
    <row r="1235" spans="1:13" x14ac:dyDescent="0.25">
      <c r="A1235" s="373"/>
      <c r="B1235" s="362" t="s">
        <v>3312</v>
      </c>
      <c r="C1235" s="362" t="s">
        <v>4191</v>
      </c>
      <c r="D1235" s="387">
        <v>62490500</v>
      </c>
      <c r="E1235" s="371">
        <v>43851</v>
      </c>
      <c r="I1235" s="373"/>
      <c r="J1235" s="379" t="s">
        <v>3768</v>
      </c>
      <c r="K1235" s="389" t="s">
        <v>3523</v>
      </c>
      <c r="L1235" s="374">
        <v>39515532</v>
      </c>
      <c r="M1235" s="375">
        <v>43893</v>
      </c>
    </row>
    <row r="1236" spans="1:13" x14ac:dyDescent="0.25">
      <c r="A1236" s="373"/>
      <c r="B1236" s="362" t="s">
        <v>3313</v>
      </c>
      <c r="C1236" s="362" t="s">
        <v>4192</v>
      </c>
      <c r="D1236" s="387">
        <v>524886920</v>
      </c>
      <c r="E1236" s="371">
        <v>43853</v>
      </c>
      <c r="I1236" s="373"/>
      <c r="J1236" s="379" t="s">
        <v>3769</v>
      </c>
      <c r="K1236" s="389" t="s">
        <v>3944</v>
      </c>
      <c r="L1236" s="374">
        <v>22629388</v>
      </c>
      <c r="M1236" s="375">
        <v>43893</v>
      </c>
    </row>
    <row r="1237" spans="1:13" x14ac:dyDescent="0.25">
      <c r="A1237" s="373"/>
      <c r="B1237" s="362" t="s">
        <v>3314</v>
      </c>
      <c r="C1237" s="362" t="s">
        <v>4193</v>
      </c>
      <c r="D1237" s="387">
        <v>101189948</v>
      </c>
      <c r="E1237" s="371">
        <v>43853</v>
      </c>
      <c r="I1237" s="373"/>
      <c r="J1237" s="379" t="s">
        <v>3770</v>
      </c>
      <c r="K1237" s="389" t="s">
        <v>3530</v>
      </c>
      <c r="L1237" s="374">
        <v>20894000</v>
      </c>
      <c r="M1237" s="375">
        <v>43893</v>
      </c>
    </row>
    <row r="1238" spans="1:13" x14ac:dyDescent="0.25">
      <c r="A1238" s="373"/>
      <c r="B1238" s="362" t="s">
        <v>3315</v>
      </c>
      <c r="C1238" s="362" t="s">
        <v>4055</v>
      </c>
      <c r="D1238" s="387">
        <v>796133576</v>
      </c>
      <c r="E1238" s="371">
        <v>43853</v>
      </c>
      <c r="I1238" s="373"/>
      <c r="J1238" s="379" t="s">
        <v>3771</v>
      </c>
      <c r="K1238" s="389" t="s">
        <v>3945</v>
      </c>
      <c r="L1238" s="374">
        <v>3288800</v>
      </c>
      <c r="M1238" s="375">
        <v>43893</v>
      </c>
    </row>
    <row r="1239" spans="1:13" x14ac:dyDescent="0.25">
      <c r="A1239" s="373"/>
      <c r="B1239" s="362" t="s">
        <v>3316</v>
      </c>
      <c r="C1239" s="362" t="s">
        <v>3980</v>
      </c>
      <c r="D1239" s="387">
        <v>195394269</v>
      </c>
      <c r="E1239" s="371">
        <v>43853</v>
      </c>
      <c r="I1239" s="373"/>
      <c r="J1239" s="379" t="s">
        <v>3772</v>
      </c>
      <c r="K1239" s="389" t="s">
        <v>3946</v>
      </c>
      <c r="L1239" s="374">
        <v>3180000</v>
      </c>
      <c r="M1239" s="375">
        <v>43894</v>
      </c>
    </row>
    <row r="1240" spans="1:13" x14ac:dyDescent="0.25">
      <c r="A1240" s="373"/>
      <c r="B1240" s="362" t="s">
        <v>3317</v>
      </c>
      <c r="C1240" s="362" t="s">
        <v>4179</v>
      </c>
      <c r="D1240" s="387">
        <v>368013285</v>
      </c>
      <c r="E1240" s="371">
        <v>43853</v>
      </c>
      <c r="I1240" s="373"/>
      <c r="J1240" s="379" t="s">
        <v>3773</v>
      </c>
      <c r="K1240" s="389" t="s">
        <v>674</v>
      </c>
      <c r="L1240" s="374">
        <v>18935928</v>
      </c>
      <c r="M1240" s="375">
        <v>43894</v>
      </c>
    </row>
    <row r="1241" spans="1:13" x14ac:dyDescent="0.25">
      <c r="A1241" s="373"/>
      <c r="B1241" s="362" t="s">
        <v>3318</v>
      </c>
      <c r="C1241" s="362" t="s">
        <v>4036</v>
      </c>
      <c r="D1241" s="387">
        <v>771772411</v>
      </c>
      <c r="E1241" s="371">
        <v>43853</v>
      </c>
      <c r="I1241" s="373"/>
      <c r="J1241" s="362" t="s">
        <v>3774</v>
      </c>
      <c r="K1241" s="362" t="s">
        <v>3547</v>
      </c>
      <c r="L1241" s="387">
        <v>18133173</v>
      </c>
      <c r="M1241" s="371">
        <v>43895</v>
      </c>
    </row>
    <row r="1242" spans="1:13" x14ac:dyDescent="0.25">
      <c r="A1242" s="373"/>
      <c r="B1242" s="362" t="s">
        <v>3319</v>
      </c>
      <c r="C1242" s="362" t="s">
        <v>4066</v>
      </c>
      <c r="D1242" s="387">
        <v>178418541</v>
      </c>
      <c r="E1242" s="371">
        <v>43853</v>
      </c>
      <c r="I1242" s="373"/>
      <c r="J1242" s="362" t="s">
        <v>3775</v>
      </c>
      <c r="K1242" s="362" t="s">
        <v>3548</v>
      </c>
      <c r="L1242" s="387">
        <v>3767268</v>
      </c>
      <c r="M1242" s="371">
        <v>43895</v>
      </c>
    </row>
    <row r="1243" spans="1:13" x14ac:dyDescent="0.25">
      <c r="A1243" s="373"/>
      <c r="B1243" s="362" t="s">
        <v>3320</v>
      </c>
      <c r="C1243" s="362" t="s">
        <v>4085</v>
      </c>
      <c r="D1243" s="387">
        <v>201328500</v>
      </c>
      <c r="E1243" s="371">
        <v>43853</v>
      </c>
      <c r="I1243" s="373"/>
      <c r="J1243" s="362" t="s">
        <v>3776</v>
      </c>
      <c r="K1243" s="362" t="s">
        <v>3541</v>
      </c>
      <c r="L1243" s="387">
        <v>2268433</v>
      </c>
      <c r="M1243" s="371">
        <v>43895</v>
      </c>
    </row>
    <row r="1244" spans="1:13" x14ac:dyDescent="0.25">
      <c r="A1244" s="373"/>
      <c r="B1244" s="362" t="s">
        <v>3321</v>
      </c>
      <c r="C1244" s="362" t="s">
        <v>388</v>
      </c>
      <c r="D1244" s="387"/>
      <c r="E1244" s="371"/>
      <c r="I1244" s="373"/>
      <c r="J1244" s="362" t="s">
        <v>3777</v>
      </c>
      <c r="K1244" s="362" t="s">
        <v>3543</v>
      </c>
      <c r="L1244" s="387">
        <v>6801180</v>
      </c>
      <c r="M1244" s="371">
        <v>43895</v>
      </c>
    </row>
    <row r="1245" spans="1:13" x14ac:dyDescent="0.25">
      <c r="A1245" s="373"/>
      <c r="B1245" s="362" t="s">
        <v>3322</v>
      </c>
      <c r="C1245" s="362" t="s">
        <v>4194</v>
      </c>
      <c r="D1245" s="387">
        <v>7602000</v>
      </c>
      <c r="E1245" s="371">
        <v>43853</v>
      </c>
      <c r="I1245" s="373"/>
      <c r="J1245" s="362" t="s">
        <v>3778</v>
      </c>
      <c r="K1245" s="362" t="s">
        <v>4281</v>
      </c>
      <c r="L1245" s="387">
        <v>3174955</v>
      </c>
      <c r="M1245" s="371">
        <v>43895</v>
      </c>
    </row>
    <row r="1246" spans="1:13" x14ac:dyDescent="0.25">
      <c r="A1246" s="373"/>
      <c r="B1246" s="362" t="s">
        <v>3323</v>
      </c>
      <c r="C1246" s="362" t="s">
        <v>4179</v>
      </c>
      <c r="D1246" s="387">
        <v>93265922</v>
      </c>
      <c r="E1246" s="371">
        <v>43858</v>
      </c>
      <c r="I1246" s="373"/>
      <c r="J1246" s="362" t="s">
        <v>3779</v>
      </c>
      <c r="K1246" s="362" t="s">
        <v>3912</v>
      </c>
      <c r="L1246" s="387">
        <v>4987977</v>
      </c>
      <c r="M1246" s="371">
        <v>43895</v>
      </c>
    </row>
    <row r="1247" spans="1:13" x14ac:dyDescent="0.25">
      <c r="A1247" s="373"/>
      <c r="B1247" s="362" t="s">
        <v>3324</v>
      </c>
      <c r="C1247" s="362" t="s">
        <v>4163</v>
      </c>
      <c r="D1247" s="387">
        <v>562667551</v>
      </c>
      <c r="E1247" s="371">
        <v>43858</v>
      </c>
      <c r="I1247" s="373"/>
      <c r="J1247" s="362" t="s">
        <v>3780</v>
      </c>
      <c r="K1247" s="362" t="s">
        <v>3532</v>
      </c>
      <c r="L1247" s="387">
        <v>16320055</v>
      </c>
      <c r="M1247" s="371">
        <v>43895</v>
      </c>
    </row>
    <row r="1248" spans="1:13" x14ac:dyDescent="0.25">
      <c r="A1248" s="373"/>
      <c r="B1248" s="362" t="s">
        <v>3325</v>
      </c>
      <c r="C1248" s="362" t="s">
        <v>4055</v>
      </c>
      <c r="D1248" s="387">
        <v>371933562</v>
      </c>
      <c r="E1248" s="371">
        <v>43858</v>
      </c>
      <c r="I1248" s="373"/>
      <c r="J1248" s="362" t="s">
        <v>3781</v>
      </c>
      <c r="K1248" s="362" t="s">
        <v>3532</v>
      </c>
      <c r="L1248" s="387">
        <v>8961028</v>
      </c>
      <c r="M1248" s="371">
        <v>43895</v>
      </c>
    </row>
    <row r="1249" spans="1:13" x14ac:dyDescent="0.25">
      <c r="A1249" s="373"/>
      <c r="B1249" s="362" t="s">
        <v>3326</v>
      </c>
      <c r="C1249" s="362" t="s">
        <v>4036</v>
      </c>
      <c r="D1249" s="387">
        <v>762646694</v>
      </c>
      <c r="E1249" s="371">
        <v>43858</v>
      </c>
      <c r="I1249" s="373"/>
      <c r="J1249" s="362" t="s">
        <v>3782</v>
      </c>
      <c r="K1249" s="362" t="s">
        <v>4282</v>
      </c>
      <c r="L1249" s="387">
        <v>24857023</v>
      </c>
      <c r="M1249" s="371">
        <v>43899</v>
      </c>
    </row>
    <row r="1250" spans="1:13" x14ac:dyDescent="0.25">
      <c r="A1250" s="373"/>
      <c r="B1250" s="362" t="s">
        <v>3327</v>
      </c>
      <c r="C1250" s="362" t="s">
        <v>4192</v>
      </c>
      <c r="D1250" s="387">
        <v>294318122</v>
      </c>
      <c r="E1250" s="371">
        <v>43858</v>
      </c>
      <c r="I1250" s="373"/>
      <c r="J1250" s="362" t="s">
        <v>3783</v>
      </c>
      <c r="K1250" s="362" t="s">
        <v>4240</v>
      </c>
      <c r="L1250" s="387">
        <v>9740372</v>
      </c>
      <c r="M1250" s="371">
        <v>43899</v>
      </c>
    </row>
    <row r="1251" spans="1:13" x14ac:dyDescent="0.25">
      <c r="A1251" s="373"/>
      <c r="B1251" s="362" t="s">
        <v>3328</v>
      </c>
      <c r="C1251" s="362" t="s">
        <v>4066</v>
      </c>
      <c r="D1251" s="387">
        <v>137343579</v>
      </c>
      <c r="E1251" s="371">
        <v>43858</v>
      </c>
      <c r="I1251" s="373"/>
      <c r="J1251" s="362" t="s">
        <v>3784</v>
      </c>
      <c r="K1251" s="362" t="s">
        <v>3915</v>
      </c>
      <c r="L1251" s="387">
        <v>49819216</v>
      </c>
      <c r="M1251" s="371">
        <v>43899</v>
      </c>
    </row>
    <row r="1252" spans="1:13" x14ac:dyDescent="0.25">
      <c r="A1252" s="373"/>
      <c r="B1252" s="362" t="s">
        <v>3329</v>
      </c>
      <c r="C1252" s="362" t="s">
        <v>4144</v>
      </c>
      <c r="D1252" s="387">
        <v>101035232</v>
      </c>
      <c r="E1252" s="371">
        <v>43858</v>
      </c>
      <c r="I1252" s="373"/>
      <c r="J1252" s="362" t="s">
        <v>3785</v>
      </c>
      <c r="K1252" s="362" t="s">
        <v>3934</v>
      </c>
      <c r="L1252" s="387">
        <v>11073558</v>
      </c>
      <c r="M1252" s="371">
        <v>43899</v>
      </c>
    </row>
    <row r="1253" spans="1:13" x14ac:dyDescent="0.25">
      <c r="A1253" s="373"/>
      <c r="B1253" s="362" t="s">
        <v>3330</v>
      </c>
      <c r="C1253" s="362" t="s">
        <v>4161</v>
      </c>
      <c r="D1253" s="387">
        <v>84787211</v>
      </c>
      <c r="E1253" s="371">
        <v>43858</v>
      </c>
      <c r="I1253" s="373"/>
      <c r="J1253" s="362" t="s">
        <v>3786</v>
      </c>
      <c r="K1253" s="362" t="s">
        <v>3936</v>
      </c>
      <c r="L1253" s="387">
        <v>17079744</v>
      </c>
      <c r="M1253" s="371">
        <v>43899</v>
      </c>
    </row>
    <row r="1254" spans="1:13" x14ac:dyDescent="0.25">
      <c r="A1254" s="373"/>
      <c r="B1254" s="362" t="s">
        <v>3331</v>
      </c>
      <c r="C1254" s="362" t="s">
        <v>4195</v>
      </c>
      <c r="D1254" s="387">
        <v>78173900</v>
      </c>
      <c r="E1254" s="371">
        <v>43858</v>
      </c>
      <c r="I1254" s="373"/>
      <c r="J1254" s="362" t="s">
        <v>3787</v>
      </c>
      <c r="K1254" s="362" t="s">
        <v>3935</v>
      </c>
      <c r="L1254" s="387">
        <v>21308058</v>
      </c>
      <c r="M1254" s="371">
        <v>43899</v>
      </c>
    </row>
    <row r="1255" spans="1:13" x14ac:dyDescent="0.25">
      <c r="A1255" s="373"/>
      <c r="B1255" s="362" t="s">
        <v>3332</v>
      </c>
      <c r="C1255" s="362" t="s">
        <v>4085</v>
      </c>
      <c r="D1255" s="387">
        <v>190677000</v>
      </c>
      <c r="E1255" s="371">
        <v>43858</v>
      </c>
      <c r="I1255" s="373"/>
      <c r="J1255" s="362" t="s">
        <v>3788</v>
      </c>
      <c r="K1255" s="362" t="s">
        <v>4213</v>
      </c>
      <c r="L1255" s="387">
        <v>18720147</v>
      </c>
      <c r="M1255" s="371">
        <v>43900</v>
      </c>
    </row>
    <row r="1256" spans="1:13" x14ac:dyDescent="0.25">
      <c r="A1256" s="373"/>
      <c r="B1256" s="362" t="s">
        <v>3333</v>
      </c>
      <c r="C1256" s="362" t="s">
        <v>4190</v>
      </c>
      <c r="D1256" s="387">
        <v>324665656</v>
      </c>
      <c r="E1256" s="371">
        <v>43858</v>
      </c>
      <c r="I1256" s="373"/>
      <c r="J1256" s="362" t="s">
        <v>3789</v>
      </c>
      <c r="K1256" s="362" t="s">
        <v>3942</v>
      </c>
      <c r="L1256" s="387">
        <v>29144782</v>
      </c>
      <c r="M1256" s="371">
        <v>43900</v>
      </c>
    </row>
    <row r="1257" spans="1:13" x14ac:dyDescent="0.25">
      <c r="A1257" s="373"/>
      <c r="B1257" s="362" t="s">
        <v>3334</v>
      </c>
      <c r="C1257" s="362" t="s">
        <v>4189</v>
      </c>
      <c r="D1257" s="387">
        <v>35820700</v>
      </c>
      <c r="E1257" s="371">
        <v>43858</v>
      </c>
      <c r="I1257" s="373"/>
      <c r="J1257" s="362" t="s">
        <v>3790</v>
      </c>
      <c r="K1257" s="362" t="s">
        <v>3944</v>
      </c>
      <c r="L1257" s="387">
        <v>21439908</v>
      </c>
      <c r="M1257" s="371">
        <v>43900</v>
      </c>
    </row>
    <row r="1258" spans="1:13" x14ac:dyDescent="0.25">
      <c r="A1258" s="446"/>
      <c r="B1258" s="362" t="s">
        <v>3335</v>
      </c>
      <c r="C1258" s="362" t="s">
        <v>388</v>
      </c>
      <c r="D1258" s="387"/>
      <c r="E1258" s="371"/>
      <c r="I1258" s="373"/>
      <c r="J1258" s="362" t="s">
        <v>3791</v>
      </c>
      <c r="K1258" s="362" t="s">
        <v>3943</v>
      </c>
      <c r="L1258" s="387">
        <v>15372918</v>
      </c>
      <c r="M1258" s="371">
        <v>43900</v>
      </c>
    </row>
    <row r="1259" spans="1:13" x14ac:dyDescent="0.25">
      <c r="B1259" s="362" t="s">
        <v>4662</v>
      </c>
      <c r="C1259" s="362" t="s">
        <v>4199</v>
      </c>
      <c r="D1259" s="391">
        <v>18143950</v>
      </c>
      <c r="E1259" s="371">
        <v>43844</v>
      </c>
      <c r="I1259" s="373"/>
      <c r="J1259" s="362" t="s">
        <v>3792</v>
      </c>
      <c r="K1259" s="362" t="s">
        <v>4215</v>
      </c>
      <c r="L1259" s="387">
        <v>5873478</v>
      </c>
      <c r="M1259" s="371">
        <v>43900</v>
      </c>
    </row>
    <row r="1260" spans="1:13" x14ac:dyDescent="0.25">
      <c r="B1260" s="362" t="s">
        <v>4663</v>
      </c>
      <c r="C1260" s="362" t="s">
        <v>4664</v>
      </c>
      <c r="D1260" s="391">
        <v>1683681104</v>
      </c>
      <c r="E1260" s="371">
        <v>43844</v>
      </c>
      <c r="I1260" s="373"/>
      <c r="J1260" s="362" t="s">
        <v>3793</v>
      </c>
      <c r="K1260" s="362" t="s">
        <v>4210</v>
      </c>
      <c r="L1260" s="387">
        <v>5460527</v>
      </c>
      <c r="M1260" s="371">
        <v>43900</v>
      </c>
    </row>
    <row r="1261" spans="1:13" x14ac:dyDescent="0.25">
      <c r="B1261" s="362" t="s">
        <v>4665</v>
      </c>
      <c r="C1261" s="362" t="s">
        <v>3974</v>
      </c>
      <c r="D1261" s="391">
        <v>813132267</v>
      </c>
      <c r="E1261" s="371">
        <v>43844</v>
      </c>
      <c r="I1261" s="373"/>
      <c r="J1261" s="362" t="s">
        <v>3794</v>
      </c>
      <c r="K1261" s="362" t="s">
        <v>3939</v>
      </c>
      <c r="L1261" s="387">
        <v>16594889</v>
      </c>
      <c r="M1261" s="371">
        <v>43900</v>
      </c>
    </row>
    <row r="1262" spans="1:13" x14ac:dyDescent="0.25">
      <c r="B1262" s="362" t="s">
        <v>4666</v>
      </c>
      <c r="C1262" s="362" t="s">
        <v>4033</v>
      </c>
      <c r="D1262" s="391">
        <v>11544216</v>
      </c>
      <c r="E1262" s="371">
        <v>43844</v>
      </c>
      <c r="I1262" s="373"/>
      <c r="J1262" s="362" t="s">
        <v>3795</v>
      </c>
      <c r="K1262" s="362" t="s">
        <v>4283</v>
      </c>
      <c r="L1262" s="387">
        <v>61687047</v>
      </c>
      <c r="M1262" s="371">
        <v>43900</v>
      </c>
    </row>
    <row r="1263" spans="1:13" x14ac:dyDescent="0.25">
      <c r="B1263" s="362" t="s">
        <v>4667</v>
      </c>
      <c r="C1263" s="362" t="s">
        <v>4161</v>
      </c>
      <c r="D1263" s="391">
        <v>88474888</v>
      </c>
      <c r="E1263" s="371">
        <v>43845</v>
      </c>
      <c r="I1263" s="373"/>
      <c r="J1263" s="362" t="s">
        <v>3796</v>
      </c>
      <c r="K1263" s="362" t="s">
        <v>674</v>
      </c>
      <c r="L1263" s="387">
        <v>21005072</v>
      </c>
      <c r="M1263" s="371">
        <v>43900</v>
      </c>
    </row>
    <row r="1264" spans="1:13" x14ac:dyDescent="0.25">
      <c r="B1264" s="362" t="s">
        <v>4668</v>
      </c>
      <c r="C1264" s="362" t="s">
        <v>4055</v>
      </c>
      <c r="D1264" s="391">
        <v>332049766</v>
      </c>
      <c r="E1264" s="371">
        <v>43845</v>
      </c>
      <c r="I1264" s="373"/>
      <c r="J1264" s="362" t="s">
        <v>3797</v>
      </c>
      <c r="K1264" s="362" t="s">
        <v>3532</v>
      </c>
      <c r="L1264" s="387">
        <v>12137321</v>
      </c>
      <c r="M1264" s="371">
        <v>43901</v>
      </c>
    </row>
    <row r="1265" spans="2:13" x14ac:dyDescent="0.25">
      <c r="B1265" s="362" t="s">
        <v>4669</v>
      </c>
      <c r="C1265" s="362" t="s">
        <v>4055</v>
      </c>
      <c r="D1265" s="391">
        <v>749686239</v>
      </c>
      <c r="E1265" s="371">
        <v>43845</v>
      </c>
      <c r="I1265" s="373"/>
      <c r="J1265" s="362" t="s">
        <v>3798</v>
      </c>
      <c r="K1265" s="362" t="s">
        <v>388</v>
      </c>
      <c r="L1265" s="387"/>
      <c r="M1265" s="371"/>
    </row>
    <row r="1266" spans="2:13" x14ac:dyDescent="0.25">
      <c r="B1266" s="362" t="s">
        <v>4670</v>
      </c>
      <c r="C1266" s="362" t="s">
        <v>4036</v>
      </c>
      <c r="D1266" s="391">
        <v>907519627</v>
      </c>
      <c r="E1266" s="371">
        <v>43845</v>
      </c>
      <c r="I1266" s="373"/>
      <c r="J1266" s="384" t="s">
        <v>5216</v>
      </c>
      <c r="K1266" s="384" t="s">
        <v>5121</v>
      </c>
      <c r="L1266" s="374">
        <v>24882758</v>
      </c>
      <c r="M1266" s="375">
        <v>43913</v>
      </c>
    </row>
    <row r="1267" spans="2:13" x14ac:dyDescent="0.25">
      <c r="B1267" s="362" t="s">
        <v>4671</v>
      </c>
      <c r="C1267" s="362" t="s">
        <v>4119</v>
      </c>
      <c r="D1267" s="391">
        <v>196273500</v>
      </c>
      <c r="E1267" s="371">
        <v>43845</v>
      </c>
      <c r="I1267" s="373"/>
      <c r="J1267" s="384" t="s">
        <v>5217</v>
      </c>
      <c r="K1267" s="384" t="s">
        <v>5123</v>
      </c>
      <c r="L1267" s="374">
        <v>5339360</v>
      </c>
      <c r="M1267" s="375">
        <v>43914</v>
      </c>
    </row>
    <row r="1268" spans="2:13" x14ac:dyDescent="0.25">
      <c r="B1268" s="362" t="s">
        <v>4672</v>
      </c>
      <c r="C1268" s="362" t="s">
        <v>4085</v>
      </c>
      <c r="D1268" s="391">
        <v>364125500</v>
      </c>
      <c r="E1268" s="371">
        <v>43845</v>
      </c>
      <c r="I1268" s="373"/>
      <c r="J1268" s="384" t="s">
        <v>5218</v>
      </c>
      <c r="K1268" s="384" t="s">
        <v>5122</v>
      </c>
      <c r="L1268" s="374">
        <v>4281240</v>
      </c>
      <c r="M1268" s="375">
        <v>43914</v>
      </c>
    </row>
    <row r="1269" spans="2:13" x14ac:dyDescent="0.25">
      <c r="B1269" s="362" t="s">
        <v>4673</v>
      </c>
      <c r="C1269" s="362" t="s">
        <v>3965</v>
      </c>
      <c r="D1269" s="391">
        <v>620765400</v>
      </c>
      <c r="E1269" s="371">
        <v>43845</v>
      </c>
      <c r="I1269" s="373"/>
      <c r="J1269" s="384" t="s">
        <v>5219</v>
      </c>
      <c r="K1269" s="384" t="s">
        <v>4953</v>
      </c>
      <c r="L1269" s="374">
        <v>26081319</v>
      </c>
      <c r="M1269" s="375">
        <v>43914</v>
      </c>
    </row>
    <row r="1270" spans="2:13" x14ac:dyDescent="0.25">
      <c r="B1270" s="362" t="s">
        <v>4674</v>
      </c>
      <c r="C1270" s="362" t="s">
        <v>4109</v>
      </c>
      <c r="D1270" s="391">
        <v>362214272</v>
      </c>
      <c r="E1270" s="371">
        <v>43845</v>
      </c>
      <c r="I1270" s="373"/>
      <c r="J1270" s="384" t="s">
        <v>5220</v>
      </c>
      <c r="K1270" s="384" t="s">
        <v>5109</v>
      </c>
      <c r="L1270" s="374">
        <v>31381322</v>
      </c>
      <c r="M1270" s="375">
        <v>43914</v>
      </c>
    </row>
    <row r="1271" spans="2:13" x14ac:dyDescent="0.25">
      <c r="B1271" s="362" t="s">
        <v>4675</v>
      </c>
      <c r="C1271" s="362" t="s">
        <v>4189</v>
      </c>
      <c r="D1271" s="391">
        <v>24771249</v>
      </c>
      <c r="E1271" s="371">
        <v>43845</v>
      </c>
      <c r="I1271" s="373"/>
      <c r="J1271" s="384" t="s">
        <v>5221</v>
      </c>
      <c r="K1271" s="384" t="s">
        <v>5241</v>
      </c>
      <c r="L1271" s="374">
        <v>58194350</v>
      </c>
      <c r="M1271" s="375">
        <v>43914</v>
      </c>
    </row>
    <row r="1272" spans="2:13" x14ac:dyDescent="0.25">
      <c r="B1272" s="362" t="s">
        <v>4676</v>
      </c>
      <c r="C1272" s="362" t="s">
        <v>4189</v>
      </c>
      <c r="D1272" s="391">
        <v>30484470</v>
      </c>
      <c r="E1272" s="371">
        <v>43845</v>
      </c>
      <c r="I1272" s="373"/>
      <c r="J1272" s="384" t="s">
        <v>5222</v>
      </c>
      <c r="K1272" s="384" t="s">
        <v>5242</v>
      </c>
      <c r="L1272" s="374">
        <v>50283479</v>
      </c>
      <c r="M1272" s="375">
        <v>43914</v>
      </c>
    </row>
    <row r="1273" spans="2:13" x14ac:dyDescent="0.25">
      <c r="B1273" s="362" t="s">
        <v>4677</v>
      </c>
      <c r="C1273" s="362" t="s">
        <v>388</v>
      </c>
      <c r="D1273" s="391"/>
      <c r="E1273" s="371"/>
      <c r="I1273" s="373"/>
      <c r="J1273" s="384" t="s">
        <v>5223</v>
      </c>
      <c r="K1273" s="384" t="s">
        <v>5122</v>
      </c>
      <c r="L1273" s="374">
        <v>18060021</v>
      </c>
      <c r="M1273" s="375">
        <v>43914</v>
      </c>
    </row>
    <row r="1274" spans="2:13" x14ac:dyDescent="0.25">
      <c r="B1274" s="362" t="s">
        <v>4678</v>
      </c>
      <c r="C1274" s="362" t="s">
        <v>4036</v>
      </c>
      <c r="D1274" s="391">
        <v>385829201</v>
      </c>
      <c r="E1274" s="371">
        <v>43846</v>
      </c>
      <c r="I1274" s="373"/>
      <c r="J1274" s="384" t="s">
        <v>5224</v>
      </c>
      <c r="K1274" s="384" t="s">
        <v>5243</v>
      </c>
      <c r="L1274" s="374">
        <v>1252000</v>
      </c>
      <c r="M1274" s="375">
        <v>43914</v>
      </c>
    </row>
    <row r="1275" spans="2:13" x14ac:dyDescent="0.25">
      <c r="B1275" s="362" t="s">
        <v>4679</v>
      </c>
      <c r="C1275" s="362" t="s">
        <v>4179</v>
      </c>
      <c r="D1275" s="391">
        <v>231748574</v>
      </c>
      <c r="E1275" s="371">
        <v>43846</v>
      </c>
      <c r="I1275" s="373"/>
      <c r="J1275" s="384" t="s">
        <v>5225</v>
      </c>
      <c r="K1275" s="384" t="s">
        <v>5244</v>
      </c>
      <c r="L1275" s="374">
        <v>4250000</v>
      </c>
      <c r="M1275" s="375">
        <v>43916</v>
      </c>
    </row>
    <row r="1276" spans="2:13" x14ac:dyDescent="0.25">
      <c r="B1276" s="362" t="s">
        <v>4680</v>
      </c>
      <c r="C1276" s="362" t="s">
        <v>4055</v>
      </c>
      <c r="D1276" s="391">
        <v>521736737</v>
      </c>
      <c r="E1276" s="371">
        <v>43846</v>
      </c>
      <c r="I1276" s="373"/>
      <c r="J1276" s="384" t="s">
        <v>5226</v>
      </c>
      <c r="K1276" s="384" t="s">
        <v>5245</v>
      </c>
      <c r="L1276" s="374">
        <v>126902414</v>
      </c>
      <c r="M1276" s="375">
        <v>43916</v>
      </c>
    </row>
    <row r="1277" spans="2:13" x14ac:dyDescent="0.25">
      <c r="B1277" s="362" t="s">
        <v>4681</v>
      </c>
      <c r="C1277" s="362" t="s">
        <v>4188</v>
      </c>
      <c r="D1277" s="391">
        <v>617040059</v>
      </c>
      <c r="E1277" s="371">
        <v>43846</v>
      </c>
      <c r="I1277" s="373"/>
      <c r="J1277" s="384" t="s">
        <v>5227</v>
      </c>
      <c r="K1277" s="384" t="s">
        <v>5246</v>
      </c>
      <c r="L1277" s="374">
        <v>9234000</v>
      </c>
      <c r="M1277" s="375">
        <v>43916</v>
      </c>
    </row>
    <row r="1278" spans="2:13" x14ac:dyDescent="0.25">
      <c r="B1278" s="362" t="s">
        <v>4682</v>
      </c>
      <c r="C1278" s="362" t="s">
        <v>4683</v>
      </c>
      <c r="D1278" s="391">
        <v>349166943</v>
      </c>
      <c r="E1278" s="371">
        <v>43846</v>
      </c>
      <c r="I1278" s="373"/>
      <c r="J1278" s="384" t="s">
        <v>5228</v>
      </c>
      <c r="K1278" s="384" t="s">
        <v>5208</v>
      </c>
      <c r="L1278" s="374">
        <v>7042200</v>
      </c>
      <c r="M1278" s="375">
        <v>43916</v>
      </c>
    </row>
    <row r="1279" spans="2:13" x14ac:dyDescent="0.25">
      <c r="B1279" s="362" t="s">
        <v>4684</v>
      </c>
      <c r="C1279" s="362" t="s">
        <v>388</v>
      </c>
      <c r="D1279" s="391"/>
      <c r="E1279" s="371"/>
      <c r="I1279" s="373"/>
      <c r="J1279" s="384" t="s">
        <v>5229</v>
      </c>
      <c r="K1279" s="384" t="s">
        <v>5247</v>
      </c>
      <c r="L1279" s="374">
        <v>2301440</v>
      </c>
      <c r="M1279" s="375">
        <v>43916</v>
      </c>
    </row>
    <row r="1280" spans="2:13" x14ac:dyDescent="0.25">
      <c r="B1280" s="362" t="s">
        <v>4685</v>
      </c>
      <c r="C1280" s="362" t="s">
        <v>4036</v>
      </c>
      <c r="D1280" s="391">
        <v>64606202</v>
      </c>
      <c r="E1280" s="371">
        <v>43847</v>
      </c>
      <c r="I1280" s="373"/>
      <c r="J1280" s="384" t="s">
        <v>5230</v>
      </c>
      <c r="K1280" s="384" t="s">
        <v>5212</v>
      </c>
      <c r="L1280" s="374">
        <v>1202000</v>
      </c>
      <c r="M1280" s="375">
        <v>43917</v>
      </c>
    </row>
    <row r="1281" spans="1:13" x14ac:dyDescent="0.25">
      <c r="B1281" s="362" t="s">
        <v>4686</v>
      </c>
      <c r="C1281" s="362" t="s">
        <v>4687</v>
      </c>
      <c r="D1281" s="391">
        <v>348041211</v>
      </c>
      <c r="E1281" s="371">
        <v>43851</v>
      </c>
      <c r="I1281" s="373"/>
      <c r="J1281" s="384" t="s">
        <v>5231</v>
      </c>
      <c r="K1281" s="384" t="s">
        <v>388</v>
      </c>
      <c r="L1281" s="374"/>
      <c r="M1281" s="375"/>
    </row>
    <row r="1282" spans="1:13" x14ac:dyDescent="0.25">
      <c r="B1282" s="362" t="s">
        <v>4688</v>
      </c>
      <c r="C1282" s="362" t="s">
        <v>4689</v>
      </c>
      <c r="D1282" s="391">
        <v>634266070</v>
      </c>
      <c r="E1282" s="371">
        <v>43847</v>
      </c>
      <c r="I1282" s="373"/>
      <c r="J1282" s="384" t="s">
        <v>5232</v>
      </c>
      <c r="K1282" s="384" t="s">
        <v>4600</v>
      </c>
      <c r="L1282" s="374">
        <v>14500407</v>
      </c>
      <c r="M1282" s="375">
        <v>43917</v>
      </c>
    </row>
    <row r="1283" spans="1:13" x14ac:dyDescent="0.25">
      <c r="B1283" s="362" t="s">
        <v>4690</v>
      </c>
      <c r="C1283" s="362" t="s">
        <v>3974</v>
      </c>
      <c r="D1283" s="391">
        <v>1836948773</v>
      </c>
      <c r="E1283" s="371">
        <v>43847</v>
      </c>
      <c r="I1283" s="373"/>
      <c r="J1283" s="384" t="s">
        <v>5233</v>
      </c>
      <c r="K1283" s="384" t="s">
        <v>5118</v>
      </c>
      <c r="L1283" s="374">
        <v>32244600</v>
      </c>
      <c r="M1283" s="375">
        <v>43920</v>
      </c>
    </row>
    <row r="1284" spans="1:13" x14ac:dyDescent="0.25">
      <c r="A1284" s="446"/>
      <c r="B1284" s="362" t="s">
        <v>4464</v>
      </c>
      <c r="C1284" s="362" t="s">
        <v>4438</v>
      </c>
      <c r="D1284" s="387">
        <v>189837384</v>
      </c>
      <c r="E1284" s="396">
        <v>43852</v>
      </c>
      <c r="I1284" s="373"/>
      <c r="J1284" s="384" t="s">
        <v>5234</v>
      </c>
      <c r="K1284" s="384" t="s">
        <v>5119</v>
      </c>
      <c r="L1284" s="374">
        <v>7198850</v>
      </c>
      <c r="M1284" s="375">
        <v>43920</v>
      </c>
    </row>
    <row r="1285" spans="1:13" x14ac:dyDescent="0.25">
      <c r="A1285" s="446"/>
      <c r="B1285" s="362" t="s">
        <v>4465</v>
      </c>
      <c r="C1285" s="362" t="s">
        <v>4057</v>
      </c>
      <c r="D1285" s="387">
        <v>129617424</v>
      </c>
      <c r="E1285" s="396">
        <v>43852</v>
      </c>
      <c r="I1285" s="373"/>
      <c r="J1285" s="384" t="s">
        <v>5235</v>
      </c>
      <c r="K1285" s="384" t="s">
        <v>4605</v>
      </c>
      <c r="L1285" s="374">
        <v>8299253</v>
      </c>
      <c r="M1285" s="375">
        <v>43920</v>
      </c>
    </row>
    <row r="1286" spans="1:13" x14ac:dyDescent="0.25">
      <c r="A1286" s="373"/>
      <c r="B1286" s="362" t="s">
        <v>4466</v>
      </c>
      <c r="C1286" s="362" t="s">
        <v>4055</v>
      </c>
      <c r="D1286" s="387">
        <v>779404722</v>
      </c>
      <c r="E1286" s="396">
        <v>43852</v>
      </c>
      <c r="I1286" s="373"/>
      <c r="J1286" s="384" t="s">
        <v>5236</v>
      </c>
      <c r="K1286" s="384" t="s">
        <v>5210</v>
      </c>
      <c r="L1286" s="374">
        <v>30363896</v>
      </c>
      <c r="M1286" s="375">
        <v>43920</v>
      </c>
    </row>
    <row r="1287" spans="1:13" x14ac:dyDescent="0.25">
      <c r="A1287" s="373"/>
      <c r="B1287" s="362" t="s">
        <v>4467</v>
      </c>
      <c r="C1287" s="362" t="s">
        <v>4036</v>
      </c>
      <c r="D1287" s="387">
        <v>949219300</v>
      </c>
      <c r="E1287" s="396">
        <v>43852</v>
      </c>
      <c r="I1287" s="373"/>
      <c r="J1287" s="384" t="s">
        <v>5237</v>
      </c>
      <c r="K1287" s="384" t="s">
        <v>5248</v>
      </c>
      <c r="L1287" s="374">
        <v>32454350</v>
      </c>
      <c r="M1287" s="375">
        <v>43920</v>
      </c>
    </row>
    <row r="1288" spans="1:13" x14ac:dyDescent="0.25">
      <c r="A1288" s="373"/>
      <c r="B1288" s="362" t="s">
        <v>4468</v>
      </c>
      <c r="C1288" s="362" t="s">
        <v>3974</v>
      </c>
      <c r="D1288" s="387">
        <v>901990520</v>
      </c>
      <c r="E1288" s="396">
        <v>43852</v>
      </c>
      <c r="I1288" s="373"/>
      <c r="J1288" s="384" t="s">
        <v>5238</v>
      </c>
      <c r="K1288" s="384" t="s">
        <v>5122</v>
      </c>
      <c r="L1288" s="374">
        <v>23106845</v>
      </c>
      <c r="M1288" s="375">
        <v>43921</v>
      </c>
    </row>
    <row r="1289" spans="1:13" x14ac:dyDescent="0.25">
      <c r="A1289" s="373"/>
      <c r="B1289" s="362" t="s">
        <v>4469</v>
      </c>
      <c r="C1289" s="362" t="s">
        <v>3980</v>
      </c>
      <c r="D1289" s="387">
        <v>437625096</v>
      </c>
      <c r="E1289" s="396">
        <v>43852</v>
      </c>
      <c r="I1289" s="373"/>
      <c r="J1289" s="384" t="s">
        <v>5239</v>
      </c>
      <c r="K1289" s="384" t="s">
        <v>5123</v>
      </c>
      <c r="L1289" s="374">
        <v>8810921</v>
      </c>
      <c r="M1289" s="375">
        <v>43921</v>
      </c>
    </row>
    <row r="1290" spans="1:13" x14ac:dyDescent="0.25">
      <c r="A1290" s="373"/>
      <c r="B1290" s="362" t="s">
        <v>4470</v>
      </c>
      <c r="C1290" s="362" t="s">
        <v>4471</v>
      </c>
      <c r="D1290" s="387">
        <v>25033676</v>
      </c>
      <c r="E1290" s="396">
        <v>43852</v>
      </c>
      <c r="I1290" s="373"/>
      <c r="J1290" s="384" t="s">
        <v>5240</v>
      </c>
      <c r="K1290" s="384" t="s">
        <v>5108</v>
      </c>
      <c r="L1290" s="374">
        <v>2824005</v>
      </c>
      <c r="M1290" s="375">
        <v>43921</v>
      </c>
    </row>
    <row r="1291" spans="1:13" x14ac:dyDescent="0.25">
      <c r="A1291" s="373"/>
      <c r="B1291" s="362" t="s">
        <v>4472</v>
      </c>
      <c r="C1291" s="362" t="s">
        <v>4142</v>
      </c>
      <c r="D1291" s="387">
        <v>629720349</v>
      </c>
      <c r="E1291" s="396">
        <v>43852</v>
      </c>
      <c r="I1291" s="373"/>
      <c r="J1291" s="384" t="s">
        <v>5181</v>
      </c>
      <c r="K1291" s="384" t="s">
        <v>4953</v>
      </c>
      <c r="L1291" s="374">
        <v>25013016</v>
      </c>
      <c r="M1291" s="375">
        <v>43921</v>
      </c>
    </row>
    <row r="1292" spans="1:13" x14ac:dyDescent="0.25">
      <c r="A1292" s="373"/>
      <c r="B1292" s="362" t="s">
        <v>4473</v>
      </c>
      <c r="C1292" s="362" t="s">
        <v>4474</v>
      </c>
      <c r="D1292" s="387">
        <v>200481294</v>
      </c>
      <c r="E1292" s="396">
        <v>43854</v>
      </c>
      <c r="I1292" s="373"/>
      <c r="J1292" s="384" t="s">
        <v>5182</v>
      </c>
      <c r="K1292" s="384" t="s">
        <v>5109</v>
      </c>
      <c r="L1292" s="374">
        <v>28088107</v>
      </c>
      <c r="M1292" s="375">
        <v>43921</v>
      </c>
    </row>
    <row r="1293" spans="1:13" x14ac:dyDescent="0.25">
      <c r="A1293" s="373"/>
      <c r="B1293" s="362" t="s">
        <v>4475</v>
      </c>
      <c r="C1293" s="362" t="s">
        <v>276</v>
      </c>
      <c r="D1293" s="387">
        <v>90688</v>
      </c>
      <c r="E1293" s="396">
        <v>43854</v>
      </c>
      <c r="I1293" s="373"/>
      <c r="J1293" s="384" t="s">
        <v>5183</v>
      </c>
      <c r="K1293" s="384" t="s">
        <v>4955</v>
      </c>
      <c r="L1293" s="374">
        <v>41818205</v>
      </c>
      <c r="M1293" s="375">
        <v>43921</v>
      </c>
    </row>
    <row r="1294" spans="1:13" x14ac:dyDescent="0.25">
      <c r="A1294" s="373"/>
      <c r="B1294" s="362" t="s">
        <v>4476</v>
      </c>
      <c r="C1294" s="362" t="s">
        <v>4393</v>
      </c>
      <c r="D1294" s="387">
        <v>626298261</v>
      </c>
      <c r="E1294" s="396">
        <v>43854</v>
      </c>
      <c r="I1294" s="373"/>
      <c r="J1294" s="384" t="s">
        <v>5184</v>
      </c>
      <c r="K1294" s="384" t="s">
        <v>5111</v>
      </c>
      <c r="L1294" s="374">
        <v>38132146</v>
      </c>
      <c r="M1294" s="375">
        <v>43921</v>
      </c>
    </row>
    <row r="1295" spans="1:13" x14ac:dyDescent="0.25">
      <c r="A1295" s="373"/>
      <c r="B1295" s="362" t="s">
        <v>4477</v>
      </c>
      <c r="C1295" s="362" t="s">
        <v>4085</v>
      </c>
      <c r="D1295" s="387">
        <v>409295750</v>
      </c>
      <c r="E1295" s="396">
        <v>43854</v>
      </c>
      <c r="I1295" s="373"/>
      <c r="J1295" s="384" t="s">
        <v>5185</v>
      </c>
      <c r="K1295" s="384" t="s">
        <v>388</v>
      </c>
      <c r="L1295" s="374"/>
      <c r="M1295" s="375">
        <v>43921</v>
      </c>
    </row>
    <row r="1296" spans="1:13" x14ac:dyDescent="0.25">
      <c r="A1296" s="373"/>
      <c r="B1296" s="362" t="s">
        <v>4478</v>
      </c>
      <c r="C1296" s="362" t="s">
        <v>4161</v>
      </c>
      <c r="D1296" s="387">
        <v>145678360</v>
      </c>
      <c r="E1296" s="396">
        <v>43854</v>
      </c>
      <c r="I1296" s="373"/>
      <c r="J1296" s="384" t="s">
        <v>5186</v>
      </c>
      <c r="K1296" s="384" t="s">
        <v>4291</v>
      </c>
      <c r="L1296" s="374">
        <v>419500</v>
      </c>
      <c r="M1296" s="375">
        <v>43921</v>
      </c>
    </row>
    <row r="1297" spans="1:13" x14ac:dyDescent="0.25">
      <c r="A1297" s="373"/>
      <c r="B1297" s="362" t="s">
        <v>4479</v>
      </c>
      <c r="C1297" s="362" t="s">
        <v>4078</v>
      </c>
      <c r="D1297" s="387">
        <v>242520311</v>
      </c>
      <c r="E1297" s="396">
        <v>43854</v>
      </c>
      <c r="I1297" s="373"/>
      <c r="J1297" s="384" t="s">
        <v>5187</v>
      </c>
      <c r="K1297" s="384" t="s">
        <v>4604</v>
      </c>
      <c r="L1297" s="374">
        <v>47857399</v>
      </c>
      <c r="M1297" s="375">
        <v>43921</v>
      </c>
    </row>
    <row r="1298" spans="1:13" x14ac:dyDescent="0.25">
      <c r="A1298" s="373"/>
      <c r="B1298" s="362" t="s">
        <v>4480</v>
      </c>
      <c r="C1298" s="362" t="s">
        <v>4055</v>
      </c>
      <c r="D1298" s="387">
        <v>375614788</v>
      </c>
      <c r="E1298" s="396">
        <v>43854</v>
      </c>
      <c r="I1298" s="373"/>
      <c r="J1298" s="384" t="s">
        <v>5188</v>
      </c>
      <c r="K1298" s="384" t="s">
        <v>5206</v>
      </c>
      <c r="L1298" s="374">
        <v>6882000</v>
      </c>
      <c r="M1298" s="375">
        <v>43921</v>
      </c>
    </row>
    <row r="1299" spans="1:13" x14ac:dyDescent="0.25">
      <c r="A1299" s="373"/>
      <c r="B1299" s="362" t="s">
        <v>4481</v>
      </c>
      <c r="C1299" s="362" t="s">
        <v>4036</v>
      </c>
      <c r="D1299" s="387">
        <v>452011009</v>
      </c>
      <c r="E1299" s="396">
        <v>43854</v>
      </c>
      <c r="I1299" s="373"/>
      <c r="J1299" s="384" t="s">
        <v>5189</v>
      </c>
      <c r="K1299" s="384" t="s">
        <v>5207</v>
      </c>
      <c r="L1299" s="374">
        <v>15286000</v>
      </c>
      <c r="M1299" s="375">
        <v>43921</v>
      </c>
    </row>
    <row r="1300" spans="1:13" x14ac:dyDescent="0.25">
      <c r="A1300" s="373"/>
      <c r="B1300" s="362" t="s">
        <v>4482</v>
      </c>
      <c r="C1300" s="362" t="s">
        <v>4057</v>
      </c>
      <c r="D1300" s="387">
        <v>144857132</v>
      </c>
      <c r="E1300" s="396"/>
      <c r="I1300" s="373"/>
      <c r="J1300" s="384" t="s">
        <v>5190</v>
      </c>
      <c r="K1300" s="384" t="s">
        <v>5208</v>
      </c>
      <c r="L1300" s="374">
        <v>5039400</v>
      </c>
      <c r="M1300" s="375">
        <v>43921</v>
      </c>
    </row>
    <row r="1301" spans="1:13" x14ac:dyDescent="0.25">
      <c r="A1301" s="373"/>
      <c r="B1301" s="362" t="s">
        <v>4483</v>
      </c>
      <c r="C1301" s="362" t="s">
        <v>4484</v>
      </c>
      <c r="D1301" s="387">
        <v>70663200</v>
      </c>
      <c r="E1301" s="396">
        <v>43854</v>
      </c>
      <c r="I1301" s="373"/>
      <c r="J1301" s="384" t="s">
        <v>5191</v>
      </c>
      <c r="K1301" s="384" t="s">
        <v>388</v>
      </c>
      <c r="L1301" s="374"/>
      <c r="M1301" s="373"/>
    </row>
    <row r="1302" spans="1:13" x14ac:dyDescent="0.25">
      <c r="A1302" s="373"/>
      <c r="B1302" s="362" t="s">
        <v>4485</v>
      </c>
      <c r="C1302" s="362" t="s">
        <v>388</v>
      </c>
      <c r="D1302" s="387"/>
      <c r="E1302" s="396"/>
      <c r="I1302" s="373"/>
      <c r="J1302" s="384" t="s">
        <v>5192</v>
      </c>
      <c r="K1302" s="384" t="s">
        <v>674</v>
      </c>
      <c r="L1302" s="374">
        <v>20535914</v>
      </c>
      <c r="M1302" s="375">
        <v>43923</v>
      </c>
    </row>
    <row r="1303" spans="1:13" x14ac:dyDescent="0.25">
      <c r="A1303" s="373"/>
      <c r="B1303" s="362" t="s">
        <v>4486</v>
      </c>
      <c r="C1303" s="362" t="s">
        <v>388</v>
      </c>
      <c r="D1303" s="387"/>
      <c r="E1303" s="396"/>
      <c r="I1303" s="373"/>
      <c r="J1303" s="384" t="s">
        <v>5193</v>
      </c>
      <c r="K1303" s="384" t="s">
        <v>5209</v>
      </c>
      <c r="L1303" s="374">
        <v>2000000</v>
      </c>
      <c r="M1303" s="375">
        <v>43924</v>
      </c>
    </row>
    <row r="1304" spans="1:13" x14ac:dyDescent="0.25">
      <c r="A1304" s="373"/>
      <c r="B1304" s="362" t="s">
        <v>4487</v>
      </c>
      <c r="C1304" s="362" t="s">
        <v>388</v>
      </c>
      <c r="D1304" s="387"/>
      <c r="E1304" s="396"/>
      <c r="I1304" s="373"/>
      <c r="J1304" s="384" t="s">
        <v>5194</v>
      </c>
      <c r="K1304" s="384" t="s">
        <v>5118</v>
      </c>
      <c r="L1304" s="374">
        <v>25823906</v>
      </c>
      <c r="M1304" s="375">
        <v>43927</v>
      </c>
    </row>
    <row r="1305" spans="1:13" x14ac:dyDescent="0.25">
      <c r="A1305" s="373"/>
      <c r="B1305" s="362" t="s">
        <v>4488</v>
      </c>
      <c r="C1305" s="362" t="s">
        <v>4057</v>
      </c>
      <c r="D1305" s="387">
        <v>118397380</v>
      </c>
      <c r="E1305" s="396">
        <v>43871</v>
      </c>
      <c r="I1305" s="373"/>
      <c r="J1305" s="384" t="s">
        <v>5195</v>
      </c>
      <c r="K1305" s="384" t="s">
        <v>5119</v>
      </c>
      <c r="L1305" s="374">
        <v>10833726</v>
      </c>
      <c r="M1305" s="375">
        <v>43927</v>
      </c>
    </row>
    <row r="1306" spans="1:13" x14ac:dyDescent="0.25">
      <c r="A1306" s="373"/>
      <c r="B1306" s="362" t="s">
        <v>4489</v>
      </c>
      <c r="C1306" s="362" t="s">
        <v>3820</v>
      </c>
      <c r="D1306" s="387">
        <v>264239675</v>
      </c>
      <c r="E1306" s="396">
        <v>43871</v>
      </c>
      <c r="I1306" s="373"/>
      <c r="J1306" s="384" t="s">
        <v>5196</v>
      </c>
      <c r="K1306" s="384" t="s">
        <v>4604</v>
      </c>
      <c r="L1306" s="374">
        <v>42396382</v>
      </c>
      <c r="M1306" s="375">
        <v>43927</v>
      </c>
    </row>
    <row r="1307" spans="1:13" x14ac:dyDescent="0.25">
      <c r="A1307" s="373"/>
      <c r="B1307" s="362" t="s">
        <v>4490</v>
      </c>
      <c r="C1307" s="362" t="s">
        <v>4484</v>
      </c>
      <c r="D1307" s="387">
        <v>58788100</v>
      </c>
      <c r="E1307" s="396">
        <v>43871</v>
      </c>
      <c r="I1307" s="373"/>
      <c r="J1307" s="384" t="s">
        <v>5197</v>
      </c>
      <c r="K1307" s="384" t="s">
        <v>4605</v>
      </c>
      <c r="L1307" s="374">
        <v>12015174</v>
      </c>
      <c r="M1307" s="375">
        <v>43927</v>
      </c>
    </row>
    <row r="1308" spans="1:13" x14ac:dyDescent="0.25">
      <c r="A1308" s="373"/>
      <c r="B1308" s="362" t="s">
        <v>4491</v>
      </c>
      <c r="C1308" s="362" t="s">
        <v>4484</v>
      </c>
      <c r="D1308" s="387">
        <v>12603000</v>
      </c>
      <c r="E1308" s="396">
        <v>43871</v>
      </c>
      <c r="I1308" s="373"/>
      <c r="J1308" s="384" t="s">
        <v>5198</v>
      </c>
      <c r="K1308" s="384" t="s">
        <v>5210</v>
      </c>
      <c r="L1308" s="374">
        <v>21979746</v>
      </c>
      <c r="M1308" s="375">
        <v>43927</v>
      </c>
    </row>
    <row r="1309" spans="1:13" x14ac:dyDescent="0.25">
      <c r="A1309" s="373"/>
      <c r="B1309" s="362" t="s">
        <v>4400</v>
      </c>
      <c r="C1309" s="362" t="s">
        <v>4401</v>
      </c>
      <c r="D1309" s="387">
        <v>622481311</v>
      </c>
      <c r="E1309" s="396">
        <v>43860</v>
      </c>
      <c r="I1309" s="373"/>
      <c r="J1309" s="384" t="s">
        <v>5199</v>
      </c>
      <c r="K1309" s="384" t="s">
        <v>5121</v>
      </c>
      <c r="L1309" s="374">
        <v>17082448</v>
      </c>
      <c r="M1309" s="375">
        <v>43927</v>
      </c>
    </row>
    <row r="1310" spans="1:13" x14ac:dyDescent="0.25">
      <c r="A1310" s="373"/>
      <c r="B1310" s="362" t="s">
        <v>4402</v>
      </c>
      <c r="C1310" s="362" t="s">
        <v>4342</v>
      </c>
      <c r="D1310" s="387">
        <v>381867362</v>
      </c>
      <c r="E1310" s="396"/>
      <c r="I1310" s="373"/>
      <c r="J1310" s="384" t="s">
        <v>5200</v>
      </c>
      <c r="K1310" s="384" t="s">
        <v>5211</v>
      </c>
      <c r="L1310" s="374">
        <v>22582632</v>
      </c>
      <c r="M1310" s="375">
        <v>43927</v>
      </c>
    </row>
    <row r="1311" spans="1:13" x14ac:dyDescent="0.25">
      <c r="A1311" s="373"/>
      <c r="B1311" s="362" t="s">
        <v>4403</v>
      </c>
      <c r="C1311" s="362" t="s">
        <v>3974</v>
      </c>
      <c r="D1311" s="387">
        <v>705926484</v>
      </c>
      <c r="E1311" s="396">
        <v>43860</v>
      </c>
      <c r="I1311" s="373"/>
      <c r="J1311" s="384" t="s">
        <v>5201</v>
      </c>
      <c r="K1311" s="384" t="s">
        <v>5108</v>
      </c>
      <c r="L1311" s="374">
        <v>3257441</v>
      </c>
      <c r="M1311" s="375">
        <v>43928</v>
      </c>
    </row>
    <row r="1312" spans="1:13" x14ac:dyDescent="0.25">
      <c r="A1312" s="373"/>
      <c r="B1312" s="362" t="s">
        <v>4404</v>
      </c>
      <c r="C1312" s="362" t="s">
        <v>3976</v>
      </c>
      <c r="D1312" s="387">
        <v>902367930</v>
      </c>
      <c r="E1312" s="396">
        <v>43860</v>
      </c>
      <c r="I1312" s="373"/>
      <c r="J1312" s="384" t="s">
        <v>5202</v>
      </c>
      <c r="K1312" s="384" t="s">
        <v>5212</v>
      </c>
      <c r="L1312" s="374">
        <v>1130000</v>
      </c>
      <c r="M1312" s="375">
        <v>43928</v>
      </c>
    </row>
    <row r="1313" spans="1:13" x14ac:dyDescent="0.25">
      <c r="A1313" s="373"/>
      <c r="B1313" s="362" t="s">
        <v>4405</v>
      </c>
      <c r="C1313" s="362" t="s">
        <v>4144</v>
      </c>
      <c r="D1313" s="387">
        <v>100297088</v>
      </c>
      <c r="E1313" s="396">
        <v>43860</v>
      </c>
      <c r="I1313" s="373"/>
      <c r="J1313" s="384" t="s">
        <v>5203</v>
      </c>
      <c r="K1313" s="384" t="s">
        <v>5213</v>
      </c>
      <c r="L1313" s="374">
        <v>22287390</v>
      </c>
      <c r="M1313" s="375">
        <v>43928</v>
      </c>
    </row>
    <row r="1314" spans="1:13" x14ac:dyDescent="0.25">
      <c r="A1314" s="373"/>
      <c r="B1314" s="362" t="s">
        <v>4406</v>
      </c>
      <c r="C1314" s="362" t="s">
        <v>4085</v>
      </c>
      <c r="D1314" s="387">
        <v>197252000</v>
      </c>
      <c r="E1314" s="396">
        <v>43860</v>
      </c>
      <c r="I1314" s="373"/>
      <c r="J1314" s="384" t="s">
        <v>5204</v>
      </c>
      <c r="K1314" s="384" t="s">
        <v>5214</v>
      </c>
      <c r="L1314" s="374">
        <v>15461750</v>
      </c>
      <c r="M1314" s="375">
        <v>43928</v>
      </c>
    </row>
    <row r="1315" spans="1:13" x14ac:dyDescent="0.25">
      <c r="A1315" s="373"/>
      <c r="B1315" s="362" t="s">
        <v>4407</v>
      </c>
      <c r="C1315" s="362" t="s">
        <v>4053</v>
      </c>
      <c r="D1315" s="387">
        <v>177962760</v>
      </c>
      <c r="E1315" s="396">
        <v>43860</v>
      </c>
      <c r="I1315" s="373"/>
      <c r="J1315" s="384" t="s">
        <v>5205</v>
      </c>
      <c r="K1315" s="384" t="s">
        <v>5215</v>
      </c>
      <c r="L1315" s="374">
        <v>15630410</v>
      </c>
      <c r="M1315" s="375">
        <v>43928</v>
      </c>
    </row>
    <row r="1316" spans="1:13" x14ac:dyDescent="0.25">
      <c r="A1316" s="373"/>
      <c r="B1316" s="362" t="s">
        <v>4408</v>
      </c>
      <c r="C1316" s="362" t="s">
        <v>4409</v>
      </c>
      <c r="D1316" s="387">
        <v>17864742</v>
      </c>
      <c r="E1316" s="396">
        <v>43860</v>
      </c>
      <c r="I1316" s="373"/>
      <c r="J1316" s="384" t="s">
        <v>5309</v>
      </c>
      <c r="K1316" s="384" t="s">
        <v>5334</v>
      </c>
      <c r="L1316" s="374">
        <v>2906850</v>
      </c>
      <c r="M1316" s="375">
        <v>43928</v>
      </c>
    </row>
    <row r="1317" spans="1:13" x14ac:dyDescent="0.25">
      <c r="A1317" s="373"/>
      <c r="B1317" s="362" t="s">
        <v>4410</v>
      </c>
      <c r="C1317" s="362" t="s">
        <v>4085</v>
      </c>
      <c r="D1317" s="387">
        <v>263002000</v>
      </c>
      <c r="E1317" s="396"/>
      <c r="I1317" s="373"/>
      <c r="J1317" s="384" t="s">
        <v>5310</v>
      </c>
      <c r="K1317" s="384" t="s">
        <v>4953</v>
      </c>
      <c r="L1317" s="374">
        <v>13388363</v>
      </c>
      <c r="M1317" s="375">
        <v>43928</v>
      </c>
    </row>
    <row r="1318" spans="1:13" x14ac:dyDescent="0.25">
      <c r="A1318" s="373"/>
      <c r="B1318" s="362" t="s">
        <v>4411</v>
      </c>
      <c r="C1318" s="362" t="s">
        <v>3974</v>
      </c>
      <c r="D1318" s="387">
        <v>20476424</v>
      </c>
      <c r="E1318" s="396">
        <v>43861</v>
      </c>
      <c r="I1318" s="373"/>
      <c r="J1318" s="384" t="s">
        <v>5311</v>
      </c>
      <c r="K1318" s="384" t="s">
        <v>5241</v>
      </c>
      <c r="L1318" s="374">
        <v>29615162</v>
      </c>
      <c r="M1318" s="375">
        <v>43928</v>
      </c>
    </row>
    <row r="1319" spans="1:13" x14ac:dyDescent="0.25">
      <c r="A1319" s="373"/>
      <c r="B1319" s="362" t="s">
        <v>4412</v>
      </c>
      <c r="C1319" s="362" t="s">
        <v>4066</v>
      </c>
      <c r="D1319" s="387">
        <v>192997480</v>
      </c>
      <c r="E1319" s="396">
        <v>43861</v>
      </c>
      <c r="I1319" s="373"/>
      <c r="J1319" s="384" t="s">
        <v>5312</v>
      </c>
      <c r="K1319" s="384" t="s">
        <v>5335</v>
      </c>
      <c r="L1319" s="374">
        <v>2927900</v>
      </c>
      <c r="M1319" s="375">
        <v>43929</v>
      </c>
    </row>
    <row r="1320" spans="1:13" x14ac:dyDescent="0.25">
      <c r="A1320" s="373"/>
      <c r="B1320" s="362" t="s">
        <v>4413</v>
      </c>
      <c r="C1320" s="362" t="s">
        <v>4055</v>
      </c>
      <c r="D1320" s="387">
        <v>597740087</v>
      </c>
      <c r="E1320" s="396">
        <v>43861</v>
      </c>
      <c r="I1320" s="373"/>
      <c r="J1320" s="384" t="s">
        <v>5313</v>
      </c>
      <c r="K1320" s="384" t="s">
        <v>4600</v>
      </c>
      <c r="L1320" s="374">
        <v>8002000</v>
      </c>
      <c r="M1320" s="375">
        <v>43929</v>
      </c>
    </row>
    <row r="1321" spans="1:13" x14ac:dyDescent="0.25">
      <c r="A1321" s="373"/>
      <c r="B1321" s="362" t="s">
        <v>4414</v>
      </c>
      <c r="C1321" s="362" t="s">
        <v>4036</v>
      </c>
      <c r="D1321" s="387">
        <v>1491458813</v>
      </c>
      <c r="E1321" s="396">
        <v>43861</v>
      </c>
      <c r="I1321" s="373"/>
      <c r="J1321" s="384" t="s">
        <v>5314</v>
      </c>
      <c r="K1321" s="384" t="s">
        <v>5336</v>
      </c>
      <c r="L1321" s="374">
        <v>4120000</v>
      </c>
      <c r="M1321" s="375">
        <v>43929</v>
      </c>
    </row>
    <row r="1322" spans="1:13" x14ac:dyDescent="0.25">
      <c r="A1322" s="373"/>
      <c r="B1322" s="362" t="s">
        <v>4415</v>
      </c>
      <c r="C1322" s="362" t="s">
        <v>3965</v>
      </c>
      <c r="D1322" s="387">
        <v>161820672</v>
      </c>
      <c r="E1322" s="396">
        <v>43861</v>
      </c>
      <c r="I1322" s="373"/>
      <c r="J1322" s="384" t="s">
        <v>5315</v>
      </c>
      <c r="K1322" s="384" t="s">
        <v>5305</v>
      </c>
      <c r="L1322" s="374">
        <v>1247900</v>
      </c>
      <c r="M1322" s="375">
        <v>43929</v>
      </c>
    </row>
    <row r="1323" spans="1:13" x14ac:dyDescent="0.25">
      <c r="A1323" s="373"/>
      <c r="B1323" s="362" t="s">
        <v>4416</v>
      </c>
      <c r="C1323" s="362" t="s">
        <v>4417</v>
      </c>
      <c r="D1323" s="387">
        <v>63577601</v>
      </c>
      <c r="E1323" s="396">
        <v>43861</v>
      </c>
      <c r="I1323" s="373"/>
      <c r="J1323" s="384" t="s">
        <v>5316</v>
      </c>
      <c r="K1323" s="384" t="s">
        <v>4285</v>
      </c>
      <c r="L1323" s="374">
        <v>61185935</v>
      </c>
      <c r="M1323" s="375">
        <v>43929</v>
      </c>
    </row>
    <row r="1324" spans="1:13" x14ac:dyDescent="0.25">
      <c r="A1324" s="373"/>
      <c r="B1324" s="362" t="s">
        <v>4418</v>
      </c>
      <c r="C1324" s="362" t="s">
        <v>388</v>
      </c>
      <c r="D1324" s="387"/>
      <c r="E1324" s="396"/>
      <c r="I1324" s="373"/>
      <c r="J1324" s="384" t="s">
        <v>5317</v>
      </c>
      <c r="K1324" s="384" t="s">
        <v>5337</v>
      </c>
      <c r="L1324" s="374">
        <v>8072000</v>
      </c>
      <c r="M1324" s="375">
        <v>43930</v>
      </c>
    </row>
    <row r="1325" spans="1:13" x14ac:dyDescent="0.25">
      <c r="A1325" s="373"/>
      <c r="B1325" s="362" t="s">
        <v>4420</v>
      </c>
      <c r="C1325" s="362" t="s">
        <v>388</v>
      </c>
      <c r="D1325" s="387"/>
      <c r="E1325" s="396">
        <v>43864</v>
      </c>
      <c r="I1325" s="373"/>
      <c r="J1325" s="384" t="s">
        <v>5318</v>
      </c>
      <c r="K1325" s="384" t="s">
        <v>4600</v>
      </c>
      <c r="L1325" s="374">
        <v>1601096</v>
      </c>
      <c r="M1325" s="375">
        <v>43930</v>
      </c>
    </row>
    <row r="1326" spans="1:13" x14ac:dyDescent="0.25">
      <c r="A1326" s="373"/>
      <c r="B1326" s="362" t="s">
        <v>4421</v>
      </c>
      <c r="C1326" s="362" t="s">
        <v>4422</v>
      </c>
      <c r="D1326" s="387">
        <v>700000000</v>
      </c>
      <c r="E1326" s="396">
        <v>43864</v>
      </c>
      <c r="I1326" s="373"/>
      <c r="J1326" s="384" t="s">
        <v>5319</v>
      </c>
      <c r="K1326" s="384" t="s">
        <v>5121</v>
      </c>
      <c r="L1326" s="374">
        <v>24861413</v>
      </c>
      <c r="M1326" s="375">
        <v>43930</v>
      </c>
    </row>
    <row r="1327" spans="1:13" x14ac:dyDescent="0.25">
      <c r="A1327" s="373"/>
      <c r="B1327" s="362" t="s">
        <v>4423</v>
      </c>
      <c r="C1327" s="362" t="s">
        <v>4419</v>
      </c>
      <c r="D1327" s="387">
        <v>15910122</v>
      </c>
      <c r="E1327" s="396">
        <v>43864</v>
      </c>
      <c r="I1327" s="373"/>
      <c r="J1327" s="384" t="s">
        <v>5320</v>
      </c>
      <c r="K1327" s="384" t="s">
        <v>3812</v>
      </c>
      <c r="L1327" s="374"/>
      <c r="M1327" s="373"/>
    </row>
    <row r="1328" spans="1:13" x14ac:dyDescent="0.25">
      <c r="A1328" s="373"/>
      <c r="B1328" s="362" t="s">
        <v>4424</v>
      </c>
      <c r="C1328" s="362" t="s">
        <v>4425</v>
      </c>
      <c r="D1328" s="387">
        <v>931971456</v>
      </c>
      <c r="E1328" s="396">
        <v>43864</v>
      </c>
      <c r="I1328" s="373"/>
      <c r="J1328" s="384" t="s">
        <v>5321</v>
      </c>
      <c r="K1328" s="384" t="s">
        <v>5119</v>
      </c>
      <c r="L1328" s="374">
        <v>13885695</v>
      </c>
      <c r="M1328" s="375">
        <v>43934</v>
      </c>
    </row>
    <row r="1329" spans="1:13" x14ac:dyDescent="0.25">
      <c r="A1329" s="373"/>
      <c r="B1329" s="362" t="s">
        <v>4426</v>
      </c>
      <c r="C1329" s="362" t="s">
        <v>4198</v>
      </c>
      <c r="D1329" s="387">
        <v>392543500</v>
      </c>
      <c r="E1329" s="396">
        <v>43864</v>
      </c>
      <c r="I1329" s="373"/>
      <c r="J1329" s="384" t="s">
        <v>5322</v>
      </c>
      <c r="K1329" s="384" t="s">
        <v>4604</v>
      </c>
      <c r="L1329" s="374">
        <v>49599149</v>
      </c>
      <c r="M1329" s="375">
        <v>43934</v>
      </c>
    </row>
    <row r="1330" spans="1:13" x14ac:dyDescent="0.25">
      <c r="A1330" s="373"/>
      <c r="B1330" s="362" t="s">
        <v>4427</v>
      </c>
      <c r="C1330" s="362" t="s">
        <v>4117</v>
      </c>
      <c r="D1330" s="387">
        <v>189002000</v>
      </c>
      <c r="E1330" s="396">
        <v>43864</v>
      </c>
      <c r="I1330" s="373"/>
      <c r="J1330" s="384" t="s">
        <v>5323</v>
      </c>
      <c r="K1330" s="384" t="s">
        <v>4605</v>
      </c>
      <c r="L1330" s="374">
        <v>11795010</v>
      </c>
      <c r="M1330" s="375">
        <v>43934</v>
      </c>
    </row>
    <row r="1331" spans="1:13" x14ac:dyDescent="0.25">
      <c r="A1331" s="373"/>
      <c r="B1331" s="362" t="s">
        <v>4428</v>
      </c>
      <c r="C1331" s="362" t="s">
        <v>4036</v>
      </c>
      <c r="D1331" s="387">
        <v>199014525</v>
      </c>
      <c r="E1331" s="396">
        <v>43864</v>
      </c>
      <c r="I1331" s="373"/>
      <c r="J1331" s="384" t="s">
        <v>5324</v>
      </c>
      <c r="K1331" s="384" t="s">
        <v>5210</v>
      </c>
      <c r="L1331" s="374">
        <v>30189731</v>
      </c>
      <c r="M1331" s="375">
        <v>43934</v>
      </c>
    </row>
    <row r="1332" spans="1:13" x14ac:dyDescent="0.25">
      <c r="A1332" s="373"/>
      <c r="B1332" s="362" t="s">
        <v>4429</v>
      </c>
      <c r="C1332" s="362" t="s">
        <v>4055</v>
      </c>
      <c r="D1332" s="387">
        <v>1499433344</v>
      </c>
      <c r="E1332" s="396">
        <v>43864</v>
      </c>
      <c r="I1332" s="373"/>
      <c r="J1332" s="384" t="s">
        <v>5325</v>
      </c>
      <c r="K1332" s="384" t="s">
        <v>5118</v>
      </c>
      <c r="L1332" s="374">
        <v>48542517</v>
      </c>
      <c r="M1332" s="375">
        <v>43934</v>
      </c>
    </row>
    <row r="1333" spans="1:13" x14ac:dyDescent="0.25">
      <c r="A1333" s="373"/>
      <c r="B1333" s="362" t="s">
        <v>4430</v>
      </c>
      <c r="C1333" s="362" t="s">
        <v>4431</v>
      </c>
      <c r="D1333" s="387">
        <v>159572432</v>
      </c>
      <c r="E1333" s="396">
        <v>43864</v>
      </c>
      <c r="I1333" s="373"/>
      <c r="J1333" s="384" t="s">
        <v>5326</v>
      </c>
      <c r="K1333" s="384" t="s">
        <v>5338</v>
      </c>
      <c r="L1333" s="374">
        <v>17000000</v>
      </c>
      <c r="M1333" s="375">
        <v>43934</v>
      </c>
    </row>
    <row r="1334" spans="1:13" x14ac:dyDescent="0.25">
      <c r="A1334" s="373"/>
      <c r="B1334" s="362" t="s">
        <v>4432</v>
      </c>
      <c r="C1334" s="362" t="s">
        <v>4085</v>
      </c>
      <c r="D1334" s="387">
        <v>98627000</v>
      </c>
      <c r="E1334" s="396">
        <v>43864</v>
      </c>
      <c r="I1334" s="373"/>
      <c r="J1334" s="384" t="s">
        <v>5327</v>
      </c>
      <c r="K1334" s="384" t="s">
        <v>5122</v>
      </c>
      <c r="L1334" s="374">
        <v>27796738</v>
      </c>
      <c r="M1334" s="375">
        <v>43934</v>
      </c>
    </row>
    <row r="1335" spans="1:13" x14ac:dyDescent="0.25">
      <c r="A1335" s="373"/>
      <c r="B1335" s="362" t="s">
        <v>4433</v>
      </c>
      <c r="C1335" s="362" t="s">
        <v>3812</v>
      </c>
      <c r="D1335" s="387"/>
      <c r="E1335" s="396">
        <v>43864</v>
      </c>
      <c r="I1335" s="373"/>
      <c r="J1335" s="384" t="s">
        <v>5328</v>
      </c>
      <c r="K1335" s="384" t="s">
        <v>5123</v>
      </c>
      <c r="L1335" s="374">
        <v>9011457</v>
      </c>
      <c r="M1335" s="375">
        <v>43934</v>
      </c>
    </row>
    <row r="1336" spans="1:13" x14ac:dyDescent="0.25">
      <c r="A1336" s="373"/>
      <c r="B1336" s="362" t="s">
        <v>4434</v>
      </c>
      <c r="C1336" s="362" t="s">
        <v>4078</v>
      </c>
      <c r="D1336" s="387">
        <v>343933311</v>
      </c>
      <c r="E1336" s="396">
        <v>43864</v>
      </c>
      <c r="I1336" s="373"/>
      <c r="J1336" s="384" t="s">
        <v>5329</v>
      </c>
      <c r="K1336" s="384" t="s">
        <v>5108</v>
      </c>
      <c r="L1336" s="374">
        <v>4077218</v>
      </c>
      <c r="M1336" s="375">
        <v>43935</v>
      </c>
    </row>
    <row r="1337" spans="1:13" x14ac:dyDescent="0.25">
      <c r="A1337" s="373"/>
      <c r="B1337" s="362" t="s">
        <v>4435</v>
      </c>
      <c r="C1337" s="362" t="s">
        <v>4036</v>
      </c>
      <c r="D1337" s="387">
        <v>563000028</v>
      </c>
      <c r="E1337" s="396">
        <v>43864</v>
      </c>
      <c r="I1337" s="373"/>
      <c r="J1337" s="384" t="s">
        <v>5330</v>
      </c>
      <c r="K1337" s="384" t="s">
        <v>4953</v>
      </c>
      <c r="L1337" s="374">
        <v>20143303</v>
      </c>
      <c r="M1337" s="375">
        <v>43935</v>
      </c>
    </row>
    <row r="1338" spans="1:13" x14ac:dyDescent="0.25">
      <c r="A1338" s="373"/>
      <c r="B1338" s="362" t="s">
        <v>4436</v>
      </c>
      <c r="C1338" s="362" t="s">
        <v>4198</v>
      </c>
      <c r="D1338" s="387">
        <v>274781500</v>
      </c>
      <c r="E1338" s="396">
        <v>43865</v>
      </c>
      <c r="I1338" s="373"/>
      <c r="J1338" s="384" t="s">
        <v>5331</v>
      </c>
      <c r="K1338" s="384" t="s">
        <v>5109</v>
      </c>
      <c r="L1338" s="374">
        <v>18887824</v>
      </c>
      <c r="M1338" s="375">
        <v>43935</v>
      </c>
    </row>
    <row r="1339" spans="1:13" x14ac:dyDescent="0.25">
      <c r="A1339" s="373"/>
      <c r="B1339" s="362" t="s">
        <v>4437</v>
      </c>
      <c r="C1339" s="362" t="s">
        <v>4438</v>
      </c>
      <c r="D1339" s="387">
        <v>282546587</v>
      </c>
      <c r="E1339" s="396">
        <v>43865</v>
      </c>
      <c r="I1339" s="373"/>
      <c r="J1339" s="384" t="s">
        <v>5332</v>
      </c>
      <c r="K1339" s="384" t="s">
        <v>322</v>
      </c>
      <c r="L1339" s="374"/>
      <c r="M1339" s="373"/>
    </row>
    <row r="1340" spans="1:13" x14ac:dyDescent="0.25">
      <c r="A1340" s="373"/>
      <c r="B1340" s="362" t="s">
        <v>4439</v>
      </c>
      <c r="C1340" s="362" t="s">
        <v>4440</v>
      </c>
      <c r="D1340" s="387">
        <v>35000000</v>
      </c>
      <c r="E1340" s="396">
        <v>43865</v>
      </c>
      <c r="I1340" s="373"/>
      <c r="J1340" s="384" t="s">
        <v>5333</v>
      </c>
      <c r="K1340" s="384" t="s">
        <v>322</v>
      </c>
      <c r="L1340" s="374"/>
      <c r="M1340" s="373"/>
    </row>
    <row r="1341" spans="1:13" x14ac:dyDescent="0.25">
      <c r="A1341" s="373"/>
      <c r="B1341" s="362" t="s">
        <v>4441</v>
      </c>
      <c r="C1341" s="362" t="s">
        <v>4442</v>
      </c>
      <c r="D1341" s="387">
        <v>21579804</v>
      </c>
      <c r="E1341" s="396">
        <v>43865</v>
      </c>
      <c r="I1341" s="373"/>
      <c r="J1341" s="362" t="s">
        <v>4492</v>
      </c>
      <c r="K1341" s="362" t="s">
        <v>4493</v>
      </c>
      <c r="L1341" s="391">
        <v>42262567</v>
      </c>
      <c r="M1341" s="371">
        <v>43935</v>
      </c>
    </row>
    <row r="1342" spans="1:13" x14ac:dyDescent="0.25">
      <c r="A1342" s="373"/>
      <c r="B1342" s="362" t="s">
        <v>4443</v>
      </c>
      <c r="C1342" s="362" t="s">
        <v>3812</v>
      </c>
      <c r="D1342" s="387"/>
      <c r="E1342" s="396">
        <v>43865</v>
      </c>
      <c r="I1342" s="373"/>
      <c r="J1342" s="362" t="s">
        <v>4494</v>
      </c>
      <c r="K1342" s="362" t="s">
        <v>4495</v>
      </c>
      <c r="L1342" s="391">
        <v>31727878</v>
      </c>
      <c r="M1342" s="371">
        <v>43935</v>
      </c>
    </row>
    <row r="1343" spans="1:13" x14ac:dyDescent="0.25">
      <c r="A1343" s="373"/>
      <c r="B1343" s="362" t="s">
        <v>4444</v>
      </c>
      <c r="C1343" s="362" t="s">
        <v>4445</v>
      </c>
      <c r="D1343" s="387">
        <v>804993434</v>
      </c>
      <c r="E1343" s="396">
        <v>43865</v>
      </c>
      <c r="I1343" s="373"/>
      <c r="J1343" s="362" t="s">
        <v>4496</v>
      </c>
      <c r="K1343" s="362" t="s">
        <v>4497</v>
      </c>
      <c r="L1343" s="391">
        <v>560500</v>
      </c>
      <c r="M1343" s="371">
        <v>43935</v>
      </c>
    </row>
    <row r="1344" spans="1:13" x14ac:dyDescent="0.25">
      <c r="A1344" s="373"/>
      <c r="B1344" s="362" t="s">
        <v>4446</v>
      </c>
      <c r="C1344" s="362" t="s">
        <v>4447</v>
      </c>
      <c r="D1344" s="387">
        <v>5231730</v>
      </c>
      <c r="E1344" s="396">
        <v>43865</v>
      </c>
      <c r="I1344" s="373"/>
      <c r="J1344" s="362" t="s">
        <v>4498</v>
      </c>
      <c r="K1344" s="362" t="s">
        <v>4499</v>
      </c>
      <c r="L1344" s="391">
        <v>959000</v>
      </c>
      <c r="M1344" s="371">
        <v>43935</v>
      </c>
    </row>
    <row r="1345" spans="1:13" x14ac:dyDescent="0.25">
      <c r="A1345" s="373"/>
      <c r="B1345" s="362" t="s">
        <v>4448</v>
      </c>
      <c r="C1345" s="362" t="s">
        <v>4142</v>
      </c>
      <c r="D1345" s="387">
        <v>1569283201</v>
      </c>
      <c r="E1345" s="396">
        <v>43865</v>
      </c>
      <c r="I1345" s="373"/>
      <c r="J1345" s="362" t="s">
        <v>4500</v>
      </c>
      <c r="K1345" s="362" t="s">
        <v>4501</v>
      </c>
      <c r="L1345" s="391">
        <v>3000000</v>
      </c>
      <c r="M1345" s="371">
        <v>43937</v>
      </c>
    </row>
    <row r="1346" spans="1:13" x14ac:dyDescent="0.25">
      <c r="A1346" s="373"/>
      <c r="B1346" s="362" t="s">
        <v>4449</v>
      </c>
      <c r="C1346" s="362" t="s">
        <v>4078</v>
      </c>
      <c r="D1346" s="387">
        <v>336996486</v>
      </c>
      <c r="E1346" s="396">
        <v>43865</v>
      </c>
      <c r="I1346" s="373"/>
      <c r="J1346" s="362" t="s">
        <v>4502</v>
      </c>
      <c r="K1346" s="362" t="s">
        <v>674</v>
      </c>
      <c r="L1346" s="391">
        <v>24041193</v>
      </c>
      <c r="M1346" s="371">
        <v>43937</v>
      </c>
    </row>
    <row r="1347" spans="1:13" x14ac:dyDescent="0.25">
      <c r="A1347" s="373"/>
      <c r="B1347" s="362" t="s">
        <v>4450</v>
      </c>
      <c r="C1347" s="362" t="s">
        <v>4055</v>
      </c>
      <c r="D1347" s="387">
        <v>122001737</v>
      </c>
      <c r="E1347" s="396"/>
      <c r="I1347" s="373"/>
      <c r="J1347" s="362" t="s">
        <v>4503</v>
      </c>
      <c r="K1347" s="362" t="s">
        <v>4504</v>
      </c>
      <c r="L1347" s="391">
        <v>3602000</v>
      </c>
      <c r="M1347" s="371">
        <v>43938</v>
      </c>
    </row>
    <row r="1348" spans="1:13" x14ac:dyDescent="0.25">
      <c r="A1348" s="373"/>
      <c r="B1348" s="362" t="s">
        <v>4451</v>
      </c>
      <c r="C1348" s="362" t="s">
        <v>4452</v>
      </c>
      <c r="D1348" s="387">
        <v>147165502</v>
      </c>
      <c r="E1348" s="396">
        <v>43866</v>
      </c>
      <c r="I1348" s="373"/>
      <c r="J1348" s="362" t="s">
        <v>4505</v>
      </c>
      <c r="K1348" s="362" t="s">
        <v>4506</v>
      </c>
      <c r="L1348" s="391">
        <v>3029900</v>
      </c>
      <c r="M1348" s="371">
        <v>43938</v>
      </c>
    </row>
    <row r="1349" spans="1:13" x14ac:dyDescent="0.25">
      <c r="A1349" s="373"/>
      <c r="B1349" s="362" t="s">
        <v>4453</v>
      </c>
      <c r="C1349" s="362" t="s">
        <v>4085</v>
      </c>
      <c r="D1349" s="387">
        <v>192489500</v>
      </c>
      <c r="E1349" s="396">
        <v>43866</v>
      </c>
      <c r="I1349" s="373"/>
      <c r="J1349" s="362" t="s">
        <v>4507</v>
      </c>
      <c r="K1349" s="362" t="s">
        <v>4508</v>
      </c>
      <c r="L1349" s="391">
        <v>6442491</v>
      </c>
      <c r="M1349" s="371">
        <v>43938</v>
      </c>
    </row>
    <row r="1350" spans="1:13" x14ac:dyDescent="0.25">
      <c r="A1350" s="373"/>
      <c r="B1350" s="362" t="s">
        <v>4454</v>
      </c>
      <c r="C1350" s="362" t="s">
        <v>4119</v>
      </c>
      <c r="D1350" s="387">
        <v>357421500</v>
      </c>
      <c r="E1350" s="396">
        <v>43866</v>
      </c>
      <c r="I1350" s="373"/>
      <c r="J1350" s="362" t="s">
        <v>4509</v>
      </c>
      <c r="K1350" s="362" t="s">
        <v>4510</v>
      </c>
      <c r="L1350" s="391">
        <v>2850000</v>
      </c>
      <c r="M1350" s="371">
        <v>43938</v>
      </c>
    </row>
    <row r="1351" spans="1:13" x14ac:dyDescent="0.25">
      <c r="A1351" s="373"/>
      <c r="B1351" s="362" t="s">
        <v>4455</v>
      </c>
      <c r="C1351" s="362" t="s">
        <v>388</v>
      </c>
      <c r="D1351" s="387"/>
      <c r="E1351" s="396"/>
      <c r="I1351" s="373"/>
      <c r="J1351" s="362" t="s">
        <v>4511</v>
      </c>
      <c r="K1351" s="362" t="s">
        <v>4512</v>
      </c>
      <c r="L1351" s="391">
        <v>1215000</v>
      </c>
      <c r="M1351" s="371">
        <v>43938</v>
      </c>
    </row>
    <row r="1352" spans="1:13" x14ac:dyDescent="0.25">
      <c r="A1352" s="373"/>
      <c r="B1352" s="362" t="s">
        <v>4456</v>
      </c>
      <c r="C1352" s="362" t="s">
        <v>4457</v>
      </c>
      <c r="D1352" s="387">
        <v>276448286</v>
      </c>
      <c r="E1352" s="396">
        <v>43867</v>
      </c>
      <c r="I1352" s="373"/>
      <c r="J1352" s="362" t="s">
        <v>4513</v>
      </c>
      <c r="K1352" s="362" t="s">
        <v>4514</v>
      </c>
      <c r="L1352" s="391">
        <v>2442346</v>
      </c>
      <c r="M1352" s="371">
        <v>43938</v>
      </c>
    </row>
    <row r="1353" spans="1:13" x14ac:dyDescent="0.25">
      <c r="A1353" s="373"/>
      <c r="B1353" s="362" t="s">
        <v>4458</v>
      </c>
      <c r="C1353" s="362" t="s">
        <v>4078</v>
      </c>
      <c r="D1353" s="387">
        <v>384492097</v>
      </c>
      <c r="E1353" s="396">
        <v>43871</v>
      </c>
      <c r="I1353" s="373"/>
      <c r="J1353" s="362" t="s">
        <v>4515</v>
      </c>
      <c r="K1353" s="362" t="s">
        <v>4516</v>
      </c>
      <c r="L1353" s="391">
        <v>11769800</v>
      </c>
      <c r="M1353" s="371">
        <v>43938</v>
      </c>
    </row>
    <row r="1354" spans="1:13" x14ac:dyDescent="0.25">
      <c r="A1354" s="373"/>
      <c r="B1354" s="362" t="s">
        <v>4459</v>
      </c>
      <c r="C1354" s="362" t="s">
        <v>4452</v>
      </c>
      <c r="D1354" s="387">
        <v>264741182</v>
      </c>
      <c r="E1354" s="396">
        <v>43871</v>
      </c>
      <c r="I1354" s="373"/>
      <c r="J1354" s="362" t="s">
        <v>4517</v>
      </c>
      <c r="K1354" s="362" t="s">
        <v>4518</v>
      </c>
      <c r="L1354" s="391">
        <v>22891061</v>
      </c>
      <c r="M1354" s="371">
        <v>43941</v>
      </c>
    </row>
    <row r="1355" spans="1:13" x14ac:dyDescent="0.25">
      <c r="A1355" s="373"/>
      <c r="B1355" s="362" t="s">
        <v>4460</v>
      </c>
      <c r="C1355" s="362" t="s">
        <v>4036</v>
      </c>
      <c r="D1355" s="387">
        <v>1145760126</v>
      </c>
      <c r="E1355" s="396">
        <v>43871</v>
      </c>
      <c r="I1355" s="373"/>
      <c r="J1355" s="362" t="s">
        <v>4519</v>
      </c>
      <c r="K1355" s="362" t="s">
        <v>4520</v>
      </c>
      <c r="L1355" s="391">
        <v>10555972</v>
      </c>
      <c r="M1355" s="371">
        <v>43941</v>
      </c>
    </row>
    <row r="1356" spans="1:13" x14ac:dyDescent="0.25">
      <c r="A1356" s="373"/>
      <c r="B1356" s="362" t="s">
        <v>4461</v>
      </c>
      <c r="C1356" s="362" t="s">
        <v>4109</v>
      </c>
      <c r="D1356" s="387">
        <v>27184852</v>
      </c>
      <c r="E1356" s="396">
        <v>43871</v>
      </c>
      <c r="I1356" s="373"/>
      <c r="J1356" s="362" t="s">
        <v>4521</v>
      </c>
      <c r="K1356" s="362" t="s">
        <v>388</v>
      </c>
      <c r="L1356" s="391"/>
      <c r="M1356" s="371"/>
    </row>
    <row r="1357" spans="1:13" x14ac:dyDescent="0.25">
      <c r="A1357" s="373"/>
      <c r="B1357" s="362" t="s">
        <v>4462</v>
      </c>
      <c r="C1357" s="362" t="s">
        <v>4179</v>
      </c>
      <c r="D1357" s="387">
        <v>125865126</v>
      </c>
      <c r="E1357" s="396">
        <v>43871</v>
      </c>
      <c r="I1357" s="373"/>
      <c r="J1357" s="362" t="s">
        <v>4522</v>
      </c>
      <c r="K1357" s="362" t="s">
        <v>4523</v>
      </c>
      <c r="L1357" s="391">
        <v>12788876</v>
      </c>
      <c r="M1357" s="371">
        <v>43941</v>
      </c>
    </row>
    <row r="1358" spans="1:13" x14ac:dyDescent="0.25">
      <c r="A1358" s="373"/>
      <c r="B1358" s="362" t="s">
        <v>4463</v>
      </c>
      <c r="C1358" s="362" t="s">
        <v>3974</v>
      </c>
      <c r="D1358" s="387">
        <v>964866559</v>
      </c>
      <c r="E1358" s="396">
        <v>43871</v>
      </c>
      <c r="I1358" s="373"/>
      <c r="J1358" s="362" t="s">
        <v>4524</v>
      </c>
      <c r="K1358" s="362" t="s">
        <v>4525</v>
      </c>
      <c r="L1358" s="391">
        <v>26871826</v>
      </c>
      <c r="M1358" s="371">
        <v>43941</v>
      </c>
    </row>
    <row r="1359" spans="1:13" x14ac:dyDescent="0.25">
      <c r="A1359" s="373"/>
      <c r="B1359" s="362" t="s">
        <v>3549</v>
      </c>
      <c r="C1359" s="362" t="s">
        <v>4200</v>
      </c>
      <c r="D1359" s="372">
        <v>517106605</v>
      </c>
      <c r="E1359" s="371">
        <v>43875</v>
      </c>
      <c r="I1359" s="373"/>
      <c r="J1359" s="362" t="s">
        <v>4526</v>
      </c>
      <c r="K1359" s="362" t="s">
        <v>4527</v>
      </c>
      <c r="L1359" s="391">
        <v>22240449</v>
      </c>
      <c r="M1359" s="371">
        <v>43941</v>
      </c>
    </row>
    <row r="1360" spans="1:13" x14ac:dyDescent="0.25">
      <c r="A1360" s="373"/>
      <c r="B1360" s="362" t="s">
        <v>3550</v>
      </c>
      <c r="C1360" s="362" t="s">
        <v>4201</v>
      </c>
      <c r="D1360" s="372">
        <v>288754004</v>
      </c>
      <c r="E1360" s="371">
        <v>43875</v>
      </c>
      <c r="I1360" s="373"/>
      <c r="J1360" s="362" t="s">
        <v>4528</v>
      </c>
      <c r="K1360" s="362" t="s">
        <v>4529</v>
      </c>
      <c r="L1360" s="391">
        <v>1652000</v>
      </c>
      <c r="M1360" s="371">
        <v>43941</v>
      </c>
    </row>
    <row r="1361" spans="1:13" x14ac:dyDescent="0.25">
      <c r="A1361" s="373"/>
      <c r="B1361" s="362" t="s">
        <v>3551</v>
      </c>
      <c r="C1361" s="362" t="s">
        <v>4075</v>
      </c>
      <c r="D1361" s="372">
        <v>668122607</v>
      </c>
      <c r="E1361" s="371">
        <v>43875</v>
      </c>
      <c r="I1361" s="373"/>
      <c r="J1361" s="362" t="s">
        <v>4530</v>
      </c>
      <c r="K1361" s="362" t="s">
        <v>4531</v>
      </c>
      <c r="L1361" s="391">
        <v>4496000</v>
      </c>
      <c r="M1361" s="371">
        <v>43941</v>
      </c>
    </row>
    <row r="1362" spans="1:13" x14ac:dyDescent="0.25">
      <c r="A1362" s="373"/>
      <c r="B1362" s="362" t="s">
        <v>3552</v>
      </c>
      <c r="C1362" s="362" t="s">
        <v>4169</v>
      </c>
      <c r="D1362" s="372">
        <v>115371500</v>
      </c>
      <c r="E1362" s="371">
        <v>43875</v>
      </c>
      <c r="I1362" s="373"/>
      <c r="J1362" s="362" t="s">
        <v>4532</v>
      </c>
      <c r="K1362" s="362" t="s">
        <v>388</v>
      </c>
      <c r="L1362" s="391"/>
      <c r="M1362" s="371"/>
    </row>
    <row r="1363" spans="1:13" x14ac:dyDescent="0.25">
      <c r="A1363" s="373"/>
      <c r="B1363" s="362" t="s">
        <v>3553</v>
      </c>
      <c r="C1363" s="362" t="s">
        <v>4043</v>
      </c>
      <c r="D1363" s="372">
        <v>86730492</v>
      </c>
      <c r="E1363" s="371">
        <v>43875</v>
      </c>
      <c r="I1363" s="373"/>
      <c r="J1363" s="362" t="s">
        <v>4533</v>
      </c>
      <c r="K1363" s="362" t="s">
        <v>4508</v>
      </c>
      <c r="L1363" s="391">
        <v>51523635</v>
      </c>
      <c r="M1363" s="371">
        <v>43941</v>
      </c>
    </row>
    <row r="1364" spans="1:13" x14ac:dyDescent="0.25">
      <c r="A1364" s="373"/>
      <c r="B1364" s="362" t="s">
        <v>3554</v>
      </c>
      <c r="C1364" s="362" t="s">
        <v>4055</v>
      </c>
      <c r="D1364" s="372">
        <v>336044689</v>
      </c>
      <c r="E1364" s="371">
        <v>43875</v>
      </c>
      <c r="I1364" s="373"/>
      <c r="J1364" s="362" t="s">
        <v>4534</v>
      </c>
      <c r="K1364" s="362" t="s">
        <v>4504</v>
      </c>
      <c r="L1364" s="391">
        <v>25757813</v>
      </c>
      <c r="M1364" s="371">
        <v>43942</v>
      </c>
    </row>
    <row r="1365" spans="1:13" x14ac:dyDescent="0.25">
      <c r="A1365" s="373"/>
      <c r="B1365" s="362" t="s">
        <v>3555</v>
      </c>
      <c r="C1365" s="362" t="s">
        <v>4185</v>
      </c>
      <c r="D1365" s="372">
        <v>100297088</v>
      </c>
      <c r="E1365" s="371">
        <v>43875</v>
      </c>
      <c r="I1365" s="373"/>
      <c r="J1365" s="362" t="s">
        <v>4535</v>
      </c>
      <c r="K1365" s="362" t="s">
        <v>4536</v>
      </c>
      <c r="L1365" s="391">
        <v>4262000</v>
      </c>
      <c r="M1365" s="371">
        <v>43942</v>
      </c>
    </row>
    <row r="1366" spans="1:13" x14ac:dyDescent="0.25">
      <c r="A1366" s="373"/>
      <c r="B1366" s="362" t="s">
        <v>3556</v>
      </c>
      <c r="C1366" s="362" t="s">
        <v>4075</v>
      </c>
      <c r="D1366" s="372">
        <v>352762554</v>
      </c>
      <c r="E1366" s="371">
        <v>43875</v>
      </c>
      <c r="J1366" s="384" t="s">
        <v>4565</v>
      </c>
      <c r="K1366" s="384" t="s">
        <v>4566</v>
      </c>
      <c r="L1366" s="374">
        <v>6252000</v>
      </c>
      <c r="M1366" s="375">
        <v>43942</v>
      </c>
    </row>
    <row r="1367" spans="1:13" x14ac:dyDescent="0.25">
      <c r="A1367" s="373"/>
      <c r="B1367" s="362" t="s">
        <v>3557</v>
      </c>
      <c r="C1367" s="362" t="s">
        <v>4036</v>
      </c>
      <c r="D1367" s="372">
        <v>1051976726</v>
      </c>
      <c r="E1367" s="371">
        <v>43875</v>
      </c>
      <c r="J1367" s="384" t="s">
        <v>4568</v>
      </c>
      <c r="K1367" s="384" t="s">
        <v>4567</v>
      </c>
      <c r="L1367" s="374">
        <v>27318616</v>
      </c>
      <c r="M1367" s="375">
        <v>43942</v>
      </c>
    </row>
    <row r="1368" spans="1:13" x14ac:dyDescent="0.25">
      <c r="A1368" s="373"/>
      <c r="B1368" s="362" t="s">
        <v>3558</v>
      </c>
      <c r="C1368" s="362" t="s">
        <v>4202</v>
      </c>
      <c r="D1368" s="372">
        <v>218999500</v>
      </c>
      <c r="E1368" s="371">
        <v>43878</v>
      </c>
      <c r="J1368" s="384" t="s">
        <v>4569</v>
      </c>
      <c r="K1368" s="384" t="s">
        <v>4493</v>
      </c>
      <c r="L1368" s="374">
        <v>46452284</v>
      </c>
      <c r="M1368" s="375">
        <v>43942</v>
      </c>
    </row>
    <row r="1369" spans="1:13" x14ac:dyDescent="0.25">
      <c r="A1369" s="373"/>
      <c r="B1369" s="362" t="s">
        <v>3559</v>
      </c>
      <c r="C1369" s="362" t="s">
        <v>4203</v>
      </c>
      <c r="D1369" s="372">
        <v>67728500</v>
      </c>
      <c r="E1369" s="371">
        <v>43878</v>
      </c>
      <c r="J1369" s="384" t="s">
        <v>4570</v>
      </c>
      <c r="K1369" s="384" t="s">
        <v>3812</v>
      </c>
      <c r="L1369" s="374"/>
      <c r="M1369" s="373"/>
    </row>
    <row r="1370" spans="1:13" x14ac:dyDescent="0.25">
      <c r="A1370" s="373"/>
      <c r="B1370" s="362" t="s">
        <v>3560</v>
      </c>
      <c r="C1370" s="362" t="s">
        <v>4055</v>
      </c>
      <c r="D1370" s="372">
        <v>162485705</v>
      </c>
      <c r="E1370" s="371">
        <v>43878</v>
      </c>
      <c r="J1370" s="384" t="s">
        <v>4571</v>
      </c>
      <c r="K1370" s="384" t="s">
        <v>4592</v>
      </c>
      <c r="L1370" s="374">
        <v>57514714</v>
      </c>
      <c r="M1370" s="375">
        <v>43942</v>
      </c>
    </row>
    <row r="1371" spans="1:13" x14ac:dyDescent="0.25">
      <c r="A1371" s="373"/>
      <c r="B1371" s="362" t="s">
        <v>3561</v>
      </c>
      <c r="C1371" s="362" t="s">
        <v>4036</v>
      </c>
      <c r="D1371" s="372">
        <v>1097515431</v>
      </c>
      <c r="E1371" s="371">
        <v>43878</v>
      </c>
      <c r="J1371" s="384" t="s">
        <v>4572</v>
      </c>
      <c r="K1371" s="384" t="s">
        <v>4593</v>
      </c>
      <c r="L1371" s="374">
        <v>27284517</v>
      </c>
      <c r="M1371" s="375">
        <v>43942</v>
      </c>
    </row>
    <row r="1372" spans="1:13" x14ac:dyDescent="0.25">
      <c r="A1372" s="373"/>
      <c r="B1372" s="362" t="s">
        <v>3562</v>
      </c>
      <c r="C1372" s="362" t="s">
        <v>3812</v>
      </c>
      <c r="D1372" s="372"/>
      <c r="E1372" s="371">
        <v>43878</v>
      </c>
      <c r="J1372" s="384" t="s">
        <v>4573</v>
      </c>
      <c r="K1372" s="384" t="s">
        <v>4594</v>
      </c>
      <c r="L1372" s="374">
        <v>4919235</v>
      </c>
      <c r="M1372" s="375">
        <v>43942</v>
      </c>
    </row>
    <row r="1373" spans="1:13" x14ac:dyDescent="0.25">
      <c r="A1373" s="373"/>
      <c r="B1373" s="362" t="s">
        <v>3563</v>
      </c>
      <c r="C1373" s="362" t="s">
        <v>4075</v>
      </c>
      <c r="D1373" s="372">
        <v>368034487</v>
      </c>
      <c r="E1373" s="371">
        <v>43878</v>
      </c>
      <c r="J1373" s="384" t="s">
        <v>4574</v>
      </c>
      <c r="K1373" s="384" t="s">
        <v>4595</v>
      </c>
      <c r="L1373" s="374">
        <v>2332811</v>
      </c>
      <c r="M1373" s="375">
        <v>43942</v>
      </c>
    </row>
    <row r="1374" spans="1:13" x14ac:dyDescent="0.25">
      <c r="A1374" s="373"/>
      <c r="B1374" s="362" t="s">
        <v>3564</v>
      </c>
      <c r="C1374" s="362" t="s">
        <v>4195</v>
      </c>
      <c r="D1374" s="372">
        <v>156344300</v>
      </c>
      <c r="E1374" s="371">
        <v>43878</v>
      </c>
      <c r="J1374" s="384" t="s">
        <v>4575</v>
      </c>
      <c r="K1374" s="384" t="s">
        <v>4508</v>
      </c>
      <c r="L1374" s="374">
        <v>3983075</v>
      </c>
      <c r="M1374" s="375">
        <v>43943</v>
      </c>
    </row>
    <row r="1375" spans="1:13" x14ac:dyDescent="0.25">
      <c r="A1375" s="373"/>
      <c r="B1375" s="362" t="s">
        <v>3565</v>
      </c>
      <c r="C1375" s="362" t="s">
        <v>4068</v>
      </c>
      <c r="D1375" s="372">
        <v>454613723</v>
      </c>
      <c r="E1375" s="371">
        <v>43878</v>
      </c>
      <c r="J1375" s="384" t="s">
        <v>4576</v>
      </c>
      <c r="K1375" s="384" t="s">
        <v>4596</v>
      </c>
      <c r="L1375" s="374">
        <v>4491477</v>
      </c>
      <c r="M1375" s="375">
        <v>43943</v>
      </c>
    </row>
    <row r="1376" spans="1:13" x14ac:dyDescent="0.25">
      <c r="A1376" s="373"/>
      <c r="B1376" s="362" t="s">
        <v>3566</v>
      </c>
      <c r="C1376" s="362" t="s">
        <v>3974</v>
      </c>
      <c r="D1376" s="372">
        <v>206893906</v>
      </c>
      <c r="E1376" s="371">
        <v>43878</v>
      </c>
      <c r="J1376" s="384" t="s">
        <v>4577</v>
      </c>
      <c r="K1376" s="384" t="s">
        <v>4504</v>
      </c>
      <c r="L1376" s="374">
        <v>6159400</v>
      </c>
      <c r="M1376" s="375">
        <v>43943</v>
      </c>
    </row>
    <row r="1377" spans="1:13" x14ac:dyDescent="0.25">
      <c r="A1377" s="373"/>
      <c r="B1377" s="362" t="s">
        <v>3567</v>
      </c>
      <c r="C1377" s="362" t="s">
        <v>388</v>
      </c>
      <c r="D1377" s="372"/>
      <c r="E1377" s="371"/>
      <c r="J1377" s="384" t="s">
        <v>4578</v>
      </c>
      <c r="K1377" s="384" t="s">
        <v>4597</v>
      </c>
      <c r="L1377" s="374">
        <v>3475875</v>
      </c>
      <c r="M1377" s="375">
        <v>43943</v>
      </c>
    </row>
    <row r="1378" spans="1:13" x14ac:dyDescent="0.25">
      <c r="A1378" s="373"/>
      <c r="B1378" s="362" t="s">
        <v>3568</v>
      </c>
      <c r="C1378" s="362" t="s">
        <v>4053</v>
      </c>
      <c r="D1378" s="372">
        <v>546879873</v>
      </c>
      <c r="E1378" s="371">
        <v>43878</v>
      </c>
      <c r="J1378" s="384" t="s">
        <v>4579</v>
      </c>
      <c r="K1378" s="384" t="s">
        <v>4531</v>
      </c>
      <c r="L1378" s="374">
        <v>7850800</v>
      </c>
      <c r="M1378" s="375">
        <v>43943</v>
      </c>
    </row>
    <row r="1379" spans="1:13" x14ac:dyDescent="0.25">
      <c r="A1379" s="373"/>
      <c r="B1379" s="362" t="s">
        <v>3569</v>
      </c>
      <c r="C1379" s="362" t="s">
        <v>4043</v>
      </c>
      <c r="D1379" s="372">
        <v>698147716</v>
      </c>
      <c r="E1379" s="371">
        <v>43879</v>
      </c>
      <c r="J1379" s="384" t="s">
        <v>4580</v>
      </c>
      <c r="K1379" s="384" t="s">
        <v>4598</v>
      </c>
      <c r="L1379" s="374">
        <v>923500</v>
      </c>
      <c r="M1379" s="375">
        <v>43943</v>
      </c>
    </row>
    <row r="1380" spans="1:13" x14ac:dyDescent="0.25">
      <c r="A1380" s="373"/>
      <c r="B1380" s="362" t="s">
        <v>3570</v>
      </c>
      <c r="C1380" s="362" t="s">
        <v>4075</v>
      </c>
      <c r="D1380" s="372">
        <v>670344741</v>
      </c>
      <c r="E1380" s="371">
        <v>43879</v>
      </c>
      <c r="J1380" s="384" t="s">
        <v>4581</v>
      </c>
      <c r="K1380" s="384" t="s">
        <v>4599</v>
      </c>
      <c r="L1380" s="374">
        <v>1400000</v>
      </c>
      <c r="M1380" s="375">
        <v>43944</v>
      </c>
    </row>
    <row r="1381" spans="1:13" x14ac:dyDescent="0.25">
      <c r="A1381" s="373"/>
      <c r="B1381" s="362" t="s">
        <v>3571</v>
      </c>
      <c r="C1381" s="362" t="s">
        <v>4179</v>
      </c>
      <c r="D1381" s="372">
        <v>149432516</v>
      </c>
      <c r="E1381" s="371">
        <v>43879</v>
      </c>
      <c r="J1381" s="384" t="s">
        <v>4582</v>
      </c>
      <c r="K1381" s="384" t="s">
        <v>4600</v>
      </c>
      <c r="L1381" s="374">
        <v>3702000</v>
      </c>
      <c r="M1381" s="375">
        <v>43944</v>
      </c>
    </row>
    <row r="1382" spans="1:13" x14ac:dyDescent="0.25">
      <c r="A1382" s="373"/>
      <c r="B1382" s="362" t="s">
        <v>3572</v>
      </c>
      <c r="C1382" s="362" t="s">
        <v>4085</v>
      </c>
      <c r="D1382" s="372">
        <v>247952000</v>
      </c>
      <c r="E1382" s="371">
        <v>43879</v>
      </c>
      <c r="J1382" s="384" t="s">
        <v>4583</v>
      </c>
      <c r="K1382" s="384" t="s">
        <v>4601</v>
      </c>
      <c r="L1382" s="374">
        <v>550000</v>
      </c>
      <c r="M1382" s="375">
        <v>43944</v>
      </c>
    </row>
    <row r="1383" spans="1:13" x14ac:dyDescent="0.25">
      <c r="A1383" s="373"/>
      <c r="B1383" s="362" t="s">
        <v>3573</v>
      </c>
      <c r="C1383" s="362" t="s">
        <v>4066</v>
      </c>
      <c r="D1383" s="372">
        <v>240429789</v>
      </c>
      <c r="E1383" s="371">
        <v>43879</v>
      </c>
      <c r="J1383" s="384" t="s">
        <v>4584</v>
      </c>
      <c r="K1383" s="384" t="s">
        <v>4600</v>
      </c>
      <c r="L1383" s="374">
        <v>14670920</v>
      </c>
      <c r="M1383" s="375">
        <v>43945</v>
      </c>
    </row>
    <row r="1384" spans="1:13" x14ac:dyDescent="0.25">
      <c r="A1384" s="373"/>
      <c r="B1384" s="362" t="s">
        <v>3574</v>
      </c>
      <c r="C1384" s="362" t="s">
        <v>4036</v>
      </c>
      <c r="D1384" s="387">
        <v>395862025</v>
      </c>
      <c r="E1384" s="396">
        <v>43868</v>
      </c>
      <c r="J1384" s="384" t="s">
        <v>4585</v>
      </c>
      <c r="K1384" s="384" t="s">
        <v>4602</v>
      </c>
      <c r="L1384" s="374">
        <v>4724650</v>
      </c>
      <c r="M1384" s="375">
        <v>43945</v>
      </c>
    </row>
    <row r="1385" spans="1:13" x14ac:dyDescent="0.25">
      <c r="A1385" s="373"/>
      <c r="B1385" s="362" t="s">
        <v>3575</v>
      </c>
      <c r="C1385" s="362" t="s">
        <v>3978</v>
      </c>
      <c r="D1385" s="387">
        <v>302051000</v>
      </c>
      <c r="E1385" s="396">
        <v>43868</v>
      </c>
      <c r="J1385" s="384" t="s">
        <v>4586</v>
      </c>
      <c r="K1385" s="384" t="s">
        <v>3812</v>
      </c>
      <c r="L1385" s="374"/>
      <c r="M1385" s="373"/>
    </row>
    <row r="1386" spans="1:13" x14ac:dyDescent="0.25">
      <c r="A1386" s="373"/>
      <c r="B1386" s="362" t="s">
        <v>3576</v>
      </c>
      <c r="C1386" s="362" t="s">
        <v>4053</v>
      </c>
      <c r="D1386" s="387">
        <v>205664080</v>
      </c>
      <c r="E1386" s="396">
        <v>43867</v>
      </c>
      <c r="J1386" s="384" t="s">
        <v>4587</v>
      </c>
      <c r="K1386" s="384" t="s">
        <v>4603</v>
      </c>
      <c r="L1386" s="374">
        <v>5499000</v>
      </c>
      <c r="M1386" s="375">
        <v>43945</v>
      </c>
    </row>
    <row r="1387" spans="1:13" x14ac:dyDescent="0.25">
      <c r="A1387" s="373"/>
      <c r="B1387" s="362" t="s">
        <v>3577</v>
      </c>
      <c r="C1387" s="362" t="s">
        <v>4161</v>
      </c>
      <c r="D1387" s="387">
        <v>85051303</v>
      </c>
      <c r="E1387" s="396">
        <v>43867</v>
      </c>
      <c r="J1387" s="384" t="s">
        <v>4588</v>
      </c>
      <c r="K1387" s="384" t="s">
        <v>388</v>
      </c>
      <c r="L1387" s="374"/>
      <c r="M1387" s="375"/>
    </row>
    <row r="1388" spans="1:13" x14ac:dyDescent="0.25">
      <c r="A1388" s="373"/>
      <c r="B1388" s="362" t="s">
        <v>3578</v>
      </c>
      <c r="C1388" s="362" t="s">
        <v>4075</v>
      </c>
      <c r="D1388" s="387">
        <v>336990260</v>
      </c>
      <c r="E1388" s="396">
        <v>43867</v>
      </c>
      <c r="J1388" s="384" t="s">
        <v>4589</v>
      </c>
      <c r="K1388" s="384" t="s">
        <v>4520</v>
      </c>
      <c r="L1388" s="374">
        <v>9135482</v>
      </c>
      <c r="M1388" s="375">
        <v>43948</v>
      </c>
    </row>
    <row r="1389" spans="1:13" x14ac:dyDescent="0.25">
      <c r="A1389" s="373"/>
      <c r="B1389" s="362" t="s">
        <v>3579</v>
      </c>
      <c r="C1389" s="362" t="s">
        <v>3965</v>
      </c>
      <c r="D1389" s="387">
        <v>125315214</v>
      </c>
      <c r="E1389" s="396">
        <v>43867</v>
      </c>
      <c r="J1389" s="384" t="s">
        <v>4590</v>
      </c>
      <c r="K1389" s="384" t="s">
        <v>4604</v>
      </c>
      <c r="L1389" s="374">
        <v>48191228</v>
      </c>
      <c r="M1389" s="375">
        <v>43948</v>
      </c>
    </row>
    <row r="1390" spans="1:13" x14ac:dyDescent="0.25">
      <c r="A1390" s="373"/>
      <c r="B1390" s="362" t="s">
        <v>3580</v>
      </c>
      <c r="C1390" s="362" t="s">
        <v>4043</v>
      </c>
      <c r="D1390" s="387">
        <v>231164408</v>
      </c>
      <c r="E1390" s="396">
        <v>43867</v>
      </c>
      <c r="J1390" s="384" t="s">
        <v>4591</v>
      </c>
      <c r="K1390" s="384" t="s">
        <v>4605</v>
      </c>
      <c r="L1390" s="374">
        <v>9107544</v>
      </c>
      <c r="M1390" s="375">
        <v>43948</v>
      </c>
    </row>
    <row r="1391" spans="1:13" x14ac:dyDescent="0.25">
      <c r="A1391" s="373"/>
      <c r="B1391" s="362" t="s">
        <v>3581</v>
      </c>
      <c r="C1391" s="362" t="s">
        <v>4068</v>
      </c>
      <c r="D1391" s="387">
        <v>1007454132</v>
      </c>
      <c r="E1391" s="396">
        <v>43867</v>
      </c>
      <c r="J1391" s="384" t="s">
        <v>5249</v>
      </c>
      <c r="K1391" s="384" t="s">
        <v>5210</v>
      </c>
      <c r="L1391" s="374">
        <v>28319713</v>
      </c>
      <c r="M1391" s="375">
        <v>43948</v>
      </c>
    </row>
    <row r="1392" spans="1:13" x14ac:dyDescent="0.25">
      <c r="A1392" s="373"/>
      <c r="B1392" s="362" t="s">
        <v>3582</v>
      </c>
      <c r="C1392" s="362" t="s">
        <v>4183</v>
      </c>
      <c r="D1392" s="387">
        <v>94614500</v>
      </c>
      <c r="E1392" s="396">
        <v>43867</v>
      </c>
      <c r="J1392" s="384" t="s">
        <v>5250</v>
      </c>
      <c r="K1392" s="384" t="s">
        <v>5121</v>
      </c>
      <c r="L1392" s="374">
        <v>29710070</v>
      </c>
      <c r="M1392" s="375">
        <v>43948</v>
      </c>
    </row>
    <row r="1393" spans="1:13" x14ac:dyDescent="0.25">
      <c r="A1393" s="373"/>
      <c r="B1393" s="362" t="s">
        <v>3583</v>
      </c>
      <c r="C1393" s="362" t="s">
        <v>4161</v>
      </c>
      <c r="D1393" s="387">
        <v>85073190</v>
      </c>
      <c r="E1393" s="396">
        <v>43867</v>
      </c>
      <c r="J1393" s="384" t="s">
        <v>5251</v>
      </c>
      <c r="K1393" s="384" t="s">
        <v>5274</v>
      </c>
      <c r="L1393" s="374">
        <v>640000</v>
      </c>
      <c r="M1393" s="375">
        <v>43948</v>
      </c>
    </row>
    <row r="1394" spans="1:13" x14ac:dyDescent="0.25">
      <c r="A1394" s="373"/>
      <c r="B1394" s="362" t="s">
        <v>3584</v>
      </c>
      <c r="C1394" s="362" t="s">
        <v>4078</v>
      </c>
      <c r="D1394" s="387">
        <v>142066085</v>
      </c>
      <c r="E1394" s="396">
        <v>43867</v>
      </c>
      <c r="J1394" s="384" t="s">
        <v>5252</v>
      </c>
      <c r="K1394" s="384" t="s">
        <v>5275</v>
      </c>
      <c r="L1394" s="374">
        <v>2092900</v>
      </c>
      <c r="M1394" s="375">
        <v>43948</v>
      </c>
    </row>
    <row r="1395" spans="1:13" x14ac:dyDescent="0.25">
      <c r="A1395" s="373"/>
      <c r="B1395" s="362" t="s">
        <v>3585</v>
      </c>
      <c r="C1395" s="362" t="s">
        <v>4075</v>
      </c>
      <c r="D1395" s="387">
        <v>684365882</v>
      </c>
      <c r="E1395" s="396">
        <v>43868</v>
      </c>
      <c r="J1395" s="384" t="s">
        <v>5253</v>
      </c>
      <c r="K1395" s="384" t="s">
        <v>5118</v>
      </c>
      <c r="L1395" s="374">
        <v>34775905</v>
      </c>
      <c r="M1395" s="375">
        <v>43948</v>
      </c>
    </row>
    <row r="1396" spans="1:13" x14ac:dyDescent="0.25">
      <c r="A1396" s="373"/>
      <c r="B1396" s="362" t="s">
        <v>3586</v>
      </c>
      <c r="C1396" s="362" t="s">
        <v>3965</v>
      </c>
      <c r="D1396" s="387">
        <v>219529158</v>
      </c>
      <c r="E1396" s="396">
        <v>43868</v>
      </c>
      <c r="J1396" s="384" t="s">
        <v>5254</v>
      </c>
      <c r="K1396" s="384" t="s">
        <v>5122</v>
      </c>
      <c r="L1396" s="374">
        <v>24570225</v>
      </c>
      <c r="M1396" s="375">
        <v>43949</v>
      </c>
    </row>
    <row r="1397" spans="1:13" x14ac:dyDescent="0.25">
      <c r="A1397" s="373"/>
      <c r="B1397" s="362" t="s">
        <v>3587</v>
      </c>
      <c r="C1397" s="362" t="s">
        <v>4043</v>
      </c>
      <c r="D1397" s="387">
        <v>157375132</v>
      </c>
      <c r="E1397" s="396">
        <v>43868</v>
      </c>
      <c r="J1397" s="384" t="s">
        <v>5255</v>
      </c>
      <c r="K1397" s="384" t="s">
        <v>5276</v>
      </c>
      <c r="L1397" s="374">
        <v>8885357</v>
      </c>
      <c r="M1397" s="375">
        <v>43949</v>
      </c>
    </row>
    <row r="1398" spans="1:13" x14ac:dyDescent="0.25">
      <c r="A1398" s="373"/>
      <c r="B1398" s="362" t="s">
        <v>3588</v>
      </c>
      <c r="C1398" s="362" t="s">
        <v>4055</v>
      </c>
      <c r="D1398" s="387">
        <v>478526927</v>
      </c>
      <c r="E1398" s="396">
        <v>43868</v>
      </c>
      <c r="J1398" s="384" t="s">
        <v>5256</v>
      </c>
      <c r="K1398" s="384" t="s">
        <v>5108</v>
      </c>
      <c r="L1398" s="374">
        <v>3065049</v>
      </c>
      <c r="M1398" s="375">
        <v>43949</v>
      </c>
    </row>
    <row r="1399" spans="1:13" x14ac:dyDescent="0.25">
      <c r="A1399" s="373"/>
      <c r="B1399" s="362" t="s">
        <v>3589</v>
      </c>
      <c r="C1399" s="362" t="s">
        <v>3974</v>
      </c>
      <c r="D1399" s="387">
        <v>4815370</v>
      </c>
      <c r="E1399" s="396">
        <v>43868</v>
      </c>
      <c r="J1399" s="384" t="s">
        <v>5257</v>
      </c>
      <c r="K1399" s="384" t="s">
        <v>3812</v>
      </c>
      <c r="L1399" s="374"/>
      <c r="M1399" s="373"/>
    </row>
    <row r="1400" spans="1:13" x14ac:dyDescent="0.25">
      <c r="A1400" s="373"/>
      <c r="B1400" s="362" t="s">
        <v>3590</v>
      </c>
      <c r="C1400" s="362" t="s">
        <v>4036</v>
      </c>
      <c r="D1400" s="387">
        <v>818260435</v>
      </c>
      <c r="E1400" s="396">
        <v>43868</v>
      </c>
      <c r="J1400" s="384" t="s">
        <v>5258</v>
      </c>
      <c r="K1400" s="384" t="s">
        <v>5109</v>
      </c>
      <c r="L1400" s="374">
        <v>23070687</v>
      </c>
      <c r="M1400" s="375">
        <v>43949</v>
      </c>
    </row>
    <row r="1401" spans="1:13" x14ac:dyDescent="0.25">
      <c r="A1401" s="373"/>
      <c r="B1401" s="362" t="s">
        <v>3591</v>
      </c>
      <c r="C1401" s="362" t="s">
        <v>4066</v>
      </c>
      <c r="D1401" s="387">
        <v>202237464</v>
      </c>
      <c r="E1401" s="396">
        <v>43868</v>
      </c>
      <c r="J1401" s="384" t="s">
        <v>5259</v>
      </c>
      <c r="K1401" s="384" t="s">
        <v>5277</v>
      </c>
      <c r="L1401" s="374">
        <v>33725359</v>
      </c>
      <c r="M1401" s="375">
        <v>43949</v>
      </c>
    </row>
    <row r="1402" spans="1:13" x14ac:dyDescent="0.25">
      <c r="A1402" s="373"/>
      <c r="B1402" s="362" t="s">
        <v>3592</v>
      </c>
      <c r="C1402" s="362" t="s">
        <v>4068</v>
      </c>
      <c r="D1402" s="387">
        <v>779530633</v>
      </c>
      <c r="E1402" s="396">
        <v>43868</v>
      </c>
      <c r="J1402" s="384" t="s">
        <v>5260</v>
      </c>
      <c r="K1402" s="384" t="s">
        <v>5242</v>
      </c>
      <c r="L1402" s="374">
        <v>32685004</v>
      </c>
      <c r="M1402" s="375">
        <v>43949</v>
      </c>
    </row>
    <row r="1403" spans="1:13" x14ac:dyDescent="0.25">
      <c r="A1403" s="373"/>
      <c r="B1403" s="362" t="s">
        <v>3593</v>
      </c>
      <c r="C1403" s="362" t="s">
        <v>4184</v>
      </c>
      <c r="D1403" s="387">
        <v>316697548</v>
      </c>
      <c r="E1403" s="396">
        <v>43868</v>
      </c>
      <c r="J1403" s="384" t="s">
        <v>5261</v>
      </c>
      <c r="K1403" s="384" t="s">
        <v>5278</v>
      </c>
      <c r="L1403" s="374">
        <v>125935023</v>
      </c>
      <c r="M1403" s="375">
        <v>43949</v>
      </c>
    </row>
    <row r="1404" spans="1:13" x14ac:dyDescent="0.25">
      <c r="A1404" s="373"/>
      <c r="B1404" s="362" t="s">
        <v>3594</v>
      </c>
      <c r="C1404" s="362" t="s">
        <v>4085</v>
      </c>
      <c r="D1404" s="387">
        <v>106033250</v>
      </c>
      <c r="E1404" s="396">
        <v>43868</v>
      </c>
      <c r="J1404" s="384" t="s">
        <v>5262</v>
      </c>
      <c r="K1404" s="384" t="s">
        <v>4953</v>
      </c>
      <c r="L1404" s="374">
        <v>20331029</v>
      </c>
      <c r="M1404" s="375">
        <v>43949</v>
      </c>
    </row>
    <row r="1405" spans="1:13" x14ac:dyDescent="0.25">
      <c r="A1405" s="373"/>
      <c r="B1405" s="362" t="s">
        <v>3595</v>
      </c>
      <c r="C1405" s="362" t="s">
        <v>4185</v>
      </c>
      <c r="D1405" s="387">
        <v>101814334</v>
      </c>
      <c r="E1405" s="396">
        <v>43871</v>
      </c>
      <c r="J1405" s="384" t="s">
        <v>5263</v>
      </c>
      <c r="K1405" s="384" t="s">
        <v>4604</v>
      </c>
      <c r="L1405" s="374">
        <v>1201322</v>
      </c>
      <c r="M1405" s="375">
        <v>43949</v>
      </c>
    </row>
    <row r="1406" spans="1:13" x14ac:dyDescent="0.25">
      <c r="A1406" s="373"/>
      <c r="B1406" s="362" t="s">
        <v>3596</v>
      </c>
      <c r="C1406" s="362" t="s">
        <v>4075</v>
      </c>
      <c r="D1406" s="387">
        <v>209273055</v>
      </c>
      <c r="E1406" s="396">
        <v>43874</v>
      </c>
      <c r="J1406" s="384" t="s">
        <v>5264</v>
      </c>
      <c r="K1406" s="384" t="s">
        <v>5029</v>
      </c>
      <c r="L1406" s="374">
        <v>1640000</v>
      </c>
      <c r="M1406" s="375">
        <v>43950</v>
      </c>
    </row>
    <row r="1407" spans="1:13" x14ac:dyDescent="0.25">
      <c r="A1407" s="373"/>
      <c r="B1407" s="362" t="s">
        <v>3597</v>
      </c>
      <c r="C1407" s="362" t="s">
        <v>4043</v>
      </c>
      <c r="D1407" s="387">
        <v>274162572</v>
      </c>
      <c r="E1407" s="396"/>
      <c r="J1407" s="384" t="s">
        <v>5265</v>
      </c>
      <c r="K1407" s="384" t="s">
        <v>4598</v>
      </c>
      <c r="L1407" s="374">
        <v>6602000</v>
      </c>
      <c r="M1407" s="375">
        <v>43951</v>
      </c>
    </row>
    <row r="1408" spans="1:13" x14ac:dyDescent="0.25">
      <c r="A1408" s="373"/>
      <c r="B1408" s="362" t="s">
        <v>3598</v>
      </c>
      <c r="C1408" s="362" t="s">
        <v>4161</v>
      </c>
      <c r="D1408" s="387">
        <v>85051303</v>
      </c>
      <c r="E1408" s="396">
        <v>43875</v>
      </c>
      <c r="J1408" s="384" t="s">
        <v>5266</v>
      </c>
      <c r="K1408" s="384" t="s">
        <v>5118</v>
      </c>
      <c r="L1408" s="374">
        <v>18079038</v>
      </c>
      <c r="M1408" s="375">
        <v>43955</v>
      </c>
    </row>
    <row r="1409" spans="1:13" x14ac:dyDescent="0.25">
      <c r="A1409" s="373"/>
      <c r="B1409" s="362" t="s">
        <v>3599</v>
      </c>
      <c r="C1409" s="362" t="s">
        <v>4043</v>
      </c>
      <c r="D1409" s="372">
        <v>222262812</v>
      </c>
      <c r="E1409" s="396">
        <v>43872</v>
      </c>
      <c r="J1409" s="384" t="s">
        <v>5267</v>
      </c>
      <c r="K1409" s="384" t="s">
        <v>5279</v>
      </c>
      <c r="L1409" s="374">
        <v>8302909</v>
      </c>
      <c r="M1409" s="375">
        <v>43955</v>
      </c>
    </row>
    <row r="1410" spans="1:13" x14ac:dyDescent="0.25">
      <c r="A1410" s="373"/>
      <c r="B1410" s="362" t="s">
        <v>3600</v>
      </c>
      <c r="C1410" s="362" t="s">
        <v>4075</v>
      </c>
      <c r="D1410" s="372">
        <v>679681940</v>
      </c>
      <c r="E1410" s="396">
        <v>43872</v>
      </c>
      <c r="J1410" s="384" t="s">
        <v>5268</v>
      </c>
      <c r="K1410" s="384" t="s">
        <v>4604</v>
      </c>
      <c r="L1410" s="374">
        <v>36986971</v>
      </c>
      <c r="M1410" s="375">
        <v>43955</v>
      </c>
    </row>
    <row r="1411" spans="1:13" x14ac:dyDescent="0.25">
      <c r="A1411" s="373"/>
      <c r="B1411" s="362" t="s">
        <v>3601</v>
      </c>
      <c r="C1411" s="362" t="s">
        <v>4053</v>
      </c>
      <c r="D1411" s="372">
        <v>95927828</v>
      </c>
      <c r="E1411" s="396">
        <v>43872</v>
      </c>
      <c r="J1411" s="384" t="s">
        <v>5269</v>
      </c>
      <c r="K1411" s="384" t="s">
        <v>4605</v>
      </c>
      <c r="L1411" s="374">
        <v>7781181</v>
      </c>
      <c r="M1411" s="375">
        <v>43955</v>
      </c>
    </row>
    <row r="1412" spans="1:13" x14ac:dyDescent="0.25">
      <c r="A1412" s="373"/>
      <c r="B1412" s="362" t="s">
        <v>3602</v>
      </c>
      <c r="C1412" s="362" t="s">
        <v>4195</v>
      </c>
      <c r="D1412" s="372">
        <v>78173900</v>
      </c>
      <c r="E1412" s="396">
        <v>43872</v>
      </c>
      <c r="J1412" s="384" t="s">
        <v>5270</v>
      </c>
      <c r="K1412" s="384" t="s">
        <v>5210</v>
      </c>
      <c r="L1412" s="374">
        <v>15993350</v>
      </c>
      <c r="M1412" s="375">
        <v>43955</v>
      </c>
    </row>
    <row r="1413" spans="1:13" x14ac:dyDescent="0.25">
      <c r="A1413" s="373"/>
      <c r="B1413" s="362" t="s">
        <v>3603</v>
      </c>
      <c r="C1413" s="362" t="s">
        <v>4066</v>
      </c>
      <c r="D1413" s="372">
        <v>143848962</v>
      </c>
      <c r="E1413" s="396">
        <v>43872</v>
      </c>
      <c r="J1413" s="384" t="s">
        <v>5271</v>
      </c>
      <c r="K1413" s="384" t="s">
        <v>5121</v>
      </c>
      <c r="L1413" s="374">
        <v>17093100</v>
      </c>
      <c r="M1413" s="375">
        <v>43955</v>
      </c>
    </row>
    <row r="1414" spans="1:13" x14ac:dyDescent="0.25">
      <c r="A1414" s="373"/>
      <c r="B1414" s="362" t="s">
        <v>3604</v>
      </c>
      <c r="C1414" s="362" t="s">
        <v>4036</v>
      </c>
      <c r="D1414" s="372">
        <v>487740213</v>
      </c>
      <c r="E1414" s="396">
        <v>43872</v>
      </c>
      <c r="J1414" s="384" t="s">
        <v>5272</v>
      </c>
      <c r="K1414" s="384" t="s">
        <v>5276</v>
      </c>
      <c r="L1414" s="374">
        <v>2988605</v>
      </c>
      <c r="M1414" s="375">
        <v>43956</v>
      </c>
    </row>
    <row r="1415" spans="1:13" x14ac:dyDescent="0.25">
      <c r="A1415" s="373"/>
      <c r="B1415" s="362" t="s">
        <v>3605</v>
      </c>
      <c r="C1415" s="362" t="s">
        <v>4117</v>
      </c>
      <c r="D1415" s="372">
        <v>170181818</v>
      </c>
      <c r="E1415" s="396">
        <v>43872</v>
      </c>
      <c r="J1415" s="384" t="s">
        <v>5273</v>
      </c>
      <c r="K1415" s="384" t="s">
        <v>5213</v>
      </c>
      <c r="L1415" s="374">
        <v>30591045</v>
      </c>
      <c r="M1415" s="375">
        <v>43956</v>
      </c>
    </row>
    <row r="1416" spans="1:13" x14ac:dyDescent="0.25">
      <c r="A1416" s="373"/>
      <c r="B1416" s="362" t="s">
        <v>3606</v>
      </c>
      <c r="C1416" s="362" t="s">
        <v>4055</v>
      </c>
      <c r="D1416" s="372">
        <v>309493006</v>
      </c>
      <c r="E1416" s="396">
        <v>43872</v>
      </c>
      <c r="J1416" s="384" t="s">
        <v>4928</v>
      </c>
      <c r="K1416" s="384" t="s">
        <v>4953</v>
      </c>
      <c r="L1416" s="374">
        <v>38854973</v>
      </c>
      <c r="M1416" s="375">
        <v>43970</v>
      </c>
    </row>
    <row r="1417" spans="1:13" x14ac:dyDescent="0.25">
      <c r="A1417" s="373"/>
      <c r="B1417" s="362" t="s">
        <v>3607</v>
      </c>
      <c r="C1417" s="362" t="s">
        <v>4142</v>
      </c>
      <c r="D1417" s="372">
        <v>1291842451</v>
      </c>
      <c r="E1417" s="396">
        <v>43874</v>
      </c>
      <c r="J1417" s="384" t="s">
        <v>4929</v>
      </c>
      <c r="K1417" s="384" t="s">
        <v>4954</v>
      </c>
      <c r="L1417" s="374">
        <v>45360058</v>
      </c>
      <c r="M1417" s="375">
        <v>43970</v>
      </c>
    </row>
    <row r="1418" spans="1:13" x14ac:dyDescent="0.25">
      <c r="A1418" s="373"/>
      <c r="B1418" s="362" t="s">
        <v>3608</v>
      </c>
      <c r="C1418" s="362" t="s">
        <v>4207</v>
      </c>
      <c r="D1418" s="372">
        <v>860200511</v>
      </c>
      <c r="E1418" s="396">
        <v>43873</v>
      </c>
      <c r="J1418" s="384" t="s">
        <v>4930</v>
      </c>
      <c r="K1418" s="384" t="s">
        <v>4955</v>
      </c>
      <c r="L1418" s="374">
        <v>111153019</v>
      </c>
      <c r="M1418" s="375">
        <v>43970</v>
      </c>
    </row>
    <row r="1419" spans="1:13" x14ac:dyDescent="0.25">
      <c r="A1419" s="373"/>
      <c r="B1419" s="362" t="s">
        <v>3609</v>
      </c>
      <c r="C1419" s="362" t="s">
        <v>4043</v>
      </c>
      <c r="D1419" s="372">
        <v>304075972</v>
      </c>
      <c r="E1419" s="396">
        <v>43873</v>
      </c>
      <c r="J1419" s="384" t="s">
        <v>4931</v>
      </c>
      <c r="K1419" s="384" t="s">
        <v>4956</v>
      </c>
      <c r="L1419" s="374">
        <v>72028537</v>
      </c>
      <c r="M1419" s="375">
        <v>43970</v>
      </c>
    </row>
    <row r="1420" spans="1:13" x14ac:dyDescent="0.25">
      <c r="A1420" s="373"/>
      <c r="B1420" s="362" t="s">
        <v>3610</v>
      </c>
      <c r="C1420" s="362" t="s">
        <v>4075</v>
      </c>
      <c r="D1420" s="372">
        <v>243923079</v>
      </c>
      <c r="E1420" s="396">
        <v>43873</v>
      </c>
      <c r="J1420" s="384" t="s">
        <v>4932</v>
      </c>
      <c r="K1420" s="384" t="s">
        <v>4957</v>
      </c>
      <c r="L1420" s="374">
        <v>19387475</v>
      </c>
      <c r="M1420" s="375">
        <v>43970</v>
      </c>
    </row>
    <row r="1421" spans="1:13" x14ac:dyDescent="0.25">
      <c r="A1421" s="373"/>
      <c r="B1421" s="362" t="s">
        <v>3611</v>
      </c>
      <c r="C1421" s="362" t="s">
        <v>4085</v>
      </c>
      <c r="D1421" s="372">
        <v>267527000</v>
      </c>
      <c r="E1421" s="396">
        <v>43873</v>
      </c>
      <c r="J1421" s="384" t="s">
        <v>4933</v>
      </c>
      <c r="K1421" s="384" t="s">
        <v>388</v>
      </c>
      <c r="L1421" s="374"/>
      <c r="M1421" s="375"/>
    </row>
    <row r="1422" spans="1:13" x14ac:dyDescent="0.25">
      <c r="A1422" s="373"/>
      <c r="B1422" s="362" t="s">
        <v>3612</v>
      </c>
      <c r="C1422" s="362" t="s">
        <v>4190</v>
      </c>
      <c r="D1422" s="372">
        <v>267254898</v>
      </c>
      <c r="E1422" s="396">
        <v>43873</v>
      </c>
      <c r="J1422" s="384" t="s">
        <v>4934</v>
      </c>
      <c r="K1422" s="384" t="s">
        <v>4270</v>
      </c>
      <c r="L1422" s="374">
        <v>292000</v>
      </c>
      <c r="M1422" s="375">
        <v>43970</v>
      </c>
    </row>
    <row r="1423" spans="1:13" x14ac:dyDescent="0.25">
      <c r="A1423" s="373"/>
      <c r="B1423" s="362" t="s">
        <v>3613</v>
      </c>
      <c r="C1423" s="362" t="s">
        <v>4053</v>
      </c>
      <c r="D1423" s="372">
        <v>487682315</v>
      </c>
      <c r="E1423" s="396">
        <v>43873</v>
      </c>
      <c r="J1423" s="384" t="s">
        <v>4935</v>
      </c>
      <c r="K1423" s="384" t="s">
        <v>4958</v>
      </c>
      <c r="L1423" s="374">
        <v>2155000</v>
      </c>
      <c r="M1423" s="375">
        <v>43970</v>
      </c>
    </row>
    <row r="1424" spans="1:13" x14ac:dyDescent="0.25">
      <c r="A1424" s="373"/>
      <c r="B1424" s="362" t="s">
        <v>3614</v>
      </c>
      <c r="C1424" s="362" t="s">
        <v>4117</v>
      </c>
      <c r="D1424" s="372">
        <v>185402000</v>
      </c>
      <c r="E1424" s="396">
        <v>43873</v>
      </c>
      <c r="J1424" s="384" t="s">
        <v>4936</v>
      </c>
      <c r="K1424" s="384" t="s">
        <v>4959</v>
      </c>
      <c r="L1424" s="374">
        <v>12580200</v>
      </c>
      <c r="M1424" s="375">
        <v>43971</v>
      </c>
    </row>
    <row r="1425" spans="1:13" x14ac:dyDescent="0.25">
      <c r="A1425" s="373"/>
      <c r="B1425" s="362" t="s">
        <v>3615</v>
      </c>
      <c r="C1425" s="362" t="s">
        <v>4057</v>
      </c>
      <c r="D1425" s="372">
        <v>129337100</v>
      </c>
      <c r="E1425" s="396">
        <v>43874</v>
      </c>
      <c r="J1425" s="384" t="s">
        <v>4937</v>
      </c>
      <c r="K1425" s="384" t="s">
        <v>4960</v>
      </c>
      <c r="L1425" s="374">
        <v>9297000</v>
      </c>
      <c r="M1425" s="375">
        <v>43971</v>
      </c>
    </row>
    <row r="1426" spans="1:13" x14ac:dyDescent="0.25">
      <c r="A1426" s="373"/>
      <c r="B1426" s="362" t="s">
        <v>3616</v>
      </c>
      <c r="C1426" s="362" t="s">
        <v>4188</v>
      </c>
      <c r="D1426" s="372">
        <v>776043112</v>
      </c>
      <c r="E1426" s="396">
        <v>43874</v>
      </c>
      <c r="J1426" s="384" t="s">
        <v>4938</v>
      </c>
      <c r="K1426" s="384" t="s">
        <v>4961</v>
      </c>
      <c r="L1426" s="374">
        <v>2852000</v>
      </c>
      <c r="M1426" s="375">
        <v>43971</v>
      </c>
    </row>
    <row r="1427" spans="1:13" x14ac:dyDescent="0.25">
      <c r="A1427" s="373"/>
      <c r="B1427" s="362" t="s">
        <v>3617</v>
      </c>
      <c r="C1427" s="362" t="s">
        <v>4207</v>
      </c>
      <c r="D1427" s="372">
        <v>358381184</v>
      </c>
      <c r="E1427" s="396">
        <v>43874</v>
      </c>
      <c r="J1427" s="384" t="s">
        <v>4939</v>
      </c>
      <c r="K1427" s="384" t="s">
        <v>388</v>
      </c>
      <c r="L1427" s="374"/>
      <c r="M1427" s="375"/>
    </row>
    <row r="1428" spans="1:13" x14ac:dyDescent="0.25">
      <c r="A1428" s="373"/>
      <c r="B1428" s="362" t="s">
        <v>3618</v>
      </c>
      <c r="C1428" s="362" t="s">
        <v>4036</v>
      </c>
      <c r="D1428" s="372">
        <v>31573492</v>
      </c>
      <c r="E1428" s="396">
        <v>43874</v>
      </c>
      <c r="J1428" s="384" t="s">
        <v>4940</v>
      </c>
      <c r="K1428" s="384" t="s">
        <v>4962</v>
      </c>
      <c r="L1428" s="374">
        <v>9753901</v>
      </c>
      <c r="M1428" s="375">
        <v>43971</v>
      </c>
    </row>
    <row r="1429" spans="1:13" x14ac:dyDescent="0.25">
      <c r="A1429" s="373"/>
      <c r="B1429" s="362" t="s">
        <v>3619</v>
      </c>
      <c r="C1429" s="362" t="s">
        <v>4055</v>
      </c>
      <c r="D1429" s="372">
        <v>176009794</v>
      </c>
      <c r="E1429" s="396">
        <v>43874</v>
      </c>
      <c r="J1429" s="384" t="s">
        <v>4941</v>
      </c>
      <c r="K1429" s="384" t="s">
        <v>4963</v>
      </c>
      <c r="L1429" s="374">
        <v>210789812</v>
      </c>
      <c r="M1429" s="375">
        <v>43971</v>
      </c>
    </row>
    <row r="1430" spans="1:13" x14ac:dyDescent="0.25">
      <c r="A1430" s="373"/>
      <c r="B1430" s="362" t="s">
        <v>3620</v>
      </c>
      <c r="C1430" s="362" t="s">
        <v>4142</v>
      </c>
      <c r="D1430" s="372">
        <v>19941129</v>
      </c>
      <c r="E1430" s="396">
        <v>43874</v>
      </c>
      <c r="J1430" s="384" t="s">
        <v>4942</v>
      </c>
      <c r="K1430" s="384" t="s">
        <v>4600</v>
      </c>
      <c r="L1430" s="374">
        <v>12934600</v>
      </c>
      <c r="M1430" s="375">
        <v>43971</v>
      </c>
    </row>
    <row r="1431" spans="1:13" x14ac:dyDescent="0.25">
      <c r="A1431" s="373"/>
      <c r="B1431" s="362" t="s">
        <v>3621</v>
      </c>
      <c r="C1431" s="362" t="s">
        <v>4189</v>
      </c>
      <c r="D1431" s="372">
        <v>9397977</v>
      </c>
      <c r="E1431" s="396">
        <v>43874</v>
      </c>
      <c r="J1431" s="384" t="s">
        <v>4943</v>
      </c>
      <c r="K1431" s="384" t="s">
        <v>4598</v>
      </c>
      <c r="L1431" s="374">
        <v>19661658</v>
      </c>
      <c r="M1431" s="375">
        <v>43971</v>
      </c>
    </row>
    <row r="1432" spans="1:13" x14ac:dyDescent="0.25">
      <c r="A1432" s="373"/>
      <c r="B1432" s="362" t="s">
        <v>3622</v>
      </c>
      <c r="C1432" s="362" t="s">
        <v>3812</v>
      </c>
      <c r="D1432" s="372"/>
      <c r="E1432" s="396">
        <v>43874</v>
      </c>
      <c r="J1432" s="384" t="s">
        <v>4944</v>
      </c>
      <c r="K1432" s="384" t="s">
        <v>4964</v>
      </c>
      <c r="L1432" s="374">
        <v>23862000</v>
      </c>
      <c r="M1432" s="375">
        <v>43971</v>
      </c>
    </row>
    <row r="1433" spans="1:13" x14ac:dyDescent="0.25">
      <c r="A1433" s="373"/>
      <c r="B1433" s="362" t="s">
        <v>3623</v>
      </c>
      <c r="C1433" s="362" t="s">
        <v>4055</v>
      </c>
      <c r="D1433" s="372">
        <v>490649615</v>
      </c>
      <c r="E1433" s="396">
        <v>43874</v>
      </c>
      <c r="J1433" s="384" t="s">
        <v>4945</v>
      </c>
      <c r="K1433" s="384" t="s">
        <v>4965</v>
      </c>
      <c r="L1433" s="374">
        <v>2632000</v>
      </c>
      <c r="M1433" s="375">
        <v>43971</v>
      </c>
    </row>
    <row r="1434" spans="1:13" x14ac:dyDescent="0.25">
      <c r="A1434" s="373"/>
      <c r="B1434" s="362" t="s">
        <v>3624</v>
      </c>
      <c r="C1434" s="362" t="s">
        <v>4036</v>
      </c>
      <c r="D1434" s="372">
        <v>644135663</v>
      </c>
      <c r="E1434" s="393">
        <v>43879</v>
      </c>
      <c r="J1434" s="384" t="s">
        <v>4946</v>
      </c>
      <c r="K1434" s="384" t="s">
        <v>4966</v>
      </c>
      <c r="L1434" s="374">
        <v>15022000</v>
      </c>
      <c r="M1434" s="375">
        <v>43971</v>
      </c>
    </row>
    <row r="1435" spans="1:13" x14ac:dyDescent="0.25">
      <c r="A1435" s="373"/>
      <c r="B1435" s="362" t="s">
        <v>3625</v>
      </c>
      <c r="C1435" s="362" t="s">
        <v>4145</v>
      </c>
      <c r="D1435" s="372">
        <v>206603500</v>
      </c>
      <c r="E1435" s="393">
        <v>43879</v>
      </c>
      <c r="J1435" s="384" t="s">
        <v>4947</v>
      </c>
      <c r="K1435" s="384" t="s">
        <v>4967</v>
      </c>
      <c r="L1435" s="374">
        <v>14130200</v>
      </c>
      <c r="M1435" s="375">
        <v>43971</v>
      </c>
    </row>
    <row r="1436" spans="1:13" x14ac:dyDescent="0.25">
      <c r="A1436" s="373"/>
      <c r="B1436" s="362" t="s">
        <v>3626</v>
      </c>
      <c r="C1436" s="362" t="s">
        <v>4055</v>
      </c>
      <c r="D1436" s="372">
        <v>471934372</v>
      </c>
      <c r="E1436" s="393">
        <v>43879</v>
      </c>
      <c r="J1436" s="384" t="s">
        <v>4948</v>
      </c>
      <c r="K1436" s="384" t="s">
        <v>388</v>
      </c>
      <c r="L1436" s="374"/>
      <c r="M1436" s="375"/>
    </row>
    <row r="1437" spans="1:13" x14ac:dyDescent="0.25">
      <c r="A1437" s="373"/>
      <c r="B1437" s="362" t="s">
        <v>3627</v>
      </c>
      <c r="C1437" s="362" t="s">
        <v>4066</v>
      </c>
      <c r="D1437" s="372">
        <v>116881457</v>
      </c>
      <c r="E1437" s="393">
        <v>43879</v>
      </c>
      <c r="J1437" s="384" t="s">
        <v>4949</v>
      </c>
      <c r="K1437" s="384" t="s">
        <v>4968</v>
      </c>
      <c r="L1437" s="374">
        <v>1750000</v>
      </c>
      <c r="M1437" s="375">
        <v>43971</v>
      </c>
    </row>
    <row r="1438" spans="1:13" x14ac:dyDescent="0.25">
      <c r="A1438" s="373"/>
      <c r="B1438" s="362" t="s">
        <v>3628</v>
      </c>
      <c r="C1438" s="362" t="s">
        <v>4043</v>
      </c>
      <c r="D1438" s="372">
        <v>158848626</v>
      </c>
      <c r="E1438" s="393">
        <v>43879</v>
      </c>
      <c r="J1438" s="384" t="s">
        <v>4950</v>
      </c>
      <c r="K1438" s="384" t="s">
        <v>4969</v>
      </c>
      <c r="L1438" s="374">
        <v>1530000</v>
      </c>
      <c r="M1438" s="375">
        <v>43971</v>
      </c>
    </row>
    <row r="1439" spans="1:13" x14ac:dyDescent="0.25">
      <c r="A1439" s="373"/>
      <c r="B1439" s="362" t="s">
        <v>3629</v>
      </c>
      <c r="C1439" s="362" t="s">
        <v>4075</v>
      </c>
      <c r="D1439" s="372">
        <v>835641039</v>
      </c>
      <c r="E1439" s="393">
        <v>43879</v>
      </c>
      <c r="J1439" s="384" t="s">
        <v>4951</v>
      </c>
      <c r="K1439" s="384" t="s">
        <v>4970</v>
      </c>
      <c r="L1439" s="374">
        <v>13593243</v>
      </c>
      <c r="M1439" s="375">
        <v>43978</v>
      </c>
    </row>
    <row r="1440" spans="1:13" x14ac:dyDescent="0.25">
      <c r="A1440" s="373"/>
      <c r="B1440" s="362" t="s">
        <v>3630</v>
      </c>
      <c r="C1440" s="362" t="s">
        <v>4204</v>
      </c>
      <c r="D1440" s="372">
        <v>354222392</v>
      </c>
      <c r="E1440" s="393">
        <v>43880</v>
      </c>
      <c r="J1440" s="384" t="s">
        <v>4952</v>
      </c>
      <c r="K1440" s="384" t="s">
        <v>4971</v>
      </c>
      <c r="L1440" s="374">
        <v>4047993</v>
      </c>
      <c r="M1440" s="375">
        <v>43978</v>
      </c>
    </row>
    <row r="1441" spans="1:13" x14ac:dyDescent="0.25">
      <c r="A1441" s="373"/>
      <c r="B1441" s="362" t="s">
        <v>3631</v>
      </c>
      <c r="C1441" s="362" t="s">
        <v>4189</v>
      </c>
      <c r="D1441" s="372">
        <v>575175576</v>
      </c>
      <c r="E1441" s="393">
        <v>43880</v>
      </c>
      <c r="J1441" s="384" t="s">
        <v>5083</v>
      </c>
      <c r="K1441" s="384" t="s">
        <v>4594</v>
      </c>
      <c r="L1441" s="374">
        <v>3610226</v>
      </c>
      <c r="M1441" s="375">
        <v>43963</v>
      </c>
    </row>
    <row r="1442" spans="1:13" x14ac:dyDescent="0.25">
      <c r="A1442" s="373"/>
      <c r="B1442" s="362" t="s">
        <v>3632</v>
      </c>
      <c r="C1442" s="362" t="s">
        <v>4043</v>
      </c>
      <c r="D1442" s="372">
        <v>164744310</v>
      </c>
      <c r="E1442" s="393">
        <v>43880</v>
      </c>
      <c r="J1442" s="384" t="s">
        <v>5084</v>
      </c>
      <c r="K1442" s="384" t="s">
        <v>5108</v>
      </c>
      <c r="L1442" s="374">
        <v>3050205</v>
      </c>
      <c r="M1442" s="375">
        <v>43963</v>
      </c>
    </row>
    <row r="1443" spans="1:13" x14ac:dyDescent="0.25">
      <c r="A1443" s="373"/>
      <c r="B1443" s="362" t="s">
        <v>3633</v>
      </c>
      <c r="C1443" s="362" t="s">
        <v>4179</v>
      </c>
      <c r="D1443" s="372">
        <v>251489966</v>
      </c>
      <c r="E1443" s="393">
        <v>43880</v>
      </c>
      <c r="J1443" s="384" t="s">
        <v>5085</v>
      </c>
      <c r="K1443" s="384" t="s">
        <v>4953</v>
      </c>
      <c r="L1443" s="374">
        <v>11536748</v>
      </c>
      <c r="M1443" s="375">
        <v>43963</v>
      </c>
    </row>
    <row r="1444" spans="1:13" x14ac:dyDescent="0.25">
      <c r="A1444" s="373"/>
      <c r="B1444" s="362" t="s">
        <v>3634</v>
      </c>
      <c r="C1444" s="362" t="s">
        <v>4205</v>
      </c>
      <c r="D1444" s="372">
        <v>345672315</v>
      </c>
      <c r="E1444" s="393">
        <v>43880</v>
      </c>
      <c r="J1444" s="384" t="s">
        <v>5086</v>
      </c>
      <c r="K1444" s="384" t="s">
        <v>5109</v>
      </c>
      <c r="L1444" s="374">
        <v>16924250</v>
      </c>
      <c r="M1444" s="375">
        <v>43963</v>
      </c>
    </row>
    <row r="1445" spans="1:13" x14ac:dyDescent="0.25">
      <c r="A1445" s="373"/>
      <c r="B1445" s="362" t="s">
        <v>3635</v>
      </c>
      <c r="C1445" s="362" t="s">
        <v>4053</v>
      </c>
      <c r="D1445" s="372">
        <v>74756360</v>
      </c>
      <c r="E1445" s="393">
        <v>43881</v>
      </c>
      <c r="J1445" s="384" t="s">
        <v>5087</v>
      </c>
      <c r="K1445" s="384" t="s">
        <v>5110</v>
      </c>
      <c r="L1445" s="374">
        <v>33597793</v>
      </c>
      <c r="M1445" s="375">
        <v>43963</v>
      </c>
    </row>
    <row r="1446" spans="1:13" x14ac:dyDescent="0.25">
      <c r="A1446" s="373"/>
      <c r="B1446" s="362" t="s">
        <v>3636</v>
      </c>
      <c r="C1446" s="362" t="s">
        <v>4066</v>
      </c>
      <c r="D1446" s="372">
        <v>51215098</v>
      </c>
      <c r="E1446" s="393">
        <v>43881</v>
      </c>
      <c r="J1446" s="384" t="s">
        <v>5088</v>
      </c>
      <c r="K1446" s="384" t="s">
        <v>5111</v>
      </c>
      <c r="L1446" s="374">
        <v>21277359</v>
      </c>
      <c r="M1446" s="375">
        <v>43963</v>
      </c>
    </row>
    <row r="1447" spans="1:13" x14ac:dyDescent="0.25">
      <c r="A1447" s="373"/>
      <c r="B1447" s="362" t="s">
        <v>3637</v>
      </c>
      <c r="C1447" s="362" t="s">
        <v>4145</v>
      </c>
      <c r="D1447" s="372">
        <v>123963500</v>
      </c>
      <c r="E1447" s="393">
        <v>43881</v>
      </c>
      <c r="J1447" s="384" t="s">
        <v>5089</v>
      </c>
      <c r="K1447" s="384" t="s">
        <v>5112</v>
      </c>
      <c r="L1447" s="374">
        <v>3067000</v>
      </c>
      <c r="M1447" s="373"/>
    </row>
    <row r="1448" spans="1:13" x14ac:dyDescent="0.25">
      <c r="A1448" s="373"/>
      <c r="B1448" s="362" t="s">
        <v>3638</v>
      </c>
      <c r="C1448" s="362" t="s">
        <v>4036</v>
      </c>
      <c r="D1448" s="372">
        <v>1107799027</v>
      </c>
      <c r="E1448" s="393">
        <v>43881</v>
      </c>
      <c r="J1448" s="384" t="s">
        <v>5090</v>
      </c>
      <c r="K1448" s="384" t="s">
        <v>3812</v>
      </c>
      <c r="L1448" s="374"/>
      <c r="M1448" s="373"/>
    </row>
    <row r="1449" spans="1:13" x14ac:dyDescent="0.25">
      <c r="A1449" s="373"/>
      <c r="B1449" s="362" t="s">
        <v>3639</v>
      </c>
      <c r="C1449" s="362" t="s">
        <v>4055</v>
      </c>
      <c r="D1449" s="372">
        <v>594910579</v>
      </c>
      <c r="E1449" s="393">
        <v>43881</v>
      </c>
      <c r="J1449" s="384" t="s">
        <v>5091</v>
      </c>
      <c r="K1449" s="384" t="s">
        <v>5113</v>
      </c>
      <c r="L1449" s="374">
        <v>29543000</v>
      </c>
      <c r="M1449" s="375">
        <v>43964</v>
      </c>
    </row>
    <row r="1450" spans="1:13" x14ac:dyDescent="0.25">
      <c r="A1450" s="373"/>
      <c r="B1450" s="362" t="s">
        <v>3640</v>
      </c>
      <c r="C1450" s="362" t="s">
        <v>4053</v>
      </c>
      <c r="D1450" s="372">
        <v>303334655</v>
      </c>
      <c r="E1450" s="393">
        <v>43881</v>
      </c>
      <c r="J1450" s="384" t="s">
        <v>5092</v>
      </c>
      <c r="K1450" s="384" t="s">
        <v>5114</v>
      </c>
      <c r="L1450" s="374">
        <v>2433834</v>
      </c>
      <c r="M1450" s="375">
        <v>43964</v>
      </c>
    </row>
    <row r="1451" spans="1:13" x14ac:dyDescent="0.25">
      <c r="A1451" s="373"/>
      <c r="B1451" s="362" t="s">
        <v>3641</v>
      </c>
      <c r="C1451" s="362" t="s">
        <v>4085</v>
      </c>
      <c r="D1451" s="372">
        <v>112558250</v>
      </c>
      <c r="E1451" s="393">
        <v>43881</v>
      </c>
      <c r="J1451" s="384" t="s">
        <v>5093</v>
      </c>
      <c r="K1451" s="384" t="s">
        <v>4962</v>
      </c>
      <c r="L1451" s="374">
        <v>1817000</v>
      </c>
      <c r="M1451" s="375">
        <v>43964</v>
      </c>
    </row>
    <row r="1452" spans="1:13" x14ac:dyDescent="0.25">
      <c r="A1452" s="373"/>
      <c r="B1452" s="362" t="s">
        <v>3642</v>
      </c>
      <c r="C1452" s="362" t="s">
        <v>4075</v>
      </c>
      <c r="D1452" s="372">
        <v>322643905</v>
      </c>
      <c r="E1452" s="393"/>
      <c r="J1452" s="384" t="s">
        <v>5094</v>
      </c>
      <c r="K1452" s="384" t="s">
        <v>5115</v>
      </c>
      <c r="L1452" s="374">
        <v>3900000</v>
      </c>
      <c r="M1452" s="375">
        <v>43964</v>
      </c>
    </row>
    <row r="1453" spans="1:13" x14ac:dyDescent="0.25">
      <c r="A1453" s="373"/>
      <c r="B1453" s="362" t="s">
        <v>3643</v>
      </c>
      <c r="C1453" s="362" t="s">
        <v>4055</v>
      </c>
      <c r="D1453" s="372">
        <v>407544761</v>
      </c>
      <c r="E1453" s="393">
        <v>43882</v>
      </c>
      <c r="J1453" s="384" t="s">
        <v>5095</v>
      </c>
      <c r="K1453" s="384" t="s">
        <v>4501</v>
      </c>
      <c r="L1453" s="374">
        <v>3000000</v>
      </c>
      <c r="M1453" s="375">
        <v>43966</v>
      </c>
    </row>
    <row r="1454" spans="1:13" x14ac:dyDescent="0.25">
      <c r="A1454" s="373"/>
      <c r="B1454" s="362" t="s">
        <v>3644</v>
      </c>
      <c r="C1454" s="362" t="s">
        <v>4036</v>
      </c>
      <c r="D1454" s="372">
        <v>484212645</v>
      </c>
      <c r="E1454" s="393">
        <v>43882</v>
      </c>
      <c r="J1454" s="384" t="s">
        <v>5096</v>
      </c>
      <c r="K1454" s="384" t="s">
        <v>5116</v>
      </c>
      <c r="L1454" s="374">
        <v>2440000</v>
      </c>
      <c r="M1454" s="375">
        <v>43966</v>
      </c>
    </row>
    <row r="1455" spans="1:13" x14ac:dyDescent="0.25">
      <c r="A1455" s="373"/>
      <c r="B1455" s="362" t="s">
        <v>3645</v>
      </c>
      <c r="C1455" s="362" t="s">
        <v>4145</v>
      </c>
      <c r="D1455" s="372">
        <v>128095500</v>
      </c>
      <c r="E1455" s="393">
        <v>43882</v>
      </c>
      <c r="J1455" s="384" t="s">
        <v>5097</v>
      </c>
      <c r="K1455" s="384" t="s">
        <v>5117</v>
      </c>
      <c r="L1455" s="374">
        <v>1650000</v>
      </c>
      <c r="M1455" s="375">
        <v>43966</v>
      </c>
    </row>
    <row r="1456" spans="1:13" x14ac:dyDescent="0.25">
      <c r="A1456" s="373"/>
      <c r="B1456" s="362" t="s">
        <v>3646</v>
      </c>
      <c r="C1456" s="362" t="s">
        <v>4179</v>
      </c>
      <c r="D1456" s="372">
        <v>461551434</v>
      </c>
      <c r="E1456" s="393">
        <v>43882</v>
      </c>
      <c r="J1456" s="384" t="s">
        <v>5098</v>
      </c>
      <c r="K1456" s="384" t="s">
        <v>674</v>
      </c>
      <c r="L1456" s="374">
        <v>24715908</v>
      </c>
      <c r="M1456" s="375">
        <v>43981</v>
      </c>
    </row>
    <row r="1457" spans="1:13" x14ac:dyDescent="0.25">
      <c r="A1457" s="373"/>
      <c r="B1457" s="362" t="s">
        <v>3647</v>
      </c>
      <c r="C1457" s="362" t="s">
        <v>4206</v>
      </c>
      <c r="D1457" s="372">
        <v>894606</v>
      </c>
      <c r="E1457" s="393">
        <v>43882</v>
      </c>
      <c r="J1457" s="384" t="s">
        <v>5099</v>
      </c>
      <c r="K1457" s="384" t="s">
        <v>5118</v>
      </c>
      <c r="L1457" s="374">
        <v>55153567</v>
      </c>
      <c r="M1457" s="375">
        <v>43969</v>
      </c>
    </row>
    <row r="1458" spans="1:13" x14ac:dyDescent="0.25">
      <c r="A1458" s="373"/>
      <c r="B1458" s="362" t="s">
        <v>3648</v>
      </c>
      <c r="C1458" s="362" t="s">
        <v>4142</v>
      </c>
      <c r="D1458" s="372">
        <v>391598515</v>
      </c>
      <c r="E1458" s="393">
        <v>43882</v>
      </c>
      <c r="J1458" s="384" t="s">
        <v>5100</v>
      </c>
      <c r="K1458" s="384" t="s">
        <v>5119</v>
      </c>
      <c r="L1458" s="374">
        <v>18550200</v>
      </c>
      <c r="M1458" s="375">
        <v>43969</v>
      </c>
    </row>
    <row r="1459" spans="1:13" x14ac:dyDescent="0.25">
      <c r="A1459" s="373"/>
      <c r="B1459" s="379" t="s">
        <v>3699</v>
      </c>
      <c r="C1459" s="388" t="s">
        <v>3799</v>
      </c>
      <c r="D1459" s="374">
        <v>61693822</v>
      </c>
      <c r="E1459" s="393">
        <v>43882</v>
      </c>
      <c r="J1459" s="384" t="s">
        <v>5101</v>
      </c>
      <c r="K1459" s="384" t="s">
        <v>4604</v>
      </c>
      <c r="L1459" s="374">
        <v>57705287</v>
      </c>
      <c r="M1459" s="375">
        <v>43969</v>
      </c>
    </row>
    <row r="1460" spans="1:13" x14ac:dyDescent="0.25">
      <c r="A1460" s="373"/>
      <c r="B1460" s="379" t="s">
        <v>3700</v>
      </c>
      <c r="C1460" s="388" t="s">
        <v>3800</v>
      </c>
      <c r="D1460" s="374">
        <v>150061925</v>
      </c>
      <c r="E1460" s="393">
        <v>43882</v>
      </c>
      <c r="J1460" s="384" t="s">
        <v>5102</v>
      </c>
      <c r="K1460" s="384" t="s">
        <v>4605</v>
      </c>
      <c r="L1460" s="374">
        <v>15780642</v>
      </c>
      <c r="M1460" s="375">
        <v>43969</v>
      </c>
    </row>
    <row r="1461" spans="1:13" x14ac:dyDescent="0.25">
      <c r="A1461" s="373"/>
      <c r="B1461" s="379" t="s">
        <v>3701</v>
      </c>
      <c r="C1461" s="388" t="s">
        <v>3801</v>
      </c>
      <c r="D1461" s="374">
        <v>196203000</v>
      </c>
      <c r="E1461" s="393"/>
      <c r="J1461" s="384" t="s">
        <v>5103</v>
      </c>
      <c r="K1461" s="384" t="s">
        <v>5120</v>
      </c>
      <c r="L1461" s="374">
        <v>37962736</v>
      </c>
      <c r="M1461" s="375">
        <v>43969</v>
      </c>
    </row>
    <row r="1462" spans="1:13" x14ac:dyDescent="0.25">
      <c r="A1462" s="373"/>
      <c r="B1462" s="379" t="s">
        <v>3702</v>
      </c>
      <c r="C1462" s="388" t="s">
        <v>3802</v>
      </c>
      <c r="D1462" s="374">
        <v>1198717341</v>
      </c>
      <c r="E1462" s="393">
        <v>43882</v>
      </c>
      <c r="J1462" s="384" t="s">
        <v>5104</v>
      </c>
      <c r="K1462" s="384" t="s">
        <v>5121</v>
      </c>
      <c r="L1462" s="374">
        <v>36285243</v>
      </c>
      <c r="M1462" s="375">
        <v>43969</v>
      </c>
    </row>
    <row r="1463" spans="1:13" x14ac:dyDescent="0.25">
      <c r="A1463" s="373"/>
      <c r="B1463" s="379" t="s">
        <v>3703</v>
      </c>
      <c r="C1463" s="388" t="s">
        <v>3803</v>
      </c>
      <c r="D1463" s="374">
        <v>518460317</v>
      </c>
      <c r="E1463" s="393">
        <v>43882</v>
      </c>
      <c r="J1463" s="384" t="s">
        <v>5105</v>
      </c>
      <c r="K1463" s="384" t="s">
        <v>5122</v>
      </c>
      <c r="L1463" s="374">
        <v>45740283</v>
      </c>
      <c r="M1463" s="375">
        <v>43970</v>
      </c>
    </row>
    <row r="1464" spans="1:13" x14ac:dyDescent="0.25">
      <c r="A1464" s="373"/>
      <c r="B1464" s="379" t="s">
        <v>3704</v>
      </c>
      <c r="C1464" s="388" t="s">
        <v>3804</v>
      </c>
      <c r="D1464" s="374">
        <v>281665848</v>
      </c>
      <c r="E1464" s="393">
        <v>43882</v>
      </c>
      <c r="J1464" s="384" t="s">
        <v>5106</v>
      </c>
      <c r="K1464" s="384" t="s">
        <v>5123</v>
      </c>
      <c r="L1464" s="374">
        <v>19060646</v>
      </c>
      <c r="M1464" s="375">
        <v>43970</v>
      </c>
    </row>
    <row r="1465" spans="1:13" x14ac:dyDescent="0.25">
      <c r="A1465" s="373"/>
      <c r="B1465" s="379" t="s">
        <v>3705</v>
      </c>
      <c r="C1465" s="388" t="s">
        <v>3803</v>
      </c>
      <c r="D1465" s="374">
        <v>310821849</v>
      </c>
      <c r="E1465" s="393">
        <v>43882</v>
      </c>
      <c r="J1465" s="384" t="s">
        <v>5107</v>
      </c>
      <c r="K1465" s="384" t="s">
        <v>5108</v>
      </c>
      <c r="L1465" s="374">
        <v>7373655</v>
      </c>
      <c r="M1465" s="375">
        <v>43970</v>
      </c>
    </row>
    <row r="1466" spans="1:13" x14ac:dyDescent="0.25">
      <c r="A1466" s="373"/>
      <c r="B1466" s="379" t="s">
        <v>3706</v>
      </c>
      <c r="C1466" s="388" t="s">
        <v>3805</v>
      </c>
      <c r="D1466" s="374">
        <v>699680253</v>
      </c>
      <c r="E1466" s="393">
        <v>43885</v>
      </c>
      <c r="J1466" s="384" t="s">
        <v>5280</v>
      </c>
      <c r="K1466" s="384" t="s">
        <v>5109</v>
      </c>
      <c r="L1466" s="374">
        <v>22696820</v>
      </c>
      <c r="M1466" s="375">
        <v>43956</v>
      </c>
    </row>
    <row r="1467" spans="1:13" x14ac:dyDescent="0.25">
      <c r="A1467" s="373"/>
      <c r="B1467" s="379" t="s">
        <v>3707</v>
      </c>
      <c r="C1467" s="388" t="s">
        <v>3806</v>
      </c>
      <c r="D1467" s="374">
        <v>1205862715</v>
      </c>
      <c r="E1467" s="393">
        <v>43885</v>
      </c>
      <c r="J1467" s="384" t="s">
        <v>5281</v>
      </c>
      <c r="K1467" s="384" t="s">
        <v>4953</v>
      </c>
      <c r="L1467" s="374">
        <v>7415891</v>
      </c>
      <c r="M1467" s="375">
        <v>43956</v>
      </c>
    </row>
    <row r="1468" spans="1:13" x14ac:dyDescent="0.25">
      <c r="A1468" s="373"/>
      <c r="B1468" s="379" t="s">
        <v>3708</v>
      </c>
      <c r="C1468" s="388" t="s">
        <v>3807</v>
      </c>
      <c r="D1468" s="374">
        <v>532775538</v>
      </c>
      <c r="E1468" s="393">
        <v>43885</v>
      </c>
      <c r="J1468" s="384" t="s">
        <v>5282</v>
      </c>
      <c r="K1468" s="384" t="s">
        <v>5122</v>
      </c>
      <c r="L1468" s="374">
        <v>33497406</v>
      </c>
      <c r="M1468" s="375">
        <v>43956</v>
      </c>
    </row>
    <row r="1469" spans="1:13" x14ac:dyDescent="0.25">
      <c r="A1469" s="373"/>
      <c r="B1469" s="379" t="s">
        <v>3709</v>
      </c>
      <c r="C1469" s="388" t="s">
        <v>3808</v>
      </c>
      <c r="D1469" s="374">
        <v>132182439</v>
      </c>
      <c r="E1469" s="393">
        <v>43885</v>
      </c>
      <c r="J1469" s="384" t="s">
        <v>5283</v>
      </c>
      <c r="K1469" s="384" t="s">
        <v>5110</v>
      </c>
      <c r="L1469" s="374">
        <v>26578902</v>
      </c>
      <c r="M1469" s="375">
        <v>43956</v>
      </c>
    </row>
    <row r="1470" spans="1:13" x14ac:dyDescent="0.25">
      <c r="A1470" s="373"/>
      <c r="B1470" s="379" t="s">
        <v>3710</v>
      </c>
      <c r="C1470" s="388" t="s">
        <v>3800</v>
      </c>
      <c r="D1470" s="374">
        <v>142066085</v>
      </c>
      <c r="E1470" s="393">
        <v>43885</v>
      </c>
      <c r="J1470" s="384" t="s">
        <v>5284</v>
      </c>
      <c r="K1470" s="384" t="s">
        <v>5108</v>
      </c>
      <c r="L1470" s="374">
        <v>2330802</v>
      </c>
      <c r="M1470" s="375">
        <v>43956</v>
      </c>
    </row>
    <row r="1471" spans="1:13" x14ac:dyDescent="0.25">
      <c r="A1471" s="373"/>
      <c r="B1471" s="379" t="s">
        <v>3711</v>
      </c>
      <c r="C1471" s="388" t="s">
        <v>3803</v>
      </c>
      <c r="D1471" s="374">
        <v>216703746</v>
      </c>
      <c r="E1471" s="393">
        <v>43885</v>
      </c>
      <c r="J1471" s="384" t="s">
        <v>5285</v>
      </c>
      <c r="K1471" s="384" t="s">
        <v>5208</v>
      </c>
      <c r="L1471" s="374">
        <v>11642485</v>
      </c>
      <c r="M1471" s="375">
        <v>43957</v>
      </c>
    </row>
    <row r="1472" spans="1:13" x14ac:dyDescent="0.25">
      <c r="A1472" s="373"/>
      <c r="B1472" s="379" t="s">
        <v>3712</v>
      </c>
      <c r="C1472" s="388" t="s">
        <v>3809</v>
      </c>
      <c r="D1472" s="374">
        <v>663170534</v>
      </c>
      <c r="E1472" s="393">
        <v>43885</v>
      </c>
      <c r="J1472" s="384" t="s">
        <v>5286</v>
      </c>
      <c r="K1472" s="384" t="s">
        <v>4600</v>
      </c>
      <c r="L1472" s="374">
        <v>25417845</v>
      </c>
      <c r="M1472" s="375">
        <v>43957</v>
      </c>
    </row>
    <row r="1473" spans="1:13" x14ac:dyDescent="0.25">
      <c r="A1473" s="373"/>
      <c r="B1473" s="379" t="s">
        <v>3713</v>
      </c>
      <c r="C1473" s="388" t="s">
        <v>3802</v>
      </c>
      <c r="D1473" s="374">
        <v>1270982444</v>
      </c>
      <c r="E1473" s="393">
        <v>43885</v>
      </c>
      <c r="J1473" s="384" t="s">
        <v>5287</v>
      </c>
      <c r="K1473" s="384" t="s">
        <v>5212</v>
      </c>
      <c r="L1473" s="374">
        <v>1908922</v>
      </c>
      <c r="M1473" s="375">
        <v>43957</v>
      </c>
    </row>
    <row r="1474" spans="1:13" x14ac:dyDescent="0.25">
      <c r="A1474" s="373"/>
      <c r="B1474" s="379" t="s">
        <v>3714</v>
      </c>
      <c r="C1474" s="388" t="s">
        <v>3810</v>
      </c>
      <c r="D1474" s="374">
        <v>384891702</v>
      </c>
      <c r="E1474" s="393">
        <v>43885</v>
      </c>
      <c r="J1474" s="384" t="s">
        <v>5288</v>
      </c>
      <c r="K1474" s="384" t="s">
        <v>5247</v>
      </c>
      <c r="L1474" s="374">
        <v>2190467</v>
      </c>
      <c r="M1474" s="375">
        <v>43957</v>
      </c>
    </row>
    <row r="1475" spans="1:13" x14ac:dyDescent="0.25">
      <c r="A1475" s="373"/>
      <c r="B1475" s="379" t="s">
        <v>3715</v>
      </c>
      <c r="C1475" s="388" t="s">
        <v>3805</v>
      </c>
      <c r="D1475" s="374">
        <v>323110900</v>
      </c>
      <c r="E1475" s="393">
        <v>43885</v>
      </c>
      <c r="J1475" s="384" t="s">
        <v>5289</v>
      </c>
      <c r="K1475" s="384" t="s">
        <v>5305</v>
      </c>
      <c r="L1475" s="374">
        <v>1802000</v>
      </c>
      <c r="M1475" s="375">
        <v>43957</v>
      </c>
    </row>
    <row r="1476" spans="1:13" x14ac:dyDescent="0.25">
      <c r="A1476" s="373"/>
      <c r="B1476" s="379" t="s">
        <v>3716</v>
      </c>
      <c r="C1476" s="388" t="s">
        <v>3811</v>
      </c>
      <c r="D1476" s="374">
        <v>108290360</v>
      </c>
      <c r="E1476" s="393">
        <v>43886</v>
      </c>
      <c r="J1476" s="384" t="s">
        <v>5290</v>
      </c>
      <c r="K1476" s="384" t="s">
        <v>4291</v>
      </c>
      <c r="L1476" s="374">
        <v>5905900</v>
      </c>
      <c r="M1476" s="375">
        <v>43959</v>
      </c>
    </row>
    <row r="1477" spans="1:13" x14ac:dyDescent="0.25">
      <c r="A1477" s="373"/>
      <c r="B1477" s="379" t="s">
        <v>3717</v>
      </c>
      <c r="C1477" s="388" t="s">
        <v>3812</v>
      </c>
      <c r="D1477" s="374"/>
      <c r="E1477" s="393">
        <v>43886</v>
      </c>
      <c r="J1477" s="384" t="s">
        <v>5291</v>
      </c>
      <c r="K1477" s="384" t="s">
        <v>4283</v>
      </c>
      <c r="L1477" s="374">
        <v>63291280</v>
      </c>
      <c r="M1477" s="375">
        <v>43959</v>
      </c>
    </row>
    <row r="1478" spans="1:13" x14ac:dyDescent="0.25">
      <c r="A1478" s="373"/>
      <c r="B1478" s="379" t="s">
        <v>3718</v>
      </c>
      <c r="C1478" s="388" t="s">
        <v>3803</v>
      </c>
      <c r="D1478" s="374">
        <v>411838405</v>
      </c>
      <c r="E1478" s="393">
        <v>43886</v>
      </c>
      <c r="J1478" s="384" t="s">
        <v>5292</v>
      </c>
      <c r="K1478" s="384" t="s">
        <v>4600</v>
      </c>
      <c r="L1478" s="374">
        <v>3599966</v>
      </c>
      <c r="M1478" s="375">
        <v>43959</v>
      </c>
    </row>
    <row r="1479" spans="1:13" x14ac:dyDescent="0.25">
      <c r="A1479" s="373"/>
      <c r="B1479" s="379" t="s">
        <v>3719</v>
      </c>
      <c r="C1479" s="388" t="s">
        <v>3805</v>
      </c>
      <c r="D1479" s="374">
        <v>348038055</v>
      </c>
      <c r="E1479" s="393">
        <v>43886</v>
      </c>
      <c r="J1479" s="384" t="s">
        <v>5293</v>
      </c>
      <c r="K1479" s="384" t="s">
        <v>5306</v>
      </c>
      <c r="L1479" s="374">
        <v>750000</v>
      </c>
      <c r="M1479" s="375">
        <v>43959</v>
      </c>
    </row>
    <row r="1480" spans="1:13" x14ac:dyDescent="0.25">
      <c r="A1480" s="373"/>
      <c r="B1480" s="379" t="s">
        <v>3720</v>
      </c>
      <c r="C1480" s="388" t="s">
        <v>3800</v>
      </c>
      <c r="D1480" s="374">
        <v>396051889</v>
      </c>
      <c r="E1480" s="393">
        <v>43886</v>
      </c>
      <c r="J1480" s="384" t="s">
        <v>5294</v>
      </c>
      <c r="K1480" s="384" t="s">
        <v>5305</v>
      </c>
      <c r="L1480" s="374">
        <v>1244000</v>
      </c>
      <c r="M1480" s="375">
        <v>43959</v>
      </c>
    </row>
    <row r="1481" spans="1:13" x14ac:dyDescent="0.25">
      <c r="A1481" s="373"/>
      <c r="B1481" s="379" t="s">
        <v>3721</v>
      </c>
      <c r="C1481" s="388" t="s">
        <v>3804</v>
      </c>
      <c r="D1481" s="374">
        <v>23198540</v>
      </c>
      <c r="E1481" s="393">
        <v>43886</v>
      </c>
      <c r="J1481" s="384" t="s">
        <v>5295</v>
      </c>
      <c r="K1481" s="384" t="s">
        <v>5307</v>
      </c>
      <c r="L1481" s="374">
        <v>2626100</v>
      </c>
      <c r="M1481" s="375">
        <v>43959</v>
      </c>
    </row>
    <row r="1482" spans="1:13" x14ac:dyDescent="0.25">
      <c r="A1482" s="373"/>
      <c r="B1482" s="379" t="s">
        <v>3722</v>
      </c>
      <c r="C1482" s="388" t="s">
        <v>3811</v>
      </c>
      <c r="D1482" s="374">
        <v>365313236</v>
      </c>
      <c r="E1482" s="393">
        <v>43886</v>
      </c>
      <c r="J1482" s="384" t="s">
        <v>5296</v>
      </c>
      <c r="K1482" s="384" t="s">
        <v>3812</v>
      </c>
      <c r="L1482" s="374"/>
      <c r="M1482" s="373"/>
    </row>
    <row r="1483" spans="1:13" x14ac:dyDescent="0.25">
      <c r="A1483" s="373"/>
      <c r="B1483" s="379" t="s">
        <v>3723</v>
      </c>
      <c r="C1483" s="388" t="s">
        <v>3806</v>
      </c>
      <c r="D1483" s="374">
        <v>203929300</v>
      </c>
      <c r="E1483" s="393">
        <v>43886</v>
      </c>
      <c r="J1483" s="384" t="s">
        <v>5297</v>
      </c>
      <c r="K1483" s="384" t="s">
        <v>5119</v>
      </c>
      <c r="L1483" s="374">
        <v>9478906</v>
      </c>
      <c r="M1483" s="375">
        <v>43962</v>
      </c>
    </row>
    <row r="1484" spans="1:13" x14ac:dyDescent="0.25">
      <c r="A1484" s="373"/>
      <c r="B1484" s="379" t="s">
        <v>3724</v>
      </c>
      <c r="C1484" s="388" t="s">
        <v>3809</v>
      </c>
      <c r="D1484" s="374">
        <v>852612462</v>
      </c>
      <c r="E1484" s="371">
        <v>43896</v>
      </c>
      <c r="J1484" s="384" t="s">
        <v>5298</v>
      </c>
      <c r="K1484" s="384" t="s">
        <v>4604</v>
      </c>
      <c r="L1484" s="374">
        <v>31944703</v>
      </c>
      <c r="M1484" s="375">
        <v>43962</v>
      </c>
    </row>
    <row r="1485" spans="1:13" x14ac:dyDescent="0.25">
      <c r="A1485" s="373"/>
      <c r="B1485" s="379" t="s">
        <v>3725</v>
      </c>
      <c r="C1485" s="388" t="s">
        <v>3813</v>
      </c>
      <c r="D1485" s="374">
        <v>101139500</v>
      </c>
      <c r="E1485" s="371">
        <v>43896</v>
      </c>
      <c r="J1485" s="384" t="s">
        <v>5299</v>
      </c>
      <c r="K1485" s="384" t="s">
        <v>4605</v>
      </c>
      <c r="L1485" s="374">
        <v>9545916</v>
      </c>
      <c r="M1485" s="375">
        <v>43962</v>
      </c>
    </row>
    <row r="1486" spans="1:13" x14ac:dyDescent="0.25">
      <c r="A1486" s="373"/>
      <c r="B1486" s="379" t="s">
        <v>3726</v>
      </c>
      <c r="C1486" s="388" t="s">
        <v>3812</v>
      </c>
      <c r="D1486" s="374"/>
      <c r="E1486" s="371">
        <v>43899</v>
      </c>
      <c r="J1486" s="384" t="s">
        <v>5300</v>
      </c>
      <c r="K1486" s="384" t="s">
        <v>5210</v>
      </c>
      <c r="L1486" s="374">
        <v>18242736</v>
      </c>
      <c r="M1486" s="375">
        <v>43962</v>
      </c>
    </row>
    <row r="1487" spans="1:13" x14ac:dyDescent="0.25">
      <c r="A1487" s="373"/>
      <c r="B1487" s="379" t="s">
        <v>3727</v>
      </c>
      <c r="C1487" s="388" t="s">
        <v>3801</v>
      </c>
      <c r="D1487" s="374">
        <v>204202000</v>
      </c>
      <c r="E1487" s="371">
        <v>43899</v>
      </c>
      <c r="J1487" s="384" t="s">
        <v>5301</v>
      </c>
      <c r="K1487" s="384" t="s">
        <v>5121</v>
      </c>
      <c r="L1487" s="374">
        <v>16164220</v>
      </c>
      <c r="M1487" s="375">
        <v>43962</v>
      </c>
    </row>
    <row r="1488" spans="1:13" x14ac:dyDescent="0.25">
      <c r="A1488" s="373"/>
      <c r="B1488" s="379" t="s">
        <v>3728</v>
      </c>
      <c r="C1488" s="388" t="s">
        <v>3814</v>
      </c>
      <c r="D1488" s="374">
        <v>1011799287</v>
      </c>
      <c r="E1488" s="371">
        <v>43899</v>
      </c>
      <c r="J1488" s="384" t="s">
        <v>5302</v>
      </c>
      <c r="K1488" s="384" t="s">
        <v>5118</v>
      </c>
      <c r="L1488" s="374">
        <v>26385280</v>
      </c>
      <c r="M1488" s="375">
        <v>43962</v>
      </c>
    </row>
    <row r="1489" spans="1:13" x14ac:dyDescent="0.25">
      <c r="A1489" s="373"/>
      <c r="B1489" s="379" t="s">
        <v>3729</v>
      </c>
      <c r="C1489" s="388" t="s">
        <v>3815</v>
      </c>
      <c r="D1489" s="374">
        <v>974834098</v>
      </c>
      <c r="E1489" s="371">
        <v>43899</v>
      </c>
      <c r="J1489" s="384" t="s">
        <v>5303</v>
      </c>
      <c r="K1489" s="384" t="s">
        <v>5308</v>
      </c>
      <c r="L1489" s="374">
        <v>690000</v>
      </c>
      <c r="M1489" s="375">
        <v>43962</v>
      </c>
    </row>
    <row r="1490" spans="1:13" x14ac:dyDescent="0.25">
      <c r="A1490" s="373"/>
      <c r="B1490" s="379" t="s">
        <v>3730</v>
      </c>
      <c r="C1490" s="388" t="s">
        <v>3816</v>
      </c>
      <c r="D1490" s="374">
        <v>1249327833</v>
      </c>
      <c r="E1490" s="371">
        <v>43899</v>
      </c>
      <c r="J1490" s="384" t="s">
        <v>5304</v>
      </c>
      <c r="K1490" s="384" t="s">
        <v>4970</v>
      </c>
      <c r="L1490" s="374">
        <v>12906437</v>
      </c>
      <c r="M1490" s="375">
        <v>43963</v>
      </c>
    </row>
    <row r="1491" spans="1:13" x14ac:dyDescent="0.25">
      <c r="A1491" s="373"/>
      <c r="B1491" s="379" t="s">
        <v>3731</v>
      </c>
      <c r="C1491" s="388" t="s">
        <v>3810</v>
      </c>
      <c r="D1491" s="374">
        <v>308016940</v>
      </c>
      <c r="E1491" s="371">
        <v>43899</v>
      </c>
      <c r="J1491" s="384" t="s">
        <v>5497</v>
      </c>
      <c r="K1491" s="384" t="s">
        <v>4605</v>
      </c>
      <c r="L1491" s="374">
        <v>9571299</v>
      </c>
      <c r="M1491" s="375">
        <v>43990</v>
      </c>
    </row>
    <row r="1492" spans="1:13" x14ac:dyDescent="0.25">
      <c r="A1492" s="373"/>
      <c r="B1492" s="379" t="s">
        <v>3732</v>
      </c>
      <c r="C1492" s="388" t="s">
        <v>3801</v>
      </c>
      <c r="D1492" s="374">
        <v>196202000</v>
      </c>
      <c r="E1492" s="371">
        <v>43899</v>
      </c>
      <c r="J1492" s="384" t="s">
        <v>5498</v>
      </c>
      <c r="K1492" s="384" t="s">
        <v>5121</v>
      </c>
      <c r="L1492" s="374">
        <v>12169214</v>
      </c>
      <c r="M1492" s="375">
        <v>43990</v>
      </c>
    </row>
    <row r="1493" spans="1:13" x14ac:dyDescent="0.25">
      <c r="A1493" s="373"/>
      <c r="B1493" s="379" t="s">
        <v>3733</v>
      </c>
      <c r="C1493" s="388" t="s">
        <v>3817</v>
      </c>
      <c r="D1493" s="374">
        <v>618724193</v>
      </c>
      <c r="E1493" s="371">
        <v>43899</v>
      </c>
      <c r="J1493" s="384" t="s">
        <v>5499</v>
      </c>
      <c r="K1493" s="384" t="s">
        <v>5120</v>
      </c>
      <c r="L1493" s="374">
        <v>21957322</v>
      </c>
      <c r="M1493" s="375">
        <v>43990</v>
      </c>
    </row>
    <row r="1494" spans="1:13" x14ac:dyDescent="0.25">
      <c r="A1494" s="373"/>
      <c r="B1494" s="379" t="s">
        <v>3734</v>
      </c>
      <c r="C1494" s="388" t="s">
        <v>3818</v>
      </c>
      <c r="D1494" s="374">
        <v>1200137822</v>
      </c>
      <c r="E1494" s="371">
        <v>43899</v>
      </c>
      <c r="J1494" s="384" t="s">
        <v>5500</v>
      </c>
      <c r="K1494" s="384" t="s">
        <v>5522</v>
      </c>
      <c r="L1494" s="374">
        <v>49771975</v>
      </c>
      <c r="M1494" s="375">
        <v>43990</v>
      </c>
    </row>
    <row r="1495" spans="1:13" x14ac:dyDescent="0.25">
      <c r="A1495" s="373"/>
      <c r="B1495" s="379" t="s">
        <v>3735</v>
      </c>
      <c r="C1495" s="388" t="s">
        <v>3805</v>
      </c>
      <c r="D1495" s="374">
        <v>861456210</v>
      </c>
      <c r="E1495" s="371">
        <v>43899</v>
      </c>
      <c r="J1495" s="384" t="s">
        <v>5501</v>
      </c>
      <c r="K1495" s="384" t="s">
        <v>5119</v>
      </c>
      <c r="L1495" s="374">
        <v>10155804</v>
      </c>
      <c r="M1495" s="375">
        <v>43990</v>
      </c>
    </row>
    <row r="1496" spans="1:13" x14ac:dyDescent="0.25">
      <c r="A1496" s="373"/>
      <c r="B1496" s="379" t="s">
        <v>3736</v>
      </c>
      <c r="C1496" s="388" t="s">
        <v>3811</v>
      </c>
      <c r="D1496" s="374">
        <v>205406874</v>
      </c>
      <c r="E1496" s="371">
        <v>43899</v>
      </c>
      <c r="J1496" s="384" t="s">
        <v>5502</v>
      </c>
      <c r="K1496" s="384" t="s">
        <v>5118</v>
      </c>
      <c r="L1496" s="374">
        <v>22605282</v>
      </c>
      <c r="M1496" s="375">
        <v>43990</v>
      </c>
    </row>
    <row r="1497" spans="1:13" x14ac:dyDescent="0.25">
      <c r="A1497" s="373"/>
      <c r="B1497" s="379" t="s">
        <v>3737</v>
      </c>
      <c r="C1497" s="388" t="s">
        <v>3809</v>
      </c>
      <c r="D1497" s="374">
        <v>612606448</v>
      </c>
      <c r="E1497" s="371">
        <v>43899</v>
      </c>
      <c r="J1497" s="384" t="s">
        <v>5503</v>
      </c>
      <c r="K1497" s="384" t="s">
        <v>5123</v>
      </c>
      <c r="L1497" s="374">
        <v>7519025</v>
      </c>
      <c r="M1497" s="375">
        <v>43990</v>
      </c>
    </row>
    <row r="1498" spans="1:13" x14ac:dyDescent="0.25">
      <c r="A1498" s="373"/>
      <c r="B1498" s="379" t="s">
        <v>3738</v>
      </c>
      <c r="C1498" s="384" t="s">
        <v>3812</v>
      </c>
      <c r="D1498" s="374"/>
      <c r="E1498" s="371"/>
      <c r="J1498" s="384" t="s">
        <v>5504</v>
      </c>
      <c r="K1498" s="384" t="s">
        <v>5108</v>
      </c>
      <c r="L1498" s="374">
        <v>3033466</v>
      </c>
      <c r="M1498" s="375">
        <v>43990</v>
      </c>
    </row>
    <row r="1499" spans="1:13" x14ac:dyDescent="0.25">
      <c r="A1499" s="373"/>
      <c r="B1499" s="379" t="s">
        <v>3739</v>
      </c>
      <c r="C1499" s="389" t="s">
        <v>3819</v>
      </c>
      <c r="D1499" s="374">
        <v>195916397</v>
      </c>
      <c r="E1499" s="371">
        <v>43900</v>
      </c>
      <c r="J1499" s="384" t="s">
        <v>5505</v>
      </c>
      <c r="K1499" s="384" t="s">
        <v>5523</v>
      </c>
      <c r="L1499" s="374">
        <v>18762769</v>
      </c>
      <c r="M1499" s="375">
        <v>43991</v>
      </c>
    </row>
    <row r="1500" spans="1:13" x14ac:dyDescent="0.25">
      <c r="A1500" s="373"/>
      <c r="B1500" s="379" t="s">
        <v>3740</v>
      </c>
      <c r="C1500" s="389" t="s">
        <v>3820</v>
      </c>
      <c r="D1500" s="374">
        <v>379355190</v>
      </c>
      <c r="E1500" s="371">
        <v>43900</v>
      </c>
      <c r="J1500" s="384" t="s">
        <v>5506</v>
      </c>
      <c r="K1500" s="384" t="s">
        <v>5524</v>
      </c>
      <c r="L1500" s="374">
        <v>39081979</v>
      </c>
      <c r="M1500" s="375">
        <v>43991</v>
      </c>
    </row>
    <row r="1501" spans="1:13" x14ac:dyDescent="0.25">
      <c r="A1501" s="373"/>
      <c r="B1501" s="379" t="s">
        <v>3741</v>
      </c>
      <c r="C1501" s="389" t="s">
        <v>3818</v>
      </c>
      <c r="D1501" s="374">
        <v>1522774049</v>
      </c>
      <c r="E1501" s="371">
        <v>43900</v>
      </c>
      <c r="J1501" s="384" t="s">
        <v>5507</v>
      </c>
      <c r="K1501" s="384" t="s">
        <v>5109</v>
      </c>
      <c r="L1501" s="374">
        <v>30295650</v>
      </c>
      <c r="M1501" s="375">
        <v>43991</v>
      </c>
    </row>
    <row r="1502" spans="1:13" x14ac:dyDescent="0.25">
      <c r="A1502" s="373"/>
      <c r="B1502" s="379" t="s">
        <v>3742</v>
      </c>
      <c r="C1502" s="389" t="s">
        <v>3817</v>
      </c>
      <c r="D1502" s="374">
        <v>354777314</v>
      </c>
      <c r="E1502" s="371">
        <v>43900</v>
      </c>
      <c r="J1502" s="384" t="s">
        <v>5508</v>
      </c>
      <c r="K1502" s="384" t="s">
        <v>5525</v>
      </c>
      <c r="L1502" s="374">
        <v>11310028</v>
      </c>
      <c r="M1502" s="375">
        <v>43991</v>
      </c>
    </row>
    <row r="1503" spans="1:13" x14ac:dyDescent="0.25">
      <c r="A1503" s="373"/>
      <c r="B1503" s="379" t="s">
        <v>3743</v>
      </c>
      <c r="C1503" s="389" t="s">
        <v>3821</v>
      </c>
      <c r="D1503" s="374">
        <v>41509571</v>
      </c>
      <c r="E1503" s="371">
        <v>43900</v>
      </c>
      <c r="J1503" s="384" t="s">
        <v>5509</v>
      </c>
      <c r="K1503" s="384" t="s">
        <v>5122</v>
      </c>
      <c r="L1503" s="374">
        <v>12688954</v>
      </c>
      <c r="M1503" s="375">
        <v>43991</v>
      </c>
    </row>
    <row r="1504" spans="1:13" x14ac:dyDescent="0.25">
      <c r="A1504" s="373"/>
      <c r="B1504" s="379" t="s">
        <v>3744</v>
      </c>
      <c r="C1504" s="389" t="s">
        <v>3822</v>
      </c>
      <c r="D1504" s="374">
        <v>28760818</v>
      </c>
      <c r="E1504" s="371">
        <v>43900</v>
      </c>
      <c r="J1504" s="384" t="s">
        <v>5510</v>
      </c>
      <c r="K1504" s="384" t="s">
        <v>5526</v>
      </c>
      <c r="L1504" s="374">
        <v>27200000</v>
      </c>
      <c r="M1504" s="375">
        <v>43990</v>
      </c>
    </row>
    <row r="1505" spans="1:13" x14ac:dyDescent="0.25">
      <c r="A1505" s="373"/>
      <c r="B1505" s="379" t="s">
        <v>3745</v>
      </c>
      <c r="C1505" s="389" t="s">
        <v>3823</v>
      </c>
      <c r="D1505" s="374">
        <v>15774854</v>
      </c>
      <c r="E1505" s="371">
        <v>43900</v>
      </c>
      <c r="J1505" s="384" t="s">
        <v>5511</v>
      </c>
      <c r="K1505" s="384" t="s">
        <v>674</v>
      </c>
      <c r="L1505" s="374">
        <v>20710418</v>
      </c>
      <c r="M1505" s="375">
        <v>43990</v>
      </c>
    </row>
    <row r="1506" spans="1:13" x14ac:dyDescent="0.25">
      <c r="A1506" s="373"/>
      <c r="B1506" s="379" t="s">
        <v>3746</v>
      </c>
      <c r="C1506" s="389" t="s">
        <v>3824</v>
      </c>
      <c r="D1506" s="374">
        <v>2619917</v>
      </c>
      <c r="E1506" s="371">
        <v>43900</v>
      </c>
      <c r="J1506" s="384" t="s">
        <v>5512</v>
      </c>
      <c r="K1506" s="384" t="s">
        <v>5527</v>
      </c>
      <c r="L1506" s="374">
        <v>1302900</v>
      </c>
      <c r="M1506" s="375">
        <v>43991</v>
      </c>
    </row>
    <row r="1507" spans="1:13" x14ac:dyDescent="0.25">
      <c r="A1507" s="373"/>
      <c r="B1507" s="379" t="s">
        <v>3747</v>
      </c>
      <c r="C1507" s="389" t="s">
        <v>3825</v>
      </c>
      <c r="D1507" s="374">
        <v>1119714832</v>
      </c>
      <c r="E1507" s="371">
        <v>43900</v>
      </c>
      <c r="J1507" s="384" t="s">
        <v>5513</v>
      </c>
      <c r="K1507" s="384" t="s">
        <v>5528</v>
      </c>
      <c r="L1507" s="374">
        <v>66949631</v>
      </c>
      <c r="M1507" s="375">
        <v>43992</v>
      </c>
    </row>
    <row r="1508" spans="1:13" x14ac:dyDescent="0.25">
      <c r="A1508" s="373"/>
      <c r="B1508" s="379" t="s">
        <v>3748</v>
      </c>
      <c r="C1508" s="389" t="s">
        <v>3826</v>
      </c>
      <c r="D1508" s="374">
        <v>101814334</v>
      </c>
      <c r="E1508" s="371">
        <v>43900</v>
      </c>
      <c r="J1508" s="384" t="s">
        <v>5514</v>
      </c>
      <c r="K1508" s="384" t="s">
        <v>4600</v>
      </c>
      <c r="L1508" s="374">
        <v>4042000</v>
      </c>
      <c r="M1508" s="375">
        <v>43992</v>
      </c>
    </row>
    <row r="1509" spans="1:13" x14ac:dyDescent="0.25">
      <c r="A1509" s="373"/>
      <c r="B1509" s="362" t="s">
        <v>4110</v>
      </c>
      <c r="C1509" s="362" t="s">
        <v>4111</v>
      </c>
      <c r="D1509" s="387">
        <v>79818631</v>
      </c>
      <c r="E1509" s="393">
        <v>43886</v>
      </c>
      <c r="J1509" s="384" t="s">
        <v>5515</v>
      </c>
      <c r="K1509" s="384" t="s">
        <v>5529</v>
      </c>
      <c r="L1509" s="374">
        <v>1950000</v>
      </c>
      <c r="M1509" s="603">
        <v>43993</v>
      </c>
    </row>
    <row r="1510" spans="1:13" x14ac:dyDescent="0.25">
      <c r="A1510" s="373"/>
      <c r="B1510" s="362" t="s">
        <v>4112</v>
      </c>
      <c r="C1510" s="362" t="s">
        <v>4068</v>
      </c>
      <c r="D1510" s="387">
        <v>775628460</v>
      </c>
      <c r="E1510" s="393">
        <v>43886</v>
      </c>
      <c r="J1510" s="384" t="s">
        <v>5516</v>
      </c>
      <c r="K1510" s="384" t="s">
        <v>5530</v>
      </c>
      <c r="L1510" s="374">
        <v>577040</v>
      </c>
      <c r="M1510" s="603">
        <v>43993</v>
      </c>
    </row>
    <row r="1511" spans="1:13" x14ac:dyDescent="0.25">
      <c r="A1511" s="373"/>
      <c r="B1511" s="362" t="s">
        <v>4113</v>
      </c>
      <c r="C1511" s="362" t="s">
        <v>4114</v>
      </c>
      <c r="D1511" s="387">
        <v>25667714</v>
      </c>
      <c r="E1511" s="393">
        <v>43886</v>
      </c>
      <c r="J1511" s="384" t="s">
        <v>5517</v>
      </c>
      <c r="K1511" s="384" t="s">
        <v>5531</v>
      </c>
      <c r="L1511" s="374">
        <v>13202000</v>
      </c>
      <c r="M1511" s="603">
        <v>43993</v>
      </c>
    </row>
    <row r="1512" spans="1:13" x14ac:dyDescent="0.25">
      <c r="A1512" s="373"/>
      <c r="B1512" s="362" t="s">
        <v>4115</v>
      </c>
      <c r="C1512" s="362" t="s">
        <v>4055</v>
      </c>
      <c r="D1512" s="387">
        <v>453570461</v>
      </c>
      <c r="E1512" s="393">
        <v>43886</v>
      </c>
      <c r="J1512" s="384" t="s">
        <v>5518</v>
      </c>
      <c r="K1512" s="384" t="s">
        <v>5122</v>
      </c>
      <c r="L1512" s="374">
        <v>18257612</v>
      </c>
      <c r="M1512" s="375">
        <v>43998</v>
      </c>
    </row>
    <row r="1513" spans="1:13" x14ac:dyDescent="0.25">
      <c r="A1513" s="373"/>
      <c r="B1513" s="362" t="s">
        <v>4116</v>
      </c>
      <c r="C1513" s="362" t="s">
        <v>4117</v>
      </c>
      <c r="D1513" s="387">
        <v>196202000</v>
      </c>
      <c r="E1513" s="393">
        <v>43887</v>
      </c>
      <c r="J1513" s="384" t="s">
        <v>5519</v>
      </c>
      <c r="K1513" s="384" t="s">
        <v>5532</v>
      </c>
      <c r="L1513" s="374">
        <v>2209500</v>
      </c>
      <c r="M1513" s="375">
        <v>43998</v>
      </c>
    </row>
    <row r="1514" spans="1:13" x14ac:dyDescent="0.25">
      <c r="A1514" s="373"/>
      <c r="B1514" s="362" t="s">
        <v>4118</v>
      </c>
      <c r="C1514" s="362" t="s">
        <v>4119</v>
      </c>
      <c r="D1514" s="387">
        <v>247923500</v>
      </c>
      <c r="E1514" s="393">
        <v>43887</v>
      </c>
      <c r="J1514" s="384" t="s">
        <v>5520</v>
      </c>
      <c r="K1514" s="384" t="s">
        <v>5533</v>
      </c>
      <c r="L1514" s="374">
        <v>3097100</v>
      </c>
      <c r="M1514" s="375">
        <v>43999</v>
      </c>
    </row>
    <row r="1515" spans="1:13" x14ac:dyDescent="0.25">
      <c r="A1515" s="373"/>
      <c r="B1515" s="362" t="s">
        <v>4120</v>
      </c>
      <c r="C1515" s="362" t="s">
        <v>3980</v>
      </c>
      <c r="D1515" s="387">
        <v>584867380</v>
      </c>
      <c r="E1515" s="393">
        <v>43887</v>
      </c>
      <c r="J1515" s="384" t="s">
        <v>5521</v>
      </c>
      <c r="K1515" s="384" t="s">
        <v>5534</v>
      </c>
      <c r="L1515" s="374">
        <v>8345300</v>
      </c>
      <c r="M1515" s="375">
        <v>44000</v>
      </c>
    </row>
    <row r="1516" spans="1:13" x14ac:dyDescent="0.25">
      <c r="A1516" s="373"/>
      <c r="B1516" s="362" t="s">
        <v>4121</v>
      </c>
      <c r="C1516" s="362" t="s">
        <v>4085</v>
      </c>
      <c r="D1516" s="387">
        <v>97877000</v>
      </c>
      <c r="E1516" s="393">
        <v>43887</v>
      </c>
      <c r="J1516" s="384" t="s">
        <v>5560</v>
      </c>
      <c r="K1516" s="384" t="s">
        <v>5585</v>
      </c>
      <c r="L1516" s="374">
        <v>3128692</v>
      </c>
      <c r="M1516" s="375">
        <v>43978</v>
      </c>
    </row>
    <row r="1517" spans="1:13" x14ac:dyDescent="0.25">
      <c r="A1517" s="373"/>
      <c r="B1517" s="362" t="s">
        <v>4122</v>
      </c>
      <c r="C1517" s="362" t="s">
        <v>4078</v>
      </c>
      <c r="D1517" s="387">
        <v>146571381</v>
      </c>
      <c r="E1517" s="393">
        <v>43887</v>
      </c>
      <c r="J1517" s="384" t="s">
        <v>5561</v>
      </c>
      <c r="K1517" s="384" t="s">
        <v>5586</v>
      </c>
      <c r="L1517" s="374">
        <v>10972557</v>
      </c>
      <c r="M1517" s="375">
        <v>43978</v>
      </c>
    </row>
    <row r="1518" spans="1:13" x14ac:dyDescent="0.25">
      <c r="A1518" s="373"/>
      <c r="B1518" s="362" t="s">
        <v>4123</v>
      </c>
      <c r="C1518" s="362" t="s">
        <v>4075</v>
      </c>
      <c r="D1518" s="387">
        <v>763967767</v>
      </c>
      <c r="E1518" s="393">
        <v>43887</v>
      </c>
      <c r="J1518" s="384" t="s">
        <v>5562</v>
      </c>
      <c r="K1518" s="384" t="s">
        <v>5587</v>
      </c>
      <c r="L1518" s="374">
        <v>19874885</v>
      </c>
      <c r="M1518" s="375">
        <v>43978</v>
      </c>
    </row>
    <row r="1519" spans="1:13" x14ac:dyDescent="0.25">
      <c r="A1519" s="373"/>
      <c r="B1519" s="362" t="s">
        <v>4124</v>
      </c>
      <c r="C1519" s="362" t="s">
        <v>4125</v>
      </c>
      <c r="D1519" s="387">
        <v>68869660</v>
      </c>
      <c r="E1519" s="393">
        <v>43887</v>
      </c>
      <c r="J1519" s="384" t="s">
        <v>5563</v>
      </c>
      <c r="K1519" s="384" t="s">
        <v>5524</v>
      </c>
      <c r="L1519" s="374">
        <v>26248732</v>
      </c>
      <c r="M1519" s="375">
        <v>43978</v>
      </c>
    </row>
    <row r="1520" spans="1:13" x14ac:dyDescent="0.25">
      <c r="A1520" s="373"/>
      <c r="B1520" s="362" t="s">
        <v>4126</v>
      </c>
      <c r="C1520" s="362" t="s">
        <v>4043</v>
      </c>
      <c r="D1520" s="387">
        <v>439196320</v>
      </c>
      <c r="E1520" s="393">
        <v>43888</v>
      </c>
      <c r="J1520" s="384" t="s">
        <v>5564</v>
      </c>
      <c r="K1520" s="384" t="s">
        <v>5523</v>
      </c>
      <c r="L1520" s="374">
        <v>22564665</v>
      </c>
      <c r="M1520" s="375">
        <v>43978</v>
      </c>
    </row>
    <row r="1521" spans="1:13" x14ac:dyDescent="0.25">
      <c r="A1521" s="373"/>
      <c r="B1521" s="362" t="s">
        <v>4127</v>
      </c>
      <c r="C1521" s="362" t="s">
        <v>3974</v>
      </c>
      <c r="D1521" s="387">
        <v>1153004279</v>
      </c>
      <c r="E1521" s="393">
        <v>43888</v>
      </c>
      <c r="J1521" s="384" t="s">
        <v>5565</v>
      </c>
      <c r="K1521" s="384" t="s">
        <v>5588</v>
      </c>
      <c r="L1521" s="374">
        <v>33448990</v>
      </c>
      <c r="M1521" s="375">
        <v>43978</v>
      </c>
    </row>
    <row r="1522" spans="1:13" x14ac:dyDescent="0.25">
      <c r="A1522" s="373"/>
      <c r="B1522" s="362" t="s">
        <v>4128</v>
      </c>
      <c r="C1522" s="362" t="s">
        <v>4036</v>
      </c>
      <c r="D1522" s="387">
        <v>915005875</v>
      </c>
      <c r="E1522" s="393">
        <v>43888</v>
      </c>
      <c r="J1522" s="384" t="s">
        <v>5566</v>
      </c>
      <c r="K1522" s="384" t="s">
        <v>5589</v>
      </c>
      <c r="L1522" s="374">
        <v>15064891</v>
      </c>
      <c r="M1522" s="375">
        <v>43978</v>
      </c>
    </row>
    <row r="1523" spans="1:13" x14ac:dyDescent="0.25">
      <c r="A1523" s="373"/>
      <c r="B1523" s="362" t="s">
        <v>4129</v>
      </c>
      <c r="C1523" s="362" t="s">
        <v>4053</v>
      </c>
      <c r="D1523" s="387">
        <v>190452957</v>
      </c>
      <c r="E1523" s="393">
        <v>43888</v>
      </c>
      <c r="J1523" s="384" t="s">
        <v>5567</v>
      </c>
      <c r="K1523" s="384" t="s">
        <v>4604</v>
      </c>
      <c r="L1523" s="374">
        <v>58528380</v>
      </c>
      <c r="M1523" s="375">
        <v>43978</v>
      </c>
    </row>
    <row r="1524" spans="1:13" x14ac:dyDescent="0.25">
      <c r="A1524" s="373"/>
      <c r="B1524" s="362" t="s">
        <v>4130</v>
      </c>
      <c r="C1524" s="362" t="s">
        <v>4085</v>
      </c>
      <c r="D1524" s="387">
        <v>130502000</v>
      </c>
      <c r="E1524" s="393">
        <v>43888</v>
      </c>
      <c r="J1524" s="384" t="s">
        <v>5568</v>
      </c>
      <c r="K1524" s="384" t="s">
        <v>5590</v>
      </c>
      <c r="L1524" s="374">
        <v>14366381</v>
      </c>
      <c r="M1524" s="375">
        <v>43978</v>
      </c>
    </row>
    <row r="1525" spans="1:13" x14ac:dyDescent="0.25">
      <c r="A1525" s="373"/>
      <c r="B1525" s="362" t="s">
        <v>4131</v>
      </c>
      <c r="C1525" s="362" t="s">
        <v>4117</v>
      </c>
      <c r="D1525" s="387">
        <v>208802000</v>
      </c>
      <c r="E1525" s="393">
        <v>43888</v>
      </c>
      <c r="J1525" s="384" t="s">
        <v>5569</v>
      </c>
      <c r="K1525" s="384" t="s">
        <v>5120</v>
      </c>
      <c r="L1525" s="374">
        <v>24542076</v>
      </c>
      <c r="M1525" s="375">
        <v>43978</v>
      </c>
    </row>
    <row r="1526" spans="1:13" x14ac:dyDescent="0.25">
      <c r="A1526" s="373"/>
      <c r="B1526" s="362" t="s">
        <v>4132</v>
      </c>
      <c r="C1526" s="362" t="s">
        <v>4078</v>
      </c>
      <c r="D1526" s="387">
        <v>293335008</v>
      </c>
      <c r="E1526" s="393">
        <v>43888</v>
      </c>
      <c r="J1526" s="384" t="s">
        <v>5570</v>
      </c>
      <c r="K1526" s="384" t="s">
        <v>5121</v>
      </c>
      <c r="L1526" s="374">
        <v>22873286</v>
      </c>
      <c r="M1526" s="375">
        <v>43978</v>
      </c>
    </row>
    <row r="1527" spans="1:13" x14ac:dyDescent="0.25">
      <c r="A1527" s="373"/>
      <c r="B1527" s="362" t="s">
        <v>4133</v>
      </c>
      <c r="C1527" s="362" t="s">
        <v>4075</v>
      </c>
      <c r="D1527" s="387">
        <v>881377876</v>
      </c>
      <c r="E1527" s="393">
        <v>43888</v>
      </c>
      <c r="J1527" s="384" t="s">
        <v>5571</v>
      </c>
      <c r="K1527" s="384" t="s">
        <v>5591</v>
      </c>
      <c r="L1527" s="374">
        <v>135090571</v>
      </c>
      <c r="M1527" s="375">
        <v>43978</v>
      </c>
    </row>
    <row r="1528" spans="1:13" x14ac:dyDescent="0.25">
      <c r="A1528" s="373"/>
      <c r="B1528" s="362" t="s">
        <v>4134</v>
      </c>
      <c r="C1528" s="362" t="s">
        <v>4043</v>
      </c>
      <c r="D1528" s="387">
        <v>132468338</v>
      </c>
      <c r="E1528" s="393">
        <v>43888</v>
      </c>
      <c r="J1528" s="384" t="s">
        <v>5572</v>
      </c>
      <c r="K1528" s="384" t="s">
        <v>4220</v>
      </c>
      <c r="L1528" s="374">
        <v>6501997</v>
      </c>
      <c r="M1528" s="375">
        <v>43979</v>
      </c>
    </row>
    <row r="1529" spans="1:13" x14ac:dyDescent="0.25">
      <c r="A1529" s="373"/>
      <c r="B1529" s="362" t="s">
        <v>4135</v>
      </c>
      <c r="C1529" s="362" t="s">
        <v>4136</v>
      </c>
      <c r="D1529" s="387">
        <v>345836919</v>
      </c>
      <c r="E1529" s="393">
        <v>43889</v>
      </c>
      <c r="J1529" s="384" t="s">
        <v>5573</v>
      </c>
      <c r="K1529" s="384" t="s">
        <v>677</v>
      </c>
      <c r="L1529" s="374">
        <v>2508634</v>
      </c>
      <c r="M1529" s="375">
        <v>43979</v>
      </c>
    </row>
    <row r="1530" spans="1:13" x14ac:dyDescent="0.25">
      <c r="A1530" s="373"/>
      <c r="B1530" s="362" t="s">
        <v>4137</v>
      </c>
      <c r="C1530" s="362" t="s">
        <v>4036</v>
      </c>
      <c r="D1530" s="387">
        <v>1540682885</v>
      </c>
      <c r="E1530" s="393">
        <v>43889</v>
      </c>
      <c r="J1530" s="384" t="s">
        <v>5574</v>
      </c>
      <c r="K1530" s="384" t="s">
        <v>677</v>
      </c>
      <c r="L1530" s="374">
        <v>1813175</v>
      </c>
      <c r="M1530" s="375">
        <v>43979</v>
      </c>
    </row>
    <row r="1531" spans="1:13" x14ac:dyDescent="0.25">
      <c r="A1531" s="373"/>
      <c r="B1531" s="362" t="s">
        <v>4138</v>
      </c>
      <c r="C1531" s="362" t="s">
        <v>4139</v>
      </c>
      <c r="D1531" s="387">
        <v>155211977</v>
      </c>
      <c r="E1531" s="393">
        <v>43889</v>
      </c>
      <c r="J1531" s="384" t="s">
        <v>5575</v>
      </c>
      <c r="K1531" s="384" t="s">
        <v>5588</v>
      </c>
      <c r="L1531" s="374">
        <v>10515442</v>
      </c>
      <c r="M1531" s="375">
        <v>43984</v>
      </c>
    </row>
    <row r="1532" spans="1:13" x14ac:dyDescent="0.25">
      <c r="A1532" s="373"/>
      <c r="B1532" s="362" t="s">
        <v>4140</v>
      </c>
      <c r="C1532" s="362" t="s">
        <v>4085</v>
      </c>
      <c r="D1532" s="387">
        <v>208802000</v>
      </c>
      <c r="E1532" s="393">
        <v>43889</v>
      </c>
      <c r="J1532" s="384" t="s">
        <v>5576</v>
      </c>
      <c r="K1532" s="384" t="s">
        <v>5589</v>
      </c>
      <c r="L1532" s="374">
        <v>2928200</v>
      </c>
      <c r="M1532" s="375">
        <v>43984</v>
      </c>
    </row>
    <row r="1533" spans="1:13" x14ac:dyDescent="0.25">
      <c r="A1533" s="373"/>
      <c r="B1533" s="362" t="s">
        <v>4141</v>
      </c>
      <c r="C1533" s="362" t="s">
        <v>4087</v>
      </c>
      <c r="D1533" s="387">
        <v>77382800</v>
      </c>
      <c r="E1533" s="393">
        <v>43889</v>
      </c>
      <c r="J1533" s="384" t="s">
        <v>5577</v>
      </c>
      <c r="K1533" s="384" t="s">
        <v>4604</v>
      </c>
      <c r="L1533" s="374">
        <v>114439732</v>
      </c>
      <c r="M1533" s="375">
        <v>43984</v>
      </c>
    </row>
    <row r="1534" spans="1:13" x14ac:dyDescent="0.25">
      <c r="A1534" s="373"/>
      <c r="B1534" s="379" t="s">
        <v>3854</v>
      </c>
      <c r="C1534" s="389" t="s">
        <v>3810</v>
      </c>
      <c r="D1534" s="374">
        <v>233926401</v>
      </c>
      <c r="E1534" s="371">
        <v>43889</v>
      </c>
      <c r="J1534" s="384" t="s">
        <v>5578</v>
      </c>
      <c r="K1534" s="384" t="s">
        <v>388</v>
      </c>
      <c r="L1534" s="374"/>
      <c r="M1534" s="373"/>
    </row>
    <row r="1535" spans="1:13" x14ac:dyDescent="0.25">
      <c r="A1535" s="373"/>
      <c r="B1535" s="379" t="s">
        <v>3855</v>
      </c>
      <c r="C1535" s="389" t="s">
        <v>3799</v>
      </c>
      <c r="D1535" s="374">
        <v>106348483</v>
      </c>
      <c r="E1535" s="371">
        <v>43889</v>
      </c>
      <c r="J1535" s="384" t="s">
        <v>5579</v>
      </c>
      <c r="K1535" s="384" t="s">
        <v>388</v>
      </c>
      <c r="L1535" s="374"/>
      <c r="M1535" s="375"/>
    </row>
    <row r="1536" spans="1:13" x14ac:dyDescent="0.25">
      <c r="A1536" s="373"/>
      <c r="B1536" s="379" t="s">
        <v>3856</v>
      </c>
      <c r="C1536" s="389" t="s">
        <v>3900</v>
      </c>
      <c r="D1536" s="374">
        <v>400002000</v>
      </c>
      <c r="E1536" s="371">
        <v>43892</v>
      </c>
      <c r="J1536" s="384" t="s">
        <v>5580</v>
      </c>
      <c r="K1536" s="384" t="s">
        <v>5592</v>
      </c>
      <c r="L1536" s="374">
        <v>13351126</v>
      </c>
      <c r="M1536" s="375">
        <v>43984</v>
      </c>
    </row>
    <row r="1537" spans="1:13" x14ac:dyDescent="0.25">
      <c r="A1537" s="373"/>
      <c r="B1537" s="379" t="s">
        <v>3857</v>
      </c>
      <c r="C1537" s="389" t="s">
        <v>3901</v>
      </c>
      <c r="D1537" s="374">
        <v>17063035</v>
      </c>
      <c r="E1537" s="371">
        <v>43892</v>
      </c>
      <c r="J1537" s="384" t="s">
        <v>5581</v>
      </c>
      <c r="K1537" s="384" t="s">
        <v>5593</v>
      </c>
      <c r="L1537" s="374">
        <v>2928146</v>
      </c>
      <c r="M1537" s="375">
        <v>43999</v>
      </c>
    </row>
    <row r="1538" spans="1:13" x14ac:dyDescent="0.25">
      <c r="A1538" s="373"/>
      <c r="B1538" s="379" t="s">
        <v>3858</v>
      </c>
      <c r="C1538" s="389" t="s">
        <v>3902</v>
      </c>
      <c r="D1538" s="374">
        <v>389742974</v>
      </c>
      <c r="E1538" s="371">
        <v>43892</v>
      </c>
      <c r="J1538" s="384" t="s">
        <v>5582</v>
      </c>
      <c r="K1538" s="384" t="s">
        <v>5215</v>
      </c>
      <c r="L1538" s="374">
        <v>4897460</v>
      </c>
      <c r="M1538" s="375">
        <v>43984</v>
      </c>
    </row>
    <row r="1539" spans="1:13" x14ac:dyDescent="0.25">
      <c r="A1539" s="373"/>
      <c r="B1539" s="379" t="s">
        <v>3859</v>
      </c>
      <c r="C1539" s="389" t="s">
        <v>3903</v>
      </c>
      <c r="D1539" s="374">
        <v>387058232</v>
      </c>
      <c r="E1539" s="371">
        <v>43892</v>
      </c>
      <c r="J1539" s="384" t="s">
        <v>5583</v>
      </c>
      <c r="K1539" s="384" t="s">
        <v>5334</v>
      </c>
      <c r="L1539" s="374">
        <v>3386150</v>
      </c>
      <c r="M1539" s="375">
        <v>43984</v>
      </c>
    </row>
    <row r="1540" spans="1:13" x14ac:dyDescent="0.25">
      <c r="A1540" s="373"/>
      <c r="B1540" s="379" t="s">
        <v>3860</v>
      </c>
      <c r="C1540" s="389" t="s">
        <v>3904</v>
      </c>
      <c r="D1540" s="374">
        <v>536759500</v>
      </c>
      <c r="E1540" s="371">
        <v>43892</v>
      </c>
      <c r="J1540" s="384" t="s">
        <v>5584</v>
      </c>
      <c r="K1540" s="384" t="s">
        <v>5585</v>
      </c>
      <c r="L1540" s="374">
        <v>2008307</v>
      </c>
      <c r="M1540" s="375">
        <v>43984</v>
      </c>
    </row>
    <row r="1541" spans="1:13" x14ac:dyDescent="0.25">
      <c r="A1541" s="373"/>
      <c r="B1541" s="379" t="s">
        <v>3861</v>
      </c>
      <c r="C1541" s="389" t="s">
        <v>3810</v>
      </c>
      <c r="D1541" s="374">
        <v>107313797</v>
      </c>
      <c r="E1541" s="371">
        <v>43892</v>
      </c>
      <c r="J1541" s="384" t="s">
        <v>5628</v>
      </c>
      <c r="K1541" s="384" t="s">
        <v>5653</v>
      </c>
      <c r="L1541" s="374">
        <v>6655165</v>
      </c>
      <c r="M1541" s="375">
        <v>43984</v>
      </c>
    </row>
    <row r="1542" spans="1:13" x14ac:dyDescent="0.25">
      <c r="A1542" s="373"/>
      <c r="B1542" s="379" t="s">
        <v>3862</v>
      </c>
      <c r="C1542" s="389" t="s">
        <v>3814</v>
      </c>
      <c r="D1542" s="374">
        <v>364195643</v>
      </c>
      <c r="E1542" s="371">
        <v>43892</v>
      </c>
      <c r="J1542" s="384" t="s">
        <v>5629</v>
      </c>
      <c r="K1542" s="384" t="s">
        <v>5214</v>
      </c>
      <c r="L1542" s="374">
        <v>9933337</v>
      </c>
      <c r="M1542" s="375">
        <v>43984</v>
      </c>
    </row>
    <row r="1543" spans="1:13" x14ac:dyDescent="0.25">
      <c r="A1543" s="373"/>
      <c r="B1543" s="379" t="s">
        <v>3863</v>
      </c>
      <c r="C1543" s="389" t="s">
        <v>3905</v>
      </c>
      <c r="D1543" s="374">
        <v>51733274</v>
      </c>
      <c r="E1543" s="371">
        <v>43892</v>
      </c>
      <c r="J1543" s="384" t="s">
        <v>5630</v>
      </c>
      <c r="K1543" s="384" t="s">
        <v>5654</v>
      </c>
      <c r="L1543" s="374">
        <v>8763998</v>
      </c>
      <c r="M1543" s="375">
        <v>43984</v>
      </c>
    </row>
    <row r="1544" spans="1:13" x14ac:dyDescent="0.25">
      <c r="A1544" s="373"/>
      <c r="B1544" s="379" t="s">
        <v>3864</v>
      </c>
      <c r="C1544" s="389" t="s">
        <v>3906</v>
      </c>
      <c r="D1544" s="374">
        <v>400002000</v>
      </c>
      <c r="E1544" s="371">
        <v>43892</v>
      </c>
      <c r="J1544" s="384" t="s">
        <v>5631</v>
      </c>
      <c r="K1544" s="384" t="s">
        <v>5655</v>
      </c>
      <c r="L1544" s="374">
        <v>14991971</v>
      </c>
      <c r="M1544" s="375">
        <v>43984</v>
      </c>
    </row>
    <row r="1545" spans="1:13" x14ac:dyDescent="0.25">
      <c r="A1545" s="373"/>
      <c r="B1545" s="379" t="s">
        <v>3865</v>
      </c>
      <c r="C1545" s="389" t="s">
        <v>3907</v>
      </c>
      <c r="D1545" s="374">
        <v>395870947</v>
      </c>
      <c r="E1545" s="371">
        <v>43893</v>
      </c>
      <c r="J1545" s="384" t="s">
        <v>5632</v>
      </c>
      <c r="K1545" s="384" t="s">
        <v>5656</v>
      </c>
      <c r="L1545" s="374">
        <v>5832743</v>
      </c>
      <c r="M1545" s="375">
        <v>43984</v>
      </c>
    </row>
    <row r="1546" spans="1:13" x14ac:dyDescent="0.25">
      <c r="A1546" s="373"/>
      <c r="B1546" s="379" t="s">
        <v>3866</v>
      </c>
      <c r="C1546" s="389" t="s">
        <v>3805</v>
      </c>
      <c r="D1546" s="374">
        <v>345064590</v>
      </c>
      <c r="E1546" s="371">
        <v>43893</v>
      </c>
      <c r="J1546" s="384" t="s">
        <v>5633</v>
      </c>
      <c r="K1546" s="384" t="s">
        <v>5657</v>
      </c>
      <c r="L1546" s="374">
        <v>1025000</v>
      </c>
      <c r="M1546" s="375">
        <v>43984</v>
      </c>
    </row>
    <row r="1547" spans="1:13" x14ac:dyDescent="0.25">
      <c r="A1547" s="373"/>
      <c r="B1547" s="379" t="s">
        <v>3867</v>
      </c>
      <c r="C1547" s="389" t="s">
        <v>3814</v>
      </c>
      <c r="D1547" s="374">
        <v>355193219</v>
      </c>
      <c r="E1547" s="371">
        <v>43893</v>
      </c>
      <c r="J1547" s="384" t="s">
        <v>5634</v>
      </c>
      <c r="K1547" s="384" t="s">
        <v>5658</v>
      </c>
      <c r="L1547" s="374">
        <v>1795000</v>
      </c>
      <c r="M1547" s="375">
        <v>43984</v>
      </c>
    </row>
    <row r="1548" spans="1:13" x14ac:dyDescent="0.25">
      <c r="A1548" s="373"/>
      <c r="B1548" s="379" t="s">
        <v>3868</v>
      </c>
      <c r="C1548" s="389" t="s">
        <v>3816</v>
      </c>
      <c r="D1548" s="374">
        <v>249591703</v>
      </c>
      <c r="E1548" s="371">
        <v>43893</v>
      </c>
      <c r="J1548" s="384" t="s">
        <v>5635</v>
      </c>
      <c r="K1548" s="384" t="s">
        <v>5120</v>
      </c>
      <c r="L1548" s="374">
        <v>15083892</v>
      </c>
      <c r="M1548" s="375">
        <v>43984</v>
      </c>
    </row>
    <row r="1549" spans="1:13" x14ac:dyDescent="0.25">
      <c r="A1549" s="373"/>
      <c r="B1549" s="379" t="s">
        <v>3869</v>
      </c>
      <c r="C1549" s="389" t="s">
        <v>3908</v>
      </c>
      <c r="D1549" s="374">
        <v>13227000</v>
      </c>
      <c r="E1549" s="371">
        <v>43893</v>
      </c>
      <c r="J1549" s="384" t="s">
        <v>5636</v>
      </c>
      <c r="K1549" s="384" t="s">
        <v>5659</v>
      </c>
      <c r="L1549" s="374">
        <v>3900000</v>
      </c>
      <c r="M1549" s="375">
        <v>43985</v>
      </c>
    </row>
    <row r="1550" spans="1:13" x14ac:dyDescent="0.25">
      <c r="A1550" s="373"/>
      <c r="B1550" s="379" t="s">
        <v>3870</v>
      </c>
      <c r="C1550" s="389" t="s">
        <v>3810</v>
      </c>
      <c r="D1550" s="374">
        <v>156026370</v>
      </c>
      <c r="E1550" s="371">
        <v>43893</v>
      </c>
      <c r="J1550" s="384" t="s">
        <v>5637</v>
      </c>
      <c r="K1550" s="384" t="s">
        <v>5212</v>
      </c>
      <c r="L1550" s="374">
        <v>1320000</v>
      </c>
      <c r="M1550" s="375">
        <v>43985</v>
      </c>
    </row>
    <row r="1551" spans="1:13" x14ac:dyDescent="0.25">
      <c r="A1551" s="373"/>
      <c r="B1551" s="379" t="s">
        <v>3871</v>
      </c>
      <c r="C1551" s="389" t="s">
        <v>3811</v>
      </c>
      <c r="D1551" s="374">
        <v>460239452</v>
      </c>
      <c r="E1551" s="371">
        <v>43893</v>
      </c>
      <c r="J1551" s="384" t="s">
        <v>5638</v>
      </c>
      <c r="K1551" s="384" t="s">
        <v>388</v>
      </c>
      <c r="L1551" s="374"/>
      <c r="M1551" s="375"/>
    </row>
    <row r="1552" spans="1:13" x14ac:dyDescent="0.25">
      <c r="A1552" s="373"/>
      <c r="B1552" s="379" t="s">
        <v>3872</v>
      </c>
      <c r="C1552" s="389" t="s">
        <v>3806</v>
      </c>
      <c r="D1552" s="374">
        <v>392421599</v>
      </c>
      <c r="E1552" s="371">
        <v>43893</v>
      </c>
      <c r="J1552" s="384" t="s">
        <v>5639</v>
      </c>
      <c r="K1552" s="384" t="s">
        <v>5660</v>
      </c>
      <c r="L1552" s="374">
        <v>2499810</v>
      </c>
      <c r="M1552" s="375">
        <v>43985</v>
      </c>
    </row>
    <row r="1553" spans="1:13" x14ac:dyDescent="0.25">
      <c r="A1553" s="373"/>
      <c r="B1553" s="379" t="s">
        <v>3873</v>
      </c>
      <c r="C1553" s="389" t="s">
        <v>3909</v>
      </c>
      <c r="D1553" s="374">
        <v>35000000</v>
      </c>
      <c r="E1553" s="371">
        <v>43893</v>
      </c>
      <c r="J1553" s="384" t="s">
        <v>5640</v>
      </c>
      <c r="K1553" s="384" t="s">
        <v>5212</v>
      </c>
      <c r="L1553" s="374">
        <v>3448250</v>
      </c>
      <c r="M1553" s="375">
        <v>43986</v>
      </c>
    </row>
    <row r="1554" spans="1:13" x14ac:dyDescent="0.25">
      <c r="A1554" s="373"/>
      <c r="B1554" s="379" t="s">
        <v>3874</v>
      </c>
      <c r="C1554" s="389" t="s">
        <v>276</v>
      </c>
      <c r="D1554" s="374">
        <v>167534117</v>
      </c>
      <c r="E1554" s="371">
        <v>43894</v>
      </c>
      <c r="J1554" s="384" t="s">
        <v>5641</v>
      </c>
      <c r="K1554" s="384" t="s">
        <v>4600</v>
      </c>
      <c r="L1554" s="374">
        <v>7187250</v>
      </c>
      <c r="M1554" s="375">
        <v>43986</v>
      </c>
    </row>
    <row r="1555" spans="1:13" x14ac:dyDescent="0.25">
      <c r="A1555" s="373"/>
      <c r="B1555" s="379" t="s">
        <v>3875</v>
      </c>
      <c r="C1555" s="389" t="s">
        <v>3910</v>
      </c>
      <c r="D1555" s="374">
        <v>70661200</v>
      </c>
      <c r="E1555" s="371">
        <v>43894</v>
      </c>
      <c r="J1555" s="384" t="s">
        <v>5642</v>
      </c>
      <c r="K1555" s="384" t="s">
        <v>5531</v>
      </c>
      <c r="L1555" s="374">
        <v>2697000</v>
      </c>
      <c r="M1555" s="375">
        <v>43986</v>
      </c>
    </row>
    <row r="1556" spans="1:13" x14ac:dyDescent="0.25">
      <c r="A1556" s="373"/>
      <c r="B1556" s="379" t="s">
        <v>3876</v>
      </c>
      <c r="C1556" s="389" t="s">
        <v>3910</v>
      </c>
      <c r="D1556" s="374">
        <v>58791100</v>
      </c>
      <c r="E1556" s="371">
        <v>43894</v>
      </c>
      <c r="J1556" s="384" t="s">
        <v>5643</v>
      </c>
      <c r="K1556" s="384" t="s">
        <v>5661</v>
      </c>
      <c r="L1556" s="374">
        <v>14296250</v>
      </c>
      <c r="M1556" s="375">
        <v>43986</v>
      </c>
    </row>
    <row r="1557" spans="1:13" x14ac:dyDescent="0.25">
      <c r="A1557" s="373"/>
      <c r="B1557" s="379" t="s">
        <v>3877</v>
      </c>
      <c r="C1557" s="389" t="s">
        <v>3910</v>
      </c>
      <c r="D1557" s="374">
        <v>12606000</v>
      </c>
      <c r="E1557" s="371">
        <v>43894</v>
      </c>
      <c r="J1557" s="384" t="s">
        <v>5644</v>
      </c>
      <c r="K1557" s="384" t="s">
        <v>5596</v>
      </c>
      <c r="L1557" s="374">
        <v>13705000</v>
      </c>
      <c r="M1557" s="375">
        <v>43986</v>
      </c>
    </row>
    <row r="1558" spans="1:13" x14ac:dyDescent="0.25">
      <c r="A1558" s="373"/>
      <c r="B1558" s="379" t="s">
        <v>3878</v>
      </c>
      <c r="C1558" s="389" t="s">
        <v>3911</v>
      </c>
      <c r="D1558" s="374">
        <v>740909163</v>
      </c>
      <c r="E1558" s="371">
        <v>43894</v>
      </c>
      <c r="J1558" s="384" t="s">
        <v>5645</v>
      </c>
      <c r="K1558" s="384" t="s">
        <v>5208</v>
      </c>
      <c r="L1558" s="374">
        <v>3701250</v>
      </c>
      <c r="M1558" s="375">
        <v>43986</v>
      </c>
    </row>
    <row r="1559" spans="1:13" x14ac:dyDescent="0.25">
      <c r="A1559" s="373"/>
      <c r="B1559" s="362" t="s">
        <v>3879</v>
      </c>
      <c r="C1559" s="362" t="s">
        <v>4053</v>
      </c>
      <c r="D1559" s="387">
        <v>176107444</v>
      </c>
      <c r="E1559" s="371">
        <v>43894</v>
      </c>
      <c r="J1559" s="384" t="s">
        <v>5646</v>
      </c>
      <c r="K1559" s="384" t="s">
        <v>5595</v>
      </c>
      <c r="L1559" s="374">
        <v>6508000</v>
      </c>
      <c r="M1559" s="375">
        <v>43986</v>
      </c>
    </row>
    <row r="1560" spans="1:13" x14ac:dyDescent="0.25">
      <c r="A1560" s="373"/>
      <c r="B1560" s="362" t="s">
        <v>3880</v>
      </c>
      <c r="C1560" s="362" t="s">
        <v>4142</v>
      </c>
      <c r="D1560" s="387">
        <v>3067919160</v>
      </c>
      <c r="E1560" s="371">
        <v>43894</v>
      </c>
      <c r="J1560" s="384" t="s">
        <v>5647</v>
      </c>
      <c r="K1560" s="384" t="s">
        <v>5116</v>
      </c>
      <c r="L1560" s="374">
        <v>6834500</v>
      </c>
      <c r="M1560" s="375">
        <v>43986</v>
      </c>
    </row>
    <row r="1561" spans="1:13" x14ac:dyDescent="0.25">
      <c r="A1561" s="373"/>
      <c r="B1561" s="362" t="s">
        <v>3881</v>
      </c>
      <c r="C1561" s="362" t="s">
        <v>4053</v>
      </c>
      <c r="D1561" s="387">
        <v>226569413</v>
      </c>
      <c r="E1561" s="371">
        <v>43894</v>
      </c>
      <c r="J1561" s="384" t="s">
        <v>5648</v>
      </c>
      <c r="K1561" s="384" t="s">
        <v>4966</v>
      </c>
      <c r="L1561" s="374">
        <v>5704500</v>
      </c>
      <c r="M1561" s="375">
        <v>43986</v>
      </c>
    </row>
    <row r="1562" spans="1:13" x14ac:dyDescent="0.25">
      <c r="A1562" s="373"/>
      <c r="B1562" s="362" t="s">
        <v>3882</v>
      </c>
      <c r="C1562" s="362" t="s">
        <v>4143</v>
      </c>
      <c r="D1562" s="387">
        <v>105707000</v>
      </c>
      <c r="E1562" s="371">
        <v>43894</v>
      </c>
      <c r="J1562" s="384" t="s">
        <v>5649</v>
      </c>
      <c r="K1562" s="384" t="s">
        <v>5662</v>
      </c>
      <c r="L1562" s="374">
        <v>3780000</v>
      </c>
      <c r="M1562" s="375">
        <v>43986</v>
      </c>
    </row>
    <row r="1563" spans="1:13" x14ac:dyDescent="0.25">
      <c r="A1563" s="373"/>
      <c r="B1563" s="362" t="s">
        <v>3883</v>
      </c>
      <c r="C1563" s="362" t="s">
        <v>4060</v>
      </c>
      <c r="D1563" s="387">
        <v>99746088</v>
      </c>
      <c r="E1563" s="371">
        <v>43894</v>
      </c>
      <c r="J1563" s="384" t="s">
        <v>5650</v>
      </c>
      <c r="K1563" s="384" t="s">
        <v>5663</v>
      </c>
      <c r="L1563" s="374">
        <v>4366050</v>
      </c>
      <c r="M1563" s="375">
        <v>43986</v>
      </c>
    </row>
    <row r="1564" spans="1:13" x14ac:dyDescent="0.25">
      <c r="A1564" s="373"/>
      <c r="B1564" s="362" t="s">
        <v>3884</v>
      </c>
      <c r="C1564" s="362" t="s">
        <v>4043</v>
      </c>
      <c r="D1564" s="387">
        <v>781300324</v>
      </c>
      <c r="E1564" s="371">
        <v>43895</v>
      </c>
      <c r="J1564" s="384" t="s">
        <v>5651</v>
      </c>
      <c r="K1564" s="384" t="s">
        <v>5108</v>
      </c>
      <c r="L1564" s="374">
        <v>3631276</v>
      </c>
      <c r="M1564" s="375">
        <v>43998</v>
      </c>
    </row>
    <row r="1565" spans="1:13" x14ac:dyDescent="0.25">
      <c r="A1565" s="373"/>
      <c r="B1565" s="362" t="s">
        <v>3885</v>
      </c>
      <c r="C1565" s="362" t="s">
        <v>3974</v>
      </c>
      <c r="D1565" s="387">
        <v>882562806</v>
      </c>
      <c r="E1565" s="371">
        <v>43896</v>
      </c>
      <c r="J1565" s="384" t="s">
        <v>5652</v>
      </c>
      <c r="K1565" s="384" t="s">
        <v>5123</v>
      </c>
      <c r="L1565" s="374">
        <v>8838009</v>
      </c>
      <c r="M1565" s="375">
        <v>43998</v>
      </c>
    </row>
    <row r="1566" spans="1:13" x14ac:dyDescent="0.25">
      <c r="A1566" s="373"/>
      <c r="B1566" s="362" t="s">
        <v>3886</v>
      </c>
      <c r="C1566" s="362" t="s">
        <v>3976</v>
      </c>
      <c r="D1566" s="387"/>
      <c r="E1566" s="371">
        <v>43895</v>
      </c>
      <c r="J1566" s="384" t="s">
        <v>5594</v>
      </c>
      <c r="K1566" s="384" t="s">
        <v>4964</v>
      </c>
      <c r="L1566" s="374">
        <v>10890000</v>
      </c>
      <c r="M1566" s="375">
        <v>43987</v>
      </c>
    </row>
    <row r="1567" spans="1:13" x14ac:dyDescent="0.25">
      <c r="A1567" s="373"/>
      <c r="B1567" s="362" t="s">
        <v>3887</v>
      </c>
      <c r="C1567" s="362" t="s">
        <v>4119</v>
      </c>
      <c r="D1567" s="387">
        <v>289243500</v>
      </c>
      <c r="E1567" s="371">
        <v>43895</v>
      </c>
      <c r="J1567" s="384" t="s">
        <v>5604</v>
      </c>
      <c r="K1567" s="384" t="s">
        <v>5531</v>
      </c>
      <c r="L1567" s="374">
        <v>44347495</v>
      </c>
      <c r="M1567" s="375">
        <v>43987</v>
      </c>
    </row>
    <row r="1568" spans="1:13" x14ac:dyDescent="0.25">
      <c r="A1568" s="373"/>
      <c r="B1568" s="362" t="s">
        <v>3888</v>
      </c>
      <c r="C1568" s="362" t="s">
        <v>4142</v>
      </c>
      <c r="D1568" s="387">
        <v>740756768</v>
      </c>
      <c r="E1568" s="371">
        <v>43895</v>
      </c>
      <c r="J1568" s="384" t="s">
        <v>5605</v>
      </c>
      <c r="K1568" s="384" t="s">
        <v>5116</v>
      </c>
      <c r="L1568" s="374">
        <v>12720398</v>
      </c>
      <c r="M1568" s="375">
        <v>43987</v>
      </c>
    </row>
    <row r="1569" spans="1:13" x14ac:dyDescent="0.25">
      <c r="A1569" s="373"/>
      <c r="B1569" s="362" t="s">
        <v>3889</v>
      </c>
      <c r="C1569" s="362" t="s">
        <v>4055</v>
      </c>
      <c r="D1569" s="387">
        <v>1039723991</v>
      </c>
      <c r="E1569" s="371">
        <v>43895</v>
      </c>
      <c r="J1569" s="384" t="s">
        <v>5606</v>
      </c>
      <c r="K1569" s="384" t="s">
        <v>5595</v>
      </c>
      <c r="L1569" s="374">
        <v>4216920</v>
      </c>
      <c r="M1569" s="375">
        <v>43987</v>
      </c>
    </row>
    <row r="1570" spans="1:13" x14ac:dyDescent="0.25">
      <c r="A1570" s="373"/>
      <c r="B1570" s="362" t="s">
        <v>3890</v>
      </c>
      <c r="C1570" s="362" t="s">
        <v>4144</v>
      </c>
      <c r="D1570" s="387">
        <v>101319430</v>
      </c>
      <c r="E1570" s="371">
        <v>43895</v>
      </c>
      <c r="J1570" s="384" t="s">
        <v>5607</v>
      </c>
      <c r="K1570" s="384" t="s">
        <v>5596</v>
      </c>
      <c r="L1570" s="374">
        <v>19573402</v>
      </c>
      <c r="M1570" s="375">
        <v>43987</v>
      </c>
    </row>
    <row r="1571" spans="1:13" x14ac:dyDescent="0.25">
      <c r="A1571" s="373"/>
      <c r="B1571" s="362" t="s">
        <v>3891</v>
      </c>
      <c r="C1571" s="362" t="s">
        <v>3976</v>
      </c>
      <c r="D1571" s="387">
        <v>1172932627</v>
      </c>
      <c r="E1571" s="371">
        <v>43895</v>
      </c>
      <c r="J1571" s="384" t="s">
        <v>5608</v>
      </c>
      <c r="K1571" s="384" t="s">
        <v>5119</v>
      </c>
      <c r="L1571" s="374">
        <v>13091300</v>
      </c>
      <c r="M1571" s="375">
        <v>43997</v>
      </c>
    </row>
    <row r="1572" spans="1:13" x14ac:dyDescent="0.25">
      <c r="A1572" s="373"/>
      <c r="B1572" s="362" t="s">
        <v>3892</v>
      </c>
      <c r="C1572" s="362" t="s">
        <v>3974</v>
      </c>
      <c r="D1572" s="387">
        <v>183735526</v>
      </c>
      <c r="E1572" s="371">
        <v>43895</v>
      </c>
      <c r="J1572" s="384" t="s">
        <v>5609</v>
      </c>
      <c r="K1572" s="384" t="s">
        <v>5597</v>
      </c>
      <c r="L1572" s="374">
        <v>13723901</v>
      </c>
      <c r="M1572" s="375">
        <v>43997</v>
      </c>
    </row>
    <row r="1573" spans="1:13" x14ac:dyDescent="0.25">
      <c r="A1573" s="373"/>
      <c r="B1573" s="362" t="s">
        <v>3893</v>
      </c>
      <c r="C1573" s="362" t="s">
        <v>4055</v>
      </c>
      <c r="D1573" s="387">
        <v>225186524</v>
      </c>
      <c r="E1573" s="371">
        <v>43896</v>
      </c>
      <c r="J1573" s="384" t="s">
        <v>5610</v>
      </c>
      <c r="K1573" s="384" t="s">
        <v>5121</v>
      </c>
      <c r="L1573" s="374">
        <v>19399144</v>
      </c>
      <c r="M1573" s="375">
        <v>43997</v>
      </c>
    </row>
    <row r="1574" spans="1:13" x14ac:dyDescent="0.25">
      <c r="A1574" s="373"/>
      <c r="B1574" s="362" t="s">
        <v>3894</v>
      </c>
      <c r="C1574" s="362" t="s">
        <v>4053</v>
      </c>
      <c r="D1574" s="387">
        <v>528961812</v>
      </c>
      <c r="E1574" s="371">
        <v>43896</v>
      </c>
      <c r="J1574" s="384" t="s">
        <v>5611</v>
      </c>
      <c r="K1574" s="384" t="s">
        <v>4966</v>
      </c>
      <c r="L1574" s="374">
        <v>2768867</v>
      </c>
      <c r="M1574" s="375">
        <v>43987</v>
      </c>
    </row>
    <row r="1575" spans="1:13" x14ac:dyDescent="0.25">
      <c r="A1575" s="373"/>
      <c r="B1575" s="362" t="s">
        <v>3895</v>
      </c>
      <c r="C1575" s="362" t="s">
        <v>4085</v>
      </c>
      <c r="D1575" s="387">
        <v>94614500</v>
      </c>
      <c r="E1575" s="371">
        <v>43896</v>
      </c>
      <c r="J1575" s="384" t="s">
        <v>5612</v>
      </c>
      <c r="K1575" s="384" t="s">
        <v>4600</v>
      </c>
      <c r="L1575" s="374">
        <v>17878560</v>
      </c>
      <c r="M1575" s="375">
        <v>43987</v>
      </c>
    </row>
    <row r="1576" spans="1:13" x14ac:dyDescent="0.25">
      <c r="A1576" s="373"/>
      <c r="B1576" s="362" t="s">
        <v>3896</v>
      </c>
      <c r="C1576" s="362" t="s">
        <v>4145</v>
      </c>
      <c r="D1576" s="387">
        <v>314035000</v>
      </c>
      <c r="E1576" s="371">
        <v>43896</v>
      </c>
      <c r="J1576" s="384" t="s">
        <v>5613</v>
      </c>
      <c r="K1576" s="384" t="s">
        <v>5208</v>
      </c>
      <c r="L1576" s="374">
        <v>12125455</v>
      </c>
      <c r="M1576" s="375">
        <v>43987</v>
      </c>
    </row>
    <row r="1577" spans="1:13" x14ac:dyDescent="0.25">
      <c r="A1577" s="373"/>
      <c r="B1577" s="362" t="s">
        <v>3897</v>
      </c>
      <c r="C1577" s="362" t="s">
        <v>4075</v>
      </c>
      <c r="D1577" s="387">
        <v>684647591</v>
      </c>
      <c r="E1577" s="371">
        <v>43896</v>
      </c>
      <c r="J1577" s="384" t="s">
        <v>5614</v>
      </c>
      <c r="K1577" s="384" t="s">
        <v>5598</v>
      </c>
      <c r="L1577" s="374">
        <v>750000</v>
      </c>
      <c r="M1577" s="375">
        <v>43994</v>
      </c>
    </row>
    <row r="1578" spans="1:13" x14ac:dyDescent="0.25">
      <c r="A1578" s="373"/>
      <c r="B1578" s="362" t="s">
        <v>3898</v>
      </c>
      <c r="C1578" s="362" t="s">
        <v>4060</v>
      </c>
      <c r="D1578" s="387">
        <v>101109296</v>
      </c>
      <c r="E1578" s="371">
        <v>43896</v>
      </c>
      <c r="J1578" s="384" t="s">
        <v>5615</v>
      </c>
      <c r="K1578" s="384" t="s">
        <v>5599</v>
      </c>
      <c r="L1578" s="374">
        <v>78151975</v>
      </c>
      <c r="M1578" s="375">
        <v>43997</v>
      </c>
    </row>
    <row r="1579" spans="1:13" x14ac:dyDescent="0.25">
      <c r="A1579" s="373"/>
      <c r="B1579" s="362" t="s">
        <v>3899</v>
      </c>
      <c r="C1579" s="362" t="s">
        <v>4146</v>
      </c>
      <c r="D1579" s="387">
        <v>400002000</v>
      </c>
      <c r="E1579" s="371">
        <v>43896</v>
      </c>
      <c r="J1579" s="384" t="s">
        <v>5616</v>
      </c>
      <c r="K1579" s="384" t="s">
        <v>5600</v>
      </c>
      <c r="L1579" s="374">
        <v>25905500</v>
      </c>
      <c r="M1579" s="375">
        <v>43997</v>
      </c>
    </row>
    <row r="1580" spans="1:13" x14ac:dyDescent="0.25">
      <c r="A1580" s="373"/>
      <c r="B1580" s="362" t="s">
        <v>4147</v>
      </c>
      <c r="C1580" s="362" t="s">
        <v>3976</v>
      </c>
      <c r="D1580" s="387">
        <v>561109001</v>
      </c>
      <c r="E1580" s="371">
        <v>43896</v>
      </c>
      <c r="J1580" s="384" t="s">
        <v>5617</v>
      </c>
      <c r="K1580" s="384" t="s">
        <v>5601</v>
      </c>
      <c r="L1580" s="374">
        <v>1652000</v>
      </c>
      <c r="M1580" s="375">
        <v>43997</v>
      </c>
    </row>
    <row r="1581" spans="1:13" x14ac:dyDescent="0.25">
      <c r="A1581" s="373"/>
      <c r="B1581" s="362" t="s">
        <v>4148</v>
      </c>
      <c r="C1581" s="362" t="s">
        <v>3963</v>
      </c>
      <c r="D1581" s="387">
        <v>206202000</v>
      </c>
      <c r="E1581" s="371">
        <v>43896</v>
      </c>
      <c r="J1581" s="384" t="s">
        <v>5618</v>
      </c>
      <c r="K1581" s="384" t="s">
        <v>5602</v>
      </c>
      <c r="L1581" s="374">
        <v>2012000</v>
      </c>
      <c r="M1581" s="375">
        <v>43997</v>
      </c>
    </row>
    <row r="1582" spans="1:13" x14ac:dyDescent="0.25">
      <c r="A1582" s="373"/>
      <c r="B1582" s="362" t="s">
        <v>4149</v>
      </c>
      <c r="C1582" s="362" t="s">
        <v>3974</v>
      </c>
      <c r="D1582" s="387">
        <v>27291345</v>
      </c>
      <c r="E1582" s="371">
        <v>43896</v>
      </c>
      <c r="J1582" s="384" t="s">
        <v>5619</v>
      </c>
      <c r="K1582" s="384" t="s">
        <v>4604</v>
      </c>
      <c r="L1582" s="374">
        <v>37439875</v>
      </c>
      <c r="M1582" s="375">
        <v>43997</v>
      </c>
    </row>
    <row r="1583" spans="1:13" x14ac:dyDescent="0.25">
      <c r="A1583" s="373"/>
      <c r="B1583" s="362" t="s">
        <v>4150</v>
      </c>
      <c r="C1583" s="362" t="s">
        <v>4055</v>
      </c>
      <c r="D1583" s="387">
        <v>337341246</v>
      </c>
      <c r="E1583" s="371">
        <v>43896</v>
      </c>
      <c r="J1583" s="384" t="s">
        <v>5620</v>
      </c>
      <c r="K1583" s="384" t="s">
        <v>5120</v>
      </c>
      <c r="L1583" s="374">
        <v>17299353</v>
      </c>
      <c r="M1583" s="375">
        <v>43997</v>
      </c>
    </row>
    <row r="1584" spans="1:13" x14ac:dyDescent="0.25">
      <c r="A1584" s="373"/>
      <c r="B1584" s="362" t="s">
        <v>4151</v>
      </c>
      <c r="C1584" s="362" t="s">
        <v>4152</v>
      </c>
      <c r="D1584" s="387">
        <v>203907162</v>
      </c>
      <c r="E1584" s="371">
        <v>43903</v>
      </c>
      <c r="J1584" s="384" t="s">
        <v>5621</v>
      </c>
      <c r="K1584" s="384" t="s">
        <v>5118</v>
      </c>
      <c r="L1584" s="374">
        <v>33989924</v>
      </c>
      <c r="M1584" s="375">
        <v>43997</v>
      </c>
    </row>
    <row r="1585" spans="1:13" x14ac:dyDescent="0.25">
      <c r="A1585" s="373"/>
      <c r="B1585" s="362" t="s">
        <v>4153</v>
      </c>
      <c r="C1585" s="362" t="s">
        <v>3982</v>
      </c>
      <c r="D1585" s="387">
        <v>840820008</v>
      </c>
      <c r="E1585" s="371">
        <v>43903</v>
      </c>
      <c r="J1585" s="384" t="s">
        <v>5622</v>
      </c>
      <c r="K1585" s="384" t="s">
        <v>5603</v>
      </c>
      <c r="L1585" s="374">
        <v>3000000</v>
      </c>
      <c r="M1585" s="375">
        <v>43998</v>
      </c>
    </row>
    <row r="1586" spans="1:13" x14ac:dyDescent="0.25">
      <c r="A1586" s="373"/>
      <c r="B1586" s="362" t="s">
        <v>4154</v>
      </c>
      <c r="C1586" s="362" t="s">
        <v>4155</v>
      </c>
      <c r="D1586" s="387">
        <v>129993664</v>
      </c>
      <c r="E1586" s="371">
        <v>43906</v>
      </c>
      <c r="J1586" s="384" t="s">
        <v>5623</v>
      </c>
      <c r="K1586" s="384" t="s">
        <v>4600</v>
      </c>
      <c r="L1586" s="374">
        <v>17450704</v>
      </c>
      <c r="M1586" s="375">
        <v>43998</v>
      </c>
    </row>
    <row r="1587" spans="1:13" x14ac:dyDescent="0.25">
      <c r="A1587" s="373"/>
      <c r="B1587" s="362" t="s">
        <v>4156</v>
      </c>
      <c r="C1587" s="362" t="s">
        <v>4033</v>
      </c>
      <c r="D1587" s="387">
        <v>234830604</v>
      </c>
      <c r="E1587" s="371">
        <v>43903</v>
      </c>
      <c r="J1587" s="384" t="s">
        <v>5624</v>
      </c>
      <c r="K1587" s="384" t="s">
        <v>5109</v>
      </c>
      <c r="L1587" s="374">
        <v>24510398</v>
      </c>
      <c r="M1587" s="375">
        <v>43998</v>
      </c>
    </row>
    <row r="1588" spans="1:13" x14ac:dyDescent="0.25">
      <c r="A1588" s="373"/>
      <c r="B1588" s="362" t="s">
        <v>4157</v>
      </c>
      <c r="C1588" s="362" t="s">
        <v>3980</v>
      </c>
      <c r="D1588" s="387">
        <v>363267250</v>
      </c>
      <c r="E1588" s="371">
        <v>43902</v>
      </c>
      <c r="J1588" s="384" t="s">
        <v>5625</v>
      </c>
      <c r="K1588" s="384" t="s">
        <v>5524</v>
      </c>
      <c r="L1588" s="374">
        <v>59587933</v>
      </c>
      <c r="M1588" s="375">
        <v>43998</v>
      </c>
    </row>
    <row r="1589" spans="1:13" x14ac:dyDescent="0.25">
      <c r="A1589" s="373"/>
      <c r="B1589" s="362" t="s">
        <v>4158</v>
      </c>
      <c r="C1589" s="362" t="s">
        <v>3980</v>
      </c>
      <c r="D1589" s="387">
        <v>654523496</v>
      </c>
      <c r="E1589" s="371">
        <v>43906</v>
      </c>
      <c r="J1589" s="384" t="s">
        <v>5626</v>
      </c>
      <c r="K1589" s="384" t="s">
        <v>5525</v>
      </c>
      <c r="L1589" s="374">
        <v>25158499</v>
      </c>
      <c r="M1589" s="375">
        <v>43998</v>
      </c>
    </row>
    <row r="1590" spans="1:13" x14ac:dyDescent="0.25">
      <c r="A1590" s="373"/>
      <c r="B1590" s="362" t="s">
        <v>4159</v>
      </c>
      <c r="C1590" s="362" t="s">
        <v>4143</v>
      </c>
      <c r="D1590" s="387">
        <v>97877000</v>
      </c>
      <c r="E1590" s="371">
        <v>43906</v>
      </c>
      <c r="J1590" s="384" t="s">
        <v>5627</v>
      </c>
      <c r="K1590" s="384" t="s">
        <v>5242</v>
      </c>
      <c r="L1590" s="374">
        <v>31299368</v>
      </c>
      <c r="M1590" s="375">
        <v>43998</v>
      </c>
    </row>
    <row r="1591" spans="1:13" x14ac:dyDescent="0.25">
      <c r="A1591" s="373"/>
      <c r="B1591" s="362" t="s">
        <v>4160</v>
      </c>
      <c r="C1591" s="362" t="s">
        <v>4161</v>
      </c>
      <c r="D1591" s="387">
        <v>101743284</v>
      </c>
      <c r="E1591" s="371">
        <v>43906</v>
      </c>
      <c r="J1591" s="384" t="s">
        <v>5747</v>
      </c>
      <c r="K1591" s="384" t="s">
        <v>4964</v>
      </c>
      <c r="L1591" s="374">
        <v>6022475</v>
      </c>
      <c r="M1591" s="375">
        <v>44000</v>
      </c>
    </row>
    <row r="1592" spans="1:13" x14ac:dyDescent="0.25">
      <c r="A1592" s="373"/>
      <c r="B1592" s="362" t="s">
        <v>4162</v>
      </c>
      <c r="C1592" s="362" t="s">
        <v>4163</v>
      </c>
      <c r="D1592" s="387">
        <v>225094515</v>
      </c>
      <c r="E1592" s="371">
        <v>43906</v>
      </c>
      <c r="J1592" s="384" t="s">
        <v>5748</v>
      </c>
      <c r="K1592" s="384" t="s">
        <v>5772</v>
      </c>
      <c r="L1592" s="374">
        <v>465400</v>
      </c>
      <c r="M1592" s="375">
        <v>44000</v>
      </c>
    </row>
    <row r="1593" spans="1:13" x14ac:dyDescent="0.25">
      <c r="A1593" s="373"/>
      <c r="B1593" s="362" t="s">
        <v>4164</v>
      </c>
      <c r="C1593" s="362" t="s">
        <v>4165</v>
      </c>
      <c r="D1593" s="387">
        <v>548431542</v>
      </c>
      <c r="E1593" s="371">
        <v>43906</v>
      </c>
      <c r="J1593" s="384" t="s">
        <v>5749</v>
      </c>
      <c r="K1593" s="384" t="s">
        <v>5773</v>
      </c>
      <c r="L1593" s="374">
        <v>3900000</v>
      </c>
      <c r="M1593" s="375">
        <v>44001</v>
      </c>
    </row>
    <row r="1594" spans="1:13" x14ac:dyDescent="0.25">
      <c r="A1594" s="373"/>
      <c r="B1594" s="362" t="s">
        <v>4166</v>
      </c>
      <c r="C1594" s="362" t="s">
        <v>4043</v>
      </c>
      <c r="D1594" s="387">
        <v>41002700</v>
      </c>
      <c r="E1594" s="371">
        <v>43906</v>
      </c>
      <c r="J1594" s="384" t="s">
        <v>5750</v>
      </c>
      <c r="K1594" s="384" t="s">
        <v>5774</v>
      </c>
      <c r="L1594" s="374">
        <v>1622000</v>
      </c>
      <c r="M1594" s="375">
        <v>44001</v>
      </c>
    </row>
    <row r="1595" spans="1:13" x14ac:dyDescent="0.25">
      <c r="A1595" s="373"/>
      <c r="B1595" s="362" t="s">
        <v>4167</v>
      </c>
      <c r="C1595" s="362" t="s">
        <v>4055</v>
      </c>
      <c r="D1595" s="387">
        <v>237753606</v>
      </c>
      <c r="E1595" s="371">
        <v>43906</v>
      </c>
      <c r="J1595" s="384" t="s">
        <v>5751</v>
      </c>
      <c r="K1595" s="384" t="s">
        <v>5775</v>
      </c>
      <c r="L1595" s="374">
        <v>750000</v>
      </c>
      <c r="M1595" s="375">
        <v>44001</v>
      </c>
    </row>
    <row r="1596" spans="1:13" x14ac:dyDescent="0.25">
      <c r="A1596" s="373"/>
      <c r="B1596" s="362" t="s">
        <v>4168</v>
      </c>
      <c r="C1596" s="362" t="s">
        <v>4169</v>
      </c>
      <c r="D1596" s="387">
        <v>270690688</v>
      </c>
      <c r="E1596" s="371">
        <v>43906</v>
      </c>
      <c r="J1596" s="384" t="s">
        <v>5752</v>
      </c>
      <c r="K1596" s="384" t="s">
        <v>5776</v>
      </c>
      <c r="L1596" s="374">
        <v>22086970</v>
      </c>
      <c r="M1596" s="375">
        <v>44004</v>
      </c>
    </row>
    <row r="1597" spans="1:13" x14ac:dyDescent="0.25">
      <c r="A1597" s="373"/>
      <c r="B1597" s="362" t="s">
        <v>4170</v>
      </c>
      <c r="C1597" s="362" t="s">
        <v>3976</v>
      </c>
      <c r="D1597" s="387">
        <v>569362782</v>
      </c>
      <c r="E1597" s="371">
        <v>43906</v>
      </c>
      <c r="J1597" s="384" t="s">
        <v>5753</v>
      </c>
      <c r="K1597" s="384" t="s">
        <v>5777</v>
      </c>
      <c r="L1597" s="374">
        <v>7601100</v>
      </c>
      <c r="M1597" s="375">
        <v>44004</v>
      </c>
    </row>
    <row r="1598" spans="1:13" x14ac:dyDescent="0.25">
      <c r="A1598" s="373"/>
      <c r="B1598" s="362" t="s">
        <v>4171</v>
      </c>
      <c r="C1598" s="362" t="s">
        <v>4053</v>
      </c>
      <c r="D1598" s="387">
        <v>776805497</v>
      </c>
      <c r="E1598" s="371">
        <v>43906</v>
      </c>
      <c r="J1598" s="384" t="s">
        <v>5754</v>
      </c>
      <c r="K1598" s="384" t="s">
        <v>5778</v>
      </c>
      <c r="L1598" s="374">
        <v>42178881</v>
      </c>
      <c r="M1598" s="375">
        <v>44004</v>
      </c>
    </row>
    <row r="1599" spans="1:13" x14ac:dyDescent="0.25">
      <c r="A1599" s="373"/>
      <c r="B1599" s="362" t="s">
        <v>4172</v>
      </c>
      <c r="C1599" s="362" t="s">
        <v>4036</v>
      </c>
      <c r="D1599" s="387">
        <v>230681507</v>
      </c>
      <c r="E1599" s="371">
        <v>43906</v>
      </c>
      <c r="J1599" s="384" t="s">
        <v>5755</v>
      </c>
      <c r="K1599" s="384" t="s">
        <v>5779</v>
      </c>
      <c r="L1599" s="374">
        <v>34923502</v>
      </c>
      <c r="M1599" s="375">
        <v>44004</v>
      </c>
    </row>
    <row r="1600" spans="1:13" x14ac:dyDescent="0.25">
      <c r="A1600" s="373"/>
      <c r="B1600" s="362" t="s">
        <v>4173</v>
      </c>
      <c r="C1600" s="362" t="s">
        <v>4169</v>
      </c>
      <c r="D1600" s="387">
        <v>129363412</v>
      </c>
      <c r="E1600" s="371">
        <v>43906</v>
      </c>
      <c r="J1600" s="384" t="s">
        <v>5756</v>
      </c>
      <c r="K1600" s="384" t="s">
        <v>5780</v>
      </c>
      <c r="L1600" s="374">
        <v>11025967</v>
      </c>
      <c r="M1600" s="375">
        <v>44004</v>
      </c>
    </row>
    <row r="1601" spans="1:13" x14ac:dyDescent="0.25">
      <c r="A1601" s="373"/>
      <c r="B1601" s="362" t="s">
        <v>4174</v>
      </c>
      <c r="C1601" s="362" t="s">
        <v>3974</v>
      </c>
      <c r="D1601" s="387">
        <v>177544682</v>
      </c>
      <c r="E1601" s="371">
        <v>43907</v>
      </c>
      <c r="J1601" s="384" t="s">
        <v>5757</v>
      </c>
      <c r="K1601" s="384" t="s">
        <v>5781</v>
      </c>
      <c r="L1601" s="374">
        <v>24431236</v>
      </c>
      <c r="M1601" s="375">
        <v>44004</v>
      </c>
    </row>
    <row r="1602" spans="1:13" x14ac:dyDescent="0.25">
      <c r="A1602" s="373"/>
      <c r="B1602" s="362" t="s">
        <v>4175</v>
      </c>
      <c r="C1602" s="362" t="s">
        <v>4055</v>
      </c>
      <c r="D1602" s="387">
        <v>284732137</v>
      </c>
      <c r="E1602" s="371">
        <v>43907</v>
      </c>
      <c r="J1602" s="384" t="s">
        <v>5758</v>
      </c>
      <c r="K1602" s="384" t="s">
        <v>674</v>
      </c>
      <c r="L1602" s="374">
        <v>24436403</v>
      </c>
      <c r="M1602" s="375">
        <v>44004</v>
      </c>
    </row>
    <row r="1603" spans="1:13" x14ac:dyDescent="0.25">
      <c r="A1603" s="373"/>
      <c r="B1603" s="362" t="s">
        <v>4176</v>
      </c>
      <c r="C1603" s="362" t="s">
        <v>4043</v>
      </c>
      <c r="D1603" s="387">
        <v>678515444</v>
      </c>
      <c r="E1603" s="371">
        <v>43907</v>
      </c>
      <c r="J1603" s="384" t="s">
        <v>5759</v>
      </c>
      <c r="K1603" s="384" t="s">
        <v>5782</v>
      </c>
      <c r="L1603" s="374">
        <v>1002000</v>
      </c>
      <c r="M1603" s="375">
        <v>44005</v>
      </c>
    </row>
    <row r="1604" spans="1:13" x14ac:dyDescent="0.25">
      <c r="A1604" s="373"/>
      <c r="B1604" s="362" t="s">
        <v>4177</v>
      </c>
      <c r="C1604" s="362" t="s">
        <v>4109</v>
      </c>
      <c r="D1604" s="387">
        <v>62095992</v>
      </c>
      <c r="E1604" s="371">
        <v>43907</v>
      </c>
      <c r="J1604" s="384" t="s">
        <v>5760</v>
      </c>
      <c r="K1604" s="384" t="s">
        <v>5783</v>
      </c>
      <c r="L1604" s="374">
        <v>3577088</v>
      </c>
      <c r="M1604" s="375">
        <v>44005</v>
      </c>
    </row>
    <row r="1605" spans="1:13" x14ac:dyDescent="0.25">
      <c r="A1605" s="373"/>
      <c r="B1605" s="362" t="s">
        <v>4178</v>
      </c>
      <c r="C1605" s="362" t="s">
        <v>4179</v>
      </c>
      <c r="D1605" s="387">
        <v>469341182</v>
      </c>
      <c r="E1605" s="371">
        <v>43907</v>
      </c>
      <c r="J1605" s="384" t="s">
        <v>5761</v>
      </c>
      <c r="K1605" s="384" t="s">
        <v>5784</v>
      </c>
      <c r="L1605" s="374">
        <v>20721549</v>
      </c>
      <c r="M1605" s="375">
        <v>44005</v>
      </c>
    </row>
    <row r="1606" spans="1:13" x14ac:dyDescent="0.25">
      <c r="A1606" s="373"/>
      <c r="B1606" s="362" t="s">
        <v>4180</v>
      </c>
      <c r="C1606" s="362" t="s">
        <v>4075</v>
      </c>
      <c r="D1606" s="387">
        <v>877917814</v>
      </c>
      <c r="E1606" s="371">
        <v>43908</v>
      </c>
      <c r="J1606" s="384" t="s">
        <v>5762</v>
      </c>
      <c r="K1606" s="384" t="s">
        <v>5785</v>
      </c>
      <c r="L1606" s="374">
        <v>19762220</v>
      </c>
      <c r="M1606" s="375">
        <v>44005</v>
      </c>
    </row>
    <row r="1607" spans="1:13" x14ac:dyDescent="0.25">
      <c r="A1607" s="373"/>
      <c r="B1607" s="362" t="s">
        <v>4181</v>
      </c>
      <c r="C1607" s="362" t="s">
        <v>4078</v>
      </c>
      <c r="D1607" s="387">
        <v>271213211</v>
      </c>
      <c r="E1607" s="371">
        <v>43908</v>
      </c>
      <c r="J1607" s="384" t="s">
        <v>5763</v>
      </c>
      <c r="K1607" s="384" t="s">
        <v>5786</v>
      </c>
      <c r="L1607" s="374">
        <v>20049761</v>
      </c>
      <c r="M1607" s="375">
        <v>44005</v>
      </c>
    </row>
    <row r="1608" spans="1:13" x14ac:dyDescent="0.25">
      <c r="A1608" s="373"/>
      <c r="B1608" s="362" t="s">
        <v>4182</v>
      </c>
      <c r="C1608" s="362" t="s">
        <v>4152</v>
      </c>
      <c r="D1608" s="387">
        <v>312467639</v>
      </c>
      <c r="E1608" s="371">
        <v>43908</v>
      </c>
      <c r="J1608" s="384" t="s">
        <v>5764</v>
      </c>
      <c r="K1608" s="384" t="s">
        <v>5787</v>
      </c>
      <c r="L1608" s="374">
        <v>8303222</v>
      </c>
      <c r="M1608" s="375">
        <v>44005</v>
      </c>
    </row>
    <row r="1609" spans="1:13" x14ac:dyDescent="0.25">
      <c r="A1609" s="373"/>
      <c r="B1609" s="362" t="s">
        <v>4076</v>
      </c>
      <c r="C1609" s="362" t="s">
        <v>4075</v>
      </c>
      <c r="D1609" s="387">
        <v>566721630</v>
      </c>
      <c r="E1609" s="371">
        <v>43908</v>
      </c>
      <c r="J1609" s="384" t="s">
        <v>5765</v>
      </c>
      <c r="K1609" s="384" t="s">
        <v>5788</v>
      </c>
      <c r="L1609" s="374">
        <v>30247901</v>
      </c>
      <c r="M1609" s="375">
        <v>44005</v>
      </c>
    </row>
    <row r="1610" spans="1:13" x14ac:dyDescent="0.25">
      <c r="A1610" s="373"/>
      <c r="B1610" s="362" t="s">
        <v>4077</v>
      </c>
      <c r="C1610" s="362" t="s">
        <v>4078</v>
      </c>
      <c r="D1610" s="387">
        <v>239703287</v>
      </c>
      <c r="E1610" s="371">
        <v>43908</v>
      </c>
      <c r="J1610" s="384" t="s">
        <v>5766</v>
      </c>
      <c r="K1610" s="384" t="s">
        <v>1092</v>
      </c>
      <c r="L1610" s="374">
        <v>3200156</v>
      </c>
      <c r="M1610" s="375">
        <v>44005</v>
      </c>
    </row>
    <row r="1611" spans="1:13" x14ac:dyDescent="0.25">
      <c r="A1611" s="373"/>
      <c r="B1611" s="362" t="s">
        <v>4079</v>
      </c>
      <c r="C1611" s="362" t="s">
        <v>4075</v>
      </c>
      <c r="D1611" s="387">
        <v>1160455255</v>
      </c>
      <c r="E1611" s="371">
        <v>43908</v>
      </c>
      <c r="J1611" s="384" t="s">
        <v>5767</v>
      </c>
      <c r="K1611" s="384" t="s">
        <v>5784</v>
      </c>
      <c r="L1611" s="374">
        <v>20042549</v>
      </c>
      <c r="M1611" s="375">
        <v>44004</v>
      </c>
    </row>
    <row r="1612" spans="1:13" x14ac:dyDescent="0.25">
      <c r="A1612" s="373"/>
      <c r="B1612" s="362" t="s">
        <v>4080</v>
      </c>
      <c r="C1612" s="362" t="s">
        <v>4055</v>
      </c>
      <c r="D1612" s="387">
        <v>488759508</v>
      </c>
      <c r="E1612" s="371">
        <v>43908</v>
      </c>
      <c r="J1612" s="384" t="s">
        <v>5768</v>
      </c>
      <c r="K1612" s="384" t="s">
        <v>5789</v>
      </c>
      <c r="L1612" s="374">
        <v>11756738</v>
      </c>
      <c r="M1612" s="375">
        <v>44006</v>
      </c>
    </row>
    <row r="1613" spans="1:13" x14ac:dyDescent="0.25">
      <c r="A1613" s="373"/>
      <c r="B1613" s="362" t="s">
        <v>4081</v>
      </c>
      <c r="C1613" s="362" t="s">
        <v>4082</v>
      </c>
      <c r="D1613" s="387">
        <v>50102000</v>
      </c>
      <c r="E1613" s="371">
        <v>43909</v>
      </c>
      <c r="J1613" s="384" t="s">
        <v>5769</v>
      </c>
      <c r="K1613" s="384" t="s">
        <v>5790</v>
      </c>
      <c r="L1613" s="374">
        <v>1812116</v>
      </c>
      <c r="M1613" s="375">
        <v>44006</v>
      </c>
    </row>
    <row r="1614" spans="1:13" x14ac:dyDescent="0.25">
      <c r="A1614" s="373"/>
      <c r="B1614" s="362" t="s">
        <v>4083</v>
      </c>
      <c r="C1614" s="362" t="s">
        <v>4053</v>
      </c>
      <c r="D1614" s="387">
        <v>739677547</v>
      </c>
      <c r="E1614" s="371">
        <v>43909</v>
      </c>
      <c r="J1614" s="384" t="s">
        <v>5770</v>
      </c>
      <c r="K1614" s="384" t="s">
        <v>5791</v>
      </c>
      <c r="L1614" s="374">
        <v>7761200</v>
      </c>
      <c r="M1614" s="375">
        <v>44006</v>
      </c>
    </row>
    <row r="1615" spans="1:13" x14ac:dyDescent="0.25">
      <c r="A1615" s="373"/>
      <c r="B1615" s="362" t="s">
        <v>4084</v>
      </c>
      <c r="C1615" s="362" t="s">
        <v>4085</v>
      </c>
      <c r="D1615" s="387">
        <v>177808250</v>
      </c>
      <c r="E1615" s="371">
        <v>43909</v>
      </c>
      <c r="J1615" s="384" t="s">
        <v>5771</v>
      </c>
      <c r="K1615" s="384" t="s">
        <v>5792</v>
      </c>
      <c r="L1615" s="374">
        <v>2972000</v>
      </c>
      <c r="M1615" s="375">
        <v>44008</v>
      </c>
    </row>
    <row r="1616" spans="1:13" x14ac:dyDescent="0.25">
      <c r="A1616" s="373"/>
      <c r="B1616" s="362" t="s">
        <v>4086</v>
      </c>
      <c r="C1616" s="362" t="s">
        <v>4087</v>
      </c>
      <c r="D1616" s="387">
        <v>61906640</v>
      </c>
      <c r="E1616" s="371">
        <v>43909</v>
      </c>
      <c r="J1616" s="384" t="s">
        <v>5793</v>
      </c>
      <c r="K1616" s="384" t="s">
        <v>5818</v>
      </c>
      <c r="L1616" s="374">
        <v>11214500</v>
      </c>
      <c r="M1616" s="375">
        <v>44006</v>
      </c>
    </row>
    <row r="1617" spans="1:13" x14ac:dyDescent="0.25">
      <c r="A1617" s="373"/>
      <c r="B1617" s="362" t="s">
        <v>4088</v>
      </c>
      <c r="C1617" s="362" t="s">
        <v>4068</v>
      </c>
      <c r="D1617" s="387">
        <v>1125056411</v>
      </c>
      <c r="E1617" s="371">
        <v>43909</v>
      </c>
      <c r="J1617" s="384" t="s">
        <v>5794</v>
      </c>
      <c r="K1617" s="384" t="s">
        <v>5819</v>
      </c>
      <c r="L1617" s="374">
        <v>5899500</v>
      </c>
      <c r="M1617" s="375">
        <v>44006</v>
      </c>
    </row>
    <row r="1618" spans="1:13" x14ac:dyDescent="0.25">
      <c r="A1618" s="373"/>
      <c r="B1618" s="362" t="s">
        <v>4089</v>
      </c>
      <c r="C1618" s="362" t="s">
        <v>4055</v>
      </c>
      <c r="D1618" s="387">
        <v>963840434</v>
      </c>
      <c r="E1618" s="371">
        <v>43909</v>
      </c>
      <c r="J1618" s="384" t="s">
        <v>5795</v>
      </c>
      <c r="K1618" s="384" t="s">
        <v>5820</v>
      </c>
      <c r="L1618" s="374">
        <v>52965361</v>
      </c>
      <c r="M1618" s="375">
        <v>44007</v>
      </c>
    </row>
    <row r="1619" spans="1:13" x14ac:dyDescent="0.25">
      <c r="A1619" s="373"/>
      <c r="B1619" s="362" t="s">
        <v>4090</v>
      </c>
      <c r="C1619" s="362" t="s">
        <v>4036</v>
      </c>
      <c r="D1619" s="387">
        <v>1829567030</v>
      </c>
      <c r="E1619" s="371">
        <v>43909</v>
      </c>
      <c r="J1619" s="384" t="s">
        <v>5796</v>
      </c>
      <c r="K1619" s="384" t="s">
        <v>5821</v>
      </c>
      <c r="L1619" s="374">
        <v>2217048</v>
      </c>
      <c r="M1619" s="375">
        <v>44007</v>
      </c>
    </row>
    <row r="1620" spans="1:13" x14ac:dyDescent="0.25">
      <c r="A1620" s="373"/>
      <c r="B1620" s="362" t="s">
        <v>4091</v>
      </c>
      <c r="C1620" s="362" t="s">
        <v>4066</v>
      </c>
      <c r="D1620" s="387">
        <v>424389742</v>
      </c>
      <c r="E1620" s="371">
        <v>43910</v>
      </c>
      <c r="J1620" s="384" t="s">
        <v>5797</v>
      </c>
      <c r="K1620" s="384" t="s">
        <v>1146</v>
      </c>
      <c r="L1620" s="374">
        <v>21384000</v>
      </c>
      <c r="M1620" s="375">
        <v>44007</v>
      </c>
    </row>
    <row r="1621" spans="1:13" x14ac:dyDescent="0.25">
      <c r="A1621" s="373"/>
      <c r="B1621" s="362" t="s">
        <v>4092</v>
      </c>
      <c r="C1621" s="362" t="s">
        <v>4036</v>
      </c>
      <c r="D1621" s="387">
        <v>1081897663</v>
      </c>
      <c r="E1621" s="371">
        <v>43910</v>
      </c>
      <c r="J1621" s="384" t="s">
        <v>5798</v>
      </c>
      <c r="K1621" s="384" t="s">
        <v>5822</v>
      </c>
      <c r="L1621" s="374">
        <v>13259745</v>
      </c>
      <c r="M1621" s="375">
        <v>44007</v>
      </c>
    </row>
    <row r="1622" spans="1:13" x14ac:dyDescent="0.25">
      <c r="A1622" s="373"/>
      <c r="B1622" s="362" t="s">
        <v>4093</v>
      </c>
      <c r="C1622" s="362" t="s">
        <v>4094</v>
      </c>
      <c r="D1622" s="387">
        <v>105692992</v>
      </c>
      <c r="E1622" s="371">
        <v>43910</v>
      </c>
      <c r="J1622" s="384" t="s">
        <v>5799</v>
      </c>
      <c r="K1622" s="384" t="s">
        <v>5823</v>
      </c>
      <c r="L1622" s="374">
        <v>26243400</v>
      </c>
      <c r="M1622" s="375">
        <v>44007</v>
      </c>
    </row>
    <row r="1623" spans="1:13" x14ac:dyDescent="0.25">
      <c r="A1623" s="373"/>
      <c r="B1623" s="362" t="s">
        <v>4095</v>
      </c>
      <c r="C1623" s="362" t="s">
        <v>4078</v>
      </c>
      <c r="D1623" s="387">
        <v>213873167</v>
      </c>
      <c r="E1623" s="371">
        <v>43910</v>
      </c>
      <c r="J1623" s="384" t="s">
        <v>5800</v>
      </c>
      <c r="K1623" s="384" t="s">
        <v>5789</v>
      </c>
      <c r="L1623" s="374">
        <v>3990900</v>
      </c>
      <c r="M1623" s="375">
        <v>44007</v>
      </c>
    </row>
    <row r="1624" spans="1:13" x14ac:dyDescent="0.25">
      <c r="A1624" s="373"/>
      <c r="B1624" s="362" t="s">
        <v>4096</v>
      </c>
      <c r="C1624" s="362" t="s">
        <v>4043</v>
      </c>
      <c r="D1624" s="387">
        <v>549299500</v>
      </c>
      <c r="E1624" s="371">
        <v>43910</v>
      </c>
      <c r="J1624" s="384" t="s">
        <v>5801</v>
      </c>
      <c r="K1624" s="384" t="s">
        <v>5824</v>
      </c>
      <c r="L1624" s="374">
        <v>16121000</v>
      </c>
      <c r="M1624" s="375">
        <v>44007</v>
      </c>
    </row>
    <row r="1625" spans="1:13" x14ac:dyDescent="0.25">
      <c r="A1625" s="373"/>
      <c r="B1625" s="362" t="s">
        <v>4097</v>
      </c>
      <c r="C1625" s="362" t="s">
        <v>4098</v>
      </c>
      <c r="D1625" s="387">
        <v>4412278</v>
      </c>
      <c r="E1625" s="371">
        <v>43910</v>
      </c>
      <c r="J1625" s="384" t="s">
        <v>5802</v>
      </c>
      <c r="K1625" s="384" t="s">
        <v>5791</v>
      </c>
      <c r="L1625" s="374">
        <v>15498913</v>
      </c>
      <c r="M1625" s="375">
        <v>44008</v>
      </c>
    </row>
    <row r="1626" spans="1:13" x14ac:dyDescent="0.25">
      <c r="A1626" s="373"/>
      <c r="B1626" s="362" t="s">
        <v>4099</v>
      </c>
      <c r="C1626" s="362" t="s">
        <v>4055</v>
      </c>
      <c r="D1626" s="387">
        <v>1059462673</v>
      </c>
      <c r="E1626" s="371">
        <v>43910</v>
      </c>
      <c r="J1626" s="384" t="s">
        <v>5803</v>
      </c>
      <c r="K1626" s="384" t="s">
        <v>5818</v>
      </c>
      <c r="L1626" s="374">
        <v>14148179</v>
      </c>
      <c r="M1626" s="375">
        <v>44008</v>
      </c>
    </row>
    <row r="1627" spans="1:13" x14ac:dyDescent="0.25">
      <c r="A1627" s="373"/>
      <c r="B1627" s="362" t="s">
        <v>4100</v>
      </c>
      <c r="C1627" s="362" t="s">
        <v>4064</v>
      </c>
      <c r="D1627" s="387">
        <v>648785403</v>
      </c>
      <c r="E1627" s="371">
        <v>43910</v>
      </c>
      <c r="J1627" s="384" t="s">
        <v>5804</v>
      </c>
      <c r="K1627" s="384" t="s">
        <v>5819</v>
      </c>
      <c r="L1627" s="374">
        <v>4762000</v>
      </c>
      <c r="M1627" s="375">
        <v>44008</v>
      </c>
    </row>
    <row r="1628" spans="1:13" x14ac:dyDescent="0.25">
      <c r="A1628" s="373"/>
      <c r="B1628" s="362" t="s">
        <v>4101</v>
      </c>
      <c r="C1628" s="362" t="s">
        <v>4066</v>
      </c>
      <c r="D1628" s="387">
        <v>201231379</v>
      </c>
      <c r="E1628" s="371">
        <v>43910</v>
      </c>
      <c r="J1628" s="384" t="s">
        <v>5805</v>
      </c>
      <c r="K1628" s="384" t="s">
        <v>5820</v>
      </c>
      <c r="L1628" s="374">
        <v>1649800</v>
      </c>
      <c r="M1628" s="375">
        <v>44008</v>
      </c>
    </row>
    <row r="1629" spans="1:13" x14ac:dyDescent="0.25">
      <c r="A1629" s="373"/>
      <c r="B1629" s="362" t="s">
        <v>4102</v>
      </c>
      <c r="C1629" s="362" t="s">
        <v>4103</v>
      </c>
      <c r="D1629" s="387">
        <v>273272693</v>
      </c>
      <c r="E1629" s="371">
        <v>43910</v>
      </c>
      <c r="J1629" s="384" t="s">
        <v>5806</v>
      </c>
      <c r="K1629" s="384" t="s">
        <v>5823</v>
      </c>
      <c r="L1629" s="374">
        <v>1468400</v>
      </c>
      <c r="M1629" s="375">
        <v>44008</v>
      </c>
    </row>
    <row r="1630" spans="1:13" x14ac:dyDescent="0.25">
      <c r="A1630" s="373"/>
      <c r="B1630" s="362" t="s">
        <v>4104</v>
      </c>
      <c r="C1630" s="362" t="s">
        <v>4105</v>
      </c>
      <c r="D1630" s="387">
        <v>99850043</v>
      </c>
      <c r="E1630" s="371">
        <v>43910</v>
      </c>
      <c r="J1630" s="384" t="s">
        <v>5807</v>
      </c>
      <c r="K1630" s="384" t="s">
        <v>5825</v>
      </c>
      <c r="L1630" s="374">
        <v>1619300</v>
      </c>
      <c r="M1630" s="375">
        <v>44008</v>
      </c>
    </row>
    <row r="1631" spans="1:13" x14ac:dyDescent="0.25">
      <c r="A1631" s="373"/>
      <c r="B1631" s="362" t="s">
        <v>4106</v>
      </c>
      <c r="C1631" s="362" t="s">
        <v>4064</v>
      </c>
      <c r="D1631" s="387">
        <v>506930039</v>
      </c>
      <c r="E1631" s="371">
        <v>43913</v>
      </c>
      <c r="J1631" s="384" t="s">
        <v>5808</v>
      </c>
      <c r="K1631" s="384" t="s">
        <v>5826</v>
      </c>
      <c r="L1631" s="374">
        <v>11028800</v>
      </c>
      <c r="M1631" s="375">
        <v>44008</v>
      </c>
    </row>
    <row r="1632" spans="1:13" x14ac:dyDescent="0.25">
      <c r="A1632" s="373"/>
      <c r="B1632" s="362" t="s">
        <v>4107</v>
      </c>
      <c r="C1632" s="362" t="s">
        <v>4085</v>
      </c>
      <c r="D1632" s="387">
        <v>97877000</v>
      </c>
      <c r="E1632" s="371">
        <v>43913</v>
      </c>
      <c r="J1632" s="384" t="s">
        <v>5809</v>
      </c>
      <c r="K1632" s="384" t="s">
        <v>5789</v>
      </c>
      <c r="L1632" s="374">
        <v>17819194</v>
      </c>
      <c r="M1632" s="375">
        <v>44011</v>
      </c>
    </row>
    <row r="1633" spans="1:13" x14ac:dyDescent="0.25">
      <c r="A1633" s="373"/>
      <c r="B1633" s="362" t="s">
        <v>4108</v>
      </c>
      <c r="C1633" s="362" t="s">
        <v>4109</v>
      </c>
      <c r="D1633" s="387"/>
      <c r="E1633" s="371">
        <v>43913</v>
      </c>
      <c r="J1633" s="384" t="s">
        <v>5810</v>
      </c>
      <c r="K1633" s="384" t="s">
        <v>1118</v>
      </c>
      <c r="L1633" s="374">
        <v>16453699</v>
      </c>
      <c r="M1633" s="375">
        <v>44011</v>
      </c>
    </row>
    <row r="1634" spans="1:13" x14ac:dyDescent="0.25">
      <c r="B1634" s="384" t="s">
        <v>4767</v>
      </c>
      <c r="C1634" s="384" t="s">
        <v>4190</v>
      </c>
      <c r="D1634" s="374">
        <v>161049748</v>
      </c>
      <c r="E1634" s="393">
        <v>43901</v>
      </c>
      <c r="J1634" s="384" t="s">
        <v>5811</v>
      </c>
      <c r="K1634" s="384" t="s">
        <v>5827</v>
      </c>
      <c r="L1634" s="374">
        <v>21610519</v>
      </c>
      <c r="M1634" s="375">
        <v>44011</v>
      </c>
    </row>
    <row r="1635" spans="1:13" x14ac:dyDescent="0.25">
      <c r="B1635" s="384" t="s">
        <v>4768</v>
      </c>
      <c r="C1635" s="384" t="s">
        <v>4087</v>
      </c>
      <c r="D1635" s="374">
        <v>79936366</v>
      </c>
      <c r="E1635" s="393">
        <v>43901</v>
      </c>
      <c r="J1635" s="384" t="s">
        <v>5812</v>
      </c>
      <c r="K1635" s="384" t="s">
        <v>5828</v>
      </c>
      <c r="L1635" s="374">
        <v>7054598</v>
      </c>
      <c r="M1635" s="375">
        <v>44011</v>
      </c>
    </row>
    <row r="1636" spans="1:13" x14ac:dyDescent="0.25">
      <c r="B1636" s="384" t="s">
        <v>4769</v>
      </c>
      <c r="C1636" s="384" t="s">
        <v>4085</v>
      </c>
      <c r="D1636" s="374">
        <v>104402000</v>
      </c>
      <c r="E1636" s="393">
        <v>43901</v>
      </c>
      <c r="J1636" s="384" t="s">
        <v>5813</v>
      </c>
      <c r="K1636" s="384" t="s">
        <v>5829</v>
      </c>
      <c r="L1636" s="374">
        <v>7154030</v>
      </c>
      <c r="M1636" s="375">
        <v>44011</v>
      </c>
    </row>
    <row r="1637" spans="1:13" x14ac:dyDescent="0.25">
      <c r="B1637" s="384" t="s">
        <v>4770</v>
      </c>
      <c r="C1637" s="384" t="s">
        <v>4379</v>
      </c>
      <c r="D1637" s="374">
        <v>100584980</v>
      </c>
      <c r="E1637" s="393">
        <v>43901</v>
      </c>
      <c r="J1637" s="384" t="s">
        <v>5814</v>
      </c>
      <c r="K1637" s="384" t="s">
        <v>5830</v>
      </c>
      <c r="L1637" s="374">
        <v>15014198</v>
      </c>
      <c r="M1637" s="375">
        <v>44011</v>
      </c>
    </row>
    <row r="1638" spans="1:13" x14ac:dyDescent="0.25">
      <c r="B1638" s="384" t="s">
        <v>4771</v>
      </c>
      <c r="C1638" s="384" t="s">
        <v>4163</v>
      </c>
      <c r="D1638" s="374">
        <v>145155534</v>
      </c>
      <c r="E1638" s="393">
        <v>43901</v>
      </c>
      <c r="J1638" s="384" t="s">
        <v>5815</v>
      </c>
      <c r="K1638" s="384" t="s">
        <v>5831</v>
      </c>
      <c r="L1638" s="374">
        <v>132495967</v>
      </c>
      <c r="M1638" s="375">
        <v>44011</v>
      </c>
    </row>
    <row r="1639" spans="1:13" x14ac:dyDescent="0.25">
      <c r="B1639" s="384" t="s">
        <v>4772</v>
      </c>
      <c r="C1639" s="384" t="s">
        <v>4033</v>
      </c>
      <c r="D1639" s="374">
        <v>161324484</v>
      </c>
      <c r="E1639" s="393">
        <v>43901</v>
      </c>
      <c r="J1639" s="384" t="s">
        <v>5816</v>
      </c>
      <c r="K1639" s="384" t="s">
        <v>5215</v>
      </c>
      <c r="L1639" s="374">
        <v>10953238</v>
      </c>
      <c r="M1639" s="375">
        <v>44012</v>
      </c>
    </row>
    <row r="1640" spans="1:13" x14ac:dyDescent="0.25">
      <c r="B1640" s="384" t="s">
        <v>4773</v>
      </c>
      <c r="C1640" s="384" t="s">
        <v>4792</v>
      </c>
      <c r="D1640" s="374">
        <v>128976241</v>
      </c>
      <c r="E1640" s="393">
        <v>43901</v>
      </c>
      <c r="J1640" s="384" t="s">
        <v>5817</v>
      </c>
      <c r="K1640" s="384" t="s">
        <v>5783</v>
      </c>
      <c r="L1640" s="374">
        <v>5304970</v>
      </c>
      <c r="M1640" s="375">
        <v>44012</v>
      </c>
    </row>
    <row r="1641" spans="1:13" x14ac:dyDescent="0.25">
      <c r="B1641" s="384" t="s">
        <v>4774</v>
      </c>
      <c r="C1641" s="384" t="s">
        <v>4117</v>
      </c>
      <c r="D1641" s="374">
        <v>208802000</v>
      </c>
      <c r="E1641" s="393">
        <v>43901</v>
      </c>
      <c r="J1641" s="384" t="s">
        <v>5865</v>
      </c>
      <c r="K1641" s="384" t="s">
        <v>5890</v>
      </c>
      <c r="L1641" s="374">
        <v>3810750</v>
      </c>
      <c r="M1641" s="375">
        <v>44020</v>
      </c>
    </row>
    <row r="1642" spans="1:13" x14ac:dyDescent="0.25">
      <c r="B1642" s="384" t="s">
        <v>4775</v>
      </c>
      <c r="C1642" s="384" t="s">
        <v>388</v>
      </c>
      <c r="D1642" s="374"/>
      <c r="E1642" s="393"/>
      <c r="J1642" s="384" t="s">
        <v>5866</v>
      </c>
      <c r="K1642" s="384" t="s">
        <v>5891</v>
      </c>
      <c r="L1642" s="374">
        <v>25002000</v>
      </c>
      <c r="M1642" s="375">
        <v>44020</v>
      </c>
    </row>
    <row r="1643" spans="1:13" x14ac:dyDescent="0.25">
      <c r="B1643" s="384" t="s">
        <v>4776</v>
      </c>
      <c r="C1643" s="384" t="s">
        <v>4055</v>
      </c>
      <c r="D1643" s="374">
        <v>212856537</v>
      </c>
      <c r="E1643" s="393">
        <v>43901</v>
      </c>
      <c r="J1643" s="384" t="s">
        <v>5867</v>
      </c>
      <c r="K1643" s="384" t="s">
        <v>677</v>
      </c>
      <c r="L1643" s="374">
        <v>1035908</v>
      </c>
      <c r="M1643" s="375">
        <v>44021</v>
      </c>
    </row>
    <row r="1644" spans="1:13" x14ac:dyDescent="0.25">
      <c r="B1644" s="384" t="s">
        <v>4777</v>
      </c>
      <c r="C1644" s="384" t="s">
        <v>4036</v>
      </c>
      <c r="D1644" s="374">
        <v>1846300832</v>
      </c>
      <c r="E1644" s="393">
        <v>43901</v>
      </c>
      <c r="J1644" s="384" t="s">
        <v>5868</v>
      </c>
      <c r="K1644" s="384" t="s">
        <v>5892</v>
      </c>
      <c r="L1644" s="374">
        <v>67919953</v>
      </c>
      <c r="M1644" s="375">
        <v>44022</v>
      </c>
    </row>
    <row r="1645" spans="1:13" x14ac:dyDescent="0.25">
      <c r="B1645" s="384" t="s">
        <v>4778</v>
      </c>
      <c r="C1645" s="384" t="s">
        <v>4087</v>
      </c>
      <c r="D1645" s="374">
        <v>38692400</v>
      </c>
      <c r="E1645" s="561">
        <v>43902</v>
      </c>
      <c r="J1645" s="384" t="s">
        <v>5869</v>
      </c>
      <c r="K1645" s="384" t="s">
        <v>5893</v>
      </c>
      <c r="L1645" s="374">
        <v>10802900</v>
      </c>
      <c r="M1645" s="375">
        <v>44022</v>
      </c>
    </row>
    <row r="1646" spans="1:13" x14ac:dyDescent="0.25">
      <c r="B1646" s="384" t="s">
        <v>4779</v>
      </c>
      <c r="C1646" s="384" t="s">
        <v>3980</v>
      </c>
      <c r="D1646" s="374">
        <v>243153954</v>
      </c>
      <c r="E1646" s="561">
        <v>43902</v>
      </c>
      <c r="J1646" s="384" t="s">
        <v>5870</v>
      </c>
      <c r="K1646" s="384" t="s">
        <v>5894</v>
      </c>
      <c r="L1646" s="374">
        <v>1365900</v>
      </c>
      <c r="M1646" s="375">
        <v>44022</v>
      </c>
    </row>
    <row r="1647" spans="1:13" x14ac:dyDescent="0.25">
      <c r="B1647" s="384" t="s">
        <v>4780</v>
      </c>
      <c r="C1647" s="384" t="s">
        <v>388</v>
      </c>
      <c r="D1647" s="374"/>
      <c r="E1647" s="393"/>
      <c r="J1647" s="384" t="s">
        <v>5871</v>
      </c>
      <c r="K1647" s="384" t="s">
        <v>5782</v>
      </c>
      <c r="L1647" s="374">
        <v>24594397</v>
      </c>
      <c r="M1647" s="375">
        <v>44025</v>
      </c>
    </row>
    <row r="1648" spans="1:13" x14ac:dyDescent="0.25">
      <c r="B1648" s="384" t="s">
        <v>4781</v>
      </c>
      <c r="C1648" s="384" t="s">
        <v>4078</v>
      </c>
      <c r="D1648" s="374">
        <v>137535191</v>
      </c>
      <c r="E1648" s="561">
        <v>43902</v>
      </c>
      <c r="J1648" s="384" t="s">
        <v>5872</v>
      </c>
      <c r="K1648" s="384" t="s">
        <v>5777</v>
      </c>
      <c r="L1648" s="374">
        <v>8329523</v>
      </c>
      <c r="M1648" s="375">
        <v>44025</v>
      </c>
    </row>
    <row r="1649" spans="1:13" x14ac:dyDescent="0.25">
      <c r="B1649" s="384" t="s">
        <v>4782</v>
      </c>
      <c r="C1649" s="384" t="s">
        <v>4075</v>
      </c>
      <c r="D1649" s="374">
        <v>323479620</v>
      </c>
      <c r="E1649" s="561">
        <v>43902</v>
      </c>
      <c r="J1649" s="384" t="s">
        <v>5873</v>
      </c>
      <c r="K1649" s="384" t="s">
        <v>5778</v>
      </c>
      <c r="L1649" s="374">
        <v>37508439</v>
      </c>
      <c r="M1649" s="375">
        <v>44025</v>
      </c>
    </row>
    <row r="1650" spans="1:13" x14ac:dyDescent="0.25">
      <c r="B1650" s="384" t="s">
        <v>4783</v>
      </c>
      <c r="C1650" s="384" t="s">
        <v>4043</v>
      </c>
      <c r="D1650" s="374">
        <v>145799612</v>
      </c>
      <c r="E1650" s="561">
        <v>43902</v>
      </c>
      <c r="J1650" s="384" t="s">
        <v>5874</v>
      </c>
      <c r="K1650" s="384" t="s">
        <v>5895</v>
      </c>
      <c r="L1650" s="374">
        <v>14939242</v>
      </c>
      <c r="M1650" s="375">
        <v>44025</v>
      </c>
    </row>
    <row r="1651" spans="1:13" x14ac:dyDescent="0.25">
      <c r="B1651" s="384" t="s">
        <v>4784</v>
      </c>
      <c r="C1651" s="384" t="s">
        <v>4036</v>
      </c>
      <c r="D1651" s="374">
        <v>1316844812</v>
      </c>
      <c r="E1651" s="561">
        <v>43902</v>
      </c>
      <c r="J1651" s="384" t="s">
        <v>5875</v>
      </c>
      <c r="K1651" s="384" t="s">
        <v>5896</v>
      </c>
      <c r="L1651" s="374">
        <v>15769143</v>
      </c>
      <c r="M1651" s="375">
        <v>44025</v>
      </c>
    </row>
    <row r="1652" spans="1:13" x14ac:dyDescent="0.25">
      <c r="B1652" s="384" t="s">
        <v>4785</v>
      </c>
      <c r="C1652" s="384" t="s">
        <v>4055</v>
      </c>
      <c r="D1652" s="374">
        <v>208200819</v>
      </c>
      <c r="E1652" s="393">
        <v>43874</v>
      </c>
      <c r="J1652" s="384" t="s">
        <v>5876</v>
      </c>
      <c r="K1652" s="384" t="s">
        <v>5781</v>
      </c>
      <c r="L1652" s="374">
        <v>14149886</v>
      </c>
      <c r="M1652" s="375">
        <v>44025</v>
      </c>
    </row>
    <row r="1653" spans="1:13" x14ac:dyDescent="0.25">
      <c r="B1653" s="384" t="s">
        <v>4786</v>
      </c>
      <c r="C1653" s="384" t="s">
        <v>4057</v>
      </c>
      <c r="D1653" s="374">
        <v>119318300</v>
      </c>
      <c r="E1653" s="393">
        <v>43874</v>
      </c>
      <c r="J1653" s="384" t="s">
        <v>5877</v>
      </c>
      <c r="K1653" s="384" t="s">
        <v>5600</v>
      </c>
      <c r="L1653" s="374">
        <v>25367500</v>
      </c>
      <c r="M1653" s="375">
        <v>44025</v>
      </c>
    </row>
    <row r="1654" spans="1:13" x14ac:dyDescent="0.25">
      <c r="B1654" s="384" t="s">
        <v>4787</v>
      </c>
      <c r="C1654" s="384" t="s">
        <v>4117</v>
      </c>
      <c r="D1654" s="374">
        <v>212802000</v>
      </c>
      <c r="E1654" s="393">
        <v>43874</v>
      </c>
      <c r="J1654" s="384" t="s">
        <v>5878</v>
      </c>
      <c r="K1654" s="384" t="s">
        <v>5897</v>
      </c>
      <c r="L1654" s="374">
        <v>1538000</v>
      </c>
      <c r="M1654" s="375">
        <v>44025</v>
      </c>
    </row>
    <row r="1655" spans="1:13" x14ac:dyDescent="0.25">
      <c r="B1655" s="384" t="s">
        <v>4788</v>
      </c>
      <c r="C1655" s="384" t="s">
        <v>4117</v>
      </c>
      <c r="D1655" s="374">
        <v>208802000</v>
      </c>
      <c r="E1655" s="393">
        <v>43874</v>
      </c>
      <c r="J1655" s="384" t="s">
        <v>5879</v>
      </c>
      <c r="K1655" s="384" t="s">
        <v>5784</v>
      </c>
      <c r="L1655" s="374">
        <v>25792830</v>
      </c>
      <c r="M1655" s="375">
        <v>44026</v>
      </c>
    </row>
    <row r="1656" spans="1:13" x14ac:dyDescent="0.25">
      <c r="B1656" s="384" t="s">
        <v>4789</v>
      </c>
      <c r="C1656" s="384" t="s">
        <v>4109</v>
      </c>
      <c r="D1656" s="374">
        <v>110386914</v>
      </c>
      <c r="E1656" s="393">
        <v>43874</v>
      </c>
      <c r="J1656" s="384" t="s">
        <v>5880</v>
      </c>
      <c r="K1656" s="384" t="s">
        <v>5783</v>
      </c>
      <c r="L1656" s="374">
        <v>9062111</v>
      </c>
      <c r="M1656" s="375">
        <v>44026</v>
      </c>
    </row>
    <row r="1657" spans="1:13" x14ac:dyDescent="0.25">
      <c r="B1657" s="384" t="s">
        <v>4790</v>
      </c>
      <c r="C1657" s="384" t="s">
        <v>4033</v>
      </c>
      <c r="D1657" s="374">
        <v>119941010</v>
      </c>
      <c r="E1657" s="393">
        <v>43903</v>
      </c>
      <c r="J1657" s="384" t="s">
        <v>5881</v>
      </c>
      <c r="K1657" s="384" t="s">
        <v>5898</v>
      </c>
      <c r="L1657" s="374">
        <v>16478751</v>
      </c>
      <c r="M1657" s="375">
        <v>44026</v>
      </c>
    </row>
    <row r="1658" spans="1:13" x14ac:dyDescent="0.25">
      <c r="B1658" s="384" t="s">
        <v>4791</v>
      </c>
      <c r="C1658" s="384" t="s">
        <v>4053</v>
      </c>
      <c r="D1658" s="374">
        <v>181622256</v>
      </c>
      <c r="E1658" s="393">
        <v>43903</v>
      </c>
      <c r="J1658" s="384" t="s">
        <v>5882</v>
      </c>
      <c r="K1658" s="384" t="s">
        <v>5786</v>
      </c>
      <c r="L1658" s="374">
        <v>26310474</v>
      </c>
      <c r="M1658" s="375">
        <v>44026</v>
      </c>
    </row>
    <row r="1659" spans="1:13" x14ac:dyDescent="0.25">
      <c r="A1659" s="373"/>
      <c r="B1659" s="362" t="s">
        <v>4032</v>
      </c>
      <c r="C1659" s="362" t="s">
        <v>4033</v>
      </c>
      <c r="D1659" s="387">
        <v>359179852</v>
      </c>
      <c r="E1659" s="396">
        <v>43913</v>
      </c>
      <c r="J1659" s="384" t="s">
        <v>5883</v>
      </c>
      <c r="K1659" s="384" t="s">
        <v>5788</v>
      </c>
      <c r="L1659" s="374">
        <v>28117446</v>
      </c>
      <c r="M1659" s="375">
        <v>44026</v>
      </c>
    </row>
    <row r="1660" spans="1:13" x14ac:dyDescent="0.25">
      <c r="A1660" s="373"/>
      <c r="B1660" s="362" t="s">
        <v>4034</v>
      </c>
      <c r="C1660" s="362" t="s">
        <v>3982</v>
      </c>
      <c r="D1660" s="387">
        <v>295236100</v>
      </c>
      <c r="E1660" s="396">
        <v>43913</v>
      </c>
      <c r="J1660" s="384" t="s">
        <v>5884</v>
      </c>
      <c r="K1660" s="384" t="s">
        <v>5899</v>
      </c>
      <c r="L1660" s="374">
        <v>16764199</v>
      </c>
      <c r="M1660" s="375">
        <v>44026</v>
      </c>
    </row>
    <row r="1661" spans="1:13" x14ac:dyDescent="0.25">
      <c r="A1661" s="373"/>
      <c r="B1661" s="362" t="s">
        <v>4035</v>
      </c>
      <c r="C1661" s="362" t="s">
        <v>4036</v>
      </c>
      <c r="D1661" s="387">
        <v>1144641019</v>
      </c>
      <c r="E1661" s="396">
        <v>43913</v>
      </c>
      <c r="J1661" s="384" t="s">
        <v>5885</v>
      </c>
      <c r="K1661" s="384" t="s">
        <v>5900</v>
      </c>
      <c r="L1661" s="374">
        <v>3000000</v>
      </c>
      <c r="M1661" s="375">
        <v>44027</v>
      </c>
    </row>
    <row r="1662" spans="1:13" x14ac:dyDescent="0.25">
      <c r="A1662" s="373"/>
      <c r="B1662" s="362" t="s">
        <v>4037</v>
      </c>
      <c r="C1662" s="362" t="s">
        <v>3985</v>
      </c>
      <c r="D1662" s="387">
        <v>213507542</v>
      </c>
      <c r="E1662" s="396">
        <v>43913</v>
      </c>
      <c r="J1662" s="384" t="s">
        <v>5886</v>
      </c>
      <c r="K1662" s="384" t="s">
        <v>4255</v>
      </c>
      <c r="L1662" s="374">
        <v>1652000</v>
      </c>
      <c r="M1662" s="375">
        <v>44027</v>
      </c>
    </row>
    <row r="1663" spans="1:13" x14ac:dyDescent="0.25">
      <c r="A1663" s="373"/>
      <c r="B1663" s="362" t="s">
        <v>4038</v>
      </c>
      <c r="C1663" s="362" t="s">
        <v>4039</v>
      </c>
      <c r="D1663" s="387">
        <v>208802000</v>
      </c>
      <c r="E1663" s="396">
        <v>43913</v>
      </c>
      <c r="J1663" s="384" t="s">
        <v>5887</v>
      </c>
      <c r="K1663" s="384" t="s">
        <v>5821</v>
      </c>
      <c r="L1663" s="374">
        <v>1419750</v>
      </c>
      <c r="M1663" s="375">
        <v>44027</v>
      </c>
    </row>
    <row r="1664" spans="1:13" x14ac:dyDescent="0.25">
      <c r="A1664" s="373"/>
      <c r="B1664" s="362" t="s">
        <v>4040</v>
      </c>
      <c r="C1664" s="362" t="s">
        <v>4041</v>
      </c>
      <c r="D1664" s="387">
        <v>214238757</v>
      </c>
      <c r="E1664" s="396">
        <v>43913</v>
      </c>
      <c r="J1664" s="384" t="s">
        <v>5888</v>
      </c>
      <c r="K1664" s="384" t="s">
        <v>5819</v>
      </c>
      <c r="L1664" s="374">
        <v>115000</v>
      </c>
      <c r="M1664" s="375">
        <v>44027</v>
      </c>
    </row>
    <row r="1665" spans="1:13" x14ac:dyDescent="0.25">
      <c r="A1665" s="373"/>
      <c r="B1665" s="362" t="s">
        <v>4042</v>
      </c>
      <c r="C1665" s="362" t="s">
        <v>4043</v>
      </c>
      <c r="D1665" s="387">
        <v>575699709</v>
      </c>
      <c r="E1665" s="396">
        <v>43913</v>
      </c>
      <c r="J1665" s="384" t="s">
        <v>5889</v>
      </c>
      <c r="K1665" s="384" t="s">
        <v>5823</v>
      </c>
      <c r="L1665" s="374">
        <v>21205000</v>
      </c>
      <c r="M1665" s="375">
        <v>44027</v>
      </c>
    </row>
    <row r="1666" spans="1:13" x14ac:dyDescent="0.25">
      <c r="A1666" s="373"/>
      <c r="B1666" s="362" t="s">
        <v>4044</v>
      </c>
      <c r="C1666" s="362" t="s">
        <v>4045</v>
      </c>
      <c r="D1666" s="387">
        <v>450821989</v>
      </c>
      <c r="E1666" s="396">
        <v>43916</v>
      </c>
    </row>
    <row r="1667" spans="1:13" x14ac:dyDescent="0.25">
      <c r="A1667" s="373"/>
      <c r="B1667" s="362" t="s">
        <v>4046</v>
      </c>
      <c r="C1667" s="362" t="s">
        <v>4047</v>
      </c>
      <c r="D1667" s="387">
        <v>145731500</v>
      </c>
      <c r="E1667" s="396">
        <v>43916</v>
      </c>
    </row>
    <row r="1668" spans="1:13" x14ac:dyDescent="0.25">
      <c r="A1668" s="373"/>
      <c r="B1668" s="362" t="s">
        <v>4048</v>
      </c>
      <c r="C1668" s="362" t="s">
        <v>4036</v>
      </c>
      <c r="D1668" s="387">
        <v>262930805</v>
      </c>
      <c r="E1668" s="396">
        <v>43916</v>
      </c>
    </row>
    <row r="1669" spans="1:13" x14ac:dyDescent="0.25">
      <c r="A1669" s="373"/>
      <c r="B1669" s="362" t="s">
        <v>4049</v>
      </c>
      <c r="C1669" s="362" t="s">
        <v>4050</v>
      </c>
      <c r="D1669" s="387">
        <v>155923500</v>
      </c>
      <c r="E1669" s="396">
        <v>43916</v>
      </c>
    </row>
    <row r="1670" spans="1:13" x14ac:dyDescent="0.25">
      <c r="A1670" s="373"/>
      <c r="B1670" s="362" t="s">
        <v>4051</v>
      </c>
      <c r="C1670" s="362" t="s">
        <v>4039</v>
      </c>
      <c r="D1670" s="387">
        <v>208802000</v>
      </c>
      <c r="E1670" s="396">
        <v>43916</v>
      </c>
    </row>
    <row r="1671" spans="1:13" x14ac:dyDescent="0.25">
      <c r="A1671" s="373"/>
      <c r="B1671" s="362" t="s">
        <v>4052</v>
      </c>
      <c r="C1671" s="362" t="s">
        <v>4053</v>
      </c>
      <c r="D1671" s="387">
        <v>271442450</v>
      </c>
      <c r="E1671" s="396">
        <v>43916</v>
      </c>
    </row>
    <row r="1672" spans="1:13" x14ac:dyDescent="0.25">
      <c r="A1672" s="373"/>
      <c r="B1672" s="362" t="s">
        <v>4054</v>
      </c>
      <c r="C1672" s="362" t="s">
        <v>4055</v>
      </c>
      <c r="D1672" s="387">
        <v>216470903</v>
      </c>
      <c r="E1672" s="396">
        <v>43916</v>
      </c>
    </row>
    <row r="1673" spans="1:13" x14ac:dyDescent="0.25">
      <c r="A1673" s="373"/>
      <c r="B1673" s="362" t="s">
        <v>4056</v>
      </c>
      <c r="C1673" s="362" t="s">
        <v>4057</v>
      </c>
      <c r="D1673" s="387">
        <v>138445100</v>
      </c>
      <c r="E1673" s="396">
        <v>43916</v>
      </c>
    </row>
    <row r="1674" spans="1:13" x14ac:dyDescent="0.25">
      <c r="A1674" s="373"/>
      <c r="B1674" s="362" t="s">
        <v>4058</v>
      </c>
      <c r="C1674" s="362" t="s">
        <v>3982</v>
      </c>
      <c r="D1674" s="387">
        <v>33500</v>
      </c>
      <c r="E1674" s="396">
        <v>43916</v>
      </c>
    </row>
    <row r="1675" spans="1:13" x14ac:dyDescent="0.25">
      <c r="A1675" s="373"/>
      <c r="B1675" s="362" t="s">
        <v>4059</v>
      </c>
      <c r="C1675" s="362" t="s">
        <v>4060</v>
      </c>
      <c r="D1675" s="387">
        <v>17563460</v>
      </c>
      <c r="E1675" s="396">
        <v>43917</v>
      </c>
    </row>
    <row r="1676" spans="1:13" x14ac:dyDescent="0.25">
      <c r="A1676" s="373"/>
      <c r="B1676" s="362" t="s">
        <v>4061</v>
      </c>
      <c r="C1676" s="362" t="s">
        <v>4062</v>
      </c>
      <c r="D1676" s="387">
        <v>105692992</v>
      </c>
      <c r="E1676" s="396">
        <v>43917</v>
      </c>
    </row>
    <row r="1677" spans="1:13" x14ac:dyDescent="0.25">
      <c r="A1677" s="373"/>
      <c r="B1677" s="362" t="s">
        <v>4063</v>
      </c>
      <c r="C1677" s="362" t="s">
        <v>4064</v>
      </c>
      <c r="D1677" s="387">
        <v>436850571</v>
      </c>
      <c r="E1677" s="396">
        <v>43917</v>
      </c>
    </row>
    <row r="1678" spans="1:13" x14ac:dyDescent="0.25">
      <c r="A1678" s="373"/>
      <c r="B1678" s="362" t="s">
        <v>4065</v>
      </c>
      <c r="C1678" s="362" t="s">
        <v>4066</v>
      </c>
      <c r="D1678" s="387">
        <v>113671545</v>
      </c>
      <c r="E1678" s="396">
        <v>43917</v>
      </c>
    </row>
    <row r="1679" spans="1:13" x14ac:dyDescent="0.25">
      <c r="A1679" s="373"/>
      <c r="B1679" s="362" t="s">
        <v>4067</v>
      </c>
      <c r="C1679" s="362" t="s">
        <v>4068</v>
      </c>
      <c r="D1679" s="387">
        <v>230351442</v>
      </c>
      <c r="E1679" s="396">
        <v>43917</v>
      </c>
    </row>
    <row r="1680" spans="1:13" x14ac:dyDescent="0.25">
      <c r="A1680" s="373"/>
      <c r="B1680" s="362" t="s">
        <v>4069</v>
      </c>
      <c r="C1680" s="362" t="s">
        <v>4070</v>
      </c>
      <c r="D1680" s="387">
        <v>15920490</v>
      </c>
      <c r="E1680" s="396">
        <v>43917</v>
      </c>
    </row>
    <row r="1681" spans="1:5" x14ac:dyDescent="0.25">
      <c r="A1681" s="373"/>
      <c r="B1681" s="362" t="s">
        <v>4071</v>
      </c>
      <c r="C1681" s="362" t="s">
        <v>4036</v>
      </c>
      <c r="D1681" s="387">
        <v>828092988</v>
      </c>
      <c r="E1681" s="396">
        <v>43917</v>
      </c>
    </row>
    <row r="1682" spans="1:5" x14ac:dyDescent="0.25">
      <c r="A1682" s="373"/>
      <c r="B1682" s="362" t="s">
        <v>4072</v>
      </c>
      <c r="C1682" s="362" t="s">
        <v>4073</v>
      </c>
      <c r="D1682" s="387">
        <v>105692992</v>
      </c>
      <c r="E1682" s="396">
        <v>43917</v>
      </c>
    </row>
    <row r="1683" spans="1:5" x14ac:dyDescent="0.25">
      <c r="A1683" s="373"/>
      <c r="B1683" s="362" t="s">
        <v>4074</v>
      </c>
      <c r="C1683" s="362" t="s">
        <v>4075</v>
      </c>
      <c r="D1683" s="387">
        <v>1088425559</v>
      </c>
      <c r="E1683" s="396">
        <v>43917</v>
      </c>
    </row>
    <row r="1684" spans="1:5" x14ac:dyDescent="0.25">
      <c r="A1684" s="373"/>
      <c r="B1684" s="362" t="s">
        <v>3956</v>
      </c>
      <c r="C1684" s="362" t="s">
        <v>3957</v>
      </c>
      <c r="D1684" s="372">
        <v>973894505</v>
      </c>
      <c r="E1684" s="396">
        <v>43934</v>
      </c>
    </row>
    <row r="1685" spans="1:5" x14ac:dyDescent="0.25">
      <c r="A1685" s="373"/>
      <c r="B1685" s="362" t="s">
        <v>3958</v>
      </c>
      <c r="C1685" s="362" t="s">
        <v>3959</v>
      </c>
      <c r="D1685" s="372">
        <v>136803285</v>
      </c>
      <c r="E1685" s="396">
        <v>43934</v>
      </c>
    </row>
    <row r="1686" spans="1:5" x14ac:dyDescent="0.25">
      <c r="A1686" s="373"/>
      <c r="B1686" s="362" t="s">
        <v>3960</v>
      </c>
      <c r="C1686" s="362" t="s">
        <v>3961</v>
      </c>
      <c r="D1686" s="372">
        <v>623200111</v>
      </c>
      <c r="E1686" s="396">
        <v>43934</v>
      </c>
    </row>
    <row r="1687" spans="1:5" x14ac:dyDescent="0.25">
      <c r="A1687" s="373"/>
      <c r="B1687" s="362" t="s">
        <v>3962</v>
      </c>
      <c r="C1687" s="362" t="s">
        <v>3963</v>
      </c>
      <c r="D1687" s="372">
        <v>208802000</v>
      </c>
      <c r="E1687" s="396">
        <v>43934</v>
      </c>
    </row>
    <row r="1688" spans="1:5" x14ac:dyDescent="0.25">
      <c r="A1688" s="373"/>
      <c r="B1688" s="362" t="s">
        <v>3964</v>
      </c>
      <c r="C1688" s="362" t="s">
        <v>3965</v>
      </c>
      <c r="D1688" s="372">
        <v>143381284</v>
      </c>
      <c r="E1688" s="396">
        <v>43934</v>
      </c>
    </row>
    <row r="1689" spans="1:5" x14ac:dyDescent="0.25">
      <c r="A1689" s="373"/>
      <c r="B1689" s="362" t="s">
        <v>3966</v>
      </c>
      <c r="C1689" s="362" t="s">
        <v>3967</v>
      </c>
      <c r="D1689" s="372">
        <v>530411518</v>
      </c>
      <c r="E1689" s="396">
        <v>43934</v>
      </c>
    </row>
    <row r="1690" spans="1:5" x14ac:dyDescent="0.25">
      <c r="A1690" s="373"/>
      <c r="B1690" s="362" t="s">
        <v>3968</v>
      </c>
      <c r="C1690" s="362" t="s">
        <v>3969</v>
      </c>
      <c r="D1690" s="372">
        <v>2047649628</v>
      </c>
      <c r="E1690" s="396">
        <v>43934</v>
      </c>
    </row>
    <row r="1691" spans="1:5" x14ac:dyDescent="0.25">
      <c r="A1691" s="373"/>
      <c r="B1691" s="362" t="s">
        <v>3970</v>
      </c>
      <c r="C1691" s="362" t="s">
        <v>3971</v>
      </c>
      <c r="D1691" s="372">
        <v>19858812</v>
      </c>
      <c r="E1691" s="396">
        <v>43934</v>
      </c>
    </row>
    <row r="1692" spans="1:5" x14ac:dyDescent="0.25">
      <c r="A1692" s="373"/>
      <c r="B1692" s="362" t="s">
        <v>3972</v>
      </c>
      <c r="C1692" s="362" t="s">
        <v>3969</v>
      </c>
      <c r="D1692" s="372">
        <v>611776610</v>
      </c>
      <c r="E1692" s="396">
        <v>43934</v>
      </c>
    </row>
    <row r="1693" spans="1:5" x14ac:dyDescent="0.25">
      <c r="A1693" s="373"/>
      <c r="B1693" s="362" t="s">
        <v>3973</v>
      </c>
      <c r="C1693" s="362" t="s">
        <v>3974</v>
      </c>
      <c r="D1693" s="372">
        <v>277438010</v>
      </c>
      <c r="E1693" s="396">
        <v>43934</v>
      </c>
    </row>
    <row r="1694" spans="1:5" x14ac:dyDescent="0.25">
      <c r="A1694" s="373"/>
      <c r="B1694" s="362" t="s">
        <v>3975</v>
      </c>
      <c r="C1694" s="362" t="s">
        <v>3976</v>
      </c>
      <c r="D1694" s="372">
        <v>764801926</v>
      </c>
      <c r="E1694" s="396">
        <v>43934</v>
      </c>
    </row>
    <row r="1695" spans="1:5" x14ac:dyDescent="0.25">
      <c r="A1695" s="373"/>
      <c r="B1695" s="362" t="s">
        <v>3977</v>
      </c>
      <c r="C1695" s="362" t="s">
        <v>3978</v>
      </c>
      <c r="D1695" s="372">
        <v>210967040</v>
      </c>
      <c r="E1695" s="396">
        <v>43935</v>
      </c>
    </row>
    <row r="1696" spans="1:5" x14ac:dyDescent="0.25">
      <c r="A1696" s="373"/>
      <c r="B1696" s="362" t="s">
        <v>3979</v>
      </c>
      <c r="C1696" s="362" t="s">
        <v>3980</v>
      </c>
      <c r="D1696" s="372">
        <v>281570468</v>
      </c>
      <c r="E1696" s="396">
        <v>43935</v>
      </c>
    </row>
    <row r="1697" spans="1:5" x14ac:dyDescent="0.25">
      <c r="A1697" s="373"/>
      <c r="B1697" s="362" t="s">
        <v>3981</v>
      </c>
      <c r="C1697" s="362" t="s">
        <v>3982</v>
      </c>
      <c r="D1697" s="372">
        <v>900561324</v>
      </c>
      <c r="E1697" s="396">
        <v>43935</v>
      </c>
    </row>
    <row r="1698" spans="1:5" x14ac:dyDescent="0.25">
      <c r="A1698" s="373"/>
      <c r="B1698" s="362" t="s">
        <v>3983</v>
      </c>
      <c r="C1698" s="362" t="s">
        <v>3965</v>
      </c>
      <c r="D1698" s="372">
        <v>224379366</v>
      </c>
      <c r="E1698" s="396">
        <v>43935</v>
      </c>
    </row>
    <row r="1699" spans="1:5" x14ac:dyDescent="0.25">
      <c r="A1699" s="373"/>
      <c r="B1699" s="362" t="s">
        <v>3984</v>
      </c>
      <c r="C1699" s="362" t="s">
        <v>3985</v>
      </c>
      <c r="D1699" s="372">
        <v>374240142</v>
      </c>
      <c r="E1699" s="396">
        <v>43935</v>
      </c>
    </row>
    <row r="1700" spans="1:5" x14ac:dyDescent="0.25">
      <c r="A1700" s="373"/>
      <c r="B1700" s="362" t="s">
        <v>3986</v>
      </c>
      <c r="C1700" s="362" t="s">
        <v>3987</v>
      </c>
      <c r="D1700" s="372">
        <v>70666200</v>
      </c>
      <c r="E1700" s="396">
        <v>43935</v>
      </c>
    </row>
    <row r="1701" spans="1:5" x14ac:dyDescent="0.25">
      <c r="A1701" s="373"/>
      <c r="B1701" s="362" t="s">
        <v>3988</v>
      </c>
      <c r="C1701" s="362" t="s">
        <v>3987</v>
      </c>
      <c r="D1701" s="372">
        <v>58791100</v>
      </c>
      <c r="E1701" s="396">
        <v>43935</v>
      </c>
    </row>
    <row r="1702" spans="1:5" x14ac:dyDescent="0.25">
      <c r="A1702" s="373"/>
      <c r="B1702" s="362" t="s">
        <v>3989</v>
      </c>
      <c r="C1702" s="362" t="s">
        <v>3987</v>
      </c>
      <c r="D1702" s="372">
        <v>12606000</v>
      </c>
      <c r="E1702" s="396">
        <v>43935</v>
      </c>
    </row>
    <row r="1703" spans="1:5" x14ac:dyDescent="0.25">
      <c r="A1703" s="373"/>
      <c r="B1703" s="362" t="s">
        <v>3990</v>
      </c>
      <c r="C1703" s="362" t="s">
        <v>3991</v>
      </c>
      <c r="D1703" s="372">
        <v>35000000</v>
      </c>
      <c r="E1703" s="396">
        <v>43936</v>
      </c>
    </row>
    <row r="1704" spans="1:5" x14ac:dyDescent="0.25">
      <c r="A1704" s="373"/>
      <c r="B1704" s="362" t="s">
        <v>3992</v>
      </c>
      <c r="C1704" s="362" t="s">
        <v>3993</v>
      </c>
      <c r="D1704" s="372">
        <v>524946669</v>
      </c>
      <c r="E1704" s="396">
        <v>43938</v>
      </c>
    </row>
    <row r="1705" spans="1:5" x14ac:dyDescent="0.25">
      <c r="A1705" s="373"/>
      <c r="B1705" s="362" t="s">
        <v>3994</v>
      </c>
      <c r="C1705" s="362" t="s">
        <v>3995</v>
      </c>
      <c r="D1705" s="372">
        <v>888049912</v>
      </c>
      <c r="E1705" s="396">
        <v>43938</v>
      </c>
    </row>
    <row r="1706" spans="1:5" x14ac:dyDescent="0.25">
      <c r="A1706" s="373"/>
      <c r="B1706" s="362" t="s">
        <v>3996</v>
      </c>
      <c r="C1706" s="362" t="s">
        <v>388</v>
      </c>
      <c r="D1706" s="372"/>
      <c r="E1706" s="396"/>
    </row>
    <row r="1707" spans="1:5" x14ac:dyDescent="0.25">
      <c r="A1707" s="373"/>
      <c r="B1707" s="362" t="s">
        <v>3997</v>
      </c>
      <c r="C1707" s="362" t="s">
        <v>3998</v>
      </c>
      <c r="D1707" s="372">
        <v>161357248</v>
      </c>
      <c r="E1707" s="396">
        <v>43938</v>
      </c>
    </row>
    <row r="1708" spans="1:5" x14ac:dyDescent="0.25">
      <c r="A1708" s="373"/>
      <c r="B1708" s="362" t="s">
        <v>3999</v>
      </c>
      <c r="C1708" s="362" t="s">
        <v>3985</v>
      </c>
      <c r="D1708" s="372">
        <v>263013394</v>
      </c>
      <c r="E1708" s="396">
        <v>43938</v>
      </c>
    </row>
    <row r="1709" spans="1:5" x14ac:dyDescent="0.25">
      <c r="A1709" s="373"/>
      <c r="B1709" s="362" t="s">
        <v>4719</v>
      </c>
      <c r="C1709" s="362" t="s">
        <v>4057</v>
      </c>
      <c r="D1709" s="391">
        <v>143909900</v>
      </c>
      <c r="E1709" s="371">
        <v>43920</v>
      </c>
    </row>
    <row r="1710" spans="1:5" x14ac:dyDescent="0.25">
      <c r="A1710" s="373"/>
      <c r="B1710" s="362" t="s">
        <v>4720</v>
      </c>
      <c r="C1710" s="362" t="s">
        <v>4036</v>
      </c>
      <c r="D1710" s="391">
        <v>747661094</v>
      </c>
      <c r="E1710" s="371">
        <v>43920</v>
      </c>
    </row>
    <row r="1711" spans="1:5" x14ac:dyDescent="0.25">
      <c r="A1711" s="373"/>
      <c r="B1711" s="362" t="s">
        <v>4721</v>
      </c>
      <c r="C1711" s="362" t="s">
        <v>4722</v>
      </c>
      <c r="D1711" s="391">
        <v>1063457099</v>
      </c>
      <c r="E1711" s="371">
        <v>43920</v>
      </c>
    </row>
    <row r="1712" spans="1:5" x14ac:dyDescent="0.25">
      <c r="A1712" s="373"/>
      <c r="B1712" s="362" t="s">
        <v>4723</v>
      </c>
      <c r="C1712" s="362" t="s">
        <v>216</v>
      </c>
      <c r="D1712" s="391">
        <v>637441110</v>
      </c>
      <c r="E1712" s="371">
        <v>43920</v>
      </c>
    </row>
    <row r="1713" spans="1:5" x14ac:dyDescent="0.25">
      <c r="A1713" s="373"/>
      <c r="B1713" s="362" t="s">
        <v>4724</v>
      </c>
      <c r="C1713" s="362" t="s">
        <v>4075</v>
      </c>
      <c r="D1713" s="391">
        <v>545215309</v>
      </c>
      <c r="E1713" s="371">
        <v>43921</v>
      </c>
    </row>
    <row r="1714" spans="1:5" x14ac:dyDescent="0.25">
      <c r="A1714" s="373"/>
      <c r="B1714" s="362" t="s">
        <v>4725</v>
      </c>
      <c r="C1714" s="362" t="s">
        <v>4053</v>
      </c>
      <c r="D1714" s="391">
        <v>379357997</v>
      </c>
      <c r="E1714" s="371">
        <v>43921</v>
      </c>
    </row>
    <row r="1715" spans="1:5" x14ac:dyDescent="0.25">
      <c r="A1715" s="373"/>
      <c r="B1715" s="362" t="s">
        <v>4726</v>
      </c>
      <c r="C1715" s="362" t="s">
        <v>4179</v>
      </c>
      <c r="D1715" s="391">
        <v>197067752</v>
      </c>
      <c r="E1715" s="371">
        <v>43921</v>
      </c>
    </row>
    <row r="1716" spans="1:5" x14ac:dyDescent="0.25">
      <c r="A1716" s="373"/>
      <c r="B1716" s="362" t="s">
        <v>4727</v>
      </c>
      <c r="C1716" s="362" t="s">
        <v>3974</v>
      </c>
      <c r="D1716" s="391">
        <v>224189069</v>
      </c>
      <c r="E1716" s="371">
        <v>43921</v>
      </c>
    </row>
    <row r="1717" spans="1:5" x14ac:dyDescent="0.25">
      <c r="A1717" s="373"/>
      <c r="B1717" s="362" t="s">
        <v>4728</v>
      </c>
      <c r="C1717" s="362" t="s">
        <v>4729</v>
      </c>
      <c r="D1717" s="391">
        <v>400000000</v>
      </c>
      <c r="E1717" s="371">
        <v>43921</v>
      </c>
    </row>
    <row r="1718" spans="1:5" x14ac:dyDescent="0.25">
      <c r="A1718" s="373"/>
      <c r="B1718" s="362" t="s">
        <v>4730</v>
      </c>
      <c r="C1718" s="362" t="s">
        <v>4109</v>
      </c>
      <c r="D1718" s="391">
        <v>1969700</v>
      </c>
      <c r="E1718" s="371">
        <v>43922</v>
      </c>
    </row>
    <row r="1719" spans="1:5" x14ac:dyDescent="0.25">
      <c r="A1719" s="373"/>
      <c r="B1719" s="362" t="s">
        <v>4731</v>
      </c>
      <c r="C1719" s="362" t="s">
        <v>4043</v>
      </c>
      <c r="D1719" s="391">
        <v>105766932</v>
      </c>
      <c r="E1719" s="371">
        <v>43922</v>
      </c>
    </row>
    <row r="1720" spans="1:5" x14ac:dyDescent="0.25">
      <c r="A1720" s="373"/>
      <c r="B1720" s="362" t="s">
        <v>4732</v>
      </c>
      <c r="C1720" s="362" t="s">
        <v>3974</v>
      </c>
      <c r="D1720" s="391">
        <v>118392980</v>
      </c>
      <c r="E1720" s="371">
        <v>43922</v>
      </c>
    </row>
    <row r="1721" spans="1:5" x14ac:dyDescent="0.25">
      <c r="A1721" s="373"/>
      <c r="B1721" s="362" t="s">
        <v>4733</v>
      </c>
      <c r="C1721" s="362" t="s">
        <v>3974</v>
      </c>
      <c r="D1721" s="391">
        <v>392118500</v>
      </c>
      <c r="E1721" s="371">
        <v>43922</v>
      </c>
    </row>
    <row r="1722" spans="1:5" x14ac:dyDescent="0.25">
      <c r="A1722" s="373"/>
      <c r="B1722" s="362" t="s">
        <v>4734</v>
      </c>
      <c r="C1722" s="362" t="s">
        <v>4036</v>
      </c>
      <c r="D1722" s="391">
        <v>1505715090</v>
      </c>
      <c r="E1722" s="371">
        <v>43922</v>
      </c>
    </row>
    <row r="1723" spans="1:5" x14ac:dyDescent="0.25">
      <c r="A1723" s="373"/>
      <c r="B1723" s="362" t="s">
        <v>4735</v>
      </c>
      <c r="C1723" s="362" t="s">
        <v>388</v>
      </c>
      <c r="D1723" s="391"/>
      <c r="E1723" s="371"/>
    </row>
    <row r="1724" spans="1:5" x14ac:dyDescent="0.25">
      <c r="A1724" s="373"/>
      <c r="B1724" s="362" t="s">
        <v>4736</v>
      </c>
      <c r="C1724" s="362" t="s">
        <v>4737</v>
      </c>
      <c r="D1724" s="391">
        <v>274780900</v>
      </c>
      <c r="E1724" s="371">
        <v>43922</v>
      </c>
    </row>
    <row r="1725" spans="1:5" x14ac:dyDescent="0.25">
      <c r="A1725" s="373"/>
      <c r="B1725" s="362" t="s">
        <v>4738</v>
      </c>
      <c r="C1725" s="362" t="s">
        <v>4739</v>
      </c>
      <c r="D1725" s="391">
        <v>9603730</v>
      </c>
      <c r="E1725" s="371">
        <v>43922</v>
      </c>
    </row>
    <row r="1726" spans="1:5" x14ac:dyDescent="0.25">
      <c r="A1726" s="373"/>
      <c r="B1726" s="362" t="s">
        <v>4740</v>
      </c>
      <c r="C1726" s="362" t="s">
        <v>388</v>
      </c>
      <c r="D1726" s="391"/>
      <c r="E1726" s="371"/>
    </row>
    <row r="1727" spans="1:5" x14ac:dyDescent="0.25">
      <c r="A1727" s="373"/>
      <c r="B1727" s="362" t="s">
        <v>4741</v>
      </c>
      <c r="C1727" s="362" t="s">
        <v>4393</v>
      </c>
      <c r="D1727" s="391">
        <v>217636842</v>
      </c>
      <c r="E1727" s="371">
        <v>43923</v>
      </c>
    </row>
    <row r="1728" spans="1:5" x14ac:dyDescent="0.25">
      <c r="A1728" s="373"/>
      <c r="B1728" s="362" t="s">
        <v>4742</v>
      </c>
      <c r="C1728" s="362" t="s">
        <v>4055</v>
      </c>
      <c r="D1728" s="391">
        <v>1005622641</v>
      </c>
      <c r="E1728" s="371">
        <v>43923</v>
      </c>
    </row>
    <row r="1729" spans="1:5" x14ac:dyDescent="0.25">
      <c r="A1729" s="373"/>
      <c r="B1729" s="362" t="s">
        <v>4743</v>
      </c>
      <c r="C1729" s="362" t="s">
        <v>4036</v>
      </c>
      <c r="D1729" s="391">
        <v>1286161326</v>
      </c>
      <c r="E1729" s="371">
        <v>43923</v>
      </c>
    </row>
    <row r="1730" spans="1:5" x14ac:dyDescent="0.25">
      <c r="A1730" s="373"/>
      <c r="B1730" s="362" t="s">
        <v>4744</v>
      </c>
      <c r="C1730" s="362" t="s">
        <v>388</v>
      </c>
      <c r="D1730" s="391"/>
      <c r="E1730" s="371"/>
    </row>
    <row r="1731" spans="1:5" x14ac:dyDescent="0.25">
      <c r="A1731" s="373"/>
      <c r="B1731" s="362" t="s">
        <v>4745</v>
      </c>
      <c r="C1731" s="362" t="s">
        <v>4053</v>
      </c>
      <c r="D1731" s="391">
        <v>55727468</v>
      </c>
      <c r="E1731" s="371">
        <v>43923</v>
      </c>
    </row>
    <row r="1732" spans="1:5" x14ac:dyDescent="0.25">
      <c r="A1732" s="373"/>
      <c r="B1732" s="362" t="s">
        <v>4746</v>
      </c>
      <c r="C1732" s="362" t="s">
        <v>4075</v>
      </c>
      <c r="D1732" s="391">
        <v>755602325</v>
      </c>
      <c r="E1732" s="371">
        <v>43923</v>
      </c>
    </row>
    <row r="1733" spans="1:5" x14ac:dyDescent="0.25">
      <c r="A1733" s="373"/>
      <c r="B1733" s="362" t="s">
        <v>4747</v>
      </c>
      <c r="C1733" s="362" t="s">
        <v>388</v>
      </c>
      <c r="D1733" s="391"/>
      <c r="E1733" s="371"/>
    </row>
    <row r="1734" spans="1:5" x14ac:dyDescent="0.25">
      <c r="A1734" s="373"/>
      <c r="B1734" s="362" t="s">
        <v>4793</v>
      </c>
      <c r="C1734" s="362" t="s">
        <v>4055</v>
      </c>
      <c r="D1734" s="391">
        <v>372886378</v>
      </c>
      <c r="E1734" s="371">
        <v>43914</v>
      </c>
    </row>
    <row r="1735" spans="1:5" x14ac:dyDescent="0.25">
      <c r="A1735" s="373"/>
      <c r="B1735" s="362" t="s">
        <v>4794</v>
      </c>
      <c r="C1735" s="362" t="s">
        <v>4795</v>
      </c>
      <c r="D1735" s="391">
        <v>496039347</v>
      </c>
      <c r="E1735" s="371">
        <v>43914</v>
      </c>
    </row>
    <row r="1736" spans="1:5" x14ac:dyDescent="0.25">
      <c r="A1736" s="373"/>
      <c r="B1736" s="362" t="s">
        <v>4796</v>
      </c>
      <c r="C1736" s="362" t="s">
        <v>4057</v>
      </c>
      <c r="D1736" s="391">
        <v>145731500</v>
      </c>
      <c r="E1736" s="371">
        <v>43914</v>
      </c>
    </row>
    <row r="1737" spans="1:5" x14ac:dyDescent="0.25">
      <c r="A1737" s="373"/>
      <c r="B1737" s="362" t="s">
        <v>4797</v>
      </c>
      <c r="C1737" s="362" t="s">
        <v>3976</v>
      </c>
      <c r="D1737" s="391">
        <v>927988629</v>
      </c>
      <c r="E1737" s="371">
        <v>43914</v>
      </c>
    </row>
    <row r="1738" spans="1:5" x14ac:dyDescent="0.25">
      <c r="A1738" s="373"/>
      <c r="B1738" s="362" t="s">
        <v>4798</v>
      </c>
      <c r="C1738" s="362" t="s">
        <v>3978</v>
      </c>
      <c r="D1738" s="391">
        <v>267286160</v>
      </c>
      <c r="E1738" s="371">
        <v>43914</v>
      </c>
    </row>
    <row r="1739" spans="1:5" x14ac:dyDescent="0.25">
      <c r="A1739" s="373"/>
      <c r="B1739" s="362" t="s">
        <v>4799</v>
      </c>
      <c r="C1739" s="362" t="s">
        <v>4152</v>
      </c>
      <c r="D1739" s="391">
        <v>151115140</v>
      </c>
      <c r="E1739" s="371">
        <v>43914</v>
      </c>
    </row>
    <row r="1740" spans="1:5" x14ac:dyDescent="0.25">
      <c r="A1740" s="373"/>
      <c r="B1740" s="362" t="s">
        <v>4800</v>
      </c>
      <c r="C1740" s="362" t="s">
        <v>4105</v>
      </c>
      <c r="D1740" s="391">
        <v>100109953</v>
      </c>
      <c r="E1740" s="371">
        <v>43914</v>
      </c>
    </row>
    <row r="1741" spans="1:5" x14ac:dyDescent="0.25">
      <c r="A1741" s="373"/>
      <c r="B1741" s="362" t="s">
        <v>4801</v>
      </c>
      <c r="C1741" s="362" t="s">
        <v>4379</v>
      </c>
      <c r="D1741" s="391">
        <v>100584980</v>
      </c>
      <c r="E1741" s="371">
        <v>43914</v>
      </c>
    </row>
    <row r="1742" spans="1:5" x14ac:dyDescent="0.25">
      <c r="A1742" s="373"/>
      <c r="B1742" s="362" t="s">
        <v>4802</v>
      </c>
      <c r="C1742" s="362" t="s">
        <v>4163</v>
      </c>
      <c r="D1742" s="391">
        <v>243354253</v>
      </c>
      <c r="E1742" s="371">
        <v>43914</v>
      </c>
    </row>
    <row r="1743" spans="1:5" x14ac:dyDescent="0.25">
      <c r="A1743" s="373"/>
      <c r="B1743" s="362" t="s">
        <v>4803</v>
      </c>
      <c r="C1743" s="362" t="s">
        <v>4075</v>
      </c>
      <c r="D1743" s="391">
        <v>351999760</v>
      </c>
      <c r="E1743" s="371">
        <v>43914</v>
      </c>
    </row>
    <row r="1744" spans="1:5" x14ac:dyDescent="0.25">
      <c r="A1744" s="373"/>
      <c r="B1744" s="362" t="s">
        <v>4804</v>
      </c>
      <c r="C1744" s="362" t="s">
        <v>4805</v>
      </c>
      <c r="D1744" s="391">
        <v>479479772</v>
      </c>
      <c r="E1744" s="371">
        <v>43914</v>
      </c>
    </row>
    <row r="1745" spans="1:5" x14ac:dyDescent="0.25">
      <c r="A1745" s="373"/>
      <c r="B1745" s="362" t="s">
        <v>4806</v>
      </c>
      <c r="C1745" s="362" t="s">
        <v>4189</v>
      </c>
      <c r="D1745" s="391">
        <v>981885084</v>
      </c>
      <c r="E1745" s="371">
        <v>43914</v>
      </c>
    </row>
    <row r="1746" spans="1:5" x14ac:dyDescent="0.25">
      <c r="A1746" s="373"/>
      <c r="B1746" s="362" t="s">
        <v>4807</v>
      </c>
      <c r="C1746" s="362" t="s">
        <v>4808</v>
      </c>
      <c r="D1746" s="391">
        <v>3752000</v>
      </c>
      <c r="E1746" s="371">
        <v>43914</v>
      </c>
    </row>
    <row r="1747" spans="1:5" x14ac:dyDescent="0.25">
      <c r="A1747" s="373"/>
      <c r="B1747" s="362" t="s">
        <v>4809</v>
      </c>
      <c r="C1747" s="362" t="s">
        <v>4810</v>
      </c>
      <c r="D1747" s="391">
        <v>541285023</v>
      </c>
      <c r="E1747" s="371">
        <v>43917</v>
      </c>
    </row>
    <row r="1748" spans="1:5" x14ac:dyDescent="0.25">
      <c r="A1748" s="373"/>
      <c r="B1748" s="362" t="s">
        <v>4811</v>
      </c>
      <c r="C1748" s="362" t="s">
        <v>4036</v>
      </c>
      <c r="D1748" s="391">
        <v>672993742</v>
      </c>
      <c r="E1748" s="371">
        <v>43917</v>
      </c>
    </row>
    <row r="1749" spans="1:5" x14ac:dyDescent="0.25">
      <c r="A1749" s="373"/>
      <c r="B1749" s="362" t="s">
        <v>4812</v>
      </c>
      <c r="C1749" s="362" t="s">
        <v>4152</v>
      </c>
      <c r="D1749" s="391">
        <v>157437294</v>
      </c>
      <c r="E1749" s="371">
        <v>43917</v>
      </c>
    </row>
    <row r="1750" spans="1:5" x14ac:dyDescent="0.25">
      <c r="A1750" s="373"/>
      <c r="B1750" s="362" t="s">
        <v>4813</v>
      </c>
      <c r="C1750" s="362" t="s">
        <v>4814</v>
      </c>
      <c r="D1750" s="391">
        <v>1296536</v>
      </c>
      <c r="E1750" s="371">
        <v>43917</v>
      </c>
    </row>
    <row r="1751" spans="1:5" x14ac:dyDescent="0.25">
      <c r="A1751" s="373"/>
      <c r="B1751" s="362" t="s">
        <v>4815</v>
      </c>
      <c r="C1751" s="362" t="s">
        <v>4163</v>
      </c>
      <c r="D1751" s="391">
        <v>236985470</v>
      </c>
      <c r="E1751" s="371">
        <v>43917</v>
      </c>
    </row>
    <row r="1752" spans="1:5" x14ac:dyDescent="0.25">
      <c r="A1752" s="373"/>
      <c r="B1752" s="362" t="s">
        <v>4816</v>
      </c>
      <c r="C1752" s="362" t="s">
        <v>4817</v>
      </c>
      <c r="D1752" s="391">
        <v>1439774486</v>
      </c>
      <c r="E1752" s="371">
        <v>43917</v>
      </c>
    </row>
    <row r="1753" spans="1:5" x14ac:dyDescent="0.25">
      <c r="A1753" s="373"/>
      <c r="B1753" s="362" t="s">
        <v>4818</v>
      </c>
      <c r="C1753" s="362" t="s">
        <v>3965</v>
      </c>
      <c r="D1753" s="391">
        <v>159194633</v>
      </c>
      <c r="E1753" s="371">
        <v>43917</v>
      </c>
    </row>
    <row r="1754" spans="1:5" x14ac:dyDescent="0.25">
      <c r="A1754" s="373"/>
      <c r="B1754" s="362" t="s">
        <v>4819</v>
      </c>
      <c r="C1754" s="362" t="s">
        <v>3980</v>
      </c>
      <c r="D1754" s="391">
        <v>227130091</v>
      </c>
      <c r="E1754" s="371">
        <v>43920</v>
      </c>
    </row>
    <row r="1755" spans="1:5" x14ac:dyDescent="0.25">
      <c r="A1755" s="373"/>
      <c r="B1755" s="362" t="s">
        <v>4820</v>
      </c>
      <c r="C1755" s="362" t="s">
        <v>4075</v>
      </c>
      <c r="D1755" s="391">
        <v>790003121</v>
      </c>
      <c r="E1755" s="371">
        <v>43920</v>
      </c>
    </row>
    <row r="1756" spans="1:5" x14ac:dyDescent="0.25">
      <c r="A1756" s="373"/>
      <c r="B1756" s="362" t="s">
        <v>4821</v>
      </c>
      <c r="C1756" s="362" t="s">
        <v>3965</v>
      </c>
      <c r="D1756" s="391">
        <v>211227502</v>
      </c>
      <c r="E1756" s="371">
        <v>43920</v>
      </c>
    </row>
    <row r="1757" spans="1:5" x14ac:dyDescent="0.25">
      <c r="A1757" s="373"/>
      <c r="B1757" s="362" t="s">
        <v>4822</v>
      </c>
      <c r="C1757" s="362" t="s">
        <v>4055</v>
      </c>
      <c r="D1757" s="391">
        <v>85985835</v>
      </c>
      <c r="E1757" s="371">
        <v>43920</v>
      </c>
    </row>
    <row r="1758" spans="1:5" x14ac:dyDescent="0.25">
      <c r="A1758" s="373"/>
      <c r="B1758" s="362" t="s">
        <v>4823</v>
      </c>
      <c r="C1758" s="362" t="s">
        <v>4810</v>
      </c>
      <c r="D1758" s="391">
        <v>348996869</v>
      </c>
      <c r="E1758" s="371">
        <v>43920</v>
      </c>
    </row>
    <row r="1759" spans="1:5" x14ac:dyDescent="0.25">
      <c r="A1759" s="373"/>
      <c r="B1759" s="362" t="s">
        <v>4826</v>
      </c>
      <c r="C1759" s="362" t="s">
        <v>4748</v>
      </c>
      <c r="D1759" s="391">
        <v>3615636</v>
      </c>
      <c r="E1759" s="371">
        <v>43923</v>
      </c>
    </row>
    <row r="1760" spans="1:5" x14ac:dyDescent="0.25">
      <c r="A1760" s="373"/>
      <c r="B1760" s="362" t="s">
        <v>4827</v>
      </c>
      <c r="C1760" s="362" t="s">
        <v>4828</v>
      </c>
      <c r="D1760" s="391">
        <v>478400000</v>
      </c>
      <c r="E1760" s="371">
        <v>43923</v>
      </c>
    </row>
    <row r="1761" spans="1:5" x14ac:dyDescent="0.25">
      <c r="A1761" s="373"/>
      <c r="B1761" s="362" t="s">
        <v>4829</v>
      </c>
      <c r="C1761" s="362" t="s">
        <v>388</v>
      </c>
      <c r="D1761" s="391"/>
      <c r="E1761" s="371"/>
    </row>
    <row r="1762" spans="1:5" x14ac:dyDescent="0.25">
      <c r="A1762" s="373"/>
      <c r="B1762" s="362" t="s">
        <v>4830</v>
      </c>
      <c r="C1762" s="362" t="s">
        <v>4085</v>
      </c>
      <c r="D1762" s="391">
        <v>316464500</v>
      </c>
      <c r="E1762" s="371">
        <v>43924</v>
      </c>
    </row>
    <row r="1763" spans="1:5" x14ac:dyDescent="0.25">
      <c r="A1763" s="373"/>
      <c r="B1763" s="362" t="s">
        <v>4831</v>
      </c>
      <c r="C1763" s="362" t="s">
        <v>388</v>
      </c>
      <c r="D1763" s="391"/>
      <c r="E1763" s="371"/>
    </row>
    <row r="1764" spans="1:5" x14ac:dyDescent="0.25">
      <c r="A1764" s="373"/>
      <c r="B1764" s="362" t="s">
        <v>4832</v>
      </c>
      <c r="C1764" s="362" t="s">
        <v>4043</v>
      </c>
      <c r="D1764" s="391">
        <v>111966444</v>
      </c>
      <c r="E1764" s="371">
        <v>43924</v>
      </c>
    </row>
    <row r="1765" spans="1:5" x14ac:dyDescent="0.25">
      <c r="A1765" s="373"/>
      <c r="B1765" s="362" t="s">
        <v>4833</v>
      </c>
      <c r="C1765" s="362" t="s">
        <v>4070</v>
      </c>
      <c r="D1765" s="391">
        <v>22682838</v>
      </c>
      <c r="E1765" s="371">
        <v>43924</v>
      </c>
    </row>
    <row r="1766" spans="1:5" x14ac:dyDescent="0.25">
      <c r="A1766" s="373"/>
      <c r="B1766" s="362" t="s">
        <v>4834</v>
      </c>
      <c r="C1766" s="362" t="s">
        <v>388</v>
      </c>
      <c r="D1766" s="391"/>
      <c r="E1766" s="371"/>
    </row>
    <row r="1767" spans="1:5" x14ac:dyDescent="0.25">
      <c r="A1767" s="373"/>
      <c r="B1767" s="362" t="s">
        <v>4835</v>
      </c>
      <c r="C1767" s="362" t="s">
        <v>388</v>
      </c>
      <c r="D1767" s="391"/>
      <c r="E1767" s="371"/>
    </row>
    <row r="1768" spans="1:5" x14ac:dyDescent="0.25">
      <c r="A1768" s="373"/>
      <c r="B1768" s="362" t="s">
        <v>4836</v>
      </c>
      <c r="C1768" s="362" t="s">
        <v>3974</v>
      </c>
      <c r="D1768" s="391">
        <v>74904010</v>
      </c>
      <c r="E1768" s="371">
        <v>43924</v>
      </c>
    </row>
    <row r="1769" spans="1:5" x14ac:dyDescent="0.25">
      <c r="A1769" s="373"/>
      <c r="B1769" s="362" t="s">
        <v>4837</v>
      </c>
      <c r="C1769" s="362" t="s">
        <v>4105</v>
      </c>
      <c r="D1769" s="391">
        <v>100038612</v>
      </c>
      <c r="E1769" s="371">
        <v>43924</v>
      </c>
    </row>
    <row r="1770" spans="1:5" x14ac:dyDescent="0.25">
      <c r="A1770" s="373"/>
      <c r="B1770" s="362" t="s">
        <v>4838</v>
      </c>
      <c r="C1770" s="362" t="s">
        <v>4055</v>
      </c>
      <c r="D1770" s="391">
        <v>301996543</v>
      </c>
      <c r="E1770" s="371">
        <v>43924</v>
      </c>
    </row>
    <row r="1771" spans="1:5" x14ac:dyDescent="0.25">
      <c r="A1771" s="373"/>
      <c r="B1771" s="362" t="s">
        <v>4839</v>
      </c>
      <c r="C1771" s="362" t="s">
        <v>4401</v>
      </c>
      <c r="D1771" s="391">
        <v>597711007</v>
      </c>
      <c r="E1771" s="371">
        <v>43924</v>
      </c>
    </row>
    <row r="1772" spans="1:5" x14ac:dyDescent="0.25">
      <c r="A1772" s="373"/>
      <c r="B1772" s="362" t="s">
        <v>4840</v>
      </c>
      <c r="C1772" s="362" t="s">
        <v>3982</v>
      </c>
      <c r="D1772" s="391">
        <v>607576890</v>
      </c>
      <c r="E1772" s="371">
        <v>43928</v>
      </c>
    </row>
    <row r="1773" spans="1:5" x14ac:dyDescent="0.25">
      <c r="A1773" s="373"/>
      <c r="B1773" s="362" t="s">
        <v>4841</v>
      </c>
      <c r="C1773" s="362" t="s">
        <v>388</v>
      </c>
      <c r="D1773" s="391"/>
      <c r="E1773" s="371"/>
    </row>
    <row r="1774" spans="1:5" x14ac:dyDescent="0.25">
      <c r="A1774" s="373"/>
      <c r="B1774" s="362" t="s">
        <v>4842</v>
      </c>
      <c r="C1774" s="362" t="s">
        <v>4036</v>
      </c>
      <c r="D1774" s="391">
        <v>911733340</v>
      </c>
      <c r="E1774" s="371">
        <v>43928</v>
      </c>
    </row>
    <row r="1775" spans="1:5" x14ac:dyDescent="0.25">
      <c r="A1775" s="373"/>
      <c r="B1775" s="362" t="s">
        <v>4843</v>
      </c>
      <c r="C1775" s="362" t="s">
        <v>4393</v>
      </c>
      <c r="D1775" s="391">
        <v>1442508881</v>
      </c>
      <c r="E1775" s="371">
        <v>43928</v>
      </c>
    </row>
    <row r="1776" spans="1:5" x14ac:dyDescent="0.25">
      <c r="A1776" s="373"/>
      <c r="B1776" s="362" t="s">
        <v>4844</v>
      </c>
      <c r="C1776" s="362" t="s">
        <v>4845</v>
      </c>
      <c r="D1776" s="391">
        <v>192260482</v>
      </c>
      <c r="E1776" s="371">
        <v>43928</v>
      </c>
    </row>
    <row r="1777" spans="1:5" x14ac:dyDescent="0.25">
      <c r="A1777" s="373"/>
      <c r="B1777" s="362" t="s">
        <v>4846</v>
      </c>
      <c r="C1777" s="362" t="s">
        <v>4737</v>
      </c>
      <c r="D1777" s="391">
        <v>76444900</v>
      </c>
      <c r="E1777" s="371">
        <v>43928</v>
      </c>
    </row>
    <row r="1778" spans="1:5" x14ac:dyDescent="0.25">
      <c r="A1778" s="373"/>
      <c r="B1778" s="362" t="s">
        <v>4847</v>
      </c>
      <c r="C1778" s="362" t="s">
        <v>4043</v>
      </c>
      <c r="D1778" s="391">
        <v>2729555904</v>
      </c>
      <c r="E1778" s="371">
        <v>43928</v>
      </c>
    </row>
    <row r="1779" spans="1:5" x14ac:dyDescent="0.25">
      <c r="A1779" s="373"/>
      <c r="B1779" s="362" t="s">
        <v>4848</v>
      </c>
      <c r="C1779" s="362" t="s">
        <v>3980</v>
      </c>
      <c r="D1779" s="391">
        <v>9182000</v>
      </c>
      <c r="E1779" s="371">
        <v>43929</v>
      </c>
    </row>
    <row r="1780" spans="1:5" x14ac:dyDescent="0.25">
      <c r="A1780" s="373"/>
      <c r="B1780" s="362" t="s">
        <v>4849</v>
      </c>
      <c r="C1780" s="362" t="s">
        <v>4198</v>
      </c>
      <c r="D1780" s="391">
        <v>123962900</v>
      </c>
      <c r="E1780" s="371">
        <v>43929</v>
      </c>
    </row>
    <row r="1781" spans="1:5" x14ac:dyDescent="0.25">
      <c r="A1781" s="373"/>
      <c r="B1781" s="362" t="s">
        <v>4850</v>
      </c>
      <c r="C1781" s="362" t="s">
        <v>4379</v>
      </c>
      <c r="D1781" s="391">
        <v>88862581</v>
      </c>
      <c r="E1781" s="371">
        <v>43929</v>
      </c>
    </row>
    <row r="1782" spans="1:5" x14ac:dyDescent="0.25">
      <c r="A1782" s="373"/>
      <c r="B1782" s="362" t="s">
        <v>4851</v>
      </c>
      <c r="C1782" s="362" t="s">
        <v>4852</v>
      </c>
      <c r="D1782" s="391">
        <v>840280393</v>
      </c>
      <c r="E1782" s="371">
        <v>43929</v>
      </c>
    </row>
    <row r="1783" spans="1:5" x14ac:dyDescent="0.25">
      <c r="A1783" s="373"/>
      <c r="B1783" s="362" t="s">
        <v>4853</v>
      </c>
      <c r="C1783" s="362" t="s">
        <v>3965</v>
      </c>
      <c r="D1783" s="391">
        <v>217324818</v>
      </c>
      <c r="E1783" s="371">
        <v>43929</v>
      </c>
    </row>
    <row r="1784" spans="1:5" x14ac:dyDescent="0.25">
      <c r="A1784" s="373"/>
      <c r="B1784" s="362" t="s">
        <v>4691</v>
      </c>
      <c r="C1784" s="362" t="s">
        <v>4053</v>
      </c>
      <c r="D1784" s="391">
        <v>2032400</v>
      </c>
      <c r="E1784" s="371">
        <v>43927</v>
      </c>
    </row>
    <row r="1785" spans="1:5" x14ac:dyDescent="0.25">
      <c r="A1785" s="373"/>
      <c r="B1785" s="362" t="s">
        <v>4692</v>
      </c>
      <c r="C1785" s="362" t="s">
        <v>4085</v>
      </c>
      <c r="D1785" s="391">
        <v>221852000</v>
      </c>
      <c r="E1785" s="371">
        <v>43927</v>
      </c>
    </row>
    <row r="1786" spans="1:5" x14ac:dyDescent="0.25">
      <c r="A1786" s="373"/>
      <c r="B1786" s="362" t="s">
        <v>4693</v>
      </c>
      <c r="C1786" s="362" t="s">
        <v>4075</v>
      </c>
      <c r="D1786" s="391">
        <v>486819707</v>
      </c>
      <c r="E1786" s="371">
        <v>43927</v>
      </c>
    </row>
    <row r="1787" spans="1:5" x14ac:dyDescent="0.25">
      <c r="A1787" s="373"/>
      <c r="B1787" s="362" t="s">
        <v>4694</v>
      </c>
      <c r="C1787" s="362" t="s">
        <v>4109</v>
      </c>
      <c r="D1787" s="391">
        <v>40845152</v>
      </c>
      <c r="E1787" s="371">
        <v>43927</v>
      </c>
    </row>
    <row r="1788" spans="1:5" x14ac:dyDescent="0.25">
      <c r="A1788" s="373"/>
      <c r="B1788" s="362" t="s">
        <v>4695</v>
      </c>
      <c r="C1788" s="362" t="s">
        <v>4043</v>
      </c>
      <c r="D1788" s="391">
        <v>1149860204</v>
      </c>
      <c r="E1788" s="371">
        <v>43927</v>
      </c>
    </row>
    <row r="1789" spans="1:5" x14ac:dyDescent="0.25">
      <c r="A1789" s="373"/>
      <c r="B1789" s="362" t="s">
        <v>4696</v>
      </c>
      <c r="C1789" s="362" t="s">
        <v>4070</v>
      </c>
      <c r="D1789" s="391">
        <v>18146851</v>
      </c>
      <c r="E1789" s="371">
        <v>43927</v>
      </c>
    </row>
    <row r="1790" spans="1:5" x14ac:dyDescent="0.25">
      <c r="A1790" s="373"/>
      <c r="B1790" s="362" t="s">
        <v>4697</v>
      </c>
      <c r="C1790" s="362" t="s">
        <v>4055</v>
      </c>
      <c r="D1790" s="391">
        <v>852272783</v>
      </c>
      <c r="E1790" s="371">
        <v>43927</v>
      </c>
    </row>
    <row r="1791" spans="1:5" x14ac:dyDescent="0.25">
      <c r="A1791" s="373"/>
      <c r="B1791" s="362" t="s">
        <v>4698</v>
      </c>
      <c r="C1791" s="362" t="s">
        <v>3974</v>
      </c>
      <c r="D1791" s="391">
        <v>412632718</v>
      </c>
      <c r="E1791" s="371">
        <v>43927</v>
      </c>
    </row>
    <row r="1792" spans="1:5" x14ac:dyDescent="0.25">
      <c r="A1792" s="373"/>
      <c r="B1792" s="362" t="s">
        <v>4699</v>
      </c>
      <c r="C1792" s="362" t="s">
        <v>4057</v>
      </c>
      <c r="D1792" s="391">
        <v>141146540</v>
      </c>
      <c r="E1792" s="371">
        <v>43927</v>
      </c>
    </row>
    <row r="1793" spans="1:5" x14ac:dyDescent="0.25">
      <c r="A1793" s="373"/>
      <c r="B1793" s="362" t="s">
        <v>4700</v>
      </c>
      <c r="C1793" s="362" t="s">
        <v>4036</v>
      </c>
      <c r="D1793" s="391">
        <v>807685286</v>
      </c>
      <c r="E1793" s="371">
        <v>43927</v>
      </c>
    </row>
    <row r="1794" spans="1:5" x14ac:dyDescent="0.25">
      <c r="A1794" s="373"/>
      <c r="B1794" s="362" t="s">
        <v>4701</v>
      </c>
      <c r="C1794" s="362" t="s">
        <v>4066</v>
      </c>
      <c r="D1794" s="391">
        <v>160289607</v>
      </c>
      <c r="E1794" s="371">
        <v>43927</v>
      </c>
    </row>
    <row r="1795" spans="1:5" x14ac:dyDescent="0.25">
      <c r="A1795" s="373"/>
      <c r="B1795" s="362" t="s">
        <v>4702</v>
      </c>
      <c r="C1795" s="362" t="s">
        <v>4142</v>
      </c>
      <c r="D1795" s="391">
        <v>1947968730</v>
      </c>
      <c r="E1795" s="371">
        <v>43927</v>
      </c>
    </row>
    <row r="1796" spans="1:5" x14ac:dyDescent="0.25">
      <c r="A1796" s="373"/>
      <c r="B1796" s="362" t="s">
        <v>4703</v>
      </c>
      <c r="C1796" s="362" t="s">
        <v>4055</v>
      </c>
      <c r="D1796" s="391">
        <v>1024525377</v>
      </c>
      <c r="E1796" s="371">
        <v>43927</v>
      </c>
    </row>
    <row r="1797" spans="1:5" x14ac:dyDescent="0.25">
      <c r="A1797" s="373"/>
      <c r="B1797" s="362" t="s">
        <v>4704</v>
      </c>
      <c r="C1797" s="362" t="s">
        <v>4705</v>
      </c>
      <c r="D1797" s="391">
        <v>31414720</v>
      </c>
      <c r="E1797" s="371">
        <v>43929</v>
      </c>
    </row>
    <row r="1798" spans="1:5" x14ac:dyDescent="0.25">
      <c r="A1798" s="373"/>
      <c r="B1798" s="362" t="s">
        <v>4706</v>
      </c>
      <c r="C1798" s="362" t="s">
        <v>4707</v>
      </c>
      <c r="D1798" s="391">
        <v>809790208</v>
      </c>
      <c r="E1798" s="371">
        <v>43929</v>
      </c>
    </row>
    <row r="1799" spans="1:5" x14ac:dyDescent="0.25">
      <c r="A1799" s="373"/>
      <c r="B1799" s="362" t="s">
        <v>4708</v>
      </c>
      <c r="C1799" s="362" t="s">
        <v>4055</v>
      </c>
      <c r="D1799" s="391">
        <v>499729858</v>
      </c>
      <c r="E1799" s="371">
        <v>43929</v>
      </c>
    </row>
    <row r="1800" spans="1:5" x14ac:dyDescent="0.25">
      <c r="A1800" s="373"/>
      <c r="B1800" s="362" t="s">
        <v>4709</v>
      </c>
      <c r="C1800" s="362" t="s">
        <v>4057</v>
      </c>
      <c r="D1800" s="391">
        <v>114460100</v>
      </c>
      <c r="E1800" s="371">
        <v>43929</v>
      </c>
    </row>
    <row r="1801" spans="1:5" x14ac:dyDescent="0.25">
      <c r="A1801" s="373"/>
      <c r="B1801" s="362" t="s">
        <v>4710</v>
      </c>
      <c r="C1801" s="362" t="s">
        <v>4036</v>
      </c>
      <c r="D1801" s="391">
        <v>993576233</v>
      </c>
      <c r="E1801" s="371">
        <v>43929</v>
      </c>
    </row>
    <row r="1802" spans="1:5" x14ac:dyDescent="0.25">
      <c r="A1802" s="373"/>
      <c r="B1802" s="362" t="s">
        <v>4711</v>
      </c>
      <c r="C1802" s="362" t="s">
        <v>4142</v>
      </c>
      <c r="D1802" s="391">
        <v>349188006</v>
      </c>
      <c r="E1802" s="371">
        <v>43929</v>
      </c>
    </row>
    <row r="1803" spans="1:5" x14ac:dyDescent="0.25">
      <c r="A1803" s="373"/>
      <c r="B1803" s="362" t="s">
        <v>4712</v>
      </c>
      <c r="C1803" s="362" t="s">
        <v>4066</v>
      </c>
      <c r="D1803" s="391">
        <v>141214854</v>
      </c>
      <c r="E1803" s="371">
        <v>43929</v>
      </c>
    </row>
    <row r="1804" spans="1:5" x14ac:dyDescent="0.25">
      <c r="A1804" s="373"/>
      <c r="B1804" s="362" t="s">
        <v>4713</v>
      </c>
      <c r="C1804" s="362" t="s">
        <v>4705</v>
      </c>
      <c r="D1804" s="391">
        <v>172790504</v>
      </c>
      <c r="E1804" s="371">
        <v>43937</v>
      </c>
    </row>
    <row r="1805" spans="1:5" x14ac:dyDescent="0.25">
      <c r="A1805" s="373"/>
      <c r="B1805" s="362" t="s">
        <v>4714</v>
      </c>
      <c r="C1805" s="362" t="s">
        <v>4036</v>
      </c>
      <c r="D1805" s="391">
        <v>646402863</v>
      </c>
      <c r="E1805" s="371">
        <v>43937</v>
      </c>
    </row>
    <row r="1806" spans="1:5" x14ac:dyDescent="0.25">
      <c r="A1806" s="373"/>
      <c r="B1806" s="362" t="s">
        <v>4715</v>
      </c>
      <c r="C1806" s="362" t="s">
        <v>4716</v>
      </c>
      <c r="D1806" s="391">
        <v>133054588</v>
      </c>
      <c r="E1806" s="371">
        <v>43937</v>
      </c>
    </row>
    <row r="1807" spans="1:5" x14ac:dyDescent="0.25">
      <c r="A1807" s="373"/>
      <c r="B1807" s="362" t="s">
        <v>4717</v>
      </c>
      <c r="C1807" s="362" t="s">
        <v>3974</v>
      </c>
      <c r="D1807" s="391">
        <v>713155724</v>
      </c>
      <c r="E1807" s="371">
        <v>43937</v>
      </c>
    </row>
    <row r="1808" spans="1:5" x14ac:dyDescent="0.25">
      <c r="A1808" s="373"/>
      <c r="B1808" s="362" t="s">
        <v>4718</v>
      </c>
      <c r="C1808" s="362" t="s">
        <v>4055</v>
      </c>
      <c r="D1808" s="391">
        <v>513863921</v>
      </c>
      <c r="E1808" s="371">
        <v>43937</v>
      </c>
    </row>
    <row r="1809" spans="2:5" x14ac:dyDescent="0.25">
      <c r="B1809" s="384" t="s">
        <v>5149</v>
      </c>
      <c r="C1809" s="384" t="s">
        <v>4055</v>
      </c>
      <c r="D1809" s="374">
        <v>626812012</v>
      </c>
      <c r="E1809" s="393">
        <v>43930</v>
      </c>
    </row>
    <row r="1810" spans="2:5" x14ac:dyDescent="0.25">
      <c r="B1810" s="384" t="s">
        <v>5150</v>
      </c>
      <c r="C1810" s="384" t="s">
        <v>4043</v>
      </c>
      <c r="D1810" s="374">
        <v>183635030</v>
      </c>
      <c r="E1810" s="393">
        <v>43930</v>
      </c>
    </row>
    <row r="1811" spans="2:5" x14ac:dyDescent="0.25">
      <c r="B1811" s="384" t="s">
        <v>5151</v>
      </c>
      <c r="C1811" s="384" t="s">
        <v>4179</v>
      </c>
      <c r="D1811" s="374">
        <v>248404680</v>
      </c>
      <c r="E1811" s="393">
        <v>43930</v>
      </c>
    </row>
    <row r="1812" spans="2:5" x14ac:dyDescent="0.25">
      <c r="B1812" s="384" t="s">
        <v>5152</v>
      </c>
      <c r="C1812" s="384" t="s">
        <v>4161</v>
      </c>
      <c r="D1812" s="374">
        <v>88862581</v>
      </c>
      <c r="E1812" s="393">
        <v>43930</v>
      </c>
    </row>
    <row r="1813" spans="2:5" x14ac:dyDescent="0.25">
      <c r="B1813" s="384" t="s">
        <v>5153</v>
      </c>
      <c r="C1813" s="384" t="s">
        <v>5174</v>
      </c>
      <c r="D1813" s="374">
        <v>25844400</v>
      </c>
      <c r="E1813" s="393">
        <v>43930</v>
      </c>
    </row>
    <row r="1814" spans="2:5" x14ac:dyDescent="0.25">
      <c r="B1814" s="384" t="s">
        <v>5154</v>
      </c>
      <c r="C1814" s="384" t="s">
        <v>5175</v>
      </c>
      <c r="D1814" s="374">
        <v>97877000</v>
      </c>
      <c r="E1814" s="393">
        <v>43930</v>
      </c>
    </row>
    <row r="1815" spans="2:5" x14ac:dyDescent="0.25">
      <c r="B1815" s="384" t="s">
        <v>5155</v>
      </c>
      <c r="C1815" s="384" t="s">
        <v>322</v>
      </c>
      <c r="D1815" s="374"/>
      <c r="E1815" s="393"/>
    </row>
    <row r="1816" spans="2:5" x14ac:dyDescent="0.25">
      <c r="B1816" s="384" t="s">
        <v>5156</v>
      </c>
      <c r="C1816" s="384" t="s">
        <v>5176</v>
      </c>
      <c r="D1816" s="374"/>
      <c r="E1816" s="393"/>
    </row>
    <row r="1817" spans="2:5" x14ac:dyDescent="0.25">
      <c r="B1817" s="384" t="s">
        <v>5157</v>
      </c>
      <c r="C1817" s="384" t="s">
        <v>4075</v>
      </c>
      <c r="D1817" s="374">
        <v>755170734</v>
      </c>
      <c r="E1817" s="393">
        <v>43930</v>
      </c>
    </row>
    <row r="1818" spans="2:5" x14ac:dyDescent="0.25">
      <c r="B1818" s="384" t="s">
        <v>5158</v>
      </c>
      <c r="C1818" s="384" t="s">
        <v>4145</v>
      </c>
      <c r="D1818" s="374">
        <v>95038900</v>
      </c>
      <c r="E1818" s="393">
        <v>43930</v>
      </c>
    </row>
    <row r="1819" spans="2:5" x14ac:dyDescent="0.25">
      <c r="B1819" s="384" t="s">
        <v>5159</v>
      </c>
      <c r="C1819" s="384" t="s">
        <v>4036</v>
      </c>
      <c r="D1819" s="374">
        <v>1156620997</v>
      </c>
      <c r="E1819" s="393">
        <v>43930</v>
      </c>
    </row>
    <row r="1820" spans="2:5" x14ac:dyDescent="0.25">
      <c r="B1820" s="384" t="s">
        <v>5160</v>
      </c>
      <c r="C1820" s="384" t="s">
        <v>4078</v>
      </c>
      <c r="D1820" s="374">
        <v>196140259</v>
      </c>
      <c r="E1820" s="393">
        <v>43930</v>
      </c>
    </row>
    <row r="1821" spans="2:5" x14ac:dyDescent="0.25">
      <c r="B1821" s="384" t="s">
        <v>5161</v>
      </c>
      <c r="C1821" s="384" t="s">
        <v>4828</v>
      </c>
      <c r="D1821" s="374">
        <v>478402900</v>
      </c>
      <c r="E1821" s="393">
        <v>43930</v>
      </c>
    </row>
    <row r="1822" spans="2:5" x14ac:dyDescent="0.25">
      <c r="B1822" s="384" t="s">
        <v>5162</v>
      </c>
      <c r="C1822" s="384" t="s">
        <v>216</v>
      </c>
      <c r="D1822" s="374">
        <v>169068796</v>
      </c>
      <c r="E1822" s="393">
        <v>43930</v>
      </c>
    </row>
    <row r="1823" spans="2:5" x14ac:dyDescent="0.25">
      <c r="B1823" s="384" t="s">
        <v>5163</v>
      </c>
      <c r="C1823" s="384" t="s">
        <v>4199</v>
      </c>
      <c r="D1823" s="374">
        <v>35696800</v>
      </c>
      <c r="E1823" s="393">
        <v>43936</v>
      </c>
    </row>
    <row r="1824" spans="2:5" x14ac:dyDescent="0.25">
      <c r="B1824" s="384" t="s">
        <v>5164</v>
      </c>
      <c r="C1824" s="384" t="s">
        <v>4055</v>
      </c>
      <c r="D1824" s="374">
        <v>439709063</v>
      </c>
      <c r="E1824" s="393">
        <v>43936</v>
      </c>
    </row>
    <row r="1825" spans="2:5" x14ac:dyDescent="0.25">
      <c r="B1825" s="384" t="s">
        <v>5165</v>
      </c>
      <c r="C1825" s="384" t="s">
        <v>4036</v>
      </c>
      <c r="D1825" s="374">
        <v>807553093</v>
      </c>
      <c r="E1825" s="393">
        <v>43936</v>
      </c>
    </row>
    <row r="1826" spans="2:5" x14ac:dyDescent="0.25">
      <c r="B1826" s="384" t="s">
        <v>5166</v>
      </c>
      <c r="C1826" s="384" t="s">
        <v>4105</v>
      </c>
      <c r="D1826" s="374">
        <v>100241790</v>
      </c>
      <c r="E1826" s="393">
        <v>43936</v>
      </c>
    </row>
    <row r="1827" spans="2:5" x14ac:dyDescent="0.25">
      <c r="B1827" s="384" t="s">
        <v>5167</v>
      </c>
      <c r="C1827" s="384" t="s">
        <v>4161</v>
      </c>
      <c r="D1827" s="374">
        <v>98489706</v>
      </c>
      <c r="E1827" s="393">
        <v>43936</v>
      </c>
    </row>
    <row r="1828" spans="2:5" x14ac:dyDescent="0.25">
      <c r="B1828" s="384" t="s">
        <v>5168</v>
      </c>
      <c r="C1828" s="384" t="s">
        <v>4075</v>
      </c>
      <c r="D1828" s="374">
        <v>315916508</v>
      </c>
      <c r="E1828" s="393">
        <v>43936</v>
      </c>
    </row>
    <row r="1829" spans="2:5" x14ac:dyDescent="0.25">
      <c r="B1829" s="384" t="s">
        <v>5169</v>
      </c>
      <c r="C1829" s="384" t="s">
        <v>4043</v>
      </c>
      <c r="D1829" s="374">
        <v>470661858</v>
      </c>
      <c r="E1829" s="393">
        <v>43936</v>
      </c>
    </row>
    <row r="1830" spans="2:5" x14ac:dyDescent="0.25">
      <c r="B1830" s="384" t="s">
        <v>5170</v>
      </c>
      <c r="C1830" s="384" t="s">
        <v>216</v>
      </c>
      <c r="D1830" s="374">
        <v>79795619</v>
      </c>
      <c r="E1830" s="393">
        <v>43937</v>
      </c>
    </row>
    <row r="1831" spans="2:5" x14ac:dyDescent="0.25">
      <c r="B1831" s="384" t="s">
        <v>5171</v>
      </c>
      <c r="C1831" s="384" t="s">
        <v>5177</v>
      </c>
      <c r="D1831" s="374">
        <v>3537800</v>
      </c>
      <c r="E1831" s="393">
        <v>43937</v>
      </c>
    </row>
    <row r="1832" spans="2:5" x14ac:dyDescent="0.25">
      <c r="B1832" s="384" t="s">
        <v>5172</v>
      </c>
      <c r="C1832" s="384" t="s">
        <v>4075</v>
      </c>
      <c r="D1832" s="374">
        <v>158585800</v>
      </c>
      <c r="E1832" s="393">
        <v>43937</v>
      </c>
    </row>
    <row r="1833" spans="2:5" x14ac:dyDescent="0.25">
      <c r="B1833" s="384" t="s">
        <v>5173</v>
      </c>
      <c r="C1833" s="384" t="s">
        <v>4070</v>
      </c>
      <c r="D1833" s="374">
        <v>26327825</v>
      </c>
      <c r="E1833" s="393">
        <v>43937</v>
      </c>
    </row>
    <row r="1834" spans="2:5" x14ac:dyDescent="0.25">
      <c r="B1834" s="362" t="s">
        <v>4371</v>
      </c>
      <c r="C1834" s="362" t="s">
        <v>4053</v>
      </c>
      <c r="D1834" s="387">
        <v>11018000</v>
      </c>
      <c r="E1834" s="396">
        <v>43937</v>
      </c>
    </row>
    <row r="1835" spans="2:5" x14ac:dyDescent="0.25">
      <c r="B1835" s="362" t="s">
        <v>4372</v>
      </c>
      <c r="C1835" s="362" t="s">
        <v>4142</v>
      </c>
      <c r="D1835" s="387">
        <v>3072008617</v>
      </c>
      <c r="E1835" s="396">
        <v>43938</v>
      </c>
    </row>
    <row r="1836" spans="2:5" x14ac:dyDescent="0.25">
      <c r="B1836" s="362" t="s">
        <v>4373</v>
      </c>
      <c r="C1836" s="362" t="s">
        <v>4199</v>
      </c>
      <c r="D1836" s="387">
        <v>26327825</v>
      </c>
      <c r="E1836" s="396">
        <v>43938</v>
      </c>
    </row>
    <row r="1837" spans="2:5" x14ac:dyDescent="0.25">
      <c r="B1837" s="362" t="s">
        <v>4374</v>
      </c>
      <c r="C1837" s="362" t="s">
        <v>4055</v>
      </c>
      <c r="D1837" s="387">
        <v>213133426</v>
      </c>
      <c r="E1837" s="396">
        <v>43941</v>
      </c>
    </row>
    <row r="1838" spans="2:5" x14ac:dyDescent="0.25">
      <c r="B1838" s="362" t="s">
        <v>4375</v>
      </c>
      <c r="C1838" s="362" t="s">
        <v>4036</v>
      </c>
      <c r="D1838" s="387">
        <v>539796313</v>
      </c>
      <c r="E1838" s="396">
        <v>43941</v>
      </c>
    </row>
    <row r="1839" spans="2:5" x14ac:dyDescent="0.25">
      <c r="B1839" s="362" t="s">
        <v>4376</v>
      </c>
      <c r="C1839" s="362" t="s">
        <v>4119</v>
      </c>
      <c r="D1839" s="387">
        <v>280978900</v>
      </c>
      <c r="E1839" s="396"/>
    </row>
    <row r="1840" spans="2:5" x14ac:dyDescent="0.25">
      <c r="B1840" s="362" t="s">
        <v>4377</v>
      </c>
      <c r="C1840" s="362" t="s">
        <v>4066</v>
      </c>
      <c r="D1840" s="387">
        <v>144320117</v>
      </c>
      <c r="E1840" s="396">
        <v>43941</v>
      </c>
    </row>
    <row r="1841" spans="2:5" x14ac:dyDescent="0.25">
      <c r="B1841" s="362" t="s">
        <v>4378</v>
      </c>
      <c r="C1841" s="362" t="s">
        <v>4379</v>
      </c>
      <c r="D1841" s="387">
        <v>98489766</v>
      </c>
      <c r="E1841" s="396">
        <v>43941</v>
      </c>
    </row>
    <row r="1842" spans="2:5" x14ac:dyDescent="0.25">
      <c r="B1842" s="362" t="s">
        <v>4380</v>
      </c>
      <c r="C1842" s="362" t="s">
        <v>4075</v>
      </c>
      <c r="D1842" s="387">
        <v>65647663</v>
      </c>
      <c r="E1842" s="396">
        <v>43941</v>
      </c>
    </row>
    <row r="1843" spans="2:5" x14ac:dyDescent="0.25">
      <c r="B1843" s="362" t="s">
        <v>4381</v>
      </c>
      <c r="C1843" s="362" t="s">
        <v>4109</v>
      </c>
      <c r="D1843" s="387">
        <v>83058400</v>
      </c>
      <c r="E1843" s="396">
        <v>43941</v>
      </c>
    </row>
    <row r="1844" spans="2:5" x14ac:dyDescent="0.25">
      <c r="B1844" s="362" t="s">
        <v>4382</v>
      </c>
      <c r="C1844" s="362" t="s">
        <v>4043</v>
      </c>
      <c r="D1844" s="387">
        <v>30516680</v>
      </c>
      <c r="E1844" s="396">
        <v>43941</v>
      </c>
    </row>
    <row r="1845" spans="2:5" x14ac:dyDescent="0.25">
      <c r="B1845" s="362" t="s">
        <v>4383</v>
      </c>
      <c r="C1845" s="362" t="s">
        <v>4199</v>
      </c>
      <c r="D1845" s="387">
        <v>31160813</v>
      </c>
      <c r="E1845" s="396">
        <v>43941</v>
      </c>
    </row>
    <row r="1846" spans="2:5" x14ac:dyDescent="0.25">
      <c r="B1846" s="362" t="s">
        <v>4384</v>
      </c>
      <c r="C1846" s="362" t="s">
        <v>4055</v>
      </c>
      <c r="D1846" s="387">
        <v>457672321</v>
      </c>
      <c r="E1846" s="396">
        <v>43941</v>
      </c>
    </row>
    <row r="1847" spans="2:5" x14ac:dyDescent="0.25">
      <c r="B1847" s="362" t="s">
        <v>4385</v>
      </c>
      <c r="C1847" s="362" t="s">
        <v>4036</v>
      </c>
      <c r="D1847" s="387">
        <v>615699641</v>
      </c>
      <c r="E1847" s="396">
        <v>43941</v>
      </c>
    </row>
    <row r="1848" spans="2:5" x14ac:dyDescent="0.25">
      <c r="B1848" s="362" t="s">
        <v>4386</v>
      </c>
      <c r="C1848" s="362" t="s">
        <v>4066</v>
      </c>
      <c r="D1848" s="387">
        <v>54731596</v>
      </c>
      <c r="E1848" s="396"/>
    </row>
    <row r="1849" spans="2:5" x14ac:dyDescent="0.25">
      <c r="B1849" s="362" t="s">
        <v>4387</v>
      </c>
      <c r="C1849" s="362" t="s">
        <v>4163</v>
      </c>
      <c r="D1849" s="387">
        <v>173830081</v>
      </c>
      <c r="E1849" s="396">
        <v>43941</v>
      </c>
    </row>
    <row r="1850" spans="2:5" x14ac:dyDescent="0.25">
      <c r="B1850" s="362" t="s">
        <v>4388</v>
      </c>
      <c r="C1850" s="362" t="s">
        <v>4075</v>
      </c>
      <c r="D1850" s="387">
        <v>655577387</v>
      </c>
      <c r="E1850" s="396">
        <v>43942</v>
      </c>
    </row>
    <row r="1851" spans="2:5" x14ac:dyDescent="0.25">
      <c r="B1851" s="362" t="s">
        <v>4389</v>
      </c>
      <c r="C1851" s="362" t="s">
        <v>4043</v>
      </c>
      <c r="D1851" s="387">
        <v>398982250</v>
      </c>
      <c r="E1851" s="396">
        <v>43942</v>
      </c>
    </row>
    <row r="1852" spans="2:5" x14ac:dyDescent="0.25">
      <c r="B1852" s="362" t="s">
        <v>4390</v>
      </c>
      <c r="C1852" s="362" t="s">
        <v>4391</v>
      </c>
      <c r="D1852" s="387">
        <v>3999679</v>
      </c>
      <c r="E1852" s="396">
        <v>43942</v>
      </c>
    </row>
    <row r="1853" spans="2:5" x14ac:dyDescent="0.25">
      <c r="B1853" s="362" t="s">
        <v>4392</v>
      </c>
      <c r="C1853" s="362" t="s">
        <v>4393</v>
      </c>
      <c r="D1853" s="387">
        <v>1268223585</v>
      </c>
      <c r="E1853" s="396">
        <v>43942</v>
      </c>
    </row>
    <row r="1854" spans="2:5" x14ac:dyDescent="0.25">
      <c r="B1854" s="362" t="s">
        <v>4394</v>
      </c>
      <c r="C1854" s="362" t="s">
        <v>4395</v>
      </c>
      <c r="D1854" s="387">
        <v>402776124</v>
      </c>
      <c r="E1854" s="396">
        <v>43942</v>
      </c>
    </row>
    <row r="1855" spans="2:5" x14ac:dyDescent="0.25">
      <c r="B1855" s="362" t="s">
        <v>4396</v>
      </c>
      <c r="C1855" s="362" t="s">
        <v>4075</v>
      </c>
      <c r="D1855" s="387">
        <v>727344030</v>
      </c>
      <c r="E1855" s="396">
        <v>43942</v>
      </c>
    </row>
    <row r="1856" spans="2:5" x14ac:dyDescent="0.25">
      <c r="B1856" s="362" t="s">
        <v>4397</v>
      </c>
      <c r="C1856" s="362" t="s">
        <v>4161</v>
      </c>
      <c r="D1856" s="387">
        <v>88862581</v>
      </c>
      <c r="E1856" s="396">
        <v>43942</v>
      </c>
    </row>
    <row r="1857" spans="2:5" x14ac:dyDescent="0.25">
      <c r="B1857" s="362" t="s">
        <v>4398</v>
      </c>
      <c r="C1857" s="362" t="s">
        <v>4036</v>
      </c>
      <c r="D1857" s="387">
        <v>280421323</v>
      </c>
      <c r="E1857" s="396">
        <v>43942</v>
      </c>
    </row>
    <row r="1858" spans="2:5" x14ac:dyDescent="0.25">
      <c r="B1858" s="362" t="s">
        <v>4399</v>
      </c>
      <c r="C1858" s="362" t="s">
        <v>3974</v>
      </c>
      <c r="D1858" s="387">
        <v>1222826953</v>
      </c>
      <c r="E1858" s="396">
        <v>43942</v>
      </c>
    </row>
    <row r="1859" spans="2:5" x14ac:dyDescent="0.25">
      <c r="B1859" s="362" t="s">
        <v>4338</v>
      </c>
      <c r="C1859" s="362" t="s">
        <v>4142</v>
      </c>
      <c r="D1859" s="387">
        <v>1081827239</v>
      </c>
      <c r="E1859" s="396">
        <v>43943</v>
      </c>
    </row>
    <row r="1860" spans="2:5" x14ac:dyDescent="0.25">
      <c r="B1860" s="362" t="s">
        <v>4339</v>
      </c>
      <c r="C1860" s="362" t="s">
        <v>4055</v>
      </c>
      <c r="D1860" s="387">
        <v>661176544</v>
      </c>
      <c r="E1860" s="396">
        <v>43943</v>
      </c>
    </row>
    <row r="1861" spans="2:5" x14ac:dyDescent="0.25">
      <c r="B1861" s="362" t="s">
        <v>4340</v>
      </c>
      <c r="C1861" s="362" t="s">
        <v>4142</v>
      </c>
      <c r="D1861" s="387">
        <v>694229181</v>
      </c>
      <c r="E1861" s="396">
        <v>43943</v>
      </c>
    </row>
    <row r="1862" spans="2:5" x14ac:dyDescent="0.25">
      <c r="B1862" s="362" t="s">
        <v>4341</v>
      </c>
      <c r="C1862" s="362" t="s">
        <v>4342</v>
      </c>
      <c r="D1862" s="387">
        <v>1241779029</v>
      </c>
      <c r="E1862" s="396">
        <v>43943</v>
      </c>
    </row>
    <row r="1863" spans="2:5" x14ac:dyDescent="0.25">
      <c r="B1863" s="362" t="s">
        <v>4343</v>
      </c>
      <c r="C1863" s="362" t="s">
        <v>4036</v>
      </c>
      <c r="D1863" s="387">
        <v>362017963</v>
      </c>
      <c r="E1863" s="396">
        <v>43943</v>
      </c>
    </row>
    <row r="1864" spans="2:5" x14ac:dyDescent="0.25">
      <c r="B1864" s="362" t="s">
        <v>4344</v>
      </c>
      <c r="C1864" s="362" t="s">
        <v>388</v>
      </c>
      <c r="D1864" s="387"/>
      <c r="E1864" s="396">
        <v>43943</v>
      </c>
    </row>
    <row r="1865" spans="2:5" x14ac:dyDescent="0.25">
      <c r="B1865" s="362" t="s">
        <v>4345</v>
      </c>
      <c r="C1865" s="362" t="s">
        <v>4346</v>
      </c>
      <c r="D1865" s="387">
        <v>453614812</v>
      </c>
      <c r="E1865" s="396">
        <v>43943</v>
      </c>
    </row>
    <row r="1866" spans="2:5" x14ac:dyDescent="0.25">
      <c r="B1866" s="362" t="s">
        <v>4347</v>
      </c>
      <c r="C1866" s="362" t="s">
        <v>3974</v>
      </c>
      <c r="D1866" s="387">
        <v>617621829</v>
      </c>
      <c r="E1866" s="396">
        <v>43943</v>
      </c>
    </row>
    <row r="1867" spans="2:5" x14ac:dyDescent="0.25">
      <c r="B1867" s="362" t="s">
        <v>4348</v>
      </c>
      <c r="C1867" s="362" t="s">
        <v>4169</v>
      </c>
      <c r="D1867" s="387">
        <v>114369020</v>
      </c>
      <c r="E1867" s="396">
        <v>43943</v>
      </c>
    </row>
    <row r="1868" spans="2:5" x14ac:dyDescent="0.25">
      <c r="B1868" s="362" t="s">
        <v>4349</v>
      </c>
      <c r="C1868" s="362" t="s">
        <v>4142</v>
      </c>
      <c r="D1868" s="387">
        <v>23378756</v>
      </c>
      <c r="E1868" s="396">
        <v>43943</v>
      </c>
    </row>
    <row r="1869" spans="2:5" x14ac:dyDescent="0.25">
      <c r="B1869" s="362" t="s">
        <v>4350</v>
      </c>
      <c r="C1869" s="362" t="s">
        <v>4351</v>
      </c>
      <c r="D1869" s="387">
        <v>438267931</v>
      </c>
      <c r="E1869" s="396">
        <v>43944</v>
      </c>
    </row>
    <row r="1870" spans="2:5" x14ac:dyDescent="0.25">
      <c r="B1870" s="362" t="s">
        <v>4352</v>
      </c>
      <c r="C1870" s="362" t="s">
        <v>4353</v>
      </c>
      <c r="D1870" s="387">
        <v>60518667</v>
      </c>
      <c r="E1870" s="396">
        <v>43944</v>
      </c>
    </row>
    <row r="1871" spans="2:5" x14ac:dyDescent="0.25">
      <c r="B1871" s="362" t="s">
        <v>4354</v>
      </c>
      <c r="C1871" s="362" t="s">
        <v>4355</v>
      </c>
      <c r="D1871" s="387">
        <v>1575000</v>
      </c>
      <c r="E1871" s="396">
        <v>43944</v>
      </c>
    </row>
    <row r="1872" spans="2:5" x14ac:dyDescent="0.25">
      <c r="B1872" s="362" t="s">
        <v>4356</v>
      </c>
      <c r="C1872" s="362" t="s">
        <v>4055</v>
      </c>
      <c r="D1872" s="387">
        <v>1614534146</v>
      </c>
      <c r="E1872" s="396">
        <v>43944</v>
      </c>
    </row>
    <row r="1873" spans="2:5" x14ac:dyDescent="0.25">
      <c r="B1873" s="362" t="s">
        <v>4357</v>
      </c>
      <c r="C1873" s="362" t="s">
        <v>388</v>
      </c>
      <c r="D1873" s="387"/>
      <c r="E1873" s="396">
        <v>43944</v>
      </c>
    </row>
    <row r="1874" spans="2:5" x14ac:dyDescent="0.25">
      <c r="B1874" s="362" t="s">
        <v>4358</v>
      </c>
      <c r="C1874" s="362" t="s">
        <v>4053</v>
      </c>
      <c r="D1874" s="387">
        <v>8318000</v>
      </c>
      <c r="E1874" s="396">
        <v>43944</v>
      </c>
    </row>
    <row r="1875" spans="2:5" x14ac:dyDescent="0.25">
      <c r="B1875" s="362" t="s">
        <v>4359</v>
      </c>
      <c r="C1875" s="362" t="s">
        <v>4360</v>
      </c>
      <c r="D1875" s="387">
        <v>637154965</v>
      </c>
      <c r="E1875" s="396">
        <v>43944</v>
      </c>
    </row>
    <row r="1876" spans="2:5" x14ac:dyDescent="0.25">
      <c r="B1876" s="362" t="s">
        <v>4361</v>
      </c>
      <c r="C1876" s="362" t="s">
        <v>4179</v>
      </c>
      <c r="D1876" s="387">
        <v>229484702</v>
      </c>
      <c r="E1876" s="396">
        <v>43944</v>
      </c>
    </row>
    <row r="1877" spans="2:5" x14ac:dyDescent="0.25">
      <c r="B1877" s="362" t="s">
        <v>4362</v>
      </c>
      <c r="C1877" s="362" t="s">
        <v>4055</v>
      </c>
      <c r="D1877" s="387">
        <v>404652998</v>
      </c>
      <c r="E1877" s="396">
        <v>43944</v>
      </c>
    </row>
    <row r="1878" spans="2:5" x14ac:dyDescent="0.25">
      <c r="B1878" s="362" t="s">
        <v>4363</v>
      </c>
      <c r="C1878" s="362" t="s">
        <v>4064</v>
      </c>
      <c r="D1878" s="387">
        <v>707775814</v>
      </c>
      <c r="E1878" s="396">
        <v>43945</v>
      </c>
    </row>
    <row r="1879" spans="2:5" x14ac:dyDescent="0.25">
      <c r="B1879" s="362" t="s">
        <v>4364</v>
      </c>
      <c r="C1879" s="362" t="s">
        <v>4055</v>
      </c>
      <c r="D1879" s="387">
        <v>392192725</v>
      </c>
      <c r="E1879" s="396">
        <v>43945</v>
      </c>
    </row>
    <row r="1880" spans="2:5" x14ac:dyDescent="0.25">
      <c r="B1880" s="362" t="s">
        <v>4365</v>
      </c>
      <c r="C1880" s="362" t="s">
        <v>4036</v>
      </c>
      <c r="D1880" s="387">
        <v>790246749</v>
      </c>
      <c r="E1880" s="396">
        <v>43945</v>
      </c>
    </row>
    <row r="1881" spans="2:5" x14ac:dyDescent="0.25">
      <c r="B1881" s="362" t="s">
        <v>4366</v>
      </c>
      <c r="C1881" s="362" t="s">
        <v>4367</v>
      </c>
      <c r="D1881" s="387">
        <v>146303951</v>
      </c>
      <c r="E1881" s="396">
        <v>43945</v>
      </c>
    </row>
    <row r="1882" spans="2:5" x14ac:dyDescent="0.25">
      <c r="B1882" s="362" t="s">
        <v>4368</v>
      </c>
      <c r="C1882" s="362" t="s">
        <v>4369</v>
      </c>
      <c r="D1882" s="387">
        <v>9476979</v>
      </c>
      <c r="E1882" s="396">
        <v>43945</v>
      </c>
    </row>
    <row r="1883" spans="2:5" x14ac:dyDescent="0.25">
      <c r="B1883" s="362" t="s">
        <v>4370</v>
      </c>
      <c r="C1883" s="362" t="s">
        <v>4142</v>
      </c>
      <c r="D1883" s="387">
        <v>411304541</v>
      </c>
      <c r="E1883" s="396">
        <v>43945</v>
      </c>
    </row>
    <row r="1884" spans="2:5" x14ac:dyDescent="0.25">
      <c r="B1884" s="362" t="s">
        <v>4313</v>
      </c>
      <c r="C1884" s="362" t="s">
        <v>4085</v>
      </c>
      <c r="D1884" s="387">
        <v>232618250</v>
      </c>
      <c r="E1884" s="393">
        <v>43945</v>
      </c>
    </row>
    <row r="1885" spans="2:5" x14ac:dyDescent="0.25">
      <c r="B1885" s="362" t="s">
        <v>4314</v>
      </c>
      <c r="C1885" s="362" t="s">
        <v>4199</v>
      </c>
      <c r="D1885" s="387">
        <v>39490289</v>
      </c>
      <c r="E1885" s="393">
        <v>43948</v>
      </c>
    </row>
    <row r="1886" spans="2:5" x14ac:dyDescent="0.25">
      <c r="B1886" s="362" t="s">
        <v>4315</v>
      </c>
      <c r="C1886" s="362" t="s">
        <v>4055</v>
      </c>
      <c r="D1886" s="387">
        <v>515508509</v>
      </c>
      <c r="E1886" s="393">
        <v>43948</v>
      </c>
    </row>
    <row r="1887" spans="2:5" x14ac:dyDescent="0.25">
      <c r="B1887" s="362" t="s">
        <v>4316</v>
      </c>
      <c r="C1887" s="362" t="s">
        <v>4064</v>
      </c>
      <c r="D1887" s="387">
        <v>583021978</v>
      </c>
      <c r="E1887" s="393">
        <v>43948</v>
      </c>
    </row>
    <row r="1888" spans="2:5" x14ac:dyDescent="0.25">
      <c r="B1888" s="362" t="s">
        <v>4317</v>
      </c>
      <c r="C1888" s="362" t="s">
        <v>4169</v>
      </c>
      <c r="D1888" s="387">
        <v>135633569</v>
      </c>
      <c r="E1888" s="393">
        <v>43948</v>
      </c>
    </row>
    <row r="1889" spans="2:5" x14ac:dyDescent="0.25">
      <c r="B1889" s="362" t="s">
        <v>4318</v>
      </c>
      <c r="C1889" s="362" t="s">
        <v>4036</v>
      </c>
      <c r="D1889" s="387">
        <v>709857818</v>
      </c>
      <c r="E1889" s="393">
        <v>43948</v>
      </c>
    </row>
    <row r="1890" spans="2:5" x14ac:dyDescent="0.25">
      <c r="B1890" s="362" t="s">
        <v>4319</v>
      </c>
      <c r="C1890" s="362" t="s">
        <v>4066</v>
      </c>
      <c r="D1890" s="387">
        <v>271569877</v>
      </c>
      <c r="E1890" s="393">
        <v>43948</v>
      </c>
    </row>
    <row r="1891" spans="2:5" x14ac:dyDescent="0.25">
      <c r="B1891" s="362" t="s">
        <v>4320</v>
      </c>
      <c r="C1891" s="362" t="s">
        <v>4075</v>
      </c>
      <c r="D1891" s="387">
        <v>528952816</v>
      </c>
      <c r="E1891" s="393">
        <v>43948</v>
      </c>
    </row>
    <row r="1892" spans="2:5" x14ac:dyDescent="0.25">
      <c r="B1892" s="362" t="s">
        <v>4321</v>
      </c>
      <c r="C1892" s="362" t="s">
        <v>3965</v>
      </c>
      <c r="D1892" s="387">
        <v>201611934</v>
      </c>
      <c r="E1892" s="393">
        <v>43948</v>
      </c>
    </row>
    <row r="1893" spans="2:5" x14ac:dyDescent="0.25">
      <c r="B1893" s="362" t="s">
        <v>4322</v>
      </c>
      <c r="C1893" s="362" t="s">
        <v>4142</v>
      </c>
      <c r="D1893" s="387">
        <v>1168435072</v>
      </c>
      <c r="E1893" s="393">
        <v>43948</v>
      </c>
    </row>
    <row r="1894" spans="2:5" x14ac:dyDescent="0.25">
      <c r="B1894" s="362" t="s">
        <v>4323</v>
      </c>
      <c r="C1894" s="362" t="s">
        <v>4142</v>
      </c>
      <c r="D1894" s="387">
        <v>748043907</v>
      </c>
      <c r="E1894" s="393">
        <v>43948</v>
      </c>
    </row>
    <row r="1895" spans="2:5" x14ac:dyDescent="0.25">
      <c r="B1895" s="362" t="s">
        <v>4324</v>
      </c>
      <c r="C1895" s="362" t="s">
        <v>4055</v>
      </c>
      <c r="D1895" s="387">
        <v>320701089</v>
      </c>
      <c r="E1895" s="393">
        <v>43948</v>
      </c>
    </row>
    <row r="1896" spans="2:5" x14ac:dyDescent="0.25">
      <c r="B1896" s="362" t="s">
        <v>4325</v>
      </c>
      <c r="C1896" s="362" t="s">
        <v>4057</v>
      </c>
      <c r="D1896" s="387">
        <v>106060500</v>
      </c>
      <c r="E1896" s="393">
        <v>43949</v>
      </c>
    </row>
    <row r="1897" spans="2:5" x14ac:dyDescent="0.25">
      <c r="B1897" s="362" t="s">
        <v>4326</v>
      </c>
      <c r="C1897" s="362" t="s">
        <v>4036</v>
      </c>
      <c r="D1897" s="387">
        <v>881566611</v>
      </c>
      <c r="E1897" s="393">
        <v>43949</v>
      </c>
    </row>
    <row r="1898" spans="2:5" x14ac:dyDescent="0.25">
      <c r="B1898" s="362" t="s">
        <v>4327</v>
      </c>
      <c r="C1898" s="362" t="s">
        <v>4075</v>
      </c>
      <c r="D1898" s="387">
        <v>376089419</v>
      </c>
      <c r="E1898" s="393">
        <v>43949</v>
      </c>
    </row>
    <row r="1899" spans="2:5" x14ac:dyDescent="0.25">
      <c r="B1899" s="362" t="s">
        <v>4328</v>
      </c>
      <c r="C1899" s="362" t="s">
        <v>4179</v>
      </c>
      <c r="D1899" s="387">
        <v>215232530</v>
      </c>
      <c r="E1899" s="393">
        <v>43949</v>
      </c>
    </row>
    <row r="1900" spans="2:5" x14ac:dyDescent="0.25">
      <c r="B1900" s="362" t="s">
        <v>4329</v>
      </c>
      <c r="C1900" s="362" t="s">
        <v>4033</v>
      </c>
      <c r="D1900" s="387">
        <v>237649485</v>
      </c>
      <c r="E1900" s="393">
        <v>43949</v>
      </c>
    </row>
    <row r="1901" spans="2:5" x14ac:dyDescent="0.25">
      <c r="B1901" s="362" t="s">
        <v>4330</v>
      </c>
      <c r="C1901" s="362" t="s">
        <v>4064</v>
      </c>
      <c r="D1901" s="387">
        <v>157003123</v>
      </c>
      <c r="E1901" s="393">
        <v>43949</v>
      </c>
    </row>
    <row r="1902" spans="2:5" x14ac:dyDescent="0.25">
      <c r="B1902" s="362" t="s">
        <v>4331</v>
      </c>
      <c r="C1902" s="362" t="s">
        <v>4105</v>
      </c>
      <c r="D1902" s="387">
        <v>100241790</v>
      </c>
      <c r="E1902" s="393">
        <v>43949</v>
      </c>
    </row>
    <row r="1903" spans="2:5" x14ac:dyDescent="0.25">
      <c r="B1903" s="362" t="s">
        <v>4332</v>
      </c>
      <c r="C1903" s="362" t="s">
        <v>4064</v>
      </c>
      <c r="D1903" s="387">
        <v>66418150</v>
      </c>
      <c r="E1903" s="393">
        <v>43950</v>
      </c>
    </row>
    <row r="1904" spans="2:5" x14ac:dyDescent="0.25">
      <c r="B1904" s="362" t="s">
        <v>4333</v>
      </c>
      <c r="C1904" s="362" t="s">
        <v>4043</v>
      </c>
      <c r="D1904" s="387">
        <v>417725326</v>
      </c>
      <c r="E1904" s="393">
        <v>43950</v>
      </c>
    </row>
    <row r="1905" spans="2:5" x14ac:dyDescent="0.25">
      <c r="B1905" s="362" t="s">
        <v>4334</v>
      </c>
      <c r="C1905" s="362" t="s">
        <v>4075</v>
      </c>
      <c r="D1905" s="387">
        <v>93640098</v>
      </c>
      <c r="E1905" s="393">
        <v>43950</v>
      </c>
    </row>
    <row r="1906" spans="2:5" x14ac:dyDescent="0.25">
      <c r="B1906" s="362" t="s">
        <v>4335</v>
      </c>
      <c r="C1906" s="362" t="s">
        <v>4161</v>
      </c>
      <c r="D1906" s="387">
        <v>88862581</v>
      </c>
      <c r="E1906" s="393">
        <v>43950</v>
      </c>
    </row>
    <row r="1907" spans="2:5" x14ac:dyDescent="0.25">
      <c r="B1907" s="362" t="s">
        <v>4336</v>
      </c>
      <c r="C1907" s="362" t="s">
        <v>4036</v>
      </c>
      <c r="D1907" s="387">
        <v>450819069</v>
      </c>
      <c r="E1907" s="393">
        <v>43950</v>
      </c>
    </row>
    <row r="1908" spans="2:5" x14ac:dyDescent="0.25">
      <c r="B1908" s="362" t="s">
        <v>4337</v>
      </c>
      <c r="C1908" s="362" t="s">
        <v>4055</v>
      </c>
      <c r="D1908" s="387">
        <v>153163026</v>
      </c>
      <c r="E1908" s="393">
        <v>43950</v>
      </c>
    </row>
    <row r="1909" spans="2:5" x14ac:dyDescent="0.25">
      <c r="B1909" s="384" t="s">
        <v>4537</v>
      </c>
      <c r="C1909" s="384" t="s">
        <v>4142</v>
      </c>
      <c r="D1909" s="374">
        <v>723127896</v>
      </c>
      <c r="E1909" s="393">
        <v>43945</v>
      </c>
    </row>
    <row r="1910" spans="2:5" x14ac:dyDescent="0.25">
      <c r="B1910" s="384" t="s">
        <v>4538</v>
      </c>
      <c r="C1910" s="384" t="s">
        <v>4142</v>
      </c>
      <c r="D1910" s="374">
        <v>1191259053</v>
      </c>
      <c r="E1910" s="393">
        <v>43948</v>
      </c>
    </row>
    <row r="1911" spans="2:5" x14ac:dyDescent="0.25">
      <c r="B1911" s="384" t="s">
        <v>4539</v>
      </c>
      <c r="C1911" s="384" t="s">
        <v>4562</v>
      </c>
      <c r="D1911" s="374">
        <v>35002900</v>
      </c>
      <c r="E1911" s="393">
        <v>43948</v>
      </c>
    </row>
    <row r="1912" spans="2:5" x14ac:dyDescent="0.25">
      <c r="B1912" s="384" t="s">
        <v>4540</v>
      </c>
      <c r="C1912" s="384" t="s">
        <v>4055</v>
      </c>
      <c r="D1912" s="374">
        <v>512964050</v>
      </c>
      <c r="E1912" s="393">
        <v>43948</v>
      </c>
    </row>
    <row r="1913" spans="2:5" x14ac:dyDescent="0.25">
      <c r="B1913" s="384" t="s">
        <v>4541</v>
      </c>
      <c r="C1913" s="384" t="s">
        <v>4057</v>
      </c>
      <c r="D1913" s="374">
        <v>115866780</v>
      </c>
      <c r="E1913" s="393">
        <v>43948</v>
      </c>
    </row>
    <row r="1914" spans="2:5" x14ac:dyDescent="0.25">
      <c r="B1914" s="384" t="s">
        <v>4542</v>
      </c>
      <c r="C1914" s="384" t="s">
        <v>4036</v>
      </c>
      <c r="D1914" s="374">
        <v>707610958</v>
      </c>
      <c r="E1914" s="393">
        <v>43948</v>
      </c>
    </row>
    <row r="1915" spans="2:5" x14ac:dyDescent="0.25">
      <c r="B1915" s="384" t="s">
        <v>4543</v>
      </c>
      <c r="C1915" s="384" t="s">
        <v>4066</v>
      </c>
      <c r="D1915" s="374">
        <v>286350970</v>
      </c>
      <c r="E1915" s="393">
        <v>43948</v>
      </c>
    </row>
    <row r="1916" spans="2:5" x14ac:dyDescent="0.25">
      <c r="B1916" s="384" t="s">
        <v>4544</v>
      </c>
      <c r="C1916" s="384" t="s">
        <v>4078</v>
      </c>
      <c r="D1916" s="374">
        <v>379920557</v>
      </c>
      <c r="E1916" s="393">
        <v>43948</v>
      </c>
    </row>
    <row r="1917" spans="2:5" x14ac:dyDescent="0.25">
      <c r="B1917" s="384" t="s">
        <v>4545</v>
      </c>
      <c r="C1917" s="384" t="s">
        <v>4075</v>
      </c>
      <c r="D1917" s="374">
        <v>446350313</v>
      </c>
      <c r="E1917" s="393">
        <v>43948</v>
      </c>
    </row>
    <row r="1918" spans="2:5" x14ac:dyDescent="0.25">
      <c r="B1918" s="384" t="s">
        <v>4546</v>
      </c>
      <c r="C1918" s="384" t="s">
        <v>4055</v>
      </c>
      <c r="D1918" s="374">
        <v>685547364</v>
      </c>
      <c r="E1918" s="393">
        <v>43948</v>
      </c>
    </row>
    <row r="1919" spans="2:5" x14ac:dyDescent="0.25">
      <c r="B1919" s="384" t="s">
        <v>4547</v>
      </c>
      <c r="C1919" s="384" t="s">
        <v>4043</v>
      </c>
      <c r="D1919" s="374">
        <v>579591855</v>
      </c>
      <c r="E1919" s="393">
        <v>43948</v>
      </c>
    </row>
    <row r="1920" spans="2:5" x14ac:dyDescent="0.25">
      <c r="B1920" s="384" t="s">
        <v>4548</v>
      </c>
      <c r="C1920" s="384" t="s">
        <v>4053</v>
      </c>
      <c r="D1920" s="374">
        <v>920000</v>
      </c>
      <c r="E1920" s="393">
        <v>43948</v>
      </c>
    </row>
    <row r="1921" spans="2:5" x14ac:dyDescent="0.25">
      <c r="B1921" s="384" t="s">
        <v>4549</v>
      </c>
      <c r="C1921" s="384" t="s">
        <v>4142</v>
      </c>
      <c r="D1921" s="374">
        <v>309358408</v>
      </c>
      <c r="E1921" s="393">
        <v>43949</v>
      </c>
    </row>
    <row r="1922" spans="2:5" x14ac:dyDescent="0.25">
      <c r="B1922" s="384" t="s">
        <v>4550</v>
      </c>
      <c r="C1922" s="384" t="s">
        <v>4055</v>
      </c>
      <c r="D1922" s="374">
        <v>604401278</v>
      </c>
      <c r="E1922" s="393">
        <v>43949</v>
      </c>
    </row>
    <row r="1923" spans="2:5" x14ac:dyDescent="0.25">
      <c r="B1923" s="384" t="s">
        <v>4551</v>
      </c>
      <c r="C1923" s="384" t="s">
        <v>4036</v>
      </c>
      <c r="D1923" s="374">
        <v>692830696</v>
      </c>
      <c r="E1923" s="393">
        <v>43949</v>
      </c>
    </row>
    <row r="1924" spans="2:5" x14ac:dyDescent="0.25">
      <c r="B1924" s="384" t="s">
        <v>4552</v>
      </c>
      <c r="C1924" s="384" t="s">
        <v>4119</v>
      </c>
      <c r="D1924" s="374">
        <v>113632900</v>
      </c>
      <c r="E1924" s="393">
        <v>43949</v>
      </c>
    </row>
    <row r="1925" spans="2:5" x14ac:dyDescent="0.25">
      <c r="B1925" s="384" t="s">
        <v>4553</v>
      </c>
      <c r="C1925" s="384" t="s">
        <v>4075</v>
      </c>
      <c r="D1925" s="374">
        <v>958481690</v>
      </c>
      <c r="E1925" s="393">
        <v>43949</v>
      </c>
    </row>
    <row r="1926" spans="2:5" x14ac:dyDescent="0.25">
      <c r="B1926" s="384" t="s">
        <v>4554</v>
      </c>
      <c r="C1926" s="384" t="s">
        <v>4043</v>
      </c>
      <c r="D1926" s="374">
        <v>697115338</v>
      </c>
      <c r="E1926" s="393">
        <v>43949</v>
      </c>
    </row>
    <row r="1927" spans="2:5" x14ac:dyDescent="0.25">
      <c r="B1927" s="384" t="s">
        <v>4555</v>
      </c>
      <c r="C1927" s="384" t="s">
        <v>4563</v>
      </c>
      <c r="D1927" s="374">
        <v>6560334</v>
      </c>
      <c r="E1927" s="393">
        <v>43949</v>
      </c>
    </row>
    <row r="1928" spans="2:5" x14ac:dyDescent="0.25">
      <c r="B1928" s="384" t="s">
        <v>4556</v>
      </c>
      <c r="C1928" s="384" t="s">
        <v>4117</v>
      </c>
      <c r="D1928" s="374">
        <v>208802000</v>
      </c>
      <c r="E1928" s="393">
        <v>43950</v>
      </c>
    </row>
    <row r="1929" spans="2:5" x14ac:dyDescent="0.25">
      <c r="B1929" s="384" t="s">
        <v>4557</v>
      </c>
      <c r="C1929" s="384" t="s">
        <v>388</v>
      </c>
      <c r="D1929" s="374"/>
      <c r="E1929" s="393"/>
    </row>
    <row r="1930" spans="2:5" x14ac:dyDescent="0.25">
      <c r="B1930" s="384" t="s">
        <v>4558</v>
      </c>
      <c r="C1930" s="384" t="s">
        <v>4036</v>
      </c>
      <c r="D1930" s="374">
        <v>617396992</v>
      </c>
      <c r="E1930" s="393">
        <v>43950</v>
      </c>
    </row>
    <row r="1931" spans="2:5" x14ac:dyDescent="0.25">
      <c r="B1931" s="384" t="s">
        <v>4559</v>
      </c>
      <c r="C1931" s="384" t="s">
        <v>4564</v>
      </c>
      <c r="D1931" s="374">
        <v>113632900</v>
      </c>
      <c r="E1931" s="393">
        <v>43950</v>
      </c>
    </row>
    <row r="1932" spans="2:5" x14ac:dyDescent="0.25">
      <c r="B1932" s="384" t="s">
        <v>4560</v>
      </c>
      <c r="C1932" s="384" t="s">
        <v>4078</v>
      </c>
      <c r="D1932" s="374">
        <v>241504306</v>
      </c>
      <c r="E1932" s="393">
        <v>43950</v>
      </c>
    </row>
    <row r="1933" spans="2:5" x14ac:dyDescent="0.25">
      <c r="B1933" s="384" t="s">
        <v>4561</v>
      </c>
      <c r="C1933" s="384" t="s">
        <v>4075</v>
      </c>
      <c r="D1933" s="374">
        <v>379445865</v>
      </c>
      <c r="E1933" s="393">
        <v>43950</v>
      </c>
    </row>
    <row r="1934" spans="2:5" x14ac:dyDescent="0.25">
      <c r="B1934" s="384" t="s">
        <v>5000</v>
      </c>
      <c r="C1934" s="384" t="s">
        <v>4043</v>
      </c>
      <c r="D1934" s="374">
        <v>181012828</v>
      </c>
      <c r="E1934" s="561">
        <v>43950</v>
      </c>
    </row>
    <row r="1935" spans="2:5" x14ac:dyDescent="0.25">
      <c r="B1935" s="384" t="s">
        <v>5001</v>
      </c>
      <c r="C1935" s="384" t="s">
        <v>4142</v>
      </c>
      <c r="D1935" s="374">
        <v>1643536370</v>
      </c>
      <c r="E1935" s="561">
        <v>43950</v>
      </c>
    </row>
    <row r="1936" spans="2:5" x14ac:dyDescent="0.25">
      <c r="B1936" s="384" t="s">
        <v>5002</v>
      </c>
      <c r="C1936" s="384" t="s">
        <v>3812</v>
      </c>
      <c r="D1936" s="374"/>
      <c r="E1936" s="561">
        <v>43950</v>
      </c>
    </row>
    <row r="1937" spans="2:5" x14ac:dyDescent="0.25">
      <c r="B1937" s="384" t="s">
        <v>5003</v>
      </c>
      <c r="C1937" s="384" t="s">
        <v>5025</v>
      </c>
      <c r="D1937" s="374">
        <v>22352900</v>
      </c>
      <c r="E1937" s="561">
        <v>43950</v>
      </c>
    </row>
    <row r="1938" spans="2:5" x14ac:dyDescent="0.25">
      <c r="B1938" s="384" t="s">
        <v>5004</v>
      </c>
      <c r="C1938" s="384" t="s">
        <v>5026</v>
      </c>
      <c r="D1938" s="374">
        <v>12606000</v>
      </c>
      <c r="E1938" s="561">
        <v>43950</v>
      </c>
    </row>
    <row r="1939" spans="2:5" x14ac:dyDescent="0.25">
      <c r="B1939" s="384" t="s">
        <v>5005</v>
      </c>
      <c r="C1939" s="384" t="s">
        <v>5027</v>
      </c>
      <c r="D1939" s="374">
        <v>58791100</v>
      </c>
      <c r="E1939" s="561">
        <v>43950</v>
      </c>
    </row>
    <row r="1940" spans="2:5" x14ac:dyDescent="0.25">
      <c r="B1940" s="384" t="s">
        <v>5006</v>
      </c>
      <c r="C1940" s="384" t="s">
        <v>5028</v>
      </c>
      <c r="D1940" s="374">
        <v>70666200</v>
      </c>
      <c r="E1940" s="561">
        <v>43950</v>
      </c>
    </row>
    <row r="1941" spans="2:5" x14ac:dyDescent="0.25">
      <c r="B1941" s="384" t="s">
        <v>5007</v>
      </c>
      <c r="C1941" s="384" t="s">
        <v>4057</v>
      </c>
      <c r="D1941" s="374">
        <v>179298654</v>
      </c>
      <c r="E1941" s="561">
        <v>43950</v>
      </c>
    </row>
    <row r="1942" spans="2:5" x14ac:dyDescent="0.25">
      <c r="B1942" s="384" t="s">
        <v>5008</v>
      </c>
      <c r="C1942" s="384" t="s">
        <v>5467</v>
      </c>
      <c r="D1942" s="374"/>
      <c r="E1942" s="561"/>
    </row>
    <row r="1943" spans="2:5" x14ac:dyDescent="0.25">
      <c r="B1943" s="384" t="s">
        <v>5009</v>
      </c>
      <c r="C1943" s="384" t="s">
        <v>4117</v>
      </c>
      <c r="D1943" s="374">
        <v>208802000</v>
      </c>
      <c r="E1943" s="393">
        <v>43951</v>
      </c>
    </row>
    <row r="1944" spans="2:5" x14ac:dyDescent="0.25">
      <c r="B1944" s="384" t="s">
        <v>5010</v>
      </c>
      <c r="C1944" s="384" t="s">
        <v>4105</v>
      </c>
      <c r="D1944" s="374">
        <v>100075358</v>
      </c>
      <c r="E1944" s="393">
        <v>43951</v>
      </c>
    </row>
    <row r="1945" spans="2:5" x14ac:dyDescent="0.25">
      <c r="B1945" s="384" t="s">
        <v>5011</v>
      </c>
      <c r="C1945" s="384" t="s">
        <v>3974</v>
      </c>
      <c r="D1945" s="374">
        <v>162377536</v>
      </c>
      <c r="E1945" s="393">
        <v>43951</v>
      </c>
    </row>
    <row r="1946" spans="2:5" x14ac:dyDescent="0.25">
      <c r="B1946" s="384" t="s">
        <v>5012</v>
      </c>
      <c r="C1946" s="384" t="s">
        <v>3812</v>
      </c>
      <c r="D1946" s="374"/>
      <c r="E1946" s="393"/>
    </row>
    <row r="1947" spans="2:5" x14ac:dyDescent="0.25">
      <c r="B1947" s="384" t="s">
        <v>5013</v>
      </c>
      <c r="C1947" s="384" t="s">
        <v>4036</v>
      </c>
      <c r="D1947" s="374">
        <v>905572123</v>
      </c>
      <c r="E1947" s="393">
        <v>43951</v>
      </c>
    </row>
    <row r="1948" spans="2:5" x14ac:dyDescent="0.25">
      <c r="B1948" s="384" t="s">
        <v>5014</v>
      </c>
      <c r="C1948" s="384" t="s">
        <v>4145</v>
      </c>
      <c r="D1948" s="374">
        <v>113632900</v>
      </c>
      <c r="E1948" s="393">
        <v>43951</v>
      </c>
    </row>
    <row r="1949" spans="2:5" x14ac:dyDescent="0.25">
      <c r="B1949" s="384" t="s">
        <v>5015</v>
      </c>
      <c r="C1949" s="384" t="s">
        <v>4075</v>
      </c>
      <c r="D1949" s="374">
        <v>976653636</v>
      </c>
      <c r="E1949" s="393">
        <v>43951</v>
      </c>
    </row>
    <row r="1950" spans="2:5" x14ac:dyDescent="0.25">
      <c r="B1950" s="384" t="s">
        <v>5016</v>
      </c>
      <c r="C1950" s="384" t="s">
        <v>4043</v>
      </c>
      <c r="D1950" s="374">
        <v>346981587</v>
      </c>
      <c r="E1950" s="393">
        <v>43951</v>
      </c>
    </row>
    <row r="1951" spans="2:5" x14ac:dyDescent="0.25">
      <c r="B1951" s="384" t="s">
        <v>5017</v>
      </c>
      <c r="C1951" s="384" t="s">
        <v>5030</v>
      </c>
      <c r="D1951" s="374">
        <v>710738159</v>
      </c>
      <c r="E1951" s="393">
        <v>43951</v>
      </c>
    </row>
    <row r="1952" spans="2:5" x14ac:dyDescent="0.25">
      <c r="B1952" s="384" t="s">
        <v>5018</v>
      </c>
      <c r="C1952" s="384" t="s">
        <v>4055</v>
      </c>
      <c r="D1952" s="374">
        <v>913634394</v>
      </c>
      <c r="E1952" s="393">
        <v>43951</v>
      </c>
    </row>
    <row r="1953" spans="2:5" x14ac:dyDescent="0.25">
      <c r="B1953" s="384" t="s">
        <v>5019</v>
      </c>
      <c r="C1953" s="384" t="s">
        <v>4068</v>
      </c>
      <c r="D1953" s="374">
        <v>745020254</v>
      </c>
      <c r="E1953" s="393">
        <v>43966</v>
      </c>
    </row>
    <row r="1954" spans="2:5" x14ac:dyDescent="0.25">
      <c r="B1954" s="384" t="s">
        <v>5020</v>
      </c>
      <c r="C1954" s="384" t="s">
        <v>3974</v>
      </c>
      <c r="D1954" s="374">
        <v>784429858</v>
      </c>
      <c r="E1954" s="393">
        <v>43966</v>
      </c>
    </row>
    <row r="1955" spans="2:5" x14ac:dyDescent="0.25">
      <c r="B1955" s="384" t="s">
        <v>5021</v>
      </c>
      <c r="C1955" s="384" t="s">
        <v>4075</v>
      </c>
      <c r="D1955" s="374">
        <v>568008981</v>
      </c>
      <c r="E1955" s="393">
        <v>43966</v>
      </c>
    </row>
    <row r="1956" spans="2:5" x14ac:dyDescent="0.25">
      <c r="B1956" s="384" t="s">
        <v>5022</v>
      </c>
      <c r="C1956" s="384" t="s">
        <v>4055</v>
      </c>
      <c r="D1956" s="374">
        <v>701654364</v>
      </c>
      <c r="E1956" s="393">
        <v>43966</v>
      </c>
    </row>
    <row r="1957" spans="2:5" x14ac:dyDescent="0.25">
      <c r="B1957" s="384" t="s">
        <v>5023</v>
      </c>
      <c r="C1957" s="384" t="s">
        <v>4036</v>
      </c>
      <c r="D1957" s="374">
        <v>363227627</v>
      </c>
      <c r="E1957" s="393">
        <v>43966</v>
      </c>
    </row>
    <row r="1958" spans="2:5" x14ac:dyDescent="0.25">
      <c r="B1958" s="384" t="s">
        <v>5024</v>
      </c>
      <c r="C1958" s="384" t="s">
        <v>4179</v>
      </c>
      <c r="D1958" s="374">
        <v>253271762</v>
      </c>
      <c r="E1958" s="393">
        <v>43966</v>
      </c>
    </row>
    <row r="1959" spans="2:5" x14ac:dyDescent="0.25">
      <c r="B1959" s="362" t="s">
        <v>4854</v>
      </c>
      <c r="C1959" s="362" t="s">
        <v>4053</v>
      </c>
      <c r="D1959" s="391">
        <v>11633600</v>
      </c>
      <c r="E1959" s="371">
        <v>43955</v>
      </c>
    </row>
    <row r="1960" spans="2:5" x14ac:dyDescent="0.25">
      <c r="B1960" s="362" t="s">
        <v>4855</v>
      </c>
      <c r="C1960" s="362" t="s">
        <v>4117</v>
      </c>
      <c r="D1960" s="391">
        <v>205202000</v>
      </c>
      <c r="E1960" s="371">
        <v>43955</v>
      </c>
    </row>
    <row r="1961" spans="2:5" x14ac:dyDescent="0.25">
      <c r="B1961" s="362" t="s">
        <v>4856</v>
      </c>
      <c r="C1961" s="362" t="s">
        <v>4085</v>
      </c>
      <c r="D1961" s="391">
        <v>187595750</v>
      </c>
      <c r="E1961" s="371">
        <v>43955</v>
      </c>
    </row>
    <row r="1962" spans="2:5" x14ac:dyDescent="0.25">
      <c r="B1962" s="362" t="s">
        <v>4857</v>
      </c>
      <c r="C1962" s="362" t="s">
        <v>4858</v>
      </c>
      <c r="D1962" s="391">
        <v>1464807642</v>
      </c>
      <c r="E1962" s="371">
        <v>43955</v>
      </c>
    </row>
    <row r="1963" spans="2:5" x14ac:dyDescent="0.25">
      <c r="B1963" s="362" t="s">
        <v>4859</v>
      </c>
      <c r="C1963" s="362" t="s">
        <v>4379</v>
      </c>
      <c r="D1963" s="391">
        <v>338668290</v>
      </c>
      <c r="E1963" s="371">
        <v>43955</v>
      </c>
    </row>
    <row r="1964" spans="2:5" x14ac:dyDescent="0.25">
      <c r="B1964" s="362" t="s">
        <v>4860</v>
      </c>
      <c r="C1964" s="362" t="s">
        <v>4198</v>
      </c>
      <c r="D1964" s="391">
        <v>84708900</v>
      </c>
      <c r="E1964" s="371">
        <v>43955</v>
      </c>
    </row>
    <row r="1965" spans="2:5" x14ac:dyDescent="0.25">
      <c r="B1965" s="362" t="s">
        <v>4861</v>
      </c>
      <c r="C1965" s="362" t="s">
        <v>3982</v>
      </c>
      <c r="D1965" s="391">
        <v>416588820</v>
      </c>
      <c r="E1965" s="371">
        <v>43955</v>
      </c>
    </row>
    <row r="1966" spans="2:5" x14ac:dyDescent="0.25">
      <c r="B1966" s="362" t="s">
        <v>4862</v>
      </c>
      <c r="C1966" s="362" t="s">
        <v>4055</v>
      </c>
      <c r="D1966" s="391">
        <v>901016510</v>
      </c>
      <c r="E1966" s="371">
        <v>43955</v>
      </c>
    </row>
    <row r="1967" spans="2:5" x14ac:dyDescent="0.25">
      <c r="B1967" s="362" t="s">
        <v>4863</v>
      </c>
      <c r="C1967" s="362" t="s">
        <v>3965</v>
      </c>
      <c r="D1967" s="391">
        <v>84013640</v>
      </c>
      <c r="E1967" s="371">
        <v>43955</v>
      </c>
    </row>
    <row r="1968" spans="2:5" x14ac:dyDescent="0.25">
      <c r="B1968" s="362" t="s">
        <v>4864</v>
      </c>
      <c r="C1968" s="362" t="s">
        <v>4060</v>
      </c>
      <c r="D1968" s="391">
        <v>117729476</v>
      </c>
      <c r="E1968" s="371">
        <v>43955</v>
      </c>
    </row>
    <row r="1969" spans="2:5" x14ac:dyDescent="0.25">
      <c r="B1969" s="362" t="s">
        <v>4865</v>
      </c>
      <c r="C1969" s="362" t="s">
        <v>4033</v>
      </c>
      <c r="D1969" s="391">
        <v>205069894</v>
      </c>
      <c r="E1969" s="371">
        <v>43955</v>
      </c>
    </row>
    <row r="1970" spans="2:5" x14ac:dyDescent="0.25">
      <c r="B1970" s="362" t="s">
        <v>4866</v>
      </c>
      <c r="C1970" s="362" t="s">
        <v>4036</v>
      </c>
      <c r="D1970" s="391">
        <v>1023236214</v>
      </c>
      <c r="E1970" s="371">
        <v>43955</v>
      </c>
    </row>
    <row r="1971" spans="2:5" x14ac:dyDescent="0.25">
      <c r="B1971" s="362" t="s">
        <v>4867</v>
      </c>
      <c r="C1971" s="362" t="s">
        <v>4142</v>
      </c>
      <c r="D1971" s="391">
        <v>1429681565</v>
      </c>
      <c r="E1971" s="371">
        <v>43956</v>
      </c>
    </row>
    <row r="1972" spans="2:5" x14ac:dyDescent="0.25">
      <c r="B1972" s="362" t="s">
        <v>4868</v>
      </c>
      <c r="C1972" s="362" t="s">
        <v>4055</v>
      </c>
      <c r="D1972" s="391">
        <v>732757084</v>
      </c>
      <c r="E1972" s="371">
        <v>43956</v>
      </c>
    </row>
    <row r="1973" spans="2:5" x14ac:dyDescent="0.25">
      <c r="B1973" s="362" t="s">
        <v>4869</v>
      </c>
      <c r="C1973" s="362" t="s">
        <v>4075</v>
      </c>
      <c r="D1973" s="391">
        <v>469066222</v>
      </c>
      <c r="E1973" s="371">
        <v>43956</v>
      </c>
    </row>
    <row r="1974" spans="2:5" x14ac:dyDescent="0.25">
      <c r="B1974" s="362" t="s">
        <v>4870</v>
      </c>
      <c r="C1974" s="362" t="s">
        <v>4036</v>
      </c>
      <c r="D1974" s="391">
        <v>1012772872</v>
      </c>
      <c r="E1974" s="371">
        <v>43956</v>
      </c>
    </row>
    <row r="1975" spans="2:5" x14ac:dyDescent="0.25">
      <c r="B1975" s="362" t="s">
        <v>4871</v>
      </c>
      <c r="C1975" s="362" t="s">
        <v>4043</v>
      </c>
      <c r="D1975" s="391">
        <v>201840228</v>
      </c>
      <c r="E1975" s="371">
        <v>43956</v>
      </c>
    </row>
    <row r="1976" spans="2:5" x14ac:dyDescent="0.25">
      <c r="B1976" s="362" t="s">
        <v>4872</v>
      </c>
      <c r="C1976" s="362" t="s">
        <v>388</v>
      </c>
      <c r="D1976" s="391"/>
      <c r="E1976" s="371"/>
    </row>
    <row r="1977" spans="2:5" x14ac:dyDescent="0.25">
      <c r="B1977" s="362" t="s">
        <v>4873</v>
      </c>
      <c r="C1977" s="362" t="s">
        <v>4043</v>
      </c>
      <c r="D1977" s="391">
        <v>248681594</v>
      </c>
      <c r="E1977" s="371">
        <v>43957</v>
      </c>
    </row>
    <row r="1978" spans="2:5" x14ac:dyDescent="0.25">
      <c r="B1978" s="362" t="s">
        <v>4874</v>
      </c>
      <c r="C1978" s="362" t="s">
        <v>4169</v>
      </c>
      <c r="D1978" s="391">
        <v>134948040</v>
      </c>
      <c r="E1978" s="371">
        <v>43957</v>
      </c>
    </row>
    <row r="1979" spans="2:5" x14ac:dyDescent="0.25">
      <c r="B1979" s="362" t="s">
        <v>4875</v>
      </c>
      <c r="C1979" s="362" t="s">
        <v>4198</v>
      </c>
      <c r="D1979" s="391">
        <v>216932900</v>
      </c>
      <c r="E1979" s="371">
        <v>43957</v>
      </c>
    </row>
    <row r="1980" spans="2:5" x14ac:dyDescent="0.25">
      <c r="B1980" s="362" t="s">
        <v>4876</v>
      </c>
      <c r="C1980" s="362" t="s">
        <v>3982</v>
      </c>
      <c r="D1980" s="391">
        <v>399613653</v>
      </c>
      <c r="E1980" s="371">
        <v>43957</v>
      </c>
    </row>
    <row r="1981" spans="2:5" x14ac:dyDescent="0.25">
      <c r="B1981" s="362" t="s">
        <v>4877</v>
      </c>
      <c r="C1981" s="362" t="s">
        <v>4055</v>
      </c>
      <c r="D1981" s="391">
        <v>559218579</v>
      </c>
      <c r="E1981" s="371">
        <v>43957</v>
      </c>
    </row>
    <row r="1982" spans="2:5" x14ac:dyDescent="0.25">
      <c r="B1982" s="362" t="s">
        <v>4878</v>
      </c>
      <c r="C1982" s="362" t="s">
        <v>4036</v>
      </c>
      <c r="D1982" s="391">
        <v>1381760261</v>
      </c>
      <c r="E1982" s="371">
        <v>43957</v>
      </c>
    </row>
    <row r="1983" spans="2:5" x14ac:dyDescent="0.25">
      <c r="B1983" s="362" t="s">
        <v>4879</v>
      </c>
      <c r="C1983" s="362" t="s">
        <v>4880</v>
      </c>
      <c r="D1983" s="391">
        <v>41646191</v>
      </c>
      <c r="E1983" s="371">
        <v>43957</v>
      </c>
    </row>
    <row r="1984" spans="2:5" x14ac:dyDescent="0.25">
      <c r="B1984" s="362" t="s">
        <v>4883</v>
      </c>
      <c r="C1984" s="362" t="s">
        <v>4152</v>
      </c>
      <c r="D1984" s="387">
        <v>154013218</v>
      </c>
      <c r="E1984" s="371">
        <v>43957</v>
      </c>
    </row>
    <row r="1985" spans="2:5" x14ac:dyDescent="0.25">
      <c r="B1985" s="362" t="s">
        <v>4884</v>
      </c>
      <c r="C1985" s="362" t="s">
        <v>4143</v>
      </c>
      <c r="D1985" s="387">
        <v>195752000</v>
      </c>
      <c r="E1985" s="371">
        <v>43957</v>
      </c>
    </row>
    <row r="1986" spans="2:5" x14ac:dyDescent="0.25">
      <c r="B1986" s="362" t="s">
        <v>4885</v>
      </c>
      <c r="C1986" s="362" t="s">
        <v>4886</v>
      </c>
      <c r="D1986" s="387">
        <v>182055716</v>
      </c>
      <c r="E1986" s="371">
        <v>43957</v>
      </c>
    </row>
    <row r="1987" spans="2:5" x14ac:dyDescent="0.25">
      <c r="B1987" s="362" t="s">
        <v>4887</v>
      </c>
      <c r="C1987" s="362" t="s">
        <v>4401</v>
      </c>
      <c r="D1987" s="387">
        <v>1847064306</v>
      </c>
      <c r="E1987" s="371">
        <v>43959</v>
      </c>
    </row>
    <row r="1988" spans="2:5" x14ac:dyDescent="0.25">
      <c r="B1988" s="362" t="s">
        <v>4888</v>
      </c>
      <c r="C1988" s="362" t="s">
        <v>4169</v>
      </c>
      <c r="D1988" s="387">
        <v>115370900</v>
      </c>
      <c r="E1988" s="371">
        <v>43959</v>
      </c>
    </row>
    <row r="1989" spans="2:5" x14ac:dyDescent="0.25">
      <c r="B1989" s="362" t="s">
        <v>4889</v>
      </c>
      <c r="C1989" s="362" t="s">
        <v>3976</v>
      </c>
      <c r="D1989" s="387">
        <v>1239175885</v>
      </c>
      <c r="E1989" s="371">
        <v>43959</v>
      </c>
    </row>
    <row r="1990" spans="2:5" x14ac:dyDescent="0.25">
      <c r="B1990" s="362" t="s">
        <v>4890</v>
      </c>
      <c r="C1990" s="362" t="s">
        <v>4033</v>
      </c>
      <c r="D1990" s="387">
        <v>210891182</v>
      </c>
      <c r="E1990" s="371">
        <v>43959</v>
      </c>
    </row>
    <row r="1991" spans="2:5" x14ac:dyDescent="0.25">
      <c r="B1991" s="362" t="s">
        <v>4891</v>
      </c>
      <c r="C1991" s="362" t="s">
        <v>3982</v>
      </c>
      <c r="D1991" s="387">
        <v>641021660</v>
      </c>
      <c r="E1991" s="371">
        <v>43959</v>
      </c>
    </row>
    <row r="1992" spans="2:5" x14ac:dyDescent="0.25">
      <c r="B1992" s="362" t="s">
        <v>4892</v>
      </c>
      <c r="C1992" s="362" t="s">
        <v>3985</v>
      </c>
      <c r="D1992" s="387">
        <v>533549660</v>
      </c>
      <c r="E1992" s="371">
        <v>43959</v>
      </c>
    </row>
    <row r="1993" spans="2:5" x14ac:dyDescent="0.25">
      <c r="B1993" s="362" t="s">
        <v>4893</v>
      </c>
      <c r="C1993" s="362" t="s">
        <v>276</v>
      </c>
      <c r="D1993" s="387">
        <v>109790828</v>
      </c>
      <c r="E1993" s="371">
        <v>43959</v>
      </c>
    </row>
    <row r="1994" spans="2:5" x14ac:dyDescent="0.25">
      <c r="B1994" s="362" t="s">
        <v>4894</v>
      </c>
      <c r="C1994" s="362" t="s">
        <v>4737</v>
      </c>
      <c r="D1994" s="387">
        <v>262384900</v>
      </c>
      <c r="E1994" s="371">
        <v>43959</v>
      </c>
    </row>
    <row r="1995" spans="2:5" x14ac:dyDescent="0.25">
      <c r="B1995" s="362" t="s">
        <v>4895</v>
      </c>
      <c r="C1995" s="362" t="s">
        <v>4737</v>
      </c>
      <c r="D1995" s="387">
        <v>175612900</v>
      </c>
      <c r="E1995" s="371">
        <v>43962</v>
      </c>
    </row>
    <row r="1996" spans="2:5" x14ac:dyDescent="0.25">
      <c r="B1996" s="362" t="s">
        <v>4896</v>
      </c>
      <c r="C1996" s="362" t="s">
        <v>4379</v>
      </c>
      <c r="D1996" s="387">
        <v>76641285</v>
      </c>
      <c r="E1996" s="371">
        <v>43962</v>
      </c>
    </row>
    <row r="1997" spans="2:5" x14ac:dyDescent="0.25">
      <c r="B1997" s="362" t="s">
        <v>4897</v>
      </c>
      <c r="C1997" s="362" t="s">
        <v>3985</v>
      </c>
      <c r="D1997" s="387">
        <v>453763995</v>
      </c>
      <c r="E1997" s="371">
        <v>43962</v>
      </c>
    </row>
    <row r="1998" spans="2:5" x14ac:dyDescent="0.25">
      <c r="B1998" s="362" t="s">
        <v>4898</v>
      </c>
      <c r="C1998" s="362" t="s">
        <v>4795</v>
      </c>
      <c r="D1998" s="387">
        <v>709216277</v>
      </c>
      <c r="E1998" s="371">
        <v>43962</v>
      </c>
    </row>
    <row r="1999" spans="2:5" x14ac:dyDescent="0.25">
      <c r="B1999" s="362" t="s">
        <v>4899</v>
      </c>
      <c r="C1999" s="362" t="s">
        <v>3976</v>
      </c>
      <c r="D1999" s="387">
        <v>522263127</v>
      </c>
      <c r="E1999" s="371">
        <v>43962</v>
      </c>
    </row>
    <row r="2000" spans="2:5" x14ac:dyDescent="0.25">
      <c r="B2000" s="362" t="s">
        <v>4900</v>
      </c>
      <c r="C2000" s="362" t="s">
        <v>3982</v>
      </c>
      <c r="D2000" s="387">
        <v>426938881</v>
      </c>
      <c r="E2000" s="371">
        <v>43962</v>
      </c>
    </row>
    <row r="2001" spans="2:5" x14ac:dyDescent="0.25">
      <c r="B2001" s="362" t="s">
        <v>4901</v>
      </c>
      <c r="C2001" s="362" t="s">
        <v>4033</v>
      </c>
      <c r="D2001" s="387">
        <v>200336968</v>
      </c>
      <c r="E2001" s="371">
        <v>43962</v>
      </c>
    </row>
    <row r="2002" spans="2:5" x14ac:dyDescent="0.25">
      <c r="B2002" s="362" t="s">
        <v>4902</v>
      </c>
      <c r="C2002" s="362" t="s">
        <v>4401</v>
      </c>
      <c r="D2002" s="387">
        <v>2184991395</v>
      </c>
      <c r="E2002" s="371">
        <v>43962</v>
      </c>
    </row>
    <row r="2003" spans="2:5" x14ac:dyDescent="0.25">
      <c r="B2003" s="362" t="s">
        <v>4903</v>
      </c>
      <c r="C2003" s="362" t="s">
        <v>3980</v>
      </c>
      <c r="D2003" s="387">
        <v>1103600</v>
      </c>
      <c r="E2003" s="371">
        <v>43962</v>
      </c>
    </row>
    <row r="2004" spans="2:5" x14ac:dyDescent="0.25">
      <c r="B2004" s="362" t="s">
        <v>4904</v>
      </c>
      <c r="C2004" s="362" t="s">
        <v>276</v>
      </c>
      <c r="D2004" s="387">
        <v>7743503</v>
      </c>
      <c r="E2004" s="371">
        <v>43962</v>
      </c>
    </row>
    <row r="2005" spans="2:5" x14ac:dyDescent="0.25">
      <c r="B2005" s="362" t="s">
        <v>4905</v>
      </c>
      <c r="C2005" s="362" t="s">
        <v>4401</v>
      </c>
      <c r="D2005" s="387">
        <v>3283657715</v>
      </c>
      <c r="E2005" s="371">
        <v>43963</v>
      </c>
    </row>
    <row r="2006" spans="2:5" x14ac:dyDescent="0.25">
      <c r="B2006" s="362" t="s">
        <v>4906</v>
      </c>
      <c r="C2006" s="362" t="s">
        <v>4907</v>
      </c>
      <c r="D2006" s="387">
        <v>199732188</v>
      </c>
      <c r="E2006" s="371">
        <v>43963</v>
      </c>
    </row>
    <row r="2007" spans="2:5" x14ac:dyDescent="0.25">
      <c r="B2007" s="362" t="s">
        <v>4908</v>
      </c>
      <c r="C2007" s="362" t="s">
        <v>3985</v>
      </c>
      <c r="D2007" s="387">
        <v>557706674</v>
      </c>
      <c r="E2007" s="371">
        <v>43963</v>
      </c>
    </row>
    <row r="2008" spans="2:5" x14ac:dyDescent="0.25">
      <c r="B2008" s="362" t="s">
        <v>4909</v>
      </c>
      <c r="C2008" s="362" t="s">
        <v>3982</v>
      </c>
      <c r="D2008" s="387">
        <v>429938809</v>
      </c>
      <c r="E2008" s="371">
        <v>43963</v>
      </c>
    </row>
    <row r="2009" spans="2:5" x14ac:dyDescent="0.25">
      <c r="B2009" s="384" t="s">
        <v>5056</v>
      </c>
      <c r="C2009" s="384" t="s">
        <v>4036</v>
      </c>
      <c r="D2009" s="374">
        <v>595956380</v>
      </c>
      <c r="E2009" s="393">
        <v>43963</v>
      </c>
    </row>
    <row r="2010" spans="2:5" x14ac:dyDescent="0.25">
      <c r="B2010" s="384" t="s">
        <v>5057</v>
      </c>
      <c r="C2010" s="384" t="s">
        <v>4105</v>
      </c>
      <c r="D2010" s="374">
        <v>102316856</v>
      </c>
      <c r="E2010" s="393">
        <v>43964</v>
      </c>
    </row>
    <row r="2011" spans="2:5" x14ac:dyDescent="0.25">
      <c r="B2011" s="384" t="s">
        <v>5058</v>
      </c>
      <c r="C2011" s="384" t="s">
        <v>4068</v>
      </c>
      <c r="D2011" s="374">
        <v>543361797</v>
      </c>
      <c r="E2011" s="393">
        <v>43964</v>
      </c>
    </row>
    <row r="2012" spans="2:5" x14ac:dyDescent="0.25">
      <c r="B2012" s="384" t="s">
        <v>5059</v>
      </c>
      <c r="C2012" s="384" t="s">
        <v>5081</v>
      </c>
      <c r="D2012" s="374">
        <v>415832040</v>
      </c>
      <c r="E2012" s="393">
        <v>43964</v>
      </c>
    </row>
    <row r="2013" spans="2:5" x14ac:dyDescent="0.25">
      <c r="B2013" s="384" t="s">
        <v>5060</v>
      </c>
      <c r="C2013" s="384" t="s">
        <v>4078</v>
      </c>
      <c r="D2013" s="374">
        <v>391259310</v>
      </c>
      <c r="E2013" s="393">
        <v>43964</v>
      </c>
    </row>
    <row r="2014" spans="2:5" x14ac:dyDescent="0.25">
      <c r="B2014" s="384" t="s">
        <v>5061</v>
      </c>
      <c r="C2014" s="384" t="s">
        <v>4055</v>
      </c>
      <c r="D2014" s="374">
        <v>704175557</v>
      </c>
      <c r="E2014" s="393">
        <v>43964</v>
      </c>
    </row>
    <row r="2015" spans="2:5" x14ac:dyDescent="0.25">
      <c r="B2015" s="384" t="s">
        <v>5062</v>
      </c>
      <c r="C2015" s="384" t="s">
        <v>4075</v>
      </c>
      <c r="D2015" s="374">
        <v>853072548</v>
      </c>
      <c r="E2015" s="393">
        <v>43964</v>
      </c>
    </row>
    <row r="2016" spans="2:5" x14ac:dyDescent="0.25">
      <c r="B2016" s="384" t="s">
        <v>5063</v>
      </c>
      <c r="C2016" s="384" t="s">
        <v>4036</v>
      </c>
      <c r="D2016" s="374">
        <v>615536400</v>
      </c>
      <c r="E2016" s="393">
        <v>43964</v>
      </c>
    </row>
    <row r="2017" spans="2:5" x14ac:dyDescent="0.25">
      <c r="B2017" s="384" t="s">
        <v>5064</v>
      </c>
      <c r="C2017" s="384" t="s">
        <v>4043</v>
      </c>
      <c r="D2017" s="374">
        <v>235176982</v>
      </c>
      <c r="E2017" s="393">
        <v>43964</v>
      </c>
    </row>
    <row r="2018" spans="2:5" x14ac:dyDescent="0.25">
      <c r="B2018" s="384" t="s">
        <v>5065</v>
      </c>
      <c r="C2018" s="384" t="s">
        <v>4179</v>
      </c>
      <c r="D2018" s="374">
        <v>206993992</v>
      </c>
      <c r="E2018" s="393">
        <v>43964</v>
      </c>
    </row>
    <row r="2019" spans="2:5" x14ac:dyDescent="0.25">
      <c r="B2019" s="384" t="s">
        <v>5066</v>
      </c>
      <c r="C2019" s="384" t="s">
        <v>4109</v>
      </c>
      <c r="D2019" s="374">
        <v>66549292</v>
      </c>
      <c r="E2019" s="393">
        <v>43964</v>
      </c>
    </row>
    <row r="2020" spans="2:5" x14ac:dyDescent="0.25">
      <c r="B2020" s="384" t="s">
        <v>5067</v>
      </c>
      <c r="C2020" s="384" t="s">
        <v>4085</v>
      </c>
      <c r="D2020" s="374">
        <v>150077000</v>
      </c>
      <c r="E2020" s="393">
        <v>43965</v>
      </c>
    </row>
    <row r="2021" spans="2:5" x14ac:dyDescent="0.25">
      <c r="B2021" s="384" t="s">
        <v>5068</v>
      </c>
      <c r="C2021" s="384" t="s">
        <v>4119</v>
      </c>
      <c r="D2021" s="374">
        <v>196272900</v>
      </c>
      <c r="E2021" s="393">
        <v>43965</v>
      </c>
    </row>
    <row r="2022" spans="2:5" x14ac:dyDescent="0.25">
      <c r="B2022" s="384" t="s">
        <v>5069</v>
      </c>
      <c r="C2022" s="384" t="s">
        <v>4064</v>
      </c>
      <c r="D2022" s="374">
        <v>296566947</v>
      </c>
      <c r="E2022" s="393">
        <v>43965</v>
      </c>
    </row>
    <row r="2023" spans="2:5" x14ac:dyDescent="0.25">
      <c r="B2023" s="384" t="s">
        <v>5070</v>
      </c>
      <c r="C2023" s="384" t="s">
        <v>4055</v>
      </c>
      <c r="D2023" s="374">
        <v>513821465</v>
      </c>
      <c r="E2023" s="393">
        <v>43965</v>
      </c>
    </row>
    <row r="2024" spans="2:5" x14ac:dyDescent="0.25">
      <c r="B2024" s="384" t="s">
        <v>5071</v>
      </c>
      <c r="C2024" s="384" t="s">
        <v>4075</v>
      </c>
      <c r="D2024" s="374">
        <v>885610381</v>
      </c>
      <c r="E2024" s="393">
        <v>43965</v>
      </c>
    </row>
    <row r="2025" spans="2:5" x14ac:dyDescent="0.25">
      <c r="B2025" s="384" t="s">
        <v>5072</v>
      </c>
      <c r="C2025" s="384" t="s">
        <v>4179</v>
      </c>
      <c r="D2025" s="374">
        <v>710986140</v>
      </c>
      <c r="E2025" s="393">
        <v>43965</v>
      </c>
    </row>
    <row r="2026" spans="2:5" x14ac:dyDescent="0.25">
      <c r="B2026" s="384" t="s">
        <v>5073</v>
      </c>
      <c r="C2026" s="384" t="s">
        <v>4036</v>
      </c>
      <c r="D2026" s="374">
        <v>572942925</v>
      </c>
      <c r="E2026" s="393">
        <v>43965</v>
      </c>
    </row>
    <row r="2027" spans="2:5" x14ac:dyDescent="0.25">
      <c r="B2027" s="384" t="s">
        <v>5074</v>
      </c>
      <c r="C2027" s="384" t="s">
        <v>4142</v>
      </c>
      <c r="D2027" s="374">
        <v>557750745</v>
      </c>
      <c r="E2027" s="393">
        <v>43965</v>
      </c>
    </row>
    <row r="2028" spans="2:5" x14ac:dyDescent="0.25">
      <c r="B2028" s="384" t="s">
        <v>5075</v>
      </c>
      <c r="C2028" s="384" t="s">
        <v>4043</v>
      </c>
      <c r="D2028" s="374">
        <v>397082176</v>
      </c>
      <c r="E2028" s="393">
        <v>43966</v>
      </c>
    </row>
    <row r="2029" spans="2:5" x14ac:dyDescent="0.25">
      <c r="B2029" s="384" t="s">
        <v>5076</v>
      </c>
      <c r="C2029" s="384" t="s">
        <v>4085</v>
      </c>
      <c r="D2029" s="374">
        <v>98427000</v>
      </c>
      <c r="E2029" s="393">
        <v>43969</v>
      </c>
    </row>
    <row r="2030" spans="2:5" x14ac:dyDescent="0.25">
      <c r="B2030" s="384" t="s">
        <v>5077</v>
      </c>
      <c r="C2030" s="384" t="s">
        <v>4078</v>
      </c>
      <c r="D2030" s="374">
        <v>149149136</v>
      </c>
      <c r="E2030" s="393">
        <v>43969</v>
      </c>
    </row>
    <row r="2031" spans="2:5" x14ac:dyDescent="0.25">
      <c r="B2031" s="384" t="s">
        <v>5078</v>
      </c>
      <c r="C2031" s="384" t="s">
        <v>5082</v>
      </c>
      <c r="D2031" s="374">
        <v>279762718</v>
      </c>
      <c r="E2031" s="393">
        <v>43969</v>
      </c>
    </row>
    <row r="2032" spans="2:5" x14ac:dyDescent="0.25">
      <c r="B2032" s="384" t="s">
        <v>5079</v>
      </c>
      <c r="C2032" s="384" t="s">
        <v>4066</v>
      </c>
      <c r="D2032" s="374">
        <v>107124019</v>
      </c>
      <c r="E2032" s="393">
        <v>43969</v>
      </c>
    </row>
    <row r="2033" spans="2:5" x14ac:dyDescent="0.25">
      <c r="B2033" s="384" t="s">
        <v>5080</v>
      </c>
      <c r="C2033" s="384" t="s">
        <v>4161</v>
      </c>
      <c r="D2033" s="374">
        <v>134315112</v>
      </c>
      <c r="E2033" s="393">
        <v>43969</v>
      </c>
    </row>
    <row r="2034" spans="2:5" x14ac:dyDescent="0.25">
      <c r="B2034" s="384" t="s">
        <v>4974</v>
      </c>
      <c r="C2034" s="384" t="s">
        <v>4075</v>
      </c>
      <c r="D2034" s="374">
        <v>895724874</v>
      </c>
      <c r="E2034" s="393">
        <v>43969</v>
      </c>
    </row>
    <row r="2035" spans="2:5" x14ac:dyDescent="0.25">
      <c r="B2035" s="384" t="s">
        <v>4975</v>
      </c>
      <c r="C2035" s="384" t="s">
        <v>4055</v>
      </c>
      <c r="D2035" s="374">
        <v>756276258</v>
      </c>
      <c r="E2035" s="393">
        <v>43969</v>
      </c>
    </row>
    <row r="2036" spans="2:5" x14ac:dyDescent="0.25">
      <c r="B2036" s="384" t="s">
        <v>4976</v>
      </c>
      <c r="C2036" s="384" t="s">
        <v>4036</v>
      </c>
      <c r="D2036" s="374">
        <v>1003466888</v>
      </c>
      <c r="E2036" s="393">
        <v>43969</v>
      </c>
    </row>
    <row r="2037" spans="2:5" x14ac:dyDescent="0.25">
      <c r="B2037" s="384" t="s">
        <v>4977</v>
      </c>
      <c r="C2037" s="384" t="s">
        <v>3965</v>
      </c>
      <c r="D2037" s="374">
        <v>190830806</v>
      </c>
      <c r="E2037" s="393">
        <v>43969</v>
      </c>
    </row>
    <row r="2038" spans="2:5" x14ac:dyDescent="0.25">
      <c r="B2038" s="384" t="s">
        <v>4978</v>
      </c>
      <c r="C2038" s="384" t="s">
        <v>4033</v>
      </c>
      <c r="D2038" s="374">
        <v>208105806</v>
      </c>
      <c r="E2038" s="393">
        <v>43969</v>
      </c>
    </row>
    <row r="2039" spans="2:5" x14ac:dyDescent="0.25">
      <c r="B2039" s="384" t="s">
        <v>4979</v>
      </c>
      <c r="C2039" s="384" t="s">
        <v>4068</v>
      </c>
      <c r="D2039" s="374">
        <v>861916175</v>
      </c>
      <c r="E2039" s="393">
        <v>43969</v>
      </c>
    </row>
    <row r="2040" spans="2:5" x14ac:dyDescent="0.25">
      <c r="B2040" s="384" t="s">
        <v>4980</v>
      </c>
      <c r="C2040" s="384" t="s">
        <v>4999</v>
      </c>
      <c r="D2040" s="374">
        <v>668580561</v>
      </c>
      <c r="E2040" s="393">
        <v>43969</v>
      </c>
    </row>
    <row r="2041" spans="2:5" x14ac:dyDescent="0.25">
      <c r="B2041" s="384" t="s">
        <v>4981</v>
      </c>
      <c r="C2041" s="384" t="s">
        <v>4105</v>
      </c>
      <c r="D2041" s="374">
        <v>100871399</v>
      </c>
      <c r="E2041" s="393">
        <v>43970</v>
      </c>
    </row>
    <row r="2042" spans="2:5" x14ac:dyDescent="0.25">
      <c r="B2042" s="384" t="s">
        <v>4982</v>
      </c>
      <c r="C2042" s="384" t="s">
        <v>4142</v>
      </c>
      <c r="D2042" s="374">
        <v>727696428</v>
      </c>
      <c r="E2042" s="393">
        <v>43970</v>
      </c>
    </row>
    <row r="2043" spans="2:5" x14ac:dyDescent="0.25">
      <c r="B2043" s="384" t="s">
        <v>4983</v>
      </c>
      <c r="C2043" s="384" t="s">
        <v>4055</v>
      </c>
      <c r="D2043" s="374">
        <v>561145247</v>
      </c>
      <c r="E2043" s="393">
        <v>43970</v>
      </c>
    </row>
    <row r="2044" spans="2:5" x14ac:dyDescent="0.25">
      <c r="B2044" s="384" t="s">
        <v>4984</v>
      </c>
      <c r="C2044" s="384" t="s">
        <v>4064</v>
      </c>
      <c r="D2044" s="374">
        <v>642871795</v>
      </c>
      <c r="E2044" s="393">
        <v>43970</v>
      </c>
    </row>
    <row r="2045" spans="2:5" x14ac:dyDescent="0.25">
      <c r="B2045" s="384" t="s">
        <v>4985</v>
      </c>
      <c r="C2045" s="384" t="s">
        <v>4036</v>
      </c>
      <c r="D2045" s="374">
        <v>596059863</v>
      </c>
      <c r="E2045" s="393">
        <v>43970</v>
      </c>
    </row>
    <row r="2046" spans="2:5" x14ac:dyDescent="0.25">
      <c r="B2046" s="384" t="s">
        <v>4986</v>
      </c>
      <c r="C2046" s="384" t="s">
        <v>4066</v>
      </c>
      <c r="D2046" s="374">
        <v>179797680</v>
      </c>
      <c r="E2046" s="393">
        <v>43970</v>
      </c>
    </row>
    <row r="2047" spans="2:5" x14ac:dyDescent="0.25">
      <c r="B2047" s="384" t="s">
        <v>4987</v>
      </c>
      <c r="C2047" s="384" t="s">
        <v>4078</v>
      </c>
      <c r="D2047" s="374">
        <v>230855249</v>
      </c>
      <c r="E2047" s="393">
        <v>43970</v>
      </c>
    </row>
    <row r="2048" spans="2:5" x14ac:dyDescent="0.25">
      <c r="B2048" s="384" t="s">
        <v>4988</v>
      </c>
      <c r="C2048" s="384" t="s">
        <v>4075</v>
      </c>
      <c r="D2048" s="374">
        <v>443152089</v>
      </c>
      <c r="E2048" s="393">
        <v>43970</v>
      </c>
    </row>
    <row r="2049" spans="2:5" x14ac:dyDescent="0.25">
      <c r="B2049" s="384" t="s">
        <v>4989</v>
      </c>
      <c r="C2049" s="384" t="s">
        <v>4055</v>
      </c>
      <c r="D2049" s="374">
        <v>620361166</v>
      </c>
      <c r="E2049" s="393">
        <v>43971</v>
      </c>
    </row>
    <row r="2050" spans="2:5" x14ac:dyDescent="0.25">
      <c r="B2050" s="384" t="s">
        <v>4990</v>
      </c>
      <c r="C2050" s="384" t="s">
        <v>4036</v>
      </c>
      <c r="D2050" s="374">
        <v>878830862</v>
      </c>
      <c r="E2050" s="393">
        <v>43971</v>
      </c>
    </row>
    <row r="2051" spans="2:5" x14ac:dyDescent="0.25">
      <c r="B2051" s="384" t="s">
        <v>4991</v>
      </c>
      <c r="C2051" s="384" t="s">
        <v>4066</v>
      </c>
      <c r="D2051" s="374">
        <v>149951341</v>
      </c>
      <c r="E2051" s="393">
        <v>43971</v>
      </c>
    </row>
    <row r="2052" spans="2:5" x14ac:dyDescent="0.25">
      <c r="B2052" s="384" t="s">
        <v>4992</v>
      </c>
      <c r="C2052" s="384" t="s">
        <v>4078</v>
      </c>
      <c r="D2052" s="374">
        <v>235701490</v>
      </c>
      <c r="E2052" s="393">
        <v>43971</v>
      </c>
    </row>
    <row r="2053" spans="2:5" x14ac:dyDescent="0.25">
      <c r="B2053" s="384" t="s">
        <v>4993</v>
      </c>
      <c r="C2053" s="384" t="s">
        <v>4075</v>
      </c>
      <c r="D2053" s="374">
        <v>674078895</v>
      </c>
      <c r="E2053" s="393">
        <v>43971</v>
      </c>
    </row>
    <row r="2054" spans="2:5" x14ac:dyDescent="0.25">
      <c r="B2054" s="384" t="s">
        <v>4994</v>
      </c>
      <c r="C2054" s="384" t="s">
        <v>4043</v>
      </c>
      <c r="D2054" s="374">
        <v>207274030</v>
      </c>
      <c r="E2054" s="393">
        <v>43971</v>
      </c>
    </row>
    <row r="2055" spans="2:5" x14ac:dyDescent="0.25">
      <c r="B2055" s="384" t="s">
        <v>4995</v>
      </c>
      <c r="C2055" s="384" t="s">
        <v>4142</v>
      </c>
      <c r="D2055" s="374">
        <v>754939830</v>
      </c>
      <c r="E2055" s="393">
        <v>43971</v>
      </c>
    </row>
    <row r="2056" spans="2:5" x14ac:dyDescent="0.25">
      <c r="B2056" s="384" t="s">
        <v>4996</v>
      </c>
      <c r="C2056" s="384" t="s">
        <v>4169</v>
      </c>
      <c r="D2056" s="374">
        <v>46135111</v>
      </c>
      <c r="E2056" s="393">
        <v>43971</v>
      </c>
    </row>
    <row r="2057" spans="2:5" x14ac:dyDescent="0.25">
      <c r="B2057" s="384" t="s">
        <v>4997</v>
      </c>
      <c r="C2057" s="384" t="s">
        <v>4109</v>
      </c>
      <c r="D2057" s="374">
        <v>26290700</v>
      </c>
      <c r="E2057" s="393">
        <v>43977</v>
      </c>
    </row>
    <row r="2058" spans="2:5" x14ac:dyDescent="0.25">
      <c r="B2058" s="384" t="s">
        <v>4998</v>
      </c>
      <c r="C2058" s="384" t="s">
        <v>4057</v>
      </c>
      <c r="D2058" s="374">
        <v>185899096</v>
      </c>
      <c r="E2058" s="393">
        <v>43977</v>
      </c>
    </row>
    <row r="2059" spans="2:5" x14ac:dyDescent="0.25">
      <c r="B2059" s="384" t="s">
        <v>5469</v>
      </c>
      <c r="C2059" s="384" t="s">
        <v>4066</v>
      </c>
      <c r="D2059" s="374">
        <v>309482624</v>
      </c>
      <c r="E2059" s="393">
        <v>43977</v>
      </c>
    </row>
    <row r="2060" spans="2:5" x14ac:dyDescent="0.25">
      <c r="B2060" s="384" t="s">
        <v>5470</v>
      </c>
      <c r="C2060" s="384" t="s">
        <v>4068</v>
      </c>
      <c r="D2060" s="374">
        <v>1649839915</v>
      </c>
      <c r="E2060" s="393">
        <v>43977</v>
      </c>
    </row>
    <row r="2061" spans="2:5" x14ac:dyDescent="0.25">
      <c r="B2061" s="384" t="s">
        <v>5471</v>
      </c>
      <c r="C2061" s="384" t="s">
        <v>4075</v>
      </c>
      <c r="D2061" s="374">
        <v>2009722114</v>
      </c>
      <c r="E2061" s="393">
        <v>43977</v>
      </c>
    </row>
    <row r="2062" spans="2:5" x14ac:dyDescent="0.25">
      <c r="B2062" s="384" t="s">
        <v>5472</v>
      </c>
      <c r="C2062" s="384" t="s">
        <v>4055</v>
      </c>
      <c r="D2062" s="374">
        <v>640297718</v>
      </c>
      <c r="E2062" s="393">
        <v>43977</v>
      </c>
    </row>
    <row r="2063" spans="2:5" x14ac:dyDescent="0.25">
      <c r="B2063" s="384" t="s">
        <v>5473</v>
      </c>
      <c r="C2063" s="384" t="s">
        <v>4036</v>
      </c>
      <c r="D2063" s="374">
        <v>1438992918</v>
      </c>
      <c r="E2063" s="393">
        <v>43977</v>
      </c>
    </row>
    <row r="2064" spans="2:5" x14ac:dyDescent="0.25">
      <c r="B2064" s="384" t="s">
        <v>5474</v>
      </c>
      <c r="C2064" s="384" t="s">
        <v>5494</v>
      </c>
      <c r="D2064" s="374">
        <v>35002900</v>
      </c>
      <c r="E2064" s="393">
        <v>43977</v>
      </c>
    </row>
    <row r="2065" spans="2:5" x14ac:dyDescent="0.25">
      <c r="B2065" s="384" t="s">
        <v>5475</v>
      </c>
      <c r="C2065" s="384" t="s">
        <v>4068</v>
      </c>
      <c r="D2065" s="374">
        <v>582014509</v>
      </c>
      <c r="E2065" s="393">
        <v>43978</v>
      </c>
    </row>
    <row r="2066" spans="2:5" x14ac:dyDescent="0.25">
      <c r="B2066" s="384" t="s">
        <v>5476</v>
      </c>
      <c r="C2066" s="384" t="s">
        <v>4075</v>
      </c>
      <c r="D2066" s="374">
        <v>2214094719</v>
      </c>
      <c r="E2066" s="393">
        <v>43978</v>
      </c>
    </row>
    <row r="2067" spans="2:5" x14ac:dyDescent="0.25">
      <c r="B2067" s="384" t="s">
        <v>5477</v>
      </c>
      <c r="C2067" s="384" t="s">
        <v>4078</v>
      </c>
      <c r="D2067" s="374">
        <v>167839284</v>
      </c>
      <c r="E2067" s="393">
        <v>43978</v>
      </c>
    </row>
    <row r="2068" spans="2:5" x14ac:dyDescent="0.25">
      <c r="B2068" s="384" t="s">
        <v>5478</v>
      </c>
      <c r="C2068" s="384" t="s">
        <v>4161</v>
      </c>
      <c r="D2068" s="374">
        <v>199146005</v>
      </c>
      <c r="E2068" s="393">
        <v>43978</v>
      </c>
    </row>
    <row r="2069" spans="2:5" x14ac:dyDescent="0.25">
      <c r="B2069" s="384" t="s">
        <v>5479</v>
      </c>
      <c r="C2069" s="384" t="s">
        <v>4105</v>
      </c>
      <c r="D2069" s="374">
        <v>100572055</v>
      </c>
      <c r="E2069" s="393">
        <v>43978</v>
      </c>
    </row>
    <row r="2070" spans="2:5" x14ac:dyDescent="0.25">
      <c r="B2070" s="384" t="s">
        <v>5480</v>
      </c>
      <c r="C2070" s="384" t="s">
        <v>4066</v>
      </c>
      <c r="D2070" s="374">
        <v>154953979</v>
      </c>
      <c r="E2070" s="393">
        <v>43978</v>
      </c>
    </row>
    <row r="2071" spans="2:5" x14ac:dyDescent="0.25">
      <c r="B2071" s="384" t="s">
        <v>5481</v>
      </c>
      <c r="C2071" s="384" t="s">
        <v>4036</v>
      </c>
      <c r="D2071" s="374">
        <v>704314716</v>
      </c>
      <c r="E2071" s="393">
        <v>43978</v>
      </c>
    </row>
    <row r="2072" spans="2:5" x14ac:dyDescent="0.25">
      <c r="B2072" s="384" t="s">
        <v>5482</v>
      </c>
      <c r="C2072" s="384" t="s">
        <v>4117</v>
      </c>
      <c r="D2072" s="374">
        <v>205202000</v>
      </c>
      <c r="E2072" s="393">
        <v>43978</v>
      </c>
    </row>
    <row r="2073" spans="2:5" x14ac:dyDescent="0.25">
      <c r="B2073" s="384" t="s">
        <v>5483</v>
      </c>
      <c r="C2073" s="384" t="s">
        <v>3974</v>
      </c>
      <c r="D2073" s="374">
        <v>525757130</v>
      </c>
      <c r="E2073" s="393">
        <v>43978</v>
      </c>
    </row>
    <row r="2074" spans="2:5" x14ac:dyDescent="0.25">
      <c r="B2074" s="384" t="s">
        <v>5484</v>
      </c>
      <c r="C2074" s="384" t="s">
        <v>4055</v>
      </c>
      <c r="D2074" s="374">
        <v>186658317</v>
      </c>
      <c r="E2074" s="393">
        <v>43978</v>
      </c>
    </row>
    <row r="2075" spans="2:5" x14ac:dyDescent="0.25">
      <c r="B2075" s="384" t="s">
        <v>5485</v>
      </c>
      <c r="C2075" s="384" t="s">
        <v>4085</v>
      </c>
      <c r="D2075" s="374">
        <v>111127000</v>
      </c>
      <c r="E2075" s="393">
        <v>43978</v>
      </c>
    </row>
    <row r="2076" spans="2:5" x14ac:dyDescent="0.25">
      <c r="B2076" s="384" t="s">
        <v>5486</v>
      </c>
      <c r="C2076" s="384" t="s">
        <v>4068</v>
      </c>
      <c r="D2076" s="374">
        <v>261141129</v>
      </c>
      <c r="E2076" s="393">
        <v>43979</v>
      </c>
    </row>
    <row r="2077" spans="2:5" x14ac:dyDescent="0.25">
      <c r="B2077" s="384" t="s">
        <v>5487</v>
      </c>
      <c r="C2077" s="384" t="s">
        <v>4055</v>
      </c>
      <c r="D2077" s="374">
        <v>323454261</v>
      </c>
      <c r="E2077" s="393">
        <v>43985</v>
      </c>
    </row>
    <row r="2078" spans="2:5" x14ac:dyDescent="0.25">
      <c r="B2078" s="384" t="s">
        <v>5488</v>
      </c>
      <c r="C2078" s="384" t="s">
        <v>3974</v>
      </c>
      <c r="D2078" s="374">
        <v>535144314</v>
      </c>
      <c r="E2078" s="393">
        <v>43979</v>
      </c>
    </row>
    <row r="2079" spans="2:5" x14ac:dyDescent="0.25">
      <c r="B2079" s="384" t="s">
        <v>5489</v>
      </c>
      <c r="C2079" s="384" t="s">
        <v>4036</v>
      </c>
      <c r="D2079" s="374">
        <v>735509624</v>
      </c>
      <c r="E2079" s="393">
        <v>43979</v>
      </c>
    </row>
    <row r="2080" spans="2:5" x14ac:dyDescent="0.25">
      <c r="B2080" s="384" t="s">
        <v>5490</v>
      </c>
      <c r="C2080" s="384" t="s">
        <v>4066</v>
      </c>
      <c r="D2080" s="374">
        <v>128712753</v>
      </c>
      <c r="E2080" s="393">
        <v>43979</v>
      </c>
    </row>
    <row r="2081" spans="2:5" x14ac:dyDescent="0.25">
      <c r="B2081" s="384" t="s">
        <v>5491</v>
      </c>
      <c r="C2081" s="384" t="s">
        <v>4161</v>
      </c>
      <c r="D2081" s="374">
        <v>226162660</v>
      </c>
      <c r="E2081" s="393">
        <v>43997</v>
      </c>
    </row>
    <row r="2082" spans="2:5" x14ac:dyDescent="0.25">
      <c r="B2082" s="384" t="s">
        <v>5492</v>
      </c>
      <c r="C2082" s="384" t="s">
        <v>4075</v>
      </c>
      <c r="D2082" s="374">
        <v>2437902312</v>
      </c>
      <c r="E2082" s="393">
        <v>43979</v>
      </c>
    </row>
    <row r="2083" spans="2:5" x14ac:dyDescent="0.25">
      <c r="B2083" s="384" t="s">
        <v>5493</v>
      </c>
      <c r="C2083" s="384" t="s">
        <v>4043</v>
      </c>
      <c r="D2083" s="374">
        <v>182884346</v>
      </c>
      <c r="E2083" s="393">
        <v>43979</v>
      </c>
    </row>
    <row r="2084" spans="2:5" x14ac:dyDescent="0.25">
      <c r="B2084" s="362" t="s">
        <v>5361</v>
      </c>
      <c r="C2084" s="362" t="s">
        <v>3980</v>
      </c>
      <c r="D2084" s="387">
        <v>131823541</v>
      </c>
      <c r="E2084" s="371">
        <v>43980</v>
      </c>
    </row>
    <row r="2085" spans="2:5" x14ac:dyDescent="0.25">
      <c r="B2085" s="362" t="s">
        <v>5362</v>
      </c>
      <c r="C2085" s="362" t="s">
        <v>4143</v>
      </c>
      <c r="D2085" s="387">
        <v>101602000</v>
      </c>
      <c r="E2085" s="371">
        <v>43985</v>
      </c>
    </row>
    <row r="2086" spans="2:5" x14ac:dyDescent="0.25">
      <c r="B2086" s="362" t="s">
        <v>5363</v>
      </c>
      <c r="C2086" s="362" t="s">
        <v>5364</v>
      </c>
      <c r="D2086" s="387">
        <v>70666200</v>
      </c>
      <c r="E2086" s="371">
        <v>43979</v>
      </c>
    </row>
    <row r="2087" spans="2:5" x14ac:dyDescent="0.25">
      <c r="B2087" s="362" t="s">
        <v>5365</v>
      </c>
      <c r="C2087" s="362" t="s">
        <v>5364</v>
      </c>
      <c r="D2087" s="387">
        <v>58791100</v>
      </c>
      <c r="E2087" s="371">
        <v>43979</v>
      </c>
    </row>
    <row r="2088" spans="2:5" x14ac:dyDescent="0.25">
      <c r="B2088" s="362" t="s">
        <v>5366</v>
      </c>
      <c r="C2088" s="362" t="s">
        <v>5364</v>
      </c>
      <c r="D2088" s="387">
        <v>12606000</v>
      </c>
      <c r="E2088" s="371">
        <v>43979</v>
      </c>
    </row>
    <row r="2089" spans="2:5" x14ac:dyDescent="0.25">
      <c r="B2089" s="362" t="s">
        <v>5367</v>
      </c>
      <c r="C2089" s="362" t="s">
        <v>5368</v>
      </c>
      <c r="D2089" s="387">
        <v>757752124</v>
      </c>
      <c r="E2089" s="371">
        <v>43980</v>
      </c>
    </row>
    <row r="2090" spans="2:5" x14ac:dyDescent="0.25">
      <c r="B2090" s="362" t="s">
        <v>5369</v>
      </c>
      <c r="C2090" s="362" t="s">
        <v>4036</v>
      </c>
      <c r="D2090" s="387">
        <v>776930890</v>
      </c>
      <c r="E2090" s="371">
        <v>43980</v>
      </c>
    </row>
    <row r="2091" spans="2:5" x14ac:dyDescent="0.25">
      <c r="B2091" s="362" t="s">
        <v>5370</v>
      </c>
      <c r="C2091" s="362" t="s">
        <v>3974</v>
      </c>
      <c r="D2091" s="387">
        <v>610109349</v>
      </c>
      <c r="E2091" s="371">
        <v>43980</v>
      </c>
    </row>
    <row r="2092" spans="2:5" x14ac:dyDescent="0.25">
      <c r="B2092" s="362" t="s">
        <v>5371</v>
      </c>
      <c r="C2092" s="362" t="s">
        <v>4075</v>
      </c>
      <c r="D2092" s="387">
        <v>1659873606</v>
      </c>
      <c r="E2092" s="371">
        <v>43980</v>
      </c>
    </row>
    <row r="2093" spans="2:5" x14ac:dyDescent="0.25">
      <c r="B2093" s="362" t="s">
        <v>5372</v>
      </c>
      <c r="C2093" s="362" t="s">
        <v>3978</v>
      </c>
      <c r="D2093" s="387">
        <v>28379360</v>
      </c>
      <c r="E2093" s="371">
        <v>43984</v>
      </c>
    </row>
    <row r="2094" spans="2:5" x14ac:dyDescent="0.25">
      <c r="B2094" s="362" t="s">
        <v>5373</v>
      </c>
      <c r="C2094" s="362" t="s">
        <v>4163</v>
      </c>
      <c r="D2094" s="387">
        <v>148322022</v>
      </c>
      <c r="E2094" s="371">
        <v>43984</v>
      </c>
    </row>
    <row r="2095" spans="2:5" x14ac:dyDescent="0.25">
      <c r="B2095" s="362" t="s">
        <v>5374</v>
      </c>
      <c r="C2095" s="362" t="s">
        <v>3974</v>
      </c>
      <c r="D2095" s="387">
        <v>499142716</v>
      </c>
      <c r="E2095" s="371">
        <v>43984</v>
      </c>
    </row>
    <row r="2096" spans="2:5" x14ac:dyDescent="0.25">
      <c r="B2096" s="362" t="s">
        <v>5375</v>
      </c>
      <c r="C2096" s="362" t="s">
        <v>4057</v>
      </c>
      <c r="D2096" s="387">
        <v>134643428</v>
      </c>
      <c r="E2096" s="371">
        <v>43984</v>
      </c>
    </row>
    <row r="2097" spans="2:5" x14ac:dyDescent="0.25">
      <c r="B2097" s="362" t="s">
        <v>5376</v>
      </c>
      <c r="C2097" s="362" t="s">
        <v>3965</v>
      </c>
      <c r="D2097" s="387">
        <v>179452126</v>
      </c>
      <c r="E2097" s="371">
        <v>43984</v>
      </c>
    </row>
    <row r="2098" spans="2:5" x14ac:dyDescent="0.25">
      <c r="B2098" s="362" t="s">
        <v>5377</v>
      </c>
      <c r="C2098" s="362" t="s">
        <v>4109</v>
      </c>
      <c r="D2098" s="387">
        <v>9300980</v>
      </c>
      <c r="E2098" s="371">
        <v>43984</v>
      </c>
    </row>
    <row r="2099" spans="2:5" x14ac:dyDescent="0.25">
      <c r="B2099" s="362" t="s">
        <v>5378</v>
      </c>
      <c r="C2099" s="362" t="s">
        <v>4033</v>
      </c>
      <c r="D2099" s="387">
        <v>61048500</v>
      </c>
      <c r="E2099" s="371">
        <v>43984</v>
      </c>
    </row>
    <row r="2100" spans="2:5" x14ac:dyDescent="0.25">
      <c r="B2100" s="362" t="s">
        <v>5379</v>
      </c>
      <c r="C2100" s="362" t="s">
        <v>4036</v>
      </c>
      <c r="D2100" s="387">
        <v>313544314</v>
      </c>
      <c r="E2100" s="371">
        <v>43984</v>
      </c>
    </row>
    <row r="2101" spans="2:5" x14ac:dyDescent="0.25">
      <c r="B2101" s="362" t="s">
        <v>5380</v>
      </c>
      <c r="C2101" s="362" t="s">
        <v>4075</v>
      </c>
      <c r="D2101" s="387">
        <v>439058254</v>
      </c>
      <c r="E2101" s="371">
        <v>43984</v>
      </c>
    </row>
    <row r="2102" spans="2:5" x14ac:dyDescent="0.25">
      <c r="B2102" s="362" t="s">
        <v>5381</v>
      </c>
      <c r="C2102" s="362" t="s">
        <v>4055</v>
      </c>
      <c r="D2102" s="387">
        <v>481731775</v>
      </c>
      <c r="E2102" s="371">
        <v>43984</v>
      </c>
    </row>
    <row r="2103" spans="2:5" x14ac:dyDescent="0.25">
      <c r="B2103" s="362" t="s">
        <v>5382</v>
      </c>
      <c r="C2103" s="362" t="s">
        <v>4161</v>
      </c>
      <c r="D2103" s="387">
        <v>160927055</v>
      </c>
      <c r="E2103" s="371">
        <v>43984</v>
      </c>
    </row>
    <row r="2104" spans="2:5" x14ac:dyDescent="0.25">
      <c r="B2104" s="362" t="s">
        <v>5383</v>
      </c>
      <c r="C2104" s="362" t="s">
        <v>4117</v>
      </c>
      <c r="D2104" s="387">
        <v>205200000</v>
      </c>
      <c r="E2104" s="371">
        <v>43984</v>
      </c>
    </row>
    <row r="2105" spans="2:5" x14ac:dyDescent="0.25">
      <c r="B2105" s="362" t="s">
        <v>5384</v>
      </c>
      <c r="C2105" s="362" t="s">
        <v>4142</v>
      </c>
      <c r="D2105" s="387">
        <v>64950000</v>
      </c>
      <c r="E2105" s="371">
        <v>43984</v>
      </c>
    </row>
    <row r="2106" spans="2:5" x14ac:dyDescent="0.25">
      <c r="B2106" s="362" t="s">
        <v>5385</v>
      </c>
      <c r="C2106" s="362" t="s">
        <v>3978</v>
      </c>
      <c r="D2106" s="387">
        <v>32141360</v>
      </c>
      <c r="E2106" s="371">
        <v>43985</v>
      </c>
    </row>
    <row r="2107" spans="2:5" x14ac:dyDescent="0.25">
      <c r="B2107" s="362" t="s">
        <v>5386</v>
      </c>
      <c r="C2107" s="362" t="s">
        <v>4117</v>
      </c>
      <c r="D2107" s="387">
        <v>210602000</v>
      </c>
      <c r="E2107" s="371">
        <v>43985</v>
      </c>
    </row>
    <row r="2108" spans="2:5" x14ac:dyDescent="0.25">
      <c r="B2108" s="362" t="s">
        <v>5387</v>
      </c>
      <c r="C2108" s="362" t="s">
        <v>4152</v>
      </c>
      <c r="D2108" s="387">
        <v>158142328</v>
      </c>
      <c r="E2108" s="371">
        <v>43985</v>
      </c>
    </row>
    <row r="2109" spans="2:5" x14ac:dyDescent="0.25">
      <c r="B2109" s="384" t="s">
        <v>5389</v>
      </c>
      <c r="C2109" s="384" t="s">
        <v>388</v>
      </c>
      <c r="D2109" s="374"/>
      <c r="E2109" s="393"/>
    </row>
    <row r="2110" spans="2:5" x14ac:dyDescent="0.25">
      <c r="B2110" s="384" t="s">
        <v>5390</v>
      </c>
      <c r="C2110" s="384" t="s">
        <v>4055</v>
      </c>
      <c r="D2110" s="374">
        <v>569028374</v>
      </c>
      <c r="E2110" s="393">
        <v>43990</v>
      </c>
    </row>
    <row r="2111" spans="2:5" x14ac:dyDescent="0.25">
      <c r="B2111" s="384" t="s">
        <v>5391</v>
      </c>
      <c r="C2111" s="384" t="s">
        <v>4036</v>
      </c>
      <c r="D2111" s="374">
        <v>784169294</v>
      </c>
      <c r="E2111" s="393">
        <v>43990</v>
      </c>
    </row>
    <row r="2112" spans="2:5" x14ac:dyDescent="0.25">
      <c r="B2112" s="384" t="s">
        <v>5392</v>
      </c>
      <c r="C2112" s="384" t="s">
        <v>4078</v>
      </c>
      <c r="D2112" s="374">
        <v>238621649</v>
      </c>
      <c r="E2112" s="393">
        <v>43990</v>
      </c>
    </row>
    <row r="2113" spans="2:5" x14ac:dyDescent="0.25">
      <c r="B2113" s="384" t="s">
        <v>5393</v>
      </c>
      <c r="C2113" s="384" t="s">
        <v>4075</v>
      </c>
      <c r="D2113" s="374">
        <v>571309739</v>
      </c>
      <c r="E2113" s="393">
        <v>43990</v>
      </c>
    </row>
    <row r="2114" spans="2:5" x14ac:dyDescent="0.25">
      <c r="B2114" s="384" t="s">
        <v>5394</v>
      </c>
      <c r="C2114" s="384" t="s">
        <v>4179</v>
      </c>
      <c r="D2114" s="374">
        <v>75947663</v>
      </c>
      <c r="E2114" s="393">
        <v>43990</v>
      </c>
    </row>
    <row r="2115" spans="2:5" x14ac:dyDescent="0.25">
      <c r="B2115" s="384" t="s">
        <v>5395</v>
      </c>
      <c r="C2115" s="384" t="s">
        <v>4043</v>
      </c>
      <c r="D2115" s="374">
        <v>119055618</v>
      </c>
      <c r="E2115" s="393">
        <v>43990</v>
      </c>
    </row>
    <row r="2116" spans="2:5" x14ac:dyDescent="0.25">
      <c r="B2116" s="384" t="s">
        <v>5396</v>
      </c>
      <c r="C2116" s="384" t="s">
        <v>388</v>
      </c>
      <c r="D2116" s="374"/>
      <c r="E2116" s="393"/>
    </row>
    <row r="2117" spans="2:5" x14ac:dyDescent="0.25">
      <c r="B2117" s="384" t="s">
        <v>5397</v>
      </c>
      <c r="C2117" s="384" t="s">
        <v>4188</v>
      </c>
      <c r="D2117" s="374">
        <v>3460718849</v>
      </c>
      <c r="E2117" s="393">
        <v>43991</v>
      </c>
    </row>
    <row r="2118" spans="2:5" x14ac:dyDescent="0.25">
      <c r="B2118" s="384" t="s">
        <v>5398</v>
      </c>
      <c r="C2118" s="384" t="s">
        <v>4188</v>
      </c>
      <c r="D2118" s="374">
        <v>3554488353</v>
      </c>
      <c r="E2118" s="393">
        <v>43991</v>
      </c>
    </row>
    <row r="2119" spans="2:5" x14ac:dyDescent="0.25">
      <c r="B2119" s="384" t="s">
        <v>5399</v>
      </c>
      <c r="C2119" s="384" t="s">
        <v>4055</v>
      </c>
      <c r="D2119" s="374">
        <v>703188495</v>
      </c>
      <c r="E2119" s="393">
        <v>43991</v>
      </c>
    </row>
    <row r="2120" spans="2:5" x14ac:dyDescent="0.25">
      <c r="B2120" s="384" t="s">
        <v>5400</v>
      </c>
      <c r="C2120" s="384" t="s">
        <v>3974</v>
      </c>
      <c r="D2120" s="374">
        <f>554626119+247760266</f>
        <v>802386385</v>
      </c>
      <c r="E2120" s="393">
        <v>43991</v>
      </c>
    </row>
    <row r="2121" spans="2:5" x14ac:dyDescent="0.25">
      <c r="B2121" s="384" t="s">
        <v>5401</v>
      </c>
      <c r="C2121" s="384" t="s">
        <v>4036</v>
      </c>
      <c r="D2121" s="374">
        <v>619294032</v>
      </c>
      <c r="E2121" s="393">
        <v>43991</v>
      </c>
    </row>
    <row r="2122" spans="2:5" x14ac:dyDescent="0.25">
      <c r="B2122" s="384" t="s">
        <v>5402</v>
      </c>
      <c r="C2122" s="384" t="s">
        <v>4161</v>
      </c>
      <c r="D2122" s="374">
        <v>251964165</v>
      </c>
      <c r="E2122" s="393">
        <v>43991</v>
      </c>
    </row>
    <row r="2123" spans="2:5" x14ac:dyDescent="0.25">
      <c r="B2123" s="384" t="s">
        <v>5403</v>
      </c>
      <c r="C2123" s="384" t="s">
        <v>388</v>
      </c>
      <c r="D2123" s="374"/>
      <c r="E2123" s="393"/>
    </row>
    <row r="2124" spans="2:5" x14ac:dyDescent="0.25">
      <c r="B2124" s="384" t="s">
        <v>5404</v>
      </c>
      <c r="C2124" s="384" t="s">
        <v>4075</v>
      </c>
      <c r="D2124" s="374">
        <v>627451293</v>
      </c>
      <c r="E2124" s="393">
        <v>43991</v>
      </c>
    </row>
    <row r="2125" spans="2:5" x14ac:dyDescent="0.25">
      <c r="B2125" s="384" t="s">
        <v>5405</v>
      </c>
      <c r="C2125" s="384" t="s">
        <v>4179</v>
      </c>
      <c r="D2125" s="374">
        <v>276216495</v>
      </c>
      <c r="E2125" s="393">
        <v>43991</v>
      </c>
    </row>
    <row r="2126" spans="2:5" x14ac:dyDescent="0.25">
      <c r="B2126" s="384" t="s">
        <v>5406</v>
      </c>
      <c r="C2126" s="384" t="s">
        <v>4043</v>
      </c>
      <c r="D2126" s="374">
        <v>280107506</v>
      </c>
      <c r="E2126" s="393">
        <v>43991</v>
      </c>
    </row>
    <row r="2127" spans="2:5" x14ac:dyDescent="0.25">
      <c r="B2127" s="384" t="s">
        <v>5407</v>
      </c>
      <c r="C2127" s="384" t="s">
        <v>4109</v>
      </c>
      <c r="D2127" s="374">
        <v>9887363</v>
      </c>
      <c r="E2127" s="393">
        <v>43991</v>
      </c>
    </row>
    <row r="2128" spans="2:5" x14ac:dyDescent="0.25">
      <c r="B2128" s="384" t="s">
        <v>5408</v>
      </c>
      <c r="C2128" s="384" t="s">
        <v>4078</v>
      </c>
      <c r="D2128" s="374">
        <v>116981160</v>
      </c>
      <c r="E2128" s="393">
        <v>43991</v>
      </c>
    </row>
    <row r="2129" spans="2:5" x14ac:dyDescent="0.25">
      <c r="B2129" s="384" t="s">
        <v>5409</v>
      </c>
      <c r="C2129" s="384" t="s">
        <v>4188</v>
      </c>
      <c r="D2129" s="374">
        <v>1842909357</v>
      </c>
      <c r="E2129" s="393">
        <v>43992</v>
      </c>
    </row>
    <row r="2130" spans="2:5" x14ac:dyDescent="0.25">
      <c r="B2130" s="384" t="s">
        <v>5410</v>
      </c>
      <c r="C2130" s="384" t="s">
        <v>4055</v>
      </c>
      <c r="D2130" s="374">
        <v>561929575</v>
      </c>
      <c r="E2130" s="393">
        <v>43992</v>
      </c>
    </row>
    <row r="2131" spans="2:5" x14ac:dyDescent="0.25">
      <c r="B2131" s="384" t="s">
        <v>5411</v>
      </c>
      <c r="C2131" s="384" t="s">
        <v>3974</v>
      </c>
      <c r="D2131" s="374">
        <f>529130483+271845360</f>
        <v>800975843</v>
      </c>
      <c r="E2131" s="393">
        <v>43992</v>
      </c>
    </row>
    <row r="2132" spans="2:5" x14ac:dyDescent="0.25">
      <c r="B2132" s="384" t="s">
        <v>5412</v>
      </c>
      <c r="C2132" s="384" t="s">
        <v>3976</v>
      </c>
      <c r="D2132" s="374">
        <v>557788266</v>
      </c>
      <c r="E2132" s="393">
        <v>43992</v>
      </c>
    </row>
    <row r="2133" spans="2:5" x14ac:dyDescent="0.25">
      <c r="B2133" s="384" t="s">
        <v>5413</v>
      </c>
      <c r="C2133" s="384" t="s">
        <v>4078</v>
      </c>
      <c r="D2133" s="374">
        <v>99504903</v>
      </c>
      <c r="E2133" s="393">
        <v>43992</v>
      </c>
    </row>
    <row r="2134" spans="2:5" x14ac:dyDescent="0.25">
      <c r="B2134" s="384" t="s">
        <v>5414</v>
      </c>
      <c r="C2134" s="384" t="s">
        <v>4043</v>
      </c>
      <c r="D2134" s="374">
        <v>117733700</v>
      </c>
      <c r="E2134" s="393">
        <v>43985</v>
      </c>
    </row>
    <row r="2135" spans="2:5" x14ac:dyDescent="0.25">
      <c r="B2135" s="384" t="s">
        <v>5415</v>
      </c>
      <c r="C2135" s="384" t="s">
        <v>4109</v>
      </c>
      <c r="D2135" s="374">
        <v>40533852</v>
      </c>
      <c r="E2135" s="393">
        <v>43985</v>
      </c>
    </row>
    <row r="2136" spans="2:5" x14ac:dyDescent="0.25">
      <c r="B2136" s="384" t="s">
        <v>5416</v>
      </c>
      <c r="C2136" s="384" t="s">
        <v>4179</v>
      </c>
      <c r="D2136" s="374">
        <v>215071930</v>
      </c>
      <c r="E2136" s="393">
        <v>43985</v>
      </c>
    </row>
    <row r="2137" spans="2:5" x14ac:dyDescent="0.25">
      <c r="B2137" s="384" t="s">
        <v>5417</v>
      </c>
      <c r="C2137" s="384" t="s">
        <v>4075</v>
      </c>
      <c r="D2137" s="374">
        <v>737465282</v>
      </c>
      <c r="E2137" s="393">
        <v>43985</v>
      </c>
    </row>
    <row r="2138" spans="2:5" x14ac:dyDescent="0.25">
      <c r="B2138" s="384" t="s">
        <v>5418</v>
      </c>
      <c r="C2138" s="384" t="s">
        <v>4078</v>
      </c>
      <c r="D2138" s="374">
        <v>229967479</v>
      </c>
      <c r="E2138" s="393">
        <v>43985</v>
      </c>
    </row>
    <row r="2139" spans="2:5" x14ac:dyDescent="0.25">
      <c r="B2139" s="384" t="s">
        <v>5419</v>
      </c>
      <c r="C2139" s="384" t="s">
        <v>4036</v>
      </c>
      <c r="D2139" s="374">
        <v>307097664</v>
      </c>
      <c r="E2139" s="393">
        <v>43985</v>
      </c>
    </row>
    <row r="2140" spans="2:5" x14ac:dyDescent="0.25">
      <c r="B2140" s="384" t="s">
        <v>5420</v>
      </c>
      <c r="C2140" s="384" t="s">
        <v>4117</v>
      </c>
      <c r="D2140" s="374">
        <v>210602000</v>
      </c>
      <c r="E2140" s="393">
        <v>43986</v>
      </c>
    </row>
    <row r="2141" spans="2:5" x14ac:dyDescent="0.25">
      <c r="B2141" s="384" t="s">
        <v>5421</v>
      </c>
      <c r="C2141" s="384" t="s">
        <v>5439</v>
      </c>
      <c r="D2141" s="374">
        <v>28379360</v>
      </c>
      <c r="E2141" s="393">
        <v>43986</v>
      </c>
    </row>
    <row r="2142" spans="2:5" x14ac:dyDescent="0.25">
      <c r="B2142" s="384" t="s">
        <v>5422</v>
      </c>
      <c r="C2142" s="384" t="s">
        <v>4085</v>
      </c>
      <c r="D2142" s="374">
        <v>111127000</v>
      </c>
      <c r="E2142" s="393">
        <v>43986</v>
      </c>
    </row>
    <row r="2143" spans="2:5" x14ac:dyDescent="0.25">
      <c r="B2143" s="384" t="s">
        <v>5423</v>
      </c>
      <c r="C2143" s="384" t="s">
        <v>3974</v>
      </c>
      <c r="D2143" s="374">
        <v>210613210</v>
      </c>
      <c r="E2143" s="393">
        <v>43986</v>
      </c>
    </row>
    <row r="2144" spans="2:5" x14ac:dyDescent="0.25">
      <c r="B2144" s="384" t="s">
        <v>5424</v>
      </c>
      <c r="C2144" s="384" t="s">
        <v>4057</v>
      </c>
      <c r="D2144" s="374">
        <v>121535128</v>
      </c>
      <c r="E2144" s="393">
        <v>43986</v>
      </c>
    </row>
    <row r="2145" spans="2:5" x14ac:dyDescent="0.25">
      <c r="B2145" s="384" t="s">
        <v>5425</v>
      </c>
      <c r="C2145" s="384" t="s">
        <v>4036</v>
      </c>
      <c r="D2145" s="374">
        <v>431814813</v>
      </c>
      <c r="E2145" s="393">
        <v>43986</v>
      </c>
    </row>
    <row r="2146" spans="2:5" x14ac:dyDescent="0.25">
      <c r="B2146" s="384" t="s">
        <v>5426</v>
      </c>
      <c r="C2146" s="384" t="s">
        <v>4161</v>
      </c>
      <c r="D2146" s="374">
        <v>86008520</v>
      </c>
      <c r="E2146" s="393">
        <v>43986</v>
      </c>
    </row>
    <row r="2147" spans="2:5" x14ac:dyDescent="0.25">
      <c r="B2147" s="384" t="s">
        <v>5427</v>
      </c>
      <c r="C2147" s="384" t="s">
        <v>4078</v>
      </c>
      <c r="D2147" s="374">
        <v>172457782</v>
      </c>
      <c r="E2147" s="393">
        <v>43986</v>
      </c>
    </row>
    <row r="2148" spans="2:5" x14ac:dyDescent="0.25">
      <c r="B2148" s="384" t="s">
        <v>5428</v>
      </c>
      <c r="C2148" s="384" t="s">
        <v>4075</v>
      </c>
      <c r="D2148" s="374">
        <v>769933230</v>
      </c>
      <c r="E2148" s="393">
        <v>43986</v>
      </c>
    </row>
    <row r="2149" spans="2:5" x14ac:dyDescent="0.25">
      <c r="B2149" s="384" t="s">
        <v>5429</v>
      </c>
      <c r="C2149" s="384" t="s">
        <v>4179</v>
      </c>
      <c r="D2149" s="374">
        <v>178302868</v>
      </c>
      <c r="E2149" s="393">
        <v>43986</v>
      </c>
    </row>
    <row r="2150" spans="2:5" x14ac:dyDescent="0.25">
      <c r="B2150" s="384" t="s">
        <v>5430</v>
      </c>
      <c r="C2150" s="384" t="s">
        <v>4109</v>
      </c>
      <c r="D2150" s="374">
        <v>39562820</v>
      </c>
      <c r="E2150" s="393">
        <v>43986</v>
      </c>
    </row>
    <row r="2151" spans="2:5" x14ac:dyDescent="0.25">
      <c r="B2151" s="384" t="s">
        <v>5431</v>
      </c>
      <c r="C2151" s="384" t="s">
        <v>4043</v>
      </c>
      <c r="D2151" s="374">
        <v>169813732</v>
      </c>
      <c r="E2151" s="393">
        <v>43986</v>
      </c>
    </row>
    <row r="2152" spans="2:5" x14ac:dyDescent="0.25">
      <c r="B2152" s="384" t="s">
        <v>5432</v>
      </c>
      <c r="C2152" s="384" t="s">
        <v>4188</v>
      </c>
      <c r="D2152" s="374">
        <v>3918718523</v>
      </c>
      <c r="E2152" s="393">
        <v>43986</v>
      </c>
    </row>
    <row r="2153" spans="2:5" x14ac:dyDescent="0.25">
      <c r="B2153" s="384" t="s">
        <v>5433</v>
      </c>
      <c r="C2153" s="384" t="s">
        <v>4117</v>
      </c>
      <c r="D2153" s="374">
        <v>210602000</v>
      </c>
      <c r="E2153" s="393">
        <v>43987</v>
      </c>
    </row>
    <row r="2154" spans="2:5" x14ac:dyDescent="0.25">
      <c r="B2154" s="384" t="s">
        <v>5434</v>
      </c>
      <c r="C2154" s="384" t="s">
        <v>5439</v>
      </c>
      <c r="D2154" s="374">
        <v>28379360</v>
      </c>
      <c r="E2154" s="393">
        <v>43987</v>
      </c>
    </row>
    <row r="2155" spans="2:5" x14ac:dyDescent="0.25">
      <c r="B2155" s="384" t="s">
        <v>5435</v>
      </c>
      <c r="C2155" s="384" t="s">
        <v>4085</v>
      </c>
      <c r="D2155" s="374">
        <v>106364500</v>
      </c>
      <c r="E2155" s="393">
        <v>43987</v>
      </c>
    </row>
    <row r="2156" spans="2:5" x14ac:dyDescent="0.25">
      <c r="B2156" s="384" t="s">
        <v>5436</v>
      </c>
      <c r="C2156" s="384" t="s">
        <v>4188</v>
      </c>
      <c r="D2156" s="374">
        <v>818608519</v>
      </c>
      <c r="E2156" s="393">
        <v>43987</v>
      </c>
    </row>
    <row r="2157" spans="2:5" x14ac:dyDescent="0.25">
      <c r="B2157" s="384" t="s">
        <v>5437</v>
      </c>
      <c r="C2157" s="384" t="s">
        <v>4055</v>
      </c>
      <c r="D2157" s="374">
        <v>574231892</v>
      </c>
      <c r="E2157" s="393">
        <v>43987</v>
      </c>
    </row>
    <row r="2158" spans="2:5" x14ac:dyDescent="0.25">
      <c r="B2158" s="384" t="s">
        <v>5438</v>
      </c>
      <c r="C2158" s="384" t="s">
        <v>4036</v>
      </c>
      <c r="D2158" s="374">
        <v>332279587</v>
      </c>
      <c r="E2158" s="393">
        <v>43987</v>
      </c>
    </row>
    <row r="2159" spans="2:5" x14ac:dyDescent="0.25">
      <c r="B2159" s="384" t="s">
        <v>5440</v>
      </c>
      <c r="C2159" s="384" t="s">
        <v>4078</v>
      </c>
      <c r="D2159" s="374">
        <v>109721134</v>
      </c>
      <c r="E2159" s="393">
        <v>43987</v>
      </c>
    </row>
    <row r="2160" spans="2:5" x14ac:dyDescent="0.25">
      <c r="B2160" s="384" t="s">
        <v>5441</v>
      </c>
      <c r="C2160" s="384" t="s">
        <v>4075</v>
      </c>
      <c r="D2160" s="374">
        <v>464042718</v>
      </c>
      <c r="E2160" s="393">
        <v>43987</v>
      </c>
    </row>
    <row r="2161" spans="2:5" x14ac:dyDescent="0.25">
      <c r="B2161" s="384" t="s">
        <v>5442</v>
      </c>
      <c r="C2161" s="384" t="s">
        <v>4179</v>
      </c>
      <c r="D2161" s="374">
        <v>137427990</v>
      </c>
      <c r="E2161" s="393">
        <v>43987</v>
      </c>
    </row>
    <row r="2162" spans="2:5" x14ac:dyDescent="0.25">
      <c r="B2162" s="384" t="s">
        <v>5443</v>
      </c>
      <c r="C2162" s="384" t="s">
        <v>4109</v>
      </c>
      <c r="D2162" s="374">
        <v>1319815</v>
      </c>
      <c r="E2162" s="393">
        <v>43993</v>
      </c>
    </row>
    <row r="2163" spans="2:5" x14ac:dyDescent="0.25">
      <c r="B2163" s="384" t="s">
        <v>5444</v>
      </c>
      <c r="C2163" s="384" t="s">
        <v>4043</v>
      </c>
      <c r="D2163" s="374">
        <v>236079444</v>
      </c>
      <c r="E2163" s="393">
        <v>43987</v>
      </c>
    </row>
    <row r="2164" spans="2:5" x14ac:dyDescent="0.25">
      <c r="B2164" s="384" t="s">
        <v>5445</v>
      </c>
      <c r="C2164" s="384" t="s">
        <v>4053</v>
      </c>
      <c r="D2164" s="374">
        <v>252400</v>
      </c>
      <c r="E2164" s="393">
        <v>43987</v>
      </c>
    </row>
    <row r="2165" spans="2:5" x14ac:dyDescent="0.25">
      <c r="B2165" s="384" t="s">
        <v>5446</v>
      </c>
      <c r="C2165" s="384" t="s">
        <v>4078</v>
      </c>
      <c r="D2165" s="374">
        <v>180142315</v>
      </c>
      <c r="E2165" s="393">
        <v>43993</v>
      </c>
    </row>
    <row r="2166" spans="2:5" x14ac:dyDescent="0.25">
      <c r="B2166" s="384" t="s">
        <v>5447</v>
      </c>
      <c r="C2166" s="384" t="s">
        <v>4075</v>
      </c>
      <c r="D2166" s="374">
        <v>711058902</v>
      </c>
      <c r="E2166" s="393">
        <v>43992</v>
      </c>
    </row>
    <row r="2167" spans="2:5" x14ac:dyDescent="0.25">
      <c r="B2167" s="384" t="s">
        <v>5448</v>
      </c>
      <c r="C2167" s="384" t="s">
        <v>4179</v>
      </c>
      <c r="D2167" s="374">
        <v>113046850</v>
      </c>
      <c r="E2167" s="393">
        <v>43993</v>
      </c>
    </row>
    <row r="2168" spans="2:5" x14ac:dyDescent="0.25">
      <c r="B2168" s="384" t="s">
        <v>5449</v>
      </c>
      <c r="C2168" s="384" t="s">
        <v>4043</v>
      </c>
      <c r="D2168" s="374">
        <v>203358320</v>
      </c>
      <c r="E2168" s="393">
        <v>43992</v>
      </c>
    </row>
    <row r="2169" spans="2:5" x14ac:dyDescent="0.25">
      <c r="B2169" s="384" t="s">
        <v>5450</v>
      </c>
      <c r="C2169" s="384" t="s">
        <v>3965</v>
      </c>
      <c r="D2169" s="374">
        <v>128333590</v>
      </c>
      <c r="E2169" s="393">
        <v>43992</v>
      </c>
    </row>
    <row r="2170" spans="2:5" x14ac:dyDescent="0.25">
      <c r="B2170" s="384" t="s">
        <v>5451</v>
      </c>
      <c r="C2170" s="384" t="s">
        <v>5465</v>
      </c>
      <c r="D2170" s="374">
        <v>135127617</v>
      </c>
      <c r="E2170" s="393">
        <v>43992</v>
      </c>
    </row>
    <row r="2171" spans="2:5" x14ac:dyDescent="0.25">
      <c r="B2171" s="384" t="s">
        <v>5452</v>
      </c>
      <c r="C2171" s="384" t="s">
        <v>4722</v>
      </c>
      <c r="D2171" s="374">
        <v>541831204</v>
      </c>
      <c r="E2171" s="393">
        <v>43993</v>
      </c>
    </row>
    <row r="2172" spans="2:5" x14ac:dyDescent="0.25">
      <c r="B2172" s="384" t="s">
        <v>5453</v>
      </c>
      <c r="C2172" s="384" t="s">
        <v>4036</v>
      </c>
      <c r="D2172" s="374">
        <v>1225616874</v>
      </c>
      <c r="E2172" s="393">
        <v>43993</v>
      </c>
    </row>
    <row r="2173" spans="2:5" x14ac:dyDescent="0.25">
      <c r="B2173" s="384" t="s">
        <v>5454</v>
      </c>
      <c r="C2173" s="384" t="s">
        <v>4055</v>
      </c>
      <c r="D2173" s="374">
        <v>464686137</v>
      </c>
      <c r="E2173" s="393">
        <v>43993</v>
      </c>
    </row>
    <row r="2174" spans="2:5" x14ac:dyDescent="0.25">
      <c r="B2174" s="384" t="s">
        <v>5455</v>
      </c>
      <c r="C2174" s="384" t="s">
        <v>3974</v>
      </c>
      <c r="D2174" s="374">
        <v>719333943</v>
      </c>
      <c r="E2174" s="393">
        <v>43993</v>
      </c>
    </row>
    <row r="2175" spans="2:5" x14ac:dyDescent="0.25">
      <c r="B2175" s="384" t="s">
        <v>5456</v>
      </c>
      <c r="C2175" s="384" t="s">
        <v>4057</v>
      </c>
      <c r="D2175" s="374">
        <v>128101860</v>
      </c>
      <c r="E2175" s="393">
        <v>43993</v>
      </c>
    </row>
    <row r="2176" spans="2:5" x14ac:dyDescent="0.25">
      <c r="B2176" s="384" t="s">
        <v>5457</v>
      </c>
      <c r="C2176" s="384" t="s">
        <v>4075</v>
      </c>
      <c r="D2176" s="374">
        <v>646881839</v>
      </c>
      <c r="E2176" s="393">
        <v>43993</v>
      </c>
    </row>
    <row r="2177" spans="2:5" x14ac:dyDescent="0.25">
      <c r="B2177" s="384" t="s">
        <v>5458</v>
      </c>
      <c r="C2177" s="384" t="s">
        <v>4043</v>
      </c>
      <c r="D2177" s="374">
        <v>265292202</v>
      </c>
      <c r="E2177" s="393">
        <v>43993</v>
      </c>
    </row>
    <row r="2178" spans="2:5" x14ac:dyDescent="0.25">
      <c r="B2178" s="384" t="s">
        <v>5459</v>
      </c>
      <c r="C2178" s="384" t="s">
        <v>4055</v>
      </c>
      <c r="D2178" s="374">
        <v>485556005</v>
      </c>
      <c r="E2178" s="393">
        <v>43994</v>
      </c>
    </row>
    <row r="2179" spans="2:5" x14ac:dyDescent="0.25">
      <c r="B2179" s="384" t="s">
        <v>5460</v>
      </c>
      <c r="C2179" s="384" t="s">
        <v>4036</v>
      </c>
      <c r="D2179" s="374">
        <v>449141502</v>
      </c>
      <c r="E2179" s="393">
        <v>43994</v>
      </c>
    </row>
    <row r="2180" spans="2:5" x14ac:dyDescent="0.25">
      <c r="B2180" s="384" t="s">
        <v>5461</v>
      </c>
      <c r="C2180" s="384" t="s">
        <v>4078</v>
      </c>
      <c r="D2180" s="374">
        <v>235307551</v>
      </c>
      <c r="E2180" s="393">
        <v>43994</v>
      </c>
    </row>
    <row r="2181" spans="2:5" x14ac:dyDescent="0.25">
      <c r="B2181" s="384" t="s">
        <v>5462</v>
      </c>
      <c r="C2181" s="384" t="s">
        <v>5466</v>
      </c>
      <c r="D2181" s="374">
        <v>226910971</v>
      </c>
      <c r="E2181" s="393">
        <v>43994</v>
      </c>
    </row>
    <row r="2182" spans="2:5" x14ac:dyDescent="0.25">
      <c r="B2182" s="384" t="s">
        <v>5463</v>
      </c>
      <c r="C2182" s="384" t="s">
        <v>4179</v>
      </c>
      <c r="D2182" s="374">
        <v>179666958</v>
      </c>
      <c r="E2182" s="393">
        <v>43994</v>
      </c>
    </row>
    <row r="2183" spans="2:5" x14ac:dyDescent="0.25">
      <c r="B2183" s="384" t="s">
        <v>5464</v>
      </c>
      <c r="C2183" s="384" t="s">
        <v>4043</v>
      </c>
      <c r="D2183" s="374">
        <v>199210660</v>
      </c>
      <c r="E2183" s="393">
        <v>43994</v>
      </c>
    </row>
    <row r="2184" spans="2:5" x14ac:dyDescent="0.25">
      <c r="B2184" s="384" t="s">
        <v>5535</v>
      </c>
      <c r="C2184" s="384" t="s">
        <v>4068</v>
      </c>
      <c r="D2184" s="374">
        <v>1493521356</v>
      </c>
      <c r="E2184" s="393">
        <v>43994</v>
      </c>
    </row>
    <row r="2185" spans="2:5" x14ac:dyDescent="0.25">
      <c r="B2185" s="384" t="s">
        <v>5536</v>
      </c>
      <c r="C2185" s="384" t="s">
        <v>4085</v>
      </c>
      <c r="D2185" s="374">
        <v>100014500</v>
      </c>
      <c r="E2185" s="393">
        <v>43994</v>
      </c>
    </row>
    <row r="2186" spans="2:5" x14ac:dyDescent="0.25">
      <c r="B2186" s="384" t="s">
        <v>5537</v>
      </c>
      <c r="C2186" s="384" t="s">
        <v>3974</v>
      </c>
      <c r="D2186" s="374">
        <v>604097306</v>
      </c>
      <c r="E2186" s="393">
        <v>43994</v>
      </c>
    </row>
    <row r="2187" spans="2:5" x14ac:dyDescent="0.25">
      <c r="B2187" s="384" t="s">
        <v>5538</v>
      </c>
      <c r="C2187" s="384" t="s">
        <v>388</v>
      </c>
      <c r="D2187" s="374"/>
      <c r="E2187" s="393"/>
    </row>
    <row r="2188" spans="2:5" x14ac:dyDescent="0.25">
      <c r="B2188" s="384" t="s">
        <v>5539</v>
      </c>
      <c r="C2188" s="384" t="s">
        <v>4078</v>
      </c>
      <c r="D2188" s="374">
        <v>178139975</v>
      </c>
      <c r="E2188" s="393">
        <v>43997</v>
      </c>
    </row>
    <row r="2189" spans="2:5" x14ac:dyDescent="0.25">
      <c r="B2189" s="384" t="s">
        <v>5540</v>
      </c>
      <c r="C2189" s="384" t="s">
        <v>4043</v>
      </c>
      <c r="D2189" s="374">
        <v>233004911</v>
      </c>
      <c r="E2189" s="393">
        <v>43997</v>
      </c>
    </row>
    <row r="2190" spans="2:5" x14ac:dyDescent="0.25">
      <c r="B2190" s="384" t="s">
        <v>5541</v>
      </c>
      <c r="C2190" s="384" t="s">
        <v>4119</v>
      </c>
      <c r="D2190" s="374">
        <v>66114900</v>
      </c>
      <c r="E2190" s="393">
        <v>43997</v>
      </c>
    </row>
    <row r="2191" spans="2:5" x14ac:dyDescent="0.25">
      <c r="B2191" s="384" t="s">
        <v>5542</v>
      </c>
      <c r="C2191" s="384" t="s">
        <v>4117</v>
      </c>
      <c r="D2191" s="374">
        <v>210602000</v>
      </c>
      <c r="E2191" s="393">
        <v>43997</v>
      </c>
    </row>
    <row r="2192" spans="2:5" x14ac:dyDescent="0.25">
      <c r="B2192" s="384" t="s">
        <v>5543</v>
      </c>
      <c r="C2192" s="384" t="s">
        <v>4057</v>
      </c>
      <c r="D2192" s="374">
        <v>115237316</v>
      </c>
      <c r="E2192" s="393">
        <v>43997</v>
      </c>
    </row>
    <row r="2193" spans="2:5" x14ac:dyDescent="0.25">
      <c r="B2193" s="384" t="s">
        <v>5544</v>
      </c>
      <c r="C2193" s="384" t="s">
        <v>4036</v>
      </c>
      <c r="D2193" s="374">
        <v>917311359</v>
      </c>
      <c r="E2193" s="393">
        <v>43997</v>
      </c>
    </row>
    <row r="2194" spans="2:5" x14ac:dyDescent="0.25">
      <c r="B2194" s="384" t="s">
        <v>5545</v>
      </c>
      <c r="C2194" s="384" t="s">
        <v>5081</v>
      </c>
      <c r="D2194" s="374">
        <v>82415973</v>
      </c>
      <c r="E2194" s="393">
        <v>43997</v>
      </c>
    </row>
    <row r="2195" spans="2:5" x14ac:dyDescent="0.25">
      <c r="B2195" s="384" t="s">
        <v>5546</v>
      </c>
      <c r="C2195" s="384" t="s">
        <v>4055</v>
      </c>
      <c r="D2195" s="374">
        <v>502844001</v>
      </c>
      <c r="E2195" s="393">
        <v>43997</v>
      </c>
    </row>
    <row r="2196" spans="2:5" x14ac:dyDescent="0.25">
      <c r="B2196" s="384" t="s">
        <v>5547</v>
      </c>
      <c r="C2196" s="384" t="s">
        <v>4075</v>
      </c>
      <c r="D2196" s="374">
        <v>220822620</v>
      </c>
      <c r="E2196" s="393">
        <v>43997</v>
      </c>
    </row>
    <row r="2197" spans="2:5" x14ac:dyDescent="0.25">
      <c r="B2197" s="384" t="s">
        <v>5548</v>
      </c>
      <c r="C2197" s="384" t="s">
        <v>4068</v>
      </c>
      <c r="D2197" s="374">
        <v>1748552941</v>
      </c>
      <c r="E2197" s="393">
        <v>43997</v>
      </c>
    </row>
    <row r="2198" spans="2:5" x14ac:dyDescent="0.25">
      <c r="B2198" s="384" t="s">
        <v>5549</v>
      </c>
      <c r="C2198" s="384" t="s">
        <v>4068</v>
      </c>
      <c r="D2198" s="374">
        <v>1510097743</v>
      </c>
      <c r="E2198" s="393">
        <v>43998</v>
      </c>
    </row>
    <row r="2199" spans="2:5" x14ac:dyDescent="0.25">
      <c r="B2199" s="384" t="s">
        <v>5550</v>
      </c>
      <c r="C2199" s="384" t="s">
        <v>4036</v>
      </c>
      <c r="D2199" s="374">
        <v>726886502</v>
      </c>
      <c r="E2199" s="393">
        <v>43998</v>
      </c>
    </row>
    <row r="2200" spans="2:5" x14ac:dyDescent="0.25">
      <c r="B2200" s="384" t="s">
        <v>5551</v>
      </c>
      <c r="C2200" s="384" t="s">
        <v>4043</v>
      </c>
      <c r="D2200" s="374">
        <v>510877836</v>
      </c>
      <c r="E2200" s="393">
        <v>43998</v>
      </c>
    </row>
    <row r="2201" spans="2:5" x14ac:dyDescent="0.25">
      <c r="B2201" s="384" t="s">
        <v>5552</v>
      </c>
      <c r="C2201" s="384" t="s">
        <v>4085</v>
      </c>
      <c r="D2201" s="374">
        <v>115889500</v>
      </c>
      <c r="E2201" s="393">
        <v>43998</v>
      </c>
    </row>
    <row r="2202" spans="2:5" x14ac:dyDescent="0.25">
      <c r="B2202" s="384" t="s">
        <v>5553</v>
      </c>
      <c r="C2202" s="384" t="s">
        <v>4066</v>
      </c>
      <c r="D2202" s="374">
        <v>141555847</v>
      </c>
      <c r="E2202" s="393">
        <v>43998</v>
      </c>
    </row>
    <row r="2203" spans="2:5" x14ac:dyDescent="0.25">
      <c r="B2203" s="384" t="s">
        <v>5554</v>
      </c>
      <c r="C2203" s="384" t="s">
        <v>4119</v>
      </c>
      <c r="D2203" s="374">
        <v>66114900</v>
      </c>
      <c r="E2203" s="393">
        <v>43998</v>
      </c>
    </row>
    <row r="2204" spans="2:5" x14ac:dyDescent="0.25">
      <c r="B2204" s="384" t="s">
        <v>5555</v>
      </c>
      <c r="C2204" s="384" t="s">
        <v>4075</v>
      </c>
      <c r="D2204" s="374">
        <v>209080417</v>
      </c>
      <c r="E2204" s="393">
        <v>43998</v>
      </c>
    </row>
    <row r="2205" spans="2:5" x14ac:dyDescent="0.25">
      <c r="B2205" s="384" t="s">
        <v>5556</v>
      </c>
      <c r="C2205" s="384" t="s">
        <v>4105</v>
      </c>
      <c r="D2205" s="374">
        <v>100612744</v>
      </c>
      <c r="E2205" s="393">
        <v>43999</v>
      </c>
    </row>
    <row r="2206" spans="2:5" x14ac:dyDescent="0.25">
      <c r="B2206" s="384" t="s">
        <v>5557</v>
      </c>
      <c r="C2206" s="384" t="s">
        <v>4055</v>
      </c>
      <c r="D2206" s="374">
        <v>600927852</v>
      </c>
      <c r="E2206" s="393">
        <v>43999</v>
      </c>
    </row>
    <row r="2207" spans="2:5" x14ac:dyDescent="0.25">
      <c r="B2207" s="384" t="s">
        <v>5558</v>
      </c>
      <c r="C2207" s="384" t="s">
        <v>4075</v>
      </c>
      <c r="D2207" s="374">
        <v>562824415</v>
      </c>
      <c r="E2207" s="393">
        <v>43999</v>
      </c>
    </row>
    <row r="2208" spans="2:5" x14ac:dyDescent="0.25">
      <c r="B2208" s="384" t="s">
        <v>5559</v>
      </c>
      <c r="C2208" s="384" t="s">
        <v>4043</v>
      </c>
      <c r="D2208" s="374">
        <v>125829436</v>
      </c>
      <c r="E2208" s="393">
        <v>43999</v>
      </c>
    </row>
    <row r="2209" spans="2:5" x14ac:dyDescent="0.25">
      <c r="B2209" s="384" t="s">
        <v>5692</v>
      </c>
      <c r="C2209" s="384" t="s">
        <v>4036</v>
      </c>
      <c r="D2209" s="374">
        <v>576803549</v>
      </c>
      <c r="E2209" s="393">
        <v>43999</v>
      </c>
    </row>
    <row r="2210" spans="2:5" x14ac:dyDescent="0.25">
      <c r="B2210" s="384" t="s">
        <v>5693</v>
      </c>
      <c r="C2210" s="384" t="s">
        <v>4119</v>
      </c>
      <c r="D2210" s="374">
        <v>82642900</v>
      </c>
      <c r="E2210" s="393">
        <v>43999</v>
      </c>
    </row>
    <row r="2211" spans="2:5" x14ac:dyDescent="0.25">
      <c r="B2211" s="384" t="s">
        <v>5694</v>
      </c>
      <c r="C2211" s="384" t="s">
        <v>3974</v>
      </c>
      <c r="D2211" s="374">
        <v>651354002</v>
      </c>
      <c r="E2211" s="393">
        <v>43999</v>
      </c>
    </row>
    <row r="2212" spans="2:5" x14ac:dyDescent="0.25">
      <c r="B2212" s="384" t="s">
        <v>5695</v>
      </c>
      <c r="C2212" s="384" t="s">
        <v>4085</v>
      </c>
      <c r="D2212" s="374">
        <v>104777000</v>
      </c>
      <c r="E2212" s="393">
        <v>43999</v>
      </c>
    </row>
    <row r="2213" spans="2:5" x14ac:dyDescent="0.25">
      <c r="B2213" s="384" t="s">
        <v>5696</v>
      </c>
      <c r="C2213" s="384" t="s">
        <v>4188</v>
      </c>
      <c r="D2213" s="374">
        <v>295718140</v>
      </c>
      <c r="E2213" s="393">
        <v>43999</v>
      </c>
    </row>
    <row r="2214" spans="2:5" x14ac:dyDescent="0.25">
      <c r="B2214" s="384" t="s">
        <v>5697</v>
      </c>
      <c r="C2214" s="384" t="s">
        <v>5717</v>
      </c>
      <c r="D2214" s="374">
        <v>140013262</v>
      </c>
      <c r="E2214" s="393">
        <v>43999</v>
      </c>
    </row>
    <row r="2215" spans="2:5" x14ac:dyDescent="0.25">
      <c r="B2215" s="384" t="s">
        <v>5698</v>
      </c>
      <c r="C2215" s="384" t="s">
        <v>4119</v>
      </c>
      <c r="D2215" s="374">
        <v>140490900</v>
      </c>
      <c r="E2215" s="393">
        <v>44000</v>
      </c>
    </row>
    <row r="2216" spans="2:5" x14ac:dyDescent="0.25">
      <c r="B2216" s="384" t="s">
        <v>5699</v>
      </c>
      <c r="C2216" s="384" t="s">
        <v>4188</v>
      </c>
      <c r="D2216" s="374">
        <v>4424633</v>
      </c>
      <c r="E2216" s="393">
        <v>44000</v>
      </c>
    </row>
    <row r="2217" spans="2:5" x14ac:dyDescent="0.25">
      <c r="B2217" s="384" t="s">
        <v>5700</v>
      </c>
      <c r="C2217" s="384" t="s">
        <v>4055</v>
      </c>
      <c r="D2217" s="374">
        <v>567479340</v>
      </c>
      <c r="E2217" s="393">
        <v>44000</v>
      </c>
    </row>
    <row r="2218" spans="2:5" x14ac:dyDescent="0.25">
      <c r="B2218" s="384" t="s">
        <v>5701</v>
      </c>
      <c r="C2218" s="384" t="s">
        <v>3974</v>
      </c>
      <c r="D2218" s="374">
        <v>891226892</v>
      </c>
      <c r="E2218" s="393">
        <v>44000</v>
      </c>
    </row>
    <row r="2219" spans="2:5" x14ac:dyDescent="0.25">
      <c r="B2219" s="384" t="s">
        <v>5702</v>
      </c>
      <c r="C2219" s="384" t="s">
        <v>4036</v>
      </c>
      <c r="D2219" s="374">
        <v>653039936</v>
      </c>
      <c r="E2219" s="393">
        <v>44000</v>
      </c>
    </row>
    <row r="2220" spans="2:5" x14ac:dyDescent="0.25">
      <c r="B2220" s="384" t="s">
        <v>5703</v>
      </c>
      <c r="C2220" s="384" t="s">
        <v>4075</v>
      </c>
      <c r="D2220" s="374">
        <v>511327319</v>
      </c>
      <c r="E2220" s="393">
        <v>44000</v>
      </c>
    </row>
    <row r="2221" spans="2:5" x14ac:dyDescent="0.25">
      <c r="B2221" s="384" t="s">
        <v>5704</v>
      </c>
      <c r="C2221" s="384" t="s">
        <v>4043</v>
      </c>
      <c r="D2221" s="374">
        <v>197692700</v>
      </c>
      <c r="E2221" s="393">
        <v>44000</v>
      </c>
    </row>
    <row r="2222" spans="2:5" x14ac:dyDescent="0.25">
      <c r="B2222" s="384" t="s">
        <v>5705</v>
      </c>
      <c r="C2222" s="384" t="s">
        <v>4043</v>
      </c>
      <c r="D2222" s="374">
        <v>142514753</v>
      </c>
      <c r="E2222" s="393">
        <v>44001</v>
      </c>
    </row>
    <row r="2223" spans="2:5" x14ac:dyDescent="0.25">
      <c r="B2223" s="384" t="s">
        <v>5706</v>
      </c>
      <c r="C2223" s="384" t="s">
        <v>4075</v>
      </c>
      <c r="D2223" s="374">
        <v>176028210</v>
      </c>
      <c r="E2223" s="393">
        <v>44001</v>
      </c>
    </row>
    <row r="2224" spans="2:5" x14ac:dyDescent="0.25">
      <c r="B2224" s="384" t="s">
        <v>5707</v>
      </c>
      <c r="C2224" s="384" t="s">
        <v>4036</v>
      </c>
      <c r="D2224" s="374">
        <v>967931518</v>
      </c>
      <c r="E2224" s="393">
        <v>44001</v>
      </c>
    </row>
    <row r="2225" spans="2:5" x14ac:dyDescent="0.25">
      <c r="B2225" s="384" t="s">
        <v>5708</v>
      </c>
      <c r="C2225" s="384" t="s">
        <v>4055</v>
      </c>
      <c r="D2225" s="374">
        <v>497790968</v>
      </c>
      <c r="E2225" s="393">
        <v>44001</v>
      </c>
    </row>
    <row r="2226" spans="2:5" x14ac:dyDescent="0.25">
      <c r="B2226" s="384" t="s">
        <v>5709</v>
      </c>
      <c r="C2226" s="384" t="s">
        <v>3974</v>
      </c>
      <c r="D2226" s="374">
        <v>692985720</v>
      </c>
      <c r="E2226" s="393">
        <v>44001</v>
      </c>
    </row>
    <row r="2227" spans="2:5" x14ac:dyDescent="0.25">
      <c r="B2227" s="384" t="s">
        <v>5710</v>
      </c>
      <c r="C2227" s="384" t="s">
        <v>4119</v>
      </c>
      <c r="D2227" s="374">
        <v>289242900</v>
      </c>
      <c r="E2227" s="393">
        <v>44001</v>
      </c>
    </row>
    <row r="2228" spans="2:5" x14ac:dyDescent="0.25">
      <c r="B2228" s="384" t="s">
        <v>5711</v>
      </c>
      <c r="C2228" s="384" t="s">
        <v>4188</v>
      </c>
      <c r="D2228" s="374">
        <v>640008974</v>
      </c>
      <c r="E2228" s="393">
        <v>44001</v>
      </c>
    </row>
    <row r="2229" spans="2:5" x14ac:dyDescent="0.25">
      <c r="B2229" s="384" t="s">
        <v>5712</v>
      </c>
      <c r="C2229" s="384" t="s">
        <v>4119</v>
      </c>
      <c r="D2229" s="374">
        <v>206602900</v>
      </c>
      <c r="E2229" s="393">
        <v>44004</v>
      </c>
    </row>
    <row r="2230" spans="2:5" x14ac:dyDescent="0.25">
      <c r="B2230" s="384" t="s">
        <v>5713</v>
      </c>
      <c r="C2230" s="384" t="s">
        <v>4066</v>
      </c>
      <c r="D2230" s="374">
        <v>148953726</v>
      </c>
      <c r="E2230" s="393">
        <v>44004</v>
      </c>
    </row>
    <row r="2231" spans="2:5" x14ac:dyDescent="0.25">
      <c r="B2231" s="384" t="s">
        <v>5714</v>
      </c>
      <c r="C2231" s="384" t="s">
        <v>4161</v>
      </c>
      <c r="D2231" s="374">
        <v>100103110</v>
      </c>
      <c r="E2231" s="393">
        <v>44004</v>
      </c>
    </row>
    <row r="2232" spans="2:5" x14ac:dyDescent="0.25">
      <c r="B2232" s="384" t="s">
        <v>5715</v>
      </c>
      <c r="C2232" s="384" t="s">
        <v>4188</v>
      </c>
      <c r="D2232" s="374">
        <v>825980022</v>
      </c>
      <c r="E2232" s="393">
        <v>44004</v>
      </c>
    </row>
    <row r="2233" spans="2:5" x14ac:dyDescent="0.25">
      <c r="B2233" s="384" t="s">
        <v>5716</v>
      </c>
      <c r="C2233" s="384" t="s">
        <v>3974</v>
      </c>
      <c r="D2233" s="374">
        <v>893732447</v>
      </c>
      <c r="E2233" s="393">
        <v>44004</v>
      </c>
    </row>
    <row r="2234" spans="2:5" x14ac:dyDescent="0.25">
      <c r="B2234" s="384" t="s">
        <v>5666</v>
      </c>
      <c r="C2234" s="384" t="s">
        <v>4055</v>
      </c>
      <c r="D2234" s="374">
        <v>415560087</v>
      </c>
      <c r="E2234" s="393">
        <v>44004</v>
      </c>
    </row>
    <row r="2235" spans="2:5" x14ac:dyDescent="0.25">
      <c r="B2235" s="384" t="s">
        <v>5667</v>
      </c>
      <c r="C2235" s="384" t="s">
        <v>4036</v>
      </c>
      <c r="D2235" s="374">
        <v>1147249937</v>
      </c>
      <c r="E2235" s="393">
        <v>44004</v>
      </c>
    </row>
    <row r="2236" spans="2:5" x14ac:dyDescent="0.25">
      <c r="B2236" s="384" t="s">
        <v>5668</v>
      </c>
      <c r="C2236" s="384" t="s">
        <v>4043</v>
      </c>
      <c r="D2236" s="374">
        <v>140411949</v>
      </c>
      <c r="E2236" s="393">
        <v>44004</v>
      </c>
    </row>
    <row r="2237" spans="2:5" x14ac:dyDescent="0.25">
      <c r="B2237" s="384" t="s">
        <v>5669</v>
      </c>
      <c r="C2237" s="384" t="s">
        <v>4188</v>
      </c>
      <c r="D2237" s="374">
        <v>1062516961</v>
      </c>
      <c r="E2237" s="393">
        <v>44005</v>
      </c>
    </row>
    <row r="2238" spans="2:5" x14ac:dyDescent="0.25">
      <c r="B2238" s="384" t="s">
        <v>5670</v>
      </c>
      <c r="C2238" s="384" t="s">
        <v>4085</v>
      </c>
      <c r="D2238" s="374">
        <v>95252000</v>
      </c>
      <c r="E2238" s="393">
        <v>44005</v>
      </c>
    </row>
    <row r="2239" spans="2:5" x14ac:dyDescent="0.25">
      <c r="B2239" s="384" t="s">
        <v>5671</v>
      </c>
      <c r="C2239" s="384" t="s">
        <v>4043</v>
      </c>
      <c r="D2239" s="374">
        <v>240919312</v>
      </c>
      <c r="E2239" s="393">
        <v>44005</v>
      </c>
    </row>
    <row r="2240" spans="2:5" x14ac:dyDescent="0.25">
      <c r="B2240" s="384" t="s">
        <v>5672</v>
      </c>
      <c r="C2240" s="384" t="s">
        <v>4036</v>
      </c>
      <c r="D2240" s="374">
        <v>1035825495</v>
      </c>
      <c r="E2240" s="393">
        <v>44005</v>
      </c>
    </row>
    <row r="2241" spans="2:5" x14ac:dyDescent="0.25">
      <c r="B2241" s="384" t="s">
        <v>5673</v>
      </c>
      <c r="C2241" s="384" t="s">
        <v>4064</v>
      </c>
      <c r="D2241" s="374">
        <v>814350434</v>
      </c>
      <c r="E2241" s="393">
        <v>44005</v>
      </c>
    </row>
    <row r="2242" spans="2:5" x14ac:dyDescent="0.25">
      <c r="B2242" s="384" t="s">
        <v>5674</v>
      </c>
      <c r="C2242" s="384" t="s">
        <v>4055</v>
      </c>
      <c r="D2242" s="374">
        <v>452687447</v>
      </c>
      <c r="E2242" s="393">
        <v>44005</v>
      </c>
    </row>
    <row r="2243" spans="2:5" x14ac:dyDescent="0.25">
      <c r="B2243" s="384" t="s">
        <v>5675</v>
      </c>
      <c r="C2243" s="384" t="s">
        <v>4105</v>
      </c>
      <c r="D2243" s="374">
        <v>100612744</v>
      </c>
      <c r="E2243" s="393">
        <v>44005</v>
      </c>
    </row>
    <row r="2244" spans="2:5" x14ac:dyDescent="0.25">
      <c r="B2244" s="384" t="s">
        <v>5676</v>
      </c>
      <c r="C2244" s="384" t="s">
        <v>4066</v>
      </c>
      <c r="D2244" s="374">
        <v>76070870</v>
      </c>
      <c r="E2244" s="393">
        <v>44005</v>
      </c>
    </row>
    <row r="2245" spans="2:5" x14ac:dyDescent="0.25">
      <c r="B2245" s="384" t="s">
        <v>5677</v>
      </c>
      <c r="C2245" s="384" t="s">
        <v>5439</v>
      </c>
      <c r="D2245" s="374">
        <v>67828880</v>
      </c>
      <c r="E2245" s="393">
        <v>44006</v>
      </c>
    </row>
    <row r="2246" spans="2:5" x14ac:dyDescent="0.25">
      <c r="B2246" s="384" t="s">
        <v>5678</v>
      </c>
      <c r="C2246" s="384" t="s">
        <v>4085</v>
      </c>
      <c r="D2246" s="374">
        <v>80964500</v>
      </c>
      <c r="E2246" s="393">
        <v>44006</v>
      </c>
    </row>
    <row r="2247" spans="2:5" x14ac:dyDescent="0.25">
      <c r="B2247" s="384" t="s">
        <v>5679</v>
      </c>
      <c r="C2247" s="384" t="s">
        <v>4188</v>
      </c>
      <c r="D2247" s="374">
        <v>469543171</v>
      </c>
      <c r="E2247" s="393">
        <v>44006</v>
      </c>
    </row>
    <row r="2248" spans="2:5" x14ac:dyDescent="0.25">
      <c r="B2248" s="384" t="s">
        <v>5680</v>
      </c>
      <c r="C2248" s="384" t="s">
        <v>4055</v>
      </c>
      <c r="D2248" s="374">
        <v>701504071</v>
      </c>
      <c r="E2248" s="393">
        <v>44006</v>
      </c>
    </row>
    <row r="2249" spans="2:5" x14ac:dyDescent="0.25">
      <c r="B2249" s="384" t="s">
        <v>5681</v>
      </c>
      <c r="C2249" s="384" t="s">
        <v>4036</v>
      </c>
      <c r="D2249" s="374">
        <v>1067316091</v>
      </c>
      <c r="E2249" s="393">
        <v>44006</v>
      </c>
    </row>
    <row r="2250" spans="2:5" x14ac:dyDescent="0.25">
      <c r="B2250" s="384" t="s">
        <v>5682</v>
      </c>
      <c r="C2250" s="384" t="s">
        <v>3812</v>
      </c>
      <c r="D2250" s="374"/>
      <c r="E2250" s="393"/>
    </row>
    <row r="2251" spans="2:5" x14ac:dyDescent="0.25">
      <c r="B2251" s="384" t="s">
        <v>5683</v>
      </c>
      <c r="C2251" s="384" t="s">
        <v>4043</v>
      </c>
      <c r="D2251" s="374">
        <v>201088620</v>
      </c>
      <c r="E2251" s="393">
        <v>44006</v>
      </c>
    </row>
    <row r="2252" spans="2:5" x14ac:dyDescent="0.25">
      <c r="B2252" s="384" t="s">
        <v>5684</v>
      </c>
      <c r="C2252" s="384" t="s">
        <v>4066</v>
      </c>
      <c r="D2252" s="374">
        <v>24308063</v>
      </c>
      <c r="E2252" s="393">
        <v>44007</v>
      </c>
    </row>
    <row r="2253" spans="2:5" x14ac:dyDescent="0.25">
      <c r="B2253" s="384" t="s">
        <v>5685</v>
      </c>
      <c r="C2253" s="384" t="s">
        <v>4043</v>
      </c>
      <c r="D2253" s="374">
        <v>226331156</v>
      </c>
      <c r="E2253" s="393">
        <v>44007</v>
      </c>
    </row>
    <row r="2254" spans="2:5" x14ac:dyDescent="0.25">
      <c r="B2254" s="384" t="s">
        <v>5686</v>
      </c>
      <c r="C2254" s="384" t="s">
        <v>3985</v>
      </c>
      <c r="D2254" s="374">
        <v>499427742</v>
      </c>
      <c r="E2254" s="393">
        <v>44007</v>
      </c>
    </row>
    <row r="2255" spans="2:5" x14ac:dyDescent="0.25">
      <c r="B2255" s="384" t="s">
        <v>5687</v>
      </c>
      <c r="C2255" s="384" t="s">
        <v>5691</v>
      </c>
      <c r="D2255" s="374">
        <v>237592900</v>
      </c>
      <c r="E2255" s="393">
        <v>44007</v>
      </c>
    </row>
    <row r="2256" spans="2:5" x14ac:dyDescent="0.25">
      <c r="B2256" s="384" t="s">
        <v>5688</v>
      </c>
      <c r="C2256" s="384" t="s">
        <v>4036</v>
      </c>
      <c r="D2256" s="374">
        <v>1046300657</v>
      </c>
      <c r="E2256" s="393">
        <v>44007</v>
      </c>
    </row>
    <row r="2257" spans="2:5" x14ac:dyDescent="0.25">
      <c r="B2257" s="384" t="s">
        <v>5689</v>
      </c>
      <c r="C2257" s="384" t="s">
        <v>4161</v>
      </c>
      <c r="D2257" s="374">
        <v>433755320</v>
      </c>
      <c r="E2257" s="393">
        <v>44007</v>
      </c>
    </row>
    <row r="2258" spans="2:5" x14ac:dyDescent="0.25">
      <c r="B2258" s="384" t="s">
        <v>5690</v>
      </c>
      <c r="C2258" s="384" t="s">
        <v>4817</v>
      </c>
      <c r="D2258" s="374">
        <v>3407376589</v>
      </c>
      <c r="E2258" s="393">
        <v>44007</v>
      </c>
    </row>
    <row r="2259" spans="2:5" x14ac:dyDescent="0.25">
      <c r="B2259" s="384" t="s">
        <v>5832</v>
      </c>
      <c r="C2259" s="384" t="s">
        <v>4562</v>
      </c>
      <c r="D2259" s="374">
        <v>35002900</v>
      </c>
      <c r="E2259" s="393">
        <v>44008</v>
      </c>
    </row>
    <row r="2260" spans="2:5" x14ac:dyDescent="0.25">
      <c r="B2260" s="384" t="s">
        <v>5833</v>
      </c>
      <c r="C2260" s="384" t="s">
        <v>5857</v>
      </c>
      <c r="D2260" s="374">
        <v>880878164</v>
      </c>
      <c r="E2260" s="393">
        <v>44008</v>
      </c>
    </row>
    <row r="2261" spans="2:5" x14ac:dyDescent="0.25">
      <c r="B2261" s="384" t="s">
        <v>5834</v>
      </c>
      <c r="C2261" s="384" t="s">
        <v>4055</v>
      </c>
      <c r="D2261" s="374">
        <v>502465931</v>
      </c>
      <c r="E2261" s="393">
        <v>44008</v>
      </c>
    </row>
    <row r="2262" spans="2:5" x14ac:dyDescent="0.25">
      <c r="B2262" s="384" t="s">
        <v>5835</v>
      </c>
      <c r="C2262" s="384" t="s">
        <v>3976</v>
      </c>
      <c r="D2262" s="374">
        <v>1171025370</v>
      </c>
      <c r="E2262" s="393">
        <v>44008</v>
      </c>
    </row>
    <row r="2263" spans="2:5" x14ac:dyDescent="0.25">
      <c r="B2263" s="384" t="s">
        <v>5836</v>
      </c>
      <c r="C2263" s="384" t="s">
        <v>4043</v>
      </c>
      <c r="D2263" s="374">
        <v>568104515</v>
      </c>
      <c r="E2263" s="393">
        <v>44008</v>
      </c>
    </row>
    <row r="2264" spans="2:5" x14ac:dyDescent="0.25">
      <c r="B2264" s="384" t="s">
        <v>5837</v>
      </c>
      <c r="C2264" s="384" t="s">
        <v>4060</v>
      </c>
      <c r="D2264" s="374">
        <v>1192134905</v>
      </c>
      <c r="E2264" s="393">
        <v>44008</v>
      </c>
    </row>
    <row r="2265" spans="2:5" x14ac:dyDescent="0.25">
      <c r="B2265" s="384" t="s">
        <v>5838</v>
      </c>
      <c r="C2265" s="384" t="s">
        <v>4179</v>
      </c>
      <c r="D2265" s="374">
        <v>1164180</v>
      </c>
      <c r="E2265" s="393">
        <v>44008</v>
      </c>
    </row>
    <row r="2266" spans="2:5" x14ac:dyDescent="0.25">
      <c r="B2266" s="384" t="s">
        <v>5839</v>
      </c>
      <c r="C2266" s="384" t="s">
        <v>4198</v>
      </c>
      <c r="D2266" s="374">
        <v>188008900</v>
      </c>
      <c r="E2266" s="393">
        <v>44011</v>
      </c>
    </row>
    <row r="2267" spans="2:5" x14ac:dyDescent="0.25">
      <c r="B2267" s="384" t="s">
        <v>5840</v>
      </c>
      <c r="C2267" s="384" t="s">
        <v>4078</v>
      </c>
      <c r="D2267" s="374">
        <v>141644853</v>
      </c>
      <c r="E2267" s="393">
        <v>44011</v>
      </c>
    </row>
    <row r="2268" spans="2:5" x14ac:dyDescent="0.25">
      <c r="B2268" s="384" t="s">
        <v>5841</v>
      </c>
      <c r="C2268" s="384" t="s">
        <v>5858</v>
      </c>
      <c r="D2268" s="374">
        <v>149449453</v>
      </c>
      <c r="E2268" s="393">
        <v>44011</v>
      </c>
    </row>
    <row r="2269" spans="2:5" x14ac:dyDescent="0.25">
      <c r="B2269" s="384" t="s">
        <v>5842</v>
      </c>
      <c r="C2269" s="384" t="s">
        <v>4117</v>
      </c>
      <c r="D2269" s="374">
        <v>421202000</v>
      </c>
      <c r="E2269" s="393">
        <v>44011</v>
      </c>
    </row>
    <row r="2270" spans="2:5" x14ac:dyDescent="0.25">
      <c r="B2270" s="384" t="s">
        <v>5843</v>
      </c>
      <c r="C2270" s="384" t="s">
        <v>4036</v>
      </c>
      <c r="D2270" s="374">
        <v>2183787019</v>
      </c>
      <c r="E2270" s="393">
        <v>44011</v>
      </c>
    </row>
    <row r="2271" spans="2:5" x14ac:dyDescent="0.25">
      <c r="B2271" s="384" t="s">
        <v>5844</v>
      </c>
      <c r="C2271" s="384" t="s">
        <v>388</v>
      </c>
      <c r="D2271" s="374"/>
      <c r="E2271" s="393"/>
    </row>
    <row r="2272" spans="2:5" x14ac:dyDescent="0.25">
      <c r="B2272" s="384" t="s">
        <v>5845</v>
      </c>
      <c r="C2272" s="384" t="s">
        <v>4055</v>
      </c>
      <c r="D2272" s="374">
        <v>1115205021</v>
      </c>
      <c r="E2272" s="393">
        <v>44011</v>
      </c>
    </row>
    <row r="2273" spans="2:5" x14ac:dyDescent="0.25">
      <c r="B2273" s="384" t="s">
        <v>5846</v>
      </c>
      <c r="C2273" s="384" t="s">
        <v>5081</v>
      </c>
      <c r="D2273" s="374">
        <v>504682597</v>
      </c>
      <c r="E2273" s="393">
        <v>44011</v>
      </c>
    </row>
    <row r="2274" spans="2:5" x14ac:dyDescent="0.25">
      <c r="B2274" s="384" t="s">
        <v>5847</v>
      </c>
      <c r="C2274" s="384" t="s">
        <v>4043</v>
      </c>
      <c r="D2274" s="374">
        <v>568801302</v>
      </c>
      <c r="E2274" s="393">
        <v>44011</v>
      </c>
    </row>
    <row r="2275" spans="2:5" x14ac:dyDescent="0.25">
      <c r="B2275" s="384" t="s">
        <v>5848</v>
      </c>
      <c r="C2275" s="384" t="s">
        <v>4109</v>
      </c>
      <c r="D2275" s="374">
        <v>192427192</v>
      </c>
      <c r="E2275" s="393">
        <v>44011</v>
      </c>
    </row>
    <row r="2276" spans="2:5" x14ac:dyDescent="0.25">
      <c r="B2276" s="384" t="s">
        <v>5849</v>
      </c>
      <c r="C2276" s="384" t="s">
        <v>5859</v>
      </c>
      <c r="D2276" s="374">
        <v>58791100</v>
      </c>
      <c r="E2276" s="393">
        <v>44011</v>
      </c>
    </row>
    <row r="2277" spans="2:5" x14ac:dyDescent="0.25">
      <c r="B2277" s="384" t="s">
        <v>5850</v>
      </c>
      <c r="C2277" s="384" t="s">
        <v>5859</v>
      </c>
      <c r="D2277" s="374">
        <v>12606000</v>
      </c>
      <c r="E2277" s="393">
        <v>44011</v>
      </c>
    </row>
    <row r="2278" spans="2:5" x14ac:dyDescent="0.25">
      <c r="B2278" s="384" t="s">
        <v>5851</v>
      </c>
      <c r="C2278" s="384" t="s">
        <v>5859</v>
      </c>
      <c r="D2278" s="374">
        <v>70666200</v>
      </c>
      <c r="E2278" s="393">
        <v>44011</v>
      </c>
    </row>
    <row r="2279" spans="2:5" x14ac:dyDescent="0.25">
      <c r="B2279" s="384" t="s">
        <v>5852</v>
      </c>
      <c r="C2279" s="384" t="s">
        <v>5860</v>
      </c>
      <c r="D2279" s="374">
        <v>941006045</v>
      </c>
      <c r="E2279" s="393">
        <v>44011</v>
      </c>
    </row>
    <row r="2280" spans="2:5" x14ac:dyDescent="0.25">
      <c r="B2280" s="384" t="s">
        <v>5853</v>
      </c>
      <c r="C2280" s="384" t="s">
        <v>4078</v>
      </c>
      <c r="D2280" s="374">
        <v>225959623</v>
      </c>
      <c r="E2280" s="393">
        <v>44012</v>
      </c>
    </row>
    <row r="2281" spans="2:5" x14ac:dyDescent="0.25">
      <c r="B2281" s="384" t="s">
        <v>5854</v>
      </c>
      <c r="C2281" s="384" t="s">
        <v>5860</v>
      </c>
      <c r="D2281" s="374">
        <v>1192902375</v>
      </c>
      <c r="E2281" s="393">
        <v>44012</v>
      </c>
    </row>
    <row r="2282" spans="2:5" x14ac:dyDescent="0.25">
      <c r="B2282" s="384" t="s">
        <v>5855</v>
      </c>
      <c r="C2282" s="384" t="s">
        <v>4055</v>
      </c>
      <c r="D2282" s="374">
        <v>595240932</v>
      </c>
      <c r="E2282" s="393">
        <v>44012</v>
      </c>
    </row>
    <row r="2283" spans="2:5" x14ac:dyDescent="0.25">
      <c r="B2283" s="384" t="s">
        <v>5856</v>
      </c>
      <c r="C2283" s="384" t="s">
        <v>5861</v>
      </c>
      <c r="D2283" s="374">
        <v>87550000</v>
      </c>
      <c r="E2283" s="393">
        <v>44012</v>
      </c>
    </row>
    <row r="2284" spans="2:5" x14ac:dyDescent="0.25">
      <c r="B2284" s="384" t="s">
        <v>5901</v>
      </c>
      <c r="C2284" s="384" t="s">
        <v>4036</v>
      </c>
      <c r="D2284" s="374">
        <v>1160133409</v>
      </c>
      <c r="E2284" s="393">
        <v>44022</v>
      </c>
    </row>
    <row r="2285" spans="2:5" x14ac:dyDescent="0.25">
      <c r="B2285" s="384" t="s">
        <v>5902</v>
      </c>
      <c r="C2285" s="384" t="s">
        <v>3978</v>
      </c>
      <c r="D2285" s="374">
        <v>345630800</v>
      </c>
      <c r="E2285" s="393">
        <v>44022</v>
      </c>
    </row>
    <row r="2286" spans="2:5" x14ac:dyDescent="0.25">
      <c r="B2286" s="384" t="s">
        <v>5903</v>
      </c>
      <c r="C2286" s="384" t="s">
        <v>4117</v>
      </c>
      <c r="D2286" s="374">
        <v>207002000</v>
      </c>
      <c r="E2286" s="393">
        <v>44022</v>
      </c>
    </row>
    <row r="2287" spans="2:5" x14ac:dyDescent="0.25">
      <c r="B2287" s="384" t="s">
        <v>5904</v>
      </c>
      <c r="C2287" s="384" t="s">
        <v>4792</v>
      </c>
      <c r="D2287" s="374">
        <v>231623466</v>
      </c>
      <c r="E2287" s="393">
        <v>44022</v>
      </c>
    </row>
    <row r="2288" spans="2:5" x14ac:dyDescent="0.25">
      <c r="B2288" s="384" t="s">
        <v>5905</v>
      </c>
      <c r="C2288" s="384" t="s">
        <v>4055</v>
      </c>
      <c r="D2288" s="374">
        <v>781888422</v>
      </c>
      <c r="E2288" s="393">
        <v>44022</v>
      </c>
    </row>
    <row r="2289" spans="2:5" x14ac:dyDescent="0.25">
      <c r="B2289" s="384" t="s">
        <v>5906</v>
      </c>
      <c r="C2289" s="384" t="s">
        <v>4075</v>
      </c>
      <c r="D2289" s="374">
        <v>510271422</v>
      </c>
      <c r="E2289" s="393">
        <v>44022</v>
      </c>
    </row>
    <row r="2290" spans="2:5" x14ac:dyDescent="0.25">
      <c r="B2290" s="384" t="s">
        <v>5907</v>
      </c>
      <c r="C2290" s="384" t="s">
        <v>4143</v>
      </c>
      <c r="D2290" s="374">
        <v>283689500</v>
      </c>
      <c r="E2290" s="393">
        <v>44022</v>
      </c>
    </row>
    <row r="2291" spans="2:5" x14ac:dyDescent="0.25">
      <c r="B2291" s="384" t="s">
        <v>5908</v>
      </c>
      <c r="C2291" s="384" t="s">
        <v>4563</v>
      </c>
      <c r="D2291" s="374">
        <v>25102000</v>
      </c>
      <c r="E2291" s="393">
        <v>44022</v>
      </c>
    </row>
    <row r="2292" spans="2:5" x14ac:dyDescent="0.25">
      <c r="B2292" s="384" t="s">
        <v>5909</v>
      </c>
      <c r="C2292" s="384" t="s">
        <v>276</v>
      </c>
      <c r="D2292" s="374">
        <v>128246430</v>
      </c>
      <c r="E2292" s="393">
        <v>44022</v>
      </c>
    </row>
    <row r="2293" spans="2:5" x14ac:dyDescent="0.25">
      <c r="B2293" s="384" t="s">
        <v>5910</v>
      </c>
      <c r="C2293" s="384" t="s">
        <v>5926</v>
      </c>
      <c r="D2293" s="374">
        <v>207802900</v>
      </c>
      <c r="E2293" s="393">
        <v>44022</v>
      </c>
    </row>
    <row r="2294" spans="2:5" x14ac:dyDescent="0.25">
      <c r="B2294" s="384" t="s">
        <v>5911</v>
      </c>
      <c r="C2294" s="384" t="s">
        <v>688</v>
      </c>
      <c r="D2294" s="374">
        <v>24889292</v>
      </c>
      <c r="E2294" s="393">
        <v>44022</v>
      </c>
    </row>
    <row r="2295" spans="2:5" x14ac:dyDescent="0.25">
      <c r="B2295" s="384" t="s">
        <v>5912</v>
      </c>
      <c r="C2295" s="384" t="s">
        <v>4085</v>
      </c>
      <c r="D2295" s="374">
        <v>301220750</v>
      </c>
      <c r="E2295" s="393">
        <v>44025</v>
      </c>
    </row>
    <row r="2296" spans="2:5" x14ac:dyDescent="0.25">
      <c r="B2296" s="384" t="s">
        <v>5913</v>
      </c>
      <c r="C2296" s="384" t="s">
        <v>688</v>
      </c>
      <c r="D2296" s="374">
        <v>622862748</v>
      </c>
      <c r="E2296" s="393">
        <v>44025</v>
      </c>
    </row>
    <row r="2297" spans="2:5" x14ac:dyDescent="0.25">
      <c r="B2297" s="384" t="s">
        <v>5914</v>
      </c>
      <c r="C2297" s="384" t="s">
        <v>4055</v>
      </c>
      <c r="D2297" s="374">
        <v>556507968</v>
      </c>
      <c r="E2297" s="393">
        <v>44025</v>
      </c>
    </row>
    <row r="2298" spans="2:5" x14ac:dyDescent="0.25">
      <c r="B2298" s="384" t="s">
        <v>5915</v>
      </c>
      <c r="C2298" s="384" t="s">
        <v>4792</v>
      </c>
      <c r="D2298" s="374">
        <v>161396677</v>
      </c>
      <c r="E2298" s="393">
        <v>44025</v>
      </c>
    </row>
    <row r="2299" spans="2:5" x14ac:dyDescent="0.25">
      <c r="B2299" s="384" t="s">
        <v>5916</v>
      </c>
      <c r="C2299" s="384" t="s">
        <v>4055</v>
      </c>
      <c r="D2299" s="374">
        <v>1347965264</v>
      </c>
      <c r="E2299" s="393">
        <v>44025</v>
      </c>
    </row>
    <row r="2300" spans="2:5" x14ac:dyDescent="0.25">
      <c r="B2300" s="384" t="s">
        <v>5917</v>
      </c>
      <c r="C2300" s="384" t="s">
        <v>4066</v>
      </c>
      <c r="D2300" s="374">
        <v>301145729</v>
      </c>
      <c r="E2300" s="393">
        <v>44025</v>
      </c>
    </row>
    <row r="2301" spans="2:5" x14ac:dyDescent="0.25">
      <c r="B2301" s="384" t="s">
        <v>5918</v>
      </c>
      <c r="C2301" s="384" t="s">
        <v>4078</v>
      </c>
      <c r="D2301" s="374">
        <v>169734674</v>
      </c>
      <c r="E2301" s="393">
        <v>44025</v>
      </c>
    </row>
    <row r="2302" spans="2:5" x14ac:dyDescent="0.25">
      <c r="B2302" s="384" t="s">
        <v>5919</v>
      </c>
      <c r="C2302" s="384" t="s">
        <v>4075</v>
      </c>
      <c r="D2302" s="374">
        <v>660294161</v>
      </c>
      <c r="E2302" s="393">
        <v>44025</v>
      </c>
    </row>
    <row r="2303" spans="2:5" x14ac:dyDescent="0.25">
      <c r="B2303" s="384" t="s">
        <v>5920</v>
      </c>
      <c r="C2303" s="384" t="s">
        <v>5926</v>
      </c>
      <c r="D2303" s="374">
        <v>63002900</v>
      </c>
      <c r="E2303" s="393">
        <v>44025</v>
      </c>
    </row>
    <row r="2304" spans="2:5" x14ac:dyDescent="0.25">
      <c r="B2304" s="384" t="s">
        <v>5921</v>
      </c>
      <c r="C2304" s="384" t="s">
        <v>4143</v>
      </c>
      <c r="D2304" s="374">
        <v>49170750</v>
      </c>
      <c r="E2304" s="393">
        <v>44025</v>
      </c>
    </row>
    <row r="2305" spans="2:5" x14ac:dyDescent="0.25">
      <c r="B2305" s="384" t="s">
        <v>5922</v>
      </c>
      <c r="C2305" s="384" t="s">
        <v>4075</v>
      </c>
      <c r="D2305" s="374">
        <v>721248254</v>
      </c>
      <c r="E2305" s="393">
        <v>44026</v>
      </c>
    </row>
    <row r="2306" spans="2:5" x14ac:dyDescent="0.25">
      <c r="B2306" s="384" t="s">
        <v>5923</v>
      </c>
      <c r="C2306" s="384" t="s">
        <v>4379</v>
      </c>
      <c r="D2306" s="374">
        <v>172393683</v>
      </c>
      <c r="E2306" s="393">
        <v>44026</v>
      </c>
    </row>
    <row r="2307" spans="2:5" x14ac:dyDescent="0.25">
      <c r="B2307" s="384" t="s">
        <v>5924</v>
      </c>
      <c r="C2307" s="384" t="s">
        <v>5439</v>
      </c>
      <c r="D2307" s="374">
        <v>276648590</v>
      </c>
      <c r="E2307" s="393">
        <v>44026</v>
      </c>
    </row>
    <row r="2308" spans="2:5" x14ac:dyDescent="0.25">
      <c r="B2308" s="384" t="s">
        <v>5925</v>
      </c>
      <c r="C2308" s="384" t="s">
        <v>4036</v>
      </c>
      <c r="D2308" s="374">
        <v>998046139</v>
      </c>
      <c r="E2308" s="393">
        <v>44026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E116"/>
  <sheetViews>
    <sheetView zoomScale="68" zoomScaleNormal="68" zoomScaleSheetLayoutView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B44" sqref="B44"/>
    </sheetView>
  </sheetViews>
  <sheetFormatPr defaultColWidth="19.140625" defaultRowHeight="15" x14ac:dyDescent="0.25"/>
  <cols>
    <col min="1" max="1" width="38.28515625" style="30" customWidth="1"/>
    <col min="2" max="2" width="43.140625" style="30" customWidth="1"/>
    <col min="3" max="3" width="23.5703125" style="30" customWidth="1"/>
    <col min="4" max="4" width="19.7109375" style="30" bestFit="1" customWidth="1"/>
    <col min="5" max="7" width="21" style="30" bestFit="1" customWidth="1"/>
    <col min="8" max="11" width="20.5703125" style="30" bestFit="1" customWidth="1"/>
    <col min="12" max="13" width="21" style="30" bestFit="1" customWidth="1"/>
    <col min="14" max="14" width="20.5703125" style="30" bestFit="1" customWidth="1"/>
    <col min="15" max="16" width="21" style="30" bestFit="1" customWidth="1"/>
    <col min="17" max="17" width="18.5703125" style="30" bestFit="1" customWidth="1"/>
    <col min="18" max="18" width="20.140625" style="30" bestFit="1" customWidth="1"/>
    <col min="19" max="21" width="20.5703125" style="30" bestFit="1" customWidth="1"/>
    <col min="22" max="23" width="21" style="30" bestFit="1" customWidth="1"/>
    <col min="24" max="25" width="20.5703125" style="30" bestFit="1" customWidth="1"/>
    <col min="26" max="26" width="20.140625" style="30" bestFit="1" customWidth="1"/>
    <col min="27" max="28" width="21" style="30" bestFit="1" customWidth="1"/>
    <col min="29" max="29" width="20.5703125" style="30" bestFit="1" customWidth="1"/>
    <col min="30" max="30" width="20.140625" style="30" bestFit="1" customWidth="1"/>
    <col min="31" max="32" width="20.5703125" style="30" bestFit="1" customWidth="1"/>
    <col min="33" max="34" width="21" style="30" bestFit="1" customWidth="1"/>
    <col min="35" max="35" width="7.7109375" style="30" bestFit="1" customWidth="1"/>
    <col min="36" max="36" width="21.5703125" style="30" bestFit="1" customWidth="1"/>
    <col min="37" max="37" width="4.85546875" style="30" customWidth="1"/>
    <col min="38" max="38" width="22.140625" style="30" bestFit="1" customWidth="1"/>
    <col min="39" max="39" width="4.85546875" style="30" customWidth="1"/>
    <col min="40" max="40" width="22.140625" style="30" bestFit="1" customWidth="1"/>
    <col min="41" max="41" width="4.5703125" style="30" customWidth="1"/>
    <col min="42" max="42" width="22.140625" style="30" bestFit="1" customWidth="1"/>
    <col min="43" max="43" width="4.85546875" style="30" customWidth="1"/>
    <col min="44" max="44" width="22.5703125" style="30" customWidth="1"/>
    <col min="45" max="45" width="4.85546875" style="30" customWidth="1"/>
    <col min="46" max="46" width="22.5703125" style="30" bestFit="1" customWidth="1"/>
    <col min="47" max="47" width="4.28515625" style="30" customWidth="1"/>
    <col min="48" max="48" width="18.140625" style="31" bestFit="1" customWidth="1"/>
    <col min="49" max="49" width="4.42578125" style="31" customWidth="1"/>
    <col min="50" max="50" width="18.140625" style="31" bestFit="1" customWidth="1"/>
    <col min="51" max="52" width="6.28515625" style="31" bestFit="1" customWidth="1"/>
    <col min="53" max="16384" width="19.140625" style="30"/>
  </cols>
  <sheetData>
    <row r="1" spans="1:57" ht="21" x14ac:dyDescent="0.35">
      <c r="A1" s="91" t="s">
        <v>0</v>
      </c>
      <c r="U1" s="92"/>
      <c r="AA1" s="1500"/>
      <c r="AB1" s="1500"/>
      <c r="AC1" s="1500"/>
      <c r="AD1" s="1500"/>
      <c r="AE1" s="1500"/>
      <c r="AF1" s="1500"/>
      <c r="AG1" s="1500"/>
      <c r="AH1" s="1500"/>
    </row>
    <row r="2" spans="1:57" ht="15.75" x14ac:dyDescent="0.25">
      <c r="A2" s="93" t="s">
        <v>158</v>
      </c>
      <c r="U2" s="92"/>
      <c r="AA2" s="1500"/>
      <c r="AB2" s="1500"/>
      <c r="AC2" s="1500"/>
      <c r="AD2" s="1500"/>
      <c r="AE2" s="1500"/>
      <c r="AF2" s="1500"/>
      <c r="AG2" s="1500"/>
      <c r="AH2" s="1500"/>
    </row>
    <row r="3" spans="1:57" x14ac:dyDescent="0.25">
      <c r="A3" s="94" t="s">
        <v>5718</v>
      </c>
      <c r="U3" s="92"/>
      <c r="AA3" s="1500"/>
      <c r="AB3" s="1500"/>
      <c r="AC3" s="1500"/>
      <c r="AD3" s="1500"/>
      <c r="AE3" s="1500"/>
      <c r="AF3" s="1500"/>
      <c r="AG3" s="1500"/>
      <c r="AH3" s="1500"/>
    </row>
    <row r="4" spans="1:57" ht="21.75" thickBot="1" x14ac:dyDescent="0.4">
      <c r="B4" s="95" t="s">
        <v>157</v>
      </c>
      <c r="D4" s="1500" t="s">
        <v>1</v>
      </c>
      <c r="E4" s="1500"/>
      <c r="F4" s="1500"/>
      <c r="G4" s="1500"/>
      <c r="H4" s="1500"/>
      <c r="I4" s="1500"/>
      <c r="J4" s="1500"/>
      <c r="U4" s="92"/>
      <c r="AA4" s="1505"/>
      <c r="AB4" s="1505"/>
      <c r="AC4" s="1505"/>
      <c r="AD4" s="1505"/>
      <c r="AE4" s="1505"/>
      <c r="AF4" s="1505"/>
      <c r="AG4" s="1505"/>
      <c r="AH4" s="1505"/>
    </row>
    <row r="5" spans="1:57" ht="21" customHeight="1" x14ac:dyDescent="0.25">
      <c r="A5" s="1496" t="s">
        <v>2</v>
      </c>
      <c r="B5" s="1497"/>
      <c r="C5" s="1503" t="s">
        <v>3130</v>
      </c>
      <c r="D5" s="1501" t="s">
        <v>3</v>
      </c>
      <c r="E5" s="1501"/>
      <c r="F5" s="1501"/>
      <c r="G5" s="1501"/>
      <c r="H5" s="1501"/>
      <c r="I5" s="1501"/>
      <c r="J5" s="1501"/>
      <c r="K5" s="1501"/>
      <c r="L5" s="1501"/>
      <c r="M5" s="1501"/>
      <c r="N5" s="1501"/>
      <c r="O5" s="1501"/>
      <c r="P5" s="1501"/>
      <c r="Q5" s="1501"/>
      <c r="R5" s="1501"/>
      <c r="S5" s="1501"/>
      <c r="T5" s="1501"/>
      <c r="U5" s="1501"/>
      <c r="V5" s="1501"/>
      <c r="W5" s="1501"/>
      <c r="X5" s="1501"/>
      <c r="Y5" s="1501"/>
      <c r="Z5" s="1501"/>
      <c r="AA5" s="1501"/>
      <c r="AB5" s="1501"/>
      <c r="AC5" s="1501"/>
      <c r="AD5" s="1501"/>
      <c r="AE5" s="1501"/>
      <c r="AF5" s="1501"/>
      <c r="AG5" s="1501"/>
      <c r="AH5" s="1502"/>
      <c r="AJ5" s="1487" t="s">
        <v>4</v>
      </c>
      <c r="AL5" s="1487" t="s">
        <v>5</v>
      </c>
      <c r="AN5" s="1487" t="s">
        <v>6</v>
      </c>
      <c r="AP5" s="1487" t="s">
        <v>7</v>
      </c>
      <c r="AR5" s="1487" t="s">
        <v>8</v>
      </c>
      <c r="AT5" s="1487" t="s">
        <v>9</v>
      </c>
      <c r="AV5" s="1487" t="s">
        <v>3129</v>
      </c>
      <c r="AX5" s="1487" t="s">
        <v>104</v>
      </c>
    </row>
    <row r="6" spans="1:57" ht="17.25" customHeight="1" thickBot="1" x14ac:dyDescent="0.3">
      <c r="A6" s="1498"/>
      <c r="B6" s="1499"/>
      <c r="C6" s="1504"/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>
        <v>6</v>
      </c>
      <c r="J6" s="113">
        <v>7</v>
      </c>
      <c r="K6" s="113">
        <v>8</v>
      </c>
      <c r="L6" s="113">
        <v>9</v>
      </c>
      <c r="M6" s="113">
        <v>10</v>
      </c>
      <c r="N6" s="113">
        <v>11</v>
      </c>
      <c r="O6" s="113">
        <v>12</v>
      </c>
      <c r="P6" s="113">
        <v>13</v>
      </c>
      <c r="Q6" s="113">
        <v>14</v>
      </c>
      <c r="R6" s="113">
        <v>15</v>
      </c>
      <c r="S6" s="113">
        <v>16</v>
      </c>
      <c r="T6" s="113">
        <v>17</v>
      </c>
      <c r="U6" s="113">
        <v>18</v>
      </c>
      <c r="V6" s="113">
        <v>19</v>
      </c>
      <c r="W6" s="113">
        <v>20</v>
      </c>
      <c r="X6" s="113">
        <v>21</v>
      </c>
      <c r="Y6" s="113">
        <v>22</v>
      </c>
      <c r="Z6" s="113">
        <v>23</v>
      </c>
      <c r="AA6" s="113">
        <v>24</v>
      </c>
      <c r="AB6" s="113">
        <v>25</v>
      </c>
      <c r="AC6" s="113">
        <v>26</v>
      </c>
      <c r="AD6" s="113">
        <v>27</v>
      </c>
      <c r="AE6" s="113">
        <v>28</v>
      </c>
      <c r="AF6" s="113">
        <v>29</v>
      </c>
      <c r="AG6" s="113">
        <v>30</v>
      </c>
      <c r="AH6" s="114">
        <v>31</v>
      </c>
      <c r="AJ6" s="1488"/>
      <c r="AL6" s="1488"/>
      <c r="AN6" s="1488"/>
      <c r="AP6" s="1488"/>
      <c r="AR6" s="1488"/>
      <c r="AT6" s="1488"/>
      <c r="AV6" s="1488"/>
      <c r="AX6" s="1488"/>
    </row>
    <row r="7" spans="1:57" ht="18.75" hidden="1" x14ac:dyDescent="0.3">
      <c r="A7" s="96" t="s">
        <v>10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97"/>
      <c r="AJ7" s="177"/>
      <c r="AL7" s="177"/>
      <c r="AN7" s="177"/>
      <c r="AP7" s="177"/>
      <c r="AR7" s="177"/>
      <c r="AT7" s="177"/>
    </row>
    <row r="8" spans="1:57" hidden="1" x14ac:dyDescent="0.25">
      <c r="A8" s="45" t="s">
        <v>11</v>
      </c>
      <c r="B8" s="46"/>
      <c r="C8" s="46"/>
      <c r="D8" s="26">
        <f>'[3]Bank Sta'!$C$18</f>
        <v>4240828040.8800001</v>
      </c>
      <c r="E8" s="47" t="e">
        <f>D114</f>
        <v>#REF!</v>
      </c>
      <c r="F8" s="47" t="e">
        <f t="shared" ref="F8:AH8" si="0">E114</f>
        <v>#REF!</v>
      </c>
      <c r="G8" s="47" t="e">
        <f t="shared" si="0"/>
        <v>#REF!</v>
      </c>
      <c r="H8" s="47" t="e">
        <f t="shared" si="0"/>
        <v>#REF!</v>
      </c>
      <c r="I8" s="47" t="e">
        <f t="shared" si="0"/>
        <v>#REF!</v>
      </c>
      <c r="J8" s="47" t="e">
        <f t="shared" si="0"/>
        <v>#REF!</v>
      </c>
      <c r="K8" s="47" t="e">
        <f t="shared" si="0"/>
        <v>#REF!</v>
      </c>
      <c r="L8" s="47" t="e">
        <f t="shared" si="0"/>
        <v>#REF!</v>
      </c>
      <c r="M8" s="47" t="e">
        <f t="shared" si="0"/>
        <v>#REF!</v>
      </c>
      <c r="N8" s="47" t="e">
        <f t="shared" si="0"/>
        <v>#REF!</v>
      </c>
      <c r="O8" s="47" t="e">
        <f t="shared" si="0"/>
        <v>#REF!</v>
      </c>
      <c r="P8" s="47" t="e">
        <f t="shared" si="0"/>
        <v>#REF!</v>
      </c>
      <c r="Q8" s="47" t="e">
        <f t="shared" si="0"/>
        <v>#REF!</v>
      </c>
      <c r="R8" s="47" t="e">
        <f t="shared" si="0"/>
        <v>#REF!</v>
      </c>
      <c r="S8" s="47" t="e">
        <f t="shared" si="0"/>
        <v>#REF!</v>
      </c>
      <c r="T8" s="47" t="e">
        <f t="shared" si="0"/>
        <v>#REF!</v>
      </c>
      <c r="U8" s="47" t="e">
        <f t="shared" si="0"/>
        <v>#REF!</v>
      </c>
      <c r="V8" s="47" t="e">
        <f t="shared" si="0"/>
        <v>#REF!</v>
      </c>
      <c r="W8" s="47" t="e">
        <f t="shared" si="0"/>
        <v>#REF!</v>
      </c>
      <c r="X8" s="47" t="e">
        <f t="shared" si="0"/>
        <v>#REF!</v>
      </c>
      <c r="Y8" s="47" t="e">
        <f t="shared" si="0"/>
        <v>#REF!</v>
      </c>
      <c r="Z8" s="47" t="e">
        <f t="shared" si="0"/>
        <v>#REF!</v>
      </c>
      <c r="AA8" s="47" t="e">
        <f t="shared" si="0"/>
        <v>#REF!</v>
      </c>
      <c r="AB8" s="47" t="e">
        <f t="shared" si="0"/>
        <v>#REF!</v>
      </c>
      <c r="AC8" s="47" t="e">
        <f t="shared" si="0"/>
        <v>#REF!</v>
      </c>
      <c r="AD8" s="47" t="e">
        <f t="shared" si="0"/>
        <v>#REF!</v>
      </c>
      <c r="AE8" s="47" t="e">
        <f t="shared" si="0"/>
        <v>#REF!</v>
      </c>
      <c r="AF8" s="47" t="e">
        <f t="shared" si="0"/>
        <v>#REF!</v>
      </c>
      <c r="AG8" s="47" t="e">
        <f t="shared" si="0"/>
        <v>#REF!</v>
      </c>
      <c r="AH8" s="47" t="e">
        <f t="shared" si="0"/>
        <v>#REF!</v>
      </c>
      <c r="AI8" s="44"/>
      <c r="AJ8" s="26">
        <f>D8</f>
        <v>4240828040.8800001</v>
      </c>
      <c r="AK8" s="44"/>
      <c r="AL8" s="26" t="e">
        <f>AJ16</f>
        <v>#REF!</v>
      </c>
      <c r="AM8" s="44"/>
      <c r="AN8" s="26" t="e">
        <f>AL16</f>
        <v>#REF!</v>
      </c>
      <c r="AP8" s="26" t="e">
        <f>AN16</f>
        <v>#REF!</v>
      </c>
      <c r="AR8" s="26" t="e">
        <f>AP16</f>
        <v>#REF!</v>
      </c>
      <c r="AT8" s="26" t="e">
        <f>AR16</f>
        <v>#REF!</v>
      </c>
    </row>
    <row r="9" spans="1:57" hidden="1" x14ac:dyDescent="0.25">
      <c r="A9" s="45"/>
      <c r="B9" s="46"/>
      <c r="C9" s="4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66"/>
      <c r="AI9" s="44"/>
      <c r="AJ9" s="26"/>
      <c r="AK9" s="44"/>
      <c r="AL9" s="26"/>
      <c r="AM9" s="44"/>
      <c r="AN9" s="26"/>
      <c r="AP9" s="26"/>
      <c r="AR9" s="26"/>
      <c r="AT9" s="26"/>
      <c r="BA9" s="31"/>
      <c r="BB9" s="31"/>
      <c r="BC9" s="31"/>
      <c r="BD9" s="31"/>
      <c r="BE9" s="31"/>
    </row>
    <row r="10" spans="1:57" hidden="1" x14ac:dyDescent="0.25">
      <c r="A10" s="45" t="s">
        <v>12</v>
      </c>
      <c r="B10" s="46"/>
      <c r="C10" s="46" t="s">
        <v>13</v>
      </c>
      <c r="D10" s="26" t="e">
        <f>#REF!+#REF!+#REF!+#REF!+#REF!+#REF!+#REF!+#REF!+#REF!+#REF!+#REF!+#REF!+#REF!</f>
        <v>#REF!</v>
      </c>
      <c r="E10" s="26" t="e">
        <f>#REF!+#REF!+#REF!+#REF!+#REF!+#REF!+#REF!+#REF!+#REF!+#REF!+#REF!+#REF!+#REF!</f>
        <v>#REF!</v>
      </c>
      <c r="F10" s="26" t="e">
        <f>#REF!+#REF!+#REF!+#REF!+#REF!+#REF!+#REF!+#REF!+#REF!+#REF!+#REF!+#REF!+#REF!</f>
        <v>#REF!</v>
      </c>
      <c r="G10" s="26" t="e">
        <f>#REF!+#REF!+#REF!+#REF!+#REF!+#REF!+#REF!+#REF!+#REF!+#REF!+#REF!+#REF!+#REF!</f>
        <v>#REF!</v>
      </c>
      <c r="H10" s="26" t="e">
        <f>#REF!+#REF!+#REF!+#REF!+#REF!+#REF!+#REF!+#REF!+#REF!+#REF!+#REF!+#REF!+#REF!</f>
        <v>#REF!</v>
      </c>
      <c r="I10" s="26" t="e">
        <f>#REF!+#REF!+#REF!+#REF!+#REF!+#REF!+#REF!+#REF!+#REF!+#REF!+#REF!+#REF!+#REF!</f>
        <v>#REF!</v>
      </c>
      <c r="J10" s="26" t="e">
        <f>#REF!+#REF!+#REF!+#REF!+#REF!+#REF!+#REF!+#REF!+#REF!+#REF!+#REF!+#REF!+#REF!</f>
        <v>#REF!</v>
      </c>
      <c r="K10" s="26" t="e">
        <f>#REF!+#REF!+#REF!+#REF!+#REF!+#REF!+#REF!+#REF!+#REF!+#REF!+#REF!+#REF!+#REF!</f>
        <v>#REF!</v>
      </c>
      <c r="L10" s="26" t="e">
        <f>#REF!+#REF!+#REF!+#REF!+#REF!+#REF!+#REF!+#REF!+#REF!+#REF!+#REF!+#REF!+#REF!</f>
        <v>#REF!</v>
      </c>
      <c r="M10" s="26" t="e">
        <f>#REF!+#REF!+#REF!+#REF!+#REF!+#REF!+#REF!+#REF!+#REF!+#REF!+#REF!+#REF!+#REF!</f>
        <v>#REF!</v>
      </c>
      <c r="N10" s="26" t="e">
        <f>#REF!+#REF!+#REF!+#REF!+#REF!+#REF!+#REF!+#REF!+#REF!+#REF!+#REF!+#REF!+#REF!</f>
        <v>#REF!</v>
      </c>
      <c r="O10" s="26" t="e">
        <f>#REF!+#REF!+#REF!+#REF!+#REF!+#REF!+#REF!+#REF!+#REF!+#REF!+#REF!+#REF!+#REF!</f>
        <v>#REF!</v>
      </c>
      <c r="P10" s="26" t="e">
        <f>#REF!+#REF!+#REF!+#REF!+#REF!+#REF!+#REF!+#REF!+#REF!+#REF!+#REF!+#REF!+#REF!</f>
        <v>#REF!</v>
      </c>
      <c r="Q10" s="26" t="e">
        <f>#REF!+#REF!+#REF!+#REF!+#REF!+#REF!+#REF!+#REF!+#REF!+#REF!+#REF!+#REF!+#REF!</f>
        <v>#REF!</v>
      </c>
      <c r="R10" s="26" t="e">
        <f>#REF!+#REF!+#REF!+#REF!+#REF!+#REF!+#REF!+#REF!+#REF!+#REF!+#REF!+#REF!+#REF!</f>
        <v>#REF!</v>
      </c>
      <c r="S10" s="26" t="e">
        <f>#REF!+#REF!+#REF!+#REF!+#REF!+#REF!+#REF!+#REF!+#REF!+#REF!+#REF!+#REF!+#REF!</f>
        <v>#REF!</v>
      </c>
      <c r="T10" s="26" t="e">
        <f>#REF!+#REF!+#REF!+#REF!+#REF!+#REF!+#REF!+#REF!+#REF!+#REF!+#REF!+#REF!+#REF!</f>
        <v>#REF!</v>
      </c>
      <c r="U10" s="26" t="e">
        <f>#REF!+#REF!+#REF!+#REF!+#REF!+#REF!+#REF!+#REF!+#REF!+#REF!+#REF!+#REF!+#REF!</f>
        <v>#REF!</v>
      </c>
      <c r="V10" s="26" t="e">
        <f>#REF!+#REF!+#REF!+#REF!+#REF!+#REF!+#REF!+#REF!+#REF!+#REF!+#REF!+#REF!+#REF!</f>
        <v>#REF!</v>
      </c>
      <c r="W10" s="26" t="e">
        <f>#REF!+#REF!+#REF!+#REF!+#REF!+#REF!+#REF!+#REF!+#REF!+#REF!+#REF!+#REF!+#REF!</f>
        <v>#REF!</v>
      </c>
      <c r="X10" s="26" t="e">
        <f>#REF!+#REF!+#REF!+#REF!+#REF!+#REF!+#REF!+#REF!+#REF!+#REF!+#REF!+#REF!+#REF!</f>
        <v>#REF!</v>
      </c>
      <c r="Y10" s="26" t="e">
        <f>#REF!+#REF!+#REF!+#REF!+#REF!+#REF!+#REF!+#REF!+#REF!+#REF!+#REF!+#REF!+#REF!</f>
        <v>#REF!</v>
      </c>
      <c r="Z10" s="26" t="e">
        <f>#REF!+#REF!+#REF!+#REF!+#REF!+#REF!+#REF!+#REF!+#REF!+#REF!+#REF!+#REF!+#REF!</f>
        <v>#REF!</v>
      </c>
      <c r="AA10" s="26" t="e">
        <f>#REF!+#REF!+#REF!+#REF!+#REF!+#REF!+#REF!+#REF!+#REF!+#REF!+#REF!+#REF!+#REF!</f>
        <v>#REF!</v>
      </c>
      <c r="AB10" s="26" t="e">
        <f>#REF!+#REF!+#REF!+#REF!+#REF!+#REF!+#REF!+#REF!+#REF!+#REF!+#REF!+#REF!+#REF!</f>
        <v>#REF!</v>
      </c>
      <c r="AC10" s="26" t="e">
        <f>#REF!+#REF!+#REF!+#REF!+#REF!+#REF!+#REF!+#REF!+#REF!+#REF!+#REF!+#REF!+#REF!</f>
        <v>#REF!</v>
      </c>
      <c r="AD10" s="26" t="e">
        <f>#REF!+#REF!+#REF!+#REF!+#REF!+#REF!+#REF!+#REF!+#REF!+#REF!+#REF!+#REF!+#REF!</f>
        <v>#REF!</v>
      </c>
      <c r="AE10" s="26" t="e">
        <f>#REF!+#REF!+#REF!+#REF!+#REF!+#REF!+#REF!+#REF!+#REF!+#REF!+#REF!+#REF!+#REF!</f>
        <v>#REF!</v>
      </c>
      <c r="AF10" s="26" t="e">
        <f>#REF!+#REF!+#REF!+#REF!+#REF!+#REF!+#REF!+#REF!+#REF!+#REF!+#REF!+#REF!+#REF!</f>
        <v>#REF!</v>
      </c>
      <c r="AG10" s="26" t="e">
        <f>#REF!+#REF!+#REF!+#REF!+#REF!+#REF!+#REF!+#REF!+#REF!+#REF!+#REF!+#REF!+#REF!</f>
        <v>#REF!</v>
      </c>
      <c r="AH10" s="26" t="e">
        <f>#REF!+#REF!+#REF!+#REF!+#REF!+#REF!+#REF!+#REF!+#REF!+#REF!+#REF!+#REF!+#REF!</f>
        <v>#REF!</v>
      </c>
      <c r="AI10" s="44"/>
      <c r="AJ10" s="26" t="e">
        <f>D10+E10+F10+G10+H10+I10+J10</f>
        <v>#REF!</v>
      </c>
      <c r="AK10" s="44"/>
      <c r="AL10" s="26" t="e">
        <f>K10+L10+M10+N10+O10+P10+Q10</f>
        <v>#REF!</v>
      </c>
      <c r="AM10" s="44"/>
      <c r="AN10" s="26" t="e">
        <f>R10+S10+T10+U10+V10+W10+X10</f>
        <v>#REF!</v>
      </c>
      <c r="AP10" s="26" t="e">
        <f>Y10+Z10+AA10+AB10+AC10+AD10+AE10</f>
        <v>#REF!</v>
      </c>
      <c r="AR10" s="26" t="e">
        <f>AF10+AG10+AH10</f>
        <v>#REF!</v>
      </c>
      <c r="AT10" s="26" t="e">
        <f>AJ10+AL10+AN10+AP10+AR10</f>
        <v>#REF!</v>
      </c>
      <c r="BA10" s="31"/>
      <c r="BB10" s="31"/>
      <c r="BC10" s="31"/>
      <c r="BD10" s="31"/>
      <c r="BE10" s="31"/>
    </row>
    <row r="11" spans="1:57" hidden="1" x14ac:dyDescent="0.25">
      <c r="A11" s="48"/>
      <c r="B11" s="49"/>
      <c r="C11" s="49" t="s">
        <v>14</v>
      </c>
      <c r="D11" s="26" t="e">
        <f>#REF!+#REF!+#REF!+#REF!+#REF!+#REF!+#REF!+#REF!+#REF!+#REF!+#REF!+#REF!+#REF!</f>
        <v>#REF!</v>
      </c>
      <c r="E11" s="26" t="e">
        <f>#REF!+#REF!+#REF!+#REF!+#REF!+#REF!+#REF!+#REF!+#REF!+#REF!+#REF!+#REF!+#REF!</f>
        <v>#REF!</v>
      </c>
      <c r="F11" s="26" t="e">
        <f>#REF!+#REF!+#REF!+#REF!+#REF!+#REF!+#REF!+#REF!+#REF!+#REF!+#REF!+#REF!+#REF!</f>
        <v>#REF!</v>
      </c>
      <c r="G11" s="26" t="e">
        <f>#REF!+#REF!+#REF!+#REF!+#REF!+#REF!+#REF!+#REF!+#REF!+#REF!+#REF!+#REF!+#REF!</f>
        <v>#REF!</v>
      </c>
      <c r="H11" s="26" t="e">
        <f>#REF!+#REF!+#REF!+#REF!+#REF!+#REF!+#REF!+#REF!+#REF!+#REF!+#REF!+#REF!+#REF!</f>
        <v>#REF!</v>
      </c>
      <c r="I11" s="26" t="e">
        <f>#REF!+#REF!+#REF!+#REF!+#REF!+#REF!+#REF!+#REF!+#REF!+#REF!+#REF!+#REF!+#REF!</f>
        <v>#REF!</v>
      </c>
      <c r="J11" s="26" t="e">
        <f>#REF!+#REF!+#REF!+#REF!+#REF!+#REF!+#REF!+#REF!+#REF!+#REF!+#REF!+#REF!+#REF!</f>
        <v>#REF!</v>
      </c>
      <c r="K11" s="26" t="e">
        <f>#REF!+#REF!+#REF!+#REF!+#REF!+#REF!+#REF!+#REF!+#REF!+#REF!+#REF!+#REF!+#REF!</f>
        <v>#REF!</v>
      </c>
      <c r="L11" s="26" t="e">
        <f>#REF!+#REF!+#REF!+#REF!+#REF!+#REF!+#REF!+#REF!+#REF!+#REF!+#REF!+#REF!+#REF!</f>
        <v>#REF!</v>
      </c>
      <c r="M11" s="26" t="e">
        <f>#REF!+#REF!+#REF!+#REF!+#REF!+#REF!+#REF!+#REF!+#REF!+#REF!+#REF!+#REF!+#REF!</f>
        <v>#REF!</v>
      </c>
      <c r="N11" s="26" t="e">
        <f>#REF!+#REF!+#REF!+#REF!+#REF!+#REF!+#REF!+#REF!+#REF!+#REF!+#REF!+#REF!+#REF!</f>
        <v>#REF!</v>
      </c>
      <c r="O11" s="26" t="e">
        <f>#REF!+#REF!+#REF!+#REF!+#REF!+#REF!+#REF!+#REF!+#REF!+#REF!+#REF!+#REF!+#REF!</f>
        <v>#REF!</v>
      </c>
      <c r="P11" s="26" t="e">
        <f>#REF!+#REF!+#REF!+#REF!+#REF!+#REF!+#REF!+#REF!+#REF!+#REF!+#REF!+#REF!+#REF!</f>
        <v>#REF!</v>
      </c>
      <c r="Q11" s="26" t="e">
        <f>#REF!+#REF!+#REF!+#REF!+#REF!+#REF!+#REF!+#REF!+#REF!+#REF!+#REF!+#REF!+#REF!</f>
        <v>#REF!</v>
      </c>
      <c r="R11" s="26" t="e">
        <f>#REF!+#REF!+#REF!+#REF!+#REF!+#REF!+#REF!+#REF!+#REF!+#REF!+#REF!+#REF!+#REF!</f>
        <v>#REF!</v>
      </c>
      <c r="S11" s="26" t="e">
        <f>#REF!+#REF!+#REF!+#REF!+#REF!+#REF!+#REF!+#REF!+#REF!+#REF!+#REF!+#REF!+#REF!</f>
        <v>#REF!</v>
      </c>
      <c r="T11" s="26" t="e">
        <f>#REF!+#REF!+#REF!+#REF!+#REF!+#REF!+#REF!+#REF!+#REF!+#REF!+#REF!+#REF!+#REF!</f>
        <v>#REF!</v>
      </c>
      <c r="U11" s="26" t="e">
        <f>#REF!+#REF!+#REF!+#REF!+#REF!+#REF!+#REF!+#REF!+#REF!+#REF!+#REF!+#REF!+#REF!</f>
        <v>#REF!</v>
      </c>
      <c r="V11" s="26" t="e">
        <f>#REF!+#REF!+#REF!+#REF!+#REF!+#REF!+#REF!+#REF!+#REF!+#REF!+#REF!+#REF!+#REF!</f>
        <v>#REF!</v>
      </c>
      <c r="W11" s="26" t="e">
        <f>#REF!+#REF!+#REF!+#REF!+#REF!+#REF!+#REF!+#REF!+#REF!+#REF!+#REF!+#REF!+#REF!</f>
        <v>#REF!</v>
      </c>
      <c r="X11" s="26" t="e">
        <f>#REF!+#REF!+#REF!+#REF!+#REF!+#REF!+#REF!+#REF!+#REF!+#REF!+#REF!+#REF!+#REF!</f>
        <v>#REF!</v>
      </c>
      <c r="Y11" s="26" t="e">
        <f>#REF!+#REF!+#REF!+#REF!+#REF!+#REF!+#REF!+#REF!+#REF!+#REF!+#REF!+#REF!+#REF!</f>
        <v>#REF!</v>
      </c>
      <c r="Z11" s="26" t="e">
        <f>#REF!+#REF!+#REF!+#REF!+#REF!+#REF!+#REF!+#REF!+#REF!+#REF!+#REF!+#REF!+#REF!</f>
        <v>#REF!</v>
      </c>
      <c r="AA11" s="26" t="e">
        <f>#REF!+#REF!+#REF!+#REF!+#REF!+#REF!+#REF!+#REF!+#REF!+#REF!+#REF!+#REF!+#REF!</f>
        <v>#REF!</v>
      </c>
      <c r="AB11" s="26" t="e">
        <f>#REF!+#REF!+#REF!+#REF!+#REF!+#REF!+#REF!+#REF!+#REF!+#REF!+#REF!+#REF!+#REF!</f>
        <v>#REF!</v>
      </c>
      <c r="AC11" s="26" t="e">
        <f>#REF!+#REF!+#REF!+#REF!+#REF!+#REF!+#REF!+#REF!+#REF!+#REF!+#REF!+#REF!+#REF!</f>
        <v>#REF!</v>
      </c>
      <c r="AD11" s="26" t="e">
        <f>#REF!+#REF!+#REF!+#REF!+#REF!+#REF!+#REF!+#REF!+#REF!+#REF!+#REF!+#REF!+#REF!</f>
        <v>#REF!</v>
      </c>
      <c r="AE11" s="26" t="e">
        <f>#REF!+#REF!+#REF!+#REF!+#REF!+#REF!+#REF!+#REF!+#REF!+#REF!+#REF!+#REF!+#REF!</f>
        <v>#REF!</v>
      </c>
      <c r="AF11" s="26" t="e">
        <f>#REF!+#REF!+#REF!+#REF!+#REF!+#REF!+#REF!+#REF!+#REF!+#REF!+#REF!+#REF!+#REF!</f>
        <v>#REF!</v>
      </c>
      <c r="AG11" s="26" t="e">
        <f>#REF!+#REF!+#REF!+#REF!+#REF!+#REF!+#REF!+#REF!+#REF!+#REF!+#REF!+#REF!+#REF!</f>
        <v>#REF!</v>
      </c>
      <c r="AH11" s="26" t="e">
        <f>#REF!+#REF!+#REF!+#REF!+#REF!+#REF!+#REF!+#REF!+#REF!+#REF!+#REF!+#REF!+#REF!</f>
        <v>#REF!</v>
      </c>
      <c r="AI11" s="44"/>
      <c r="AJ11" s="26" t="e">
        <f>D11+E11+F11+G11+H11+I11+J11</f>
        <v>#REF!</v>
      </c>
      <c r="AK11" s="44"/>
      <c r="AL11" s="26" t="e">
        <f>K11+L11+M11+N11+O11+P11+Q11</f>
        <v>#REF!</v>
      </c>
      <c r="AM11" s="44"/>
      <c r="AN11" s="26" t="e">
        <f>R11+S11+T11+U11+V11+W11+X11</f>
        <v>#REF!</v>
      </c>
      <c r="AP11" s="26" t="e">
        <f>Y11+Z11+AA11+AB11+AC11+AD11+AE11</f>
        <v>#REF!</v>
      </c>
      <c r="AR11" s="26" t="e">
        <f>AF11+AG11+AH11</f>
        <v>#REF!</v>
      </c>
      <c r="AT11" s="26" t="e">
        <f>AJ11+AL11+AN11+AP11+AR11</f>
        <v>#REF!</v>
      </c>
      <c r="BA11" s="31"/>
      <c r="BB11" s="31"/>
      <c r="BC11" s="31"/>
      <c r="BD11" s="31"/>
      <c r="BE11" s="31"/>
    </row>
    <row r="12" spans="1:57" hidden="1" x14ac:dyDescent="0.25">
      <c r="A12" s="48"/>
      <c r="B12" s="49"/>
      <c r="C12" s="49" t="s">
        <v>15</v>
      </c>
      <c r="D12" s="26" t="e">
        <f>#REF!+#REF!+#REF!+#REF!+#REF!+#REF!+#REF!+#REF!+#REF!+#REF!+#REF!+#REF!+#REF!</f>
        <v>#REF!</v>
      </c>
      <c r="E12" s="26" t="e">
        <f>#REF!+#REF!+#REF!+#REF!+#REF!+#REF!+#REF!+#REF!+#REF!+#REF!+#REF!+#REF!+#REF!</f>
        <v>#REF!</v>
      </c>
      <c r="F12" s="26" t="e">
        <f>#REF!+#REF!+#REF!+#REF!+#REF!+#REF!+#REF!+#REF!+#REF!+#REF!+#REF!+#REF!+#REF!</f>
        <v>#REF!</v>
      </c>
      <c r="G12" s="26" t="e">
        <f>#REF!+#REF!+#REF!+#REF!+#REF!+#REF!+#REF!+#REF!+#REF!+#REF!+#REF!+#REF!+#REF!</f>
        <v>#REF!</v>
      </c>
      <c r="H12" s="26" t="e">
        <f>#REF!+#REF!+#REF!+#REF!+#REF!+#REF!+#REF!+#REF!+#REF!+#REF!+#REF!+#REF!+#REF!</f>
        <v>#REF!</v>
      </c>
      <c r="I12" s="26" t="e">
        <f>#REF!+#REF!+#REF!+#REF!+#REF!+#REF!+#REF!+#REF!+#REF!+#REF!+#REF!+#REF!+#REF!</f>
        <v>#REF!</v>
      </c>
      <c r="J12" s="26" t="e">
        <f>#REF!+#REF!+#REF!+#REF!+#REF!+#REF!+#REF!+#REF!+#REF!+#REF!+#REF!+#REF!+#REF!</f>
        <v>#REF!</v>
      </c>
      <c r="K12" s="26" t="e">
        <f>#REF!+#REF!+#REF!+#REF!+#REF!+#REF!+#REF!+#REF!+#REF!+#REF!+#REF!+#REF!+#REF!</f>
        <v>#REF!</v>
      </c>
      <c r="L12" s="26" t="e">
        <f>#REF!+#REF!+#REF!+#REF!+#REF!+#REF!+#REF!+#REF!+#REF!+#REF!+#REF!+#REF!+#REF!</f>
        <v>#REF!</v>
      </c>
      <c r="M12" s="26" t="e">
        <f>#REF!+#REF!+#REF!+#REF!+#REF!+#REF!+#REF!+#REF!+#REF!+#REF!+#REF!+#REF!+#REF!</f>
        <v>#REF!</v>
      </c>
      <c r="N12" s="26" t="e">
        <f>#REF!+#REF!+#REF!+#REF!+#REF!+#REF!+#REF!+#REF!+#REF!+#REF!+#REF!+#REF!+#REF!</f>
        <v>#REF!</v>
      </c>
      <c r="O12" s="26" t="e">
        <f>#REF!+#REF!+#REF!+#REF!+#REF!+#REF!+#REF!+#REF!+#REF!+#REF!+#REF!+#REF!+#REF!</f>
        <v>#REF!</v>
      </c>
      <c r="P12" s="26" t="e">
        <f>#REF!+#REF!+#REF!+#REF!+#REF!+#REF!+#REF!+#REF!+#REF!+#REF!+#REF!+#REF!+#REF!</f>
        <v>#REF!</v>
      </c>
      <c r="Q12" s="26" t="e">
        <f>#REF!+#REF!+#REF!+#REF!+#REF!+#REF!+#REF!+#REF!+#REF!+#REF!+#REF!+#REF!+#REF!</f>
        <v>#REF!</v>
      </c>
      <c r="R12" s="26" t="e">
        <f>#REF!+#REF!+#REF!+#REF!+#REF!+#REF!+#REF!+#REF!+#REF!+#REF!+#REF!+#REF!+#REF!</f>
        <v>#REF!</v>
      </c>
      <c r="S12" s="26" t="e">
        <f>#REF!+#REF!+#REF!+#REF!+#REF!+#REF!+#REF!+#REF!+#REF!+#REF!+#REF!+#REF!+#REF!</f>
        <v>#REF!</v>
      </c>
      <c r="T12" s="26" t="e">
        <f>#REF!+#REF!+#REF!+#REF!+#REF!+#REF!+#REF!+#REF!+#REF!+#REF!+#REF!+#REF!+#REF!</f>
        <v>#REF!</v>
      </c>
      <c r="U12" s="26" t="e">
        <f>#REF!+#REF!+#REF!+#REF!+#REF!+#REF!+#REF!+#REF!+#REF!+#REF!+#REF!+#REF!+#REF!</f>
        <v>#REF!</v>
      </c>
      <c r="V12" s="26" t="e">
        <f>#REF!+#REF!+#REF!+#REF!+#REF!+#REF!+#REF!+#REF!+#REF!+#REF!+#REF!+#REF!+#REF!</f>
        <v>#REF!</v>
      </c>
      <c r="W12" s="26" t="e">
        <f>#REF!+#REF!+#REF!+#REF!+#REF!+#REF!+#REF!+#REF!+#REF!+#REF!+#REF!+#REF!+#REF!</f>
        <v>#REF!</v>
      </c>
      <c r="X12" s="26" t="e">
        <f>#REF!+#REF!+#REF!+#REF!+#REF!+#REF!+#REF!+#REF!+#REF!+#REF!+#REF!+#REF!+#REF!</f>
        <v>#REF!</v>
      </c>
      <c r="Y12" s="26" t="e">
        <f>#REF!+#REF!+#REF!+#REF!+#REF!+#REF!+#REF!+#REF!+#REF!+#REF!+#REF!+#REF!+#REF!</f>
        <v>#REF!</v>
      </c>
      <c r="Z12" s="26" t="e">
        <f>#REF!+#REF!+#REF!+#REF!+#REF!+#REF!+#REF!+#REF!+#REF!+#REF!+#REF!+#REF!+#REF!</f>
        <v>#REF!</v>
      </c>
      <c r="AA12" s="26" t="e">
        <f>#REF!+#REF!+#REF!+#REF!+#REF!+#REF!+#REF!+#REF!+#REF!+#REF!+#REF!+#REF!+#REF!</f>
        <v>#REF!</v>
      </c>
      <c r="AB12" s="26" t="e">
        <f>#REF!+#REF!+#REF!+#REF!+#REF!+#REF!+#REF!+#REF!+#REF!+#REF!+#REF!+#REF!+#REF!</f>
        <v>#REF!</v>
      </c>
      <c r="AC12" s="26" t="e">
        <f>#REF!+#REF!+#REF!+#REF!+#REF!+#REF!+#REF!+#REF!+#REF!+#REF!+#REF!+#REF!+#REF!</f>
        <v>#REF!</v>
      </c>
      <c r="AD12" s="26" t="e">
        <f>#REF!+#REF!+#REF!+#REF!+#REF!+#REF!+#REF!+#REF!+#REF!+#REF!+#REF!+#REF!+#REF!</f>
        <v>#REF!</v>
      </c>
      <c r="AE12" s="26" t="e">
        <f>#REF!+#REF!+#REF!+#REF!+#REF!+#REF!+#REF!+#REF!+#REF!+#REF!+#REF!+#REF!+#REF!</f>
        <v>#REF!</v>
      </c>
      <c r="AF12" s="26" t="e">
        <f>#REF!+#REF!+#REF!+#REF!+#REF!+#REF!+#REF!+#REF!+#REF!+#REF!+#REF!+#REF!+#REF!</f>
        <v>#REF!</v>
      </c>
      <c r="AG12" s="26" t="e">
        <f>#REF!+#REF!+#REF!+#REF!+#REF!+#REF!+#REF!+#REF!+#REF!+#REF!+#REF!+#REF!+#REF!</f>
        <v>#REF!</v>
      </c>
      <c r="AH12" s="26" t="e">
        <f>#REF!+#REF!+#REF!+#REF!+#REF!+#REF!+#REF!+#REF!+#REF!+#REF!+#REF!+#REF!+#REF!</f>
        <v>#REF!</v>
      </c>
      <c r="AI12" s="44"/>
      <c r="AJ12" s="26" t="e">
        <f>D12+E12+F12+G12+H12+I12+J12</f>
        <v>#REF!</v>
      </c>
      <c r="AK12" s="44"/>
      <c r="AL12" s="26" t="e">
        <f>K12+L12+M12+N12+O12+P12+Q12</f>
        <v>#REF!</v>
      </c>
      <c r="AM12" s="44"/>
      <c r="AN12" s="26" t="e">
        <f>R12+S12+T12+U12+V12+W12+X12</f>
        <v>#REF!</v>
      </c>
      <c r="AP12" s="26" t="e">
        <f>Y12+Z12+AA12+AB12+AC12+AD12+AE12</f>
        <v>#REF!</v>
      </c>
      <c r="AR12" s="26" t="e">
        <f>AF12+AG12+AH12</f>
        <v>#REF!</v>
      </c>
      <c r="AT12" s="26" t="e">
        <f>AJ12+AL12+AN12+AP12+AR12</f>
        <v>#REF!</v>
      </c>
      <c r="BA12" s="31"/>
      <c r="BB12" s="31"/>
      <c r="BC12" s="31"/>
      <c r="BD12" s="31"/>
      <c r="BE12" s="31"/>
    </row>
    <row r="13" spans="1:57" hidden="1" x14ac:dyDescent="0.25">
      <c r="A13" s="48" t="s">
        <v>16</v>
      </c>
      <c r="B13" s="49"/>
      <c r="C13" s="49"/>
      <c r="D13" s="26" t="e">
        <f>#REF!+#REF!+#REF!+#REF!+#REF!+#REF!+#REF!+#REF!+#REF!+#REF!+#REF!+#REF!+#REF!</f>
        <v>#REF!</v>
      </c>
      <c r="E13" s="26" t="e">
        <f>#REF!+#REF!+#REF!+#REF!+#REF!+#REF!+#REF!+#REF!+#REF!+#REF!+#REF!+#REF!+#REF!</f>
        <v>#REF!</v>
      </c>
      <c r="F13" s="26" t="e">
        <f>#REF!+#REF!+#REF!+#REF!+#REF!+#REF!+#REF!+#REF!+#REF!+#REF!+#REF!+#REF!+#REF!</f>
        <v>#REF!</v>
      </c>
      <c r="G13" s="26" t="e">
        <f>#REF!+#REF!+#REF!+#REF!+#REF!+#REF!+#REF!+#REF!+#REF!+#REF!+#REF!+#REF!+#REF!</f>
        <v>#REF!</v>
      </c>
      <c r="H13" s="26" t="e">
        <f>#REF!+#REF!+#REF!+#REF!+#REF!+#REF!+#REF!+#REF!+#REF!+#REF!+#REF!+#REF!+#REF!</f>
        <v>#REF!</v>
      </c>
      <c r="I13" s="26" t="e">
        <f>#REF!+#REF!+#REF!+#REF!+#REF!+#REF!+#REF!+#REF!+#REF!+#REF!+#REF!+#REF!+#REF!</f>
        <v>#REF!</v>
      </c>
      <c r="J13" s="26" t="e">
        <f>#REF!+#REF!+#REF!+#REF!+#REF!+#REF!+#REF!+#REF!+#REF!+#REF!+#REF!+#REF!+#REF!</f>
        <v>#REF!</v>
      </c>
      <c r="K13" s="26" t="e">
        <f>#REF!+#REF!+#REF!+#REF!+#REF!+#REF!+#REF!+#REF!+#REF!+#REF!+#REF!+#REF!+#REF!</f>
        <v>#REF!</v>
      </c>
      <c r="L13" s="26" t="e">
        <f>#REF!+#REF!+#REF!+#REF!+#REF!+#REF!+#REF!+#REF!+#REF!+#REF!+#REF!+#REF!+#REF!</f>
        <v>#REF!</v>
      </c>
      <c r="M13" s="26" t="e">
        <f>#REF!+#REF!+#REF!+#REF!+#REF!+#REF!+#REF!+#REF!+#REF!+#REF!+#REF!+#REF!+#REF!</f>
        <v>#REF!</v>
      </c>
      <c r="N13" s="26" t="e">
        <f>#REF!+#REF!+#REF!+#REF!+#REF!+#REF!+#REF!+#REF!+#REF!+#REF!+#REF!+#REF!+#REF!</f>
        <v>#REF!</v>
      </c>
      <c r="O13" s="26" t="e">
        <f>#REF!+#REF!+#REF!+#REF!+#REF!+#REF!+#REF!+#REF!+#REF!+#REF!+#REF!+#REF!+#REF!</f>
        <v>#REF!</v>
      </c>
      <c r="P13" s="26" t="e">
        <f>#REF!+#REF!+#REF!+#REF!+#REF!+#REF!+#REF!+#REF!+#REF!+#REF!+#REF!+#REF!+#REF!</f>
        <v>#REF!</v>
      </c>
      <c r="Q13" s="26" t="e">
        <f>#REF!+#REF!+#REF!+#REF!+#REF!+#REF!+#REF!+#REF!+#REF!+#REF!+#REF!+#REF!+#REF!</f>
        <v>#REF!</v>
      </c>
      <c r="R13" s="26" t="e">
        <f>#REF!+#REF!+#REF!+#REF!+#REF!+#REF!+#REF!+#REF!+#REF!+#REF!+#REF!+#REF!+#REF!</f>
        <v>#REF!</v>
      </c>
      <c r="S13" s="26" t="e">
        <f>#REF!+#REF!+#REF!+#REF!+#REF!+#REF!+#REF!+#REF!+#REF!+#REF!+#REF!+#REF!+#REF!</f>
        <v>#REF!</v>
      </c>
      <c r="T13" s="26" t="e">
        <f>#REF!+#REF!+#REF!+#REF!+#REF!+#REF!+#REF!+#REF!+#REF!+#REF!+#REF!+#REF!+#REF!</f>
        <v>#REF!</v>
      </c>
      <c r="U13" s="26" t="e">
        <f>#REF!+#REF!+#REF!+#REF!+#REF!+#REF!+#REF!+#REF!+#REF!+#REF!+#REF!+#REF!+#REF!</f>
        <v>#REF!</v>
      </c>
      <c r="V13" s="26" t="e">
        <f>#REF!+#REF!+#REF!+#REF!+#REF!+#REF!+#REF!+#REF!+#REF!+#REF!+#REF!+#REF!+#REF!</f>
        <v>#REF!</v>
      </c>
      <c r="W13" s="26" t="e">
        <f>#REF!+#REF!+#REF!+#REF!+#REF!+#REF!+#REF!+#REF!+#REF!+#REF!+#REF!+#REF!+#REF!</f>
        <v>#REF!</v>
      </c>
      <c r="X13" s="26" t="e">
        <f>#REF!+#REF!+#REF!+#REF!+#REF!+#REF!+#REF!+#REF!+#REF!+#REF!+#REF!+#REF!+#REF!</f>
        <v>#REF!</v>
      </c>
      <c r="Y13" s="26" t="e">
        <f>#REF!+#REF!+#REF!+#REF!+#REF!+#REF!+#REF!+#REF!+#REF!+#REF!+#REF!+#REF!+#REF!</f>
        <v>#REF!</v>
      </c>
      <c r="Z13" s="26" t="e">
        <f>#REF!+#REF!+#REF!+#REF!+#REF!+#REF!+#REF!+#REF!+#REF!+#REF!+#REF!+#REF!+#REF!</f>
        <v>#REF!</v>
      </c>
      <c r="AA13" s="26" t="e">
        <f>#REF!+#REF!+#REF!+#REF!+#REF!+#REF!+#REF!+#REF!+#REF!+#REF!+#REF!+#REF!+#REF!</f>
        <v>#REF!</v>
      </c>
      <c r="AB13" s="26" t="e">
        <f>#REF!+#REF!+#REF!+#REF!+#REF!+#REF!+#REF!+#REF!+#REF!+#REF!+#REF!+#REF!+#REF!</f>
        <v>#REF!</v>
      </c>
      <c r="AC13" s="26" t="e">
        <f>#REF!+#REF!+#REF!+#REF!+#REF!+#REF!+#REF!+#REF!+#REF!+#REF!+#REF!+#REF!+#REF!</f>
        <v>#REF!</v>
      </c>
      <c r="AD13" s="26" t="e">
        <f>#REF!+#REF!+#REF!+#REF!+#REF!+#REF!+#REF!+#REF!+#REF!+#REF!+#REF!+#REF!+#REF!</f>
        <v>#REF!</v>
      </c>
      <c r="AE13" s="26" t="e">
        <f>#REF!+#REF!+#REF!+#REF!+#REF!+#REF!+#REF!+#REF!+#REF!+#REF!+#REF!+#REF!+#REF!</f>
        <v>#REF!</v>
      </c>
      <c r="AF13" s="26" t="e">
        <f>#REF!+#REF!+#REF!+#REF!+#REF!+#REF!+#REF!+#REF!+#REF!+#REF!+#REF!+#REF!+#REF!</f>
        <v>#REF!</v>
      </c>
      <c r="AG13" s="26" t="e">
        <f>#REF!+#REF!+#REF!+#REF!+#REF!+#REF!+#REF!+#REF!+#REF!+#REF!+#REF!+#REF!+#REF!</f>
        <v>#REF!</v>
      </c>
      <c r="AH13" s="26" t="e">
        <f>#REF!+#REF!+#REF!+#REF!+#REF!+#REF!+#REF!+#REF!+#REF!+#REF!+#REF!+#REF!+#REF!</f>
        <v>#REF!</v>
      </c>
      <c r="AI13" s="44"/>
      <c r="AJ13" s="26" t="e">
        <f>D13+E13+F13+G13+H13+I13+J13</f>
        <v>#REF!</v>
      </c>
      <c r="AK13" s="44"/>
      <c r="AL13" s="26" t="e">
        <f>K13+L13+M13+N13+O13+P13+Q13</f>
        <v>#REF!</v>
      </c>
      <c r="AM13" s="44"/>
      <c r="AN13" s="26" t="e">
        <f>R13+S13+T13+U13+V13+W13+X13</f>
        <v>#REF!</v>
      </c>
      <c r="AP13" s="26" t="e">
        <f>Y13+Z13+AA13+AB13+AC13+AD13+AE13</f>
        <v>#REF!</v>
      </c>
      <c r="AR13" s="26" t="e">
        <f>AF13+AG13+AH13</f>
        <v>#REF!</v>
      </c>
      <c r="AT13" s="26" t="e">
        <f>AJ13+AL13+AN13+AP13+AR13</f>
        <v>#REF!</v>
      </c>
      <c r="BA13" s="31"/>
      <c r="BB13" s="31"/>
      <c r="BC13" s="31"/>
      <c r="BD13" s="31"/>
      <c r="BE13" s="31"/>
    </row>
    <row r="14" spans="1:57" hidden="1" x14ac:dyDescent="0.25">
      <c r="A14" s="48" t="s">
        <v>17</v>
      </c>
      <c r="B14" s="49"/>
      <c r="C14" s="49"/>
      <c r="D14" s="26" t="e">
        <f>D10+D11+D12-D13</f>
        <v>#REF!</v>
      </c>
      <c r="E14" s="26" t="e">
        <f t="shared" ref="E14:J14" si="1">E10+E11+E12-E13</f>
        <v>#REF!</v>
      </c>
      <c r="F14" s="26" t="e">
        <f t="shared" si="1"/>
        <v>#REF!</v>
      </c>
      <c r="G14" s="26" t="e">
        <f t="shared" si="1"/>
        <v>#REF!</v>
      </c>
      <c r="H14" s="26" t="e">
        <f t="shared" si="1"/>
        <v>#REF!</v>
      </c>
      <c r="I14" s="26" t="e">
        <f t="shared" si="1"/>
        <v>#REF!</v>
      </c>
      <c r="J14" s="26" t="e">
        <f t="shared" si="1"/>
        <v>#REF!</v>
      </c>
      <c r="K14" s="50" t="e">
        <f t="shared" ref="K14:AH14" si="2">K13-K10</f>
        <v>#REF!</v>
      </c>
      <c r="L14" s="50" t="e">
        <f t="shared" si="2"/>
        <v>#REF!</v>
      </c>
      <c r="M14" s="50" t="e">
        <f t="shared" si="2"/>
        <v>#REF!</v>
      </c>
      <c r="N14" s="50" t="e">
        <f t="shared" si="2"/>
        <v>#REF!</v>
      </c>
      <c r="O14" s="50" t="e">
        <f t="shared" si="2"/>
        <v>#REF!</v>
      </c>
      <c r="P14" s="50" t="e">
        <f t="shared" si="2"/>
        <v>#REF!</v>
      </c>
      <c r="Q14" s="50" t="e">
        <f t="shared" si="2"/>
        <v>#REF!</v>
      </c>
      <c r="R14" s="50" t="e">
        <f t="shared" si="2"/>
        <v>#REF!</v>
      </c>
      <c r="S14" s="50" t="e">
        <f t="shared" si="2"/>
        <v>#REF!</v>
      </c>
      <c r="T14" s="50" t="e">
        <f t="shared" si="2"/>
        <v>#REF!</v>
      </c>
      <c r="U14" s="50" t="e">
        <f t="shared" si="2"/>
        <v>#REF!</v>
      </c>
      <c r="V14" s="50" t="e">
        <f t="shared" si="2"/>
        <v>#REF!</v>
      </c>
      <c r="W14" s="50" t="e">
        <f t="shared" si="2"/>
        <v>#REF!</v>
      </c>
      <c r="X14" s="50" t="e">
        <f t="shared" si="2"/>
        <v>#REF!</v>
      </c>
      <c r="Y14" s="50" t="e">
        <f t="shared" si="2"/>
        <v>#REF!</v>
      </c>
      <c r="Z14" s="50" t="e">
        <f t="shared" si="2"/>
        <v>#REF!</v>
      </c>
      <c r="AA14" s="50" t="e">
        <f t="shared" si="2"/>
        <v>#REF!</v>
      </c>
      <c r="AB14" s="50" t="e">
        <f t="shared" si="2"/>
        <v>#REF!</v>
      </c>
      <c r="AC14" s="50" t="e">
        <f t="shared" si="2"/>
        <v>#REF!</v>
      </c>
      <c r="AD14" s="50" t="e">
        <f t="shared" si="2"/>
        <v>#REF!</v>
      </c>
      <c r="AE14" s="50" t="e">
        <f t="shared" si="2"/>
        <v>#REF!</v>
      </c>
      <c r="AF14" s="50" t="e">
        <f t="shared" si="2"/>
        <v>#REF!</v>
      </c>
      <c r="AG14" s="50" t="e">
        <f t="shared" si="2"/>
        <v>#REF!</v>
      </c>
      <c r="AH14" s="50" t="e">
        <f t="shared" si="2"/>
        <v>#REF!</v>
      </c>
      <c r="AI14" s="44"/>
      <c r="AJ14" s="26" t="e">
        <f>D14+E14+F14+G14+H14+I14+J14</f>
        <v>#REF!</v>
      </c>
      <c r="AK14" s="44"/>
      <c r="AL14" s="26" t="e">
        <f>K14+L14+M14+N14+O14+P14+Q14</f>
        <v>#REF!</v>
      </c>
      <c r="AM14" s="44"/>
      <c r="AN14" s="26" t="e">
        <f>R14+S14+T14+U14+V14+W14+X14</f>
        <v>#REF!</v>
      </c>
      <c r="AP14" s="26" t="e">
        <f>Y14+Z14+AA14+AB14+AC14+AD14+AE14</f>
        <v>#REF!</v>
      </c>
      <c r="AR14" s="26" t="e">
        <f>AF14+AG14+AH14</f>
        <v>#REF!</v>
      </c>
      <c r="AT14" s="26" t="e">
        <f>AJ14+AL14+AN14+AP14+AR14</f>
        <v>#REF!</v>
      </c>
      <c r="BA14" s="31"/>
      <c r="BB14" s="31"/>
      <c r="BC14" s="31"/>
      <c r="BD14" s="31"/>
      <c r="BE14" s="31"/>
    </row>
    <row r="15" spans="1:57" hidden="1" x14ac:dyDescent="0.25">
      <c r="A15" s="69"/>
      <c r="B15" s="61"/>
      <c r="C15" s="6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 t="s">
        <v>18</v>
      </c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2"/>
      <c r="AI15" s="44"/>
      <c r="AJ15" s="98"/>
      <c r="AK15" s="44"/>
      <c r="AL15" s="98"/>
      <c r="AM15" s="44"/>
      <c r="AN15" s="98"/>
      <c r="AP15" s="98"/>
      <c r="AR15" s="98"/>
      <c r="AT15" s="98"/>
      <c r="BA15" s="31"/>
      <c r="BB15" s="31"/>
      <c r="BC15" s="31"/>
      <c r="BD15" s="31"/>
      <c r="BE15" s="31"/>
    </row>
    <row r="16" spans="1:57" s="94" customFormat="1" ht="18.75" hidden="1" customHeight="1" x14ac:dyDescent="0.25">
      <c r="A16" s="99" t="s">
        <v>19</v>
      </c>
      <c r="B16" s="100"/>
      <c r="C16" s="100"/>
      <c r="D16" s="88" t="e">
        <f>D8+D10</f>
        <v>#REF!</v>
      </c>
      <c r="E16" s="88" t="e">
        <f>E8+E10</f>
        <v>#REF!</v>
      </c>
      <c r="F16" s="88" t="e">
        <f t="shared" ref="F16:AH16" si="3">F8+F10</f>
        <v>#REF!</v>
      </c>
      <c r="G16" s="88" t="e">
        <f t="shared" si="3"/>
        <v>#REF!</v>
      </c>
      <c r="H16" s="88" t="e">
        <f t="shared" si="3"/>
        <v>#REF!</v>
      </c>
      <c r="I16" s="88" t="e">
        <f t="shared" si="3"/>
        <v>#REF!</v>
      </c>
      <c r="J16" s="88" t="e">
        <f t="shared" si="3"/>
        <v>#REF!</v>
      </c>
      <c r="K16" s="88" t="e">
        <f t="shared" si="3"/>
        <v>#REF!</v>
      </c>
      <c r="L16" s="88" t="e">
        <f t="shared" si="3"/>
        <v>#REF!</v>
      </c>
      <c r="M16" s="88" t="e">
        <f t="shared" si="3"/>
        <v>#REF!</v>
      </c>
      <c r="N16" s="88" t="e">
        <f t="shared" si="3"/>
        <v>#REF!</v>
      </c>
      <c r="O16" s="88" t="e">
        <f t="shared" si="3"/>
        <v>#REF!</v>
      </c>
      <c r="P16" s="88" t="e">
        <f t="shared" si="3"/>
        <v>#REF!</v>
      </c>
      <c r="Q16" s="88" t="e">
        <f t="shared" si="3"/>
        <v>#REF!</v>
      </c>
      <c r="R16" s="88" t="e">
        <f t="shared" si="3"/>
        <v>#REF!</v>
      </c>
      <c r="S16" s="88" t="e">
        <f t="shared" si="3"/>
        <v>#REF!</v>
      </c>
      <c r="T16" s="88" t="e">
        <f t="shared" si="3"/>
        <v>#REF!</v>
      </c>
      <c r="U16" s="88" t="e">
        <f t="shared" si="3"/>
        <v>#REF!</v>
      </c>
      <c r="V16" s="88" t="e">
        <f t="shared" si="3"/>
        <v>#REF!</v>
      </c>
      <c r="W16" s="88" t="e">
        <f t="shared" si="3"/>
        <v>#REF!</v>
      </c>
      <c r="X16" s="88" t="e">
        <f t="shared" si="3"/>
        <v>#REF!</v>
      </c>
      <c r="Y16" s="88" t="e">
        <f t="shared" si="3"/>
        <v>#REF!</v>
      </c>
      <c r="Z16" s="88" t="e">
        <f t="shared" si="3"/>
        <v>#REF!</v>
      </c>
      <c r="AA16" s="88" t="e">
        <f t="shared" si="3"/>
        <v>#REF!</v>
      </c>
      <c r="AB16" s="88" t="e">
        <f t="shared" si="3"/>
        <v>#REF!</v>
      </c>
      <c r="AC16" s="88" t="e">
        <f t="shared" si="3"/>
        <v>#REF!</v>
      </c>
      <c r="AD16" s="88" t="e">
        <f t="shared" si="3"/>
        <v>#REF!</v>
      </c>
      <c r="AE16" s="88" t="e">
        <f t="shared" si="3"/>
        <v>#REF!</v>
      </c>
      <c r="AF16" s="88" t="e">
        <f t="shared" si="3"/>
        <v>#REF!</v>
      </c>
      <c r="AG16" s="88" t="e">
        <f t="shared" si="3"/>
        <v>#REF!</v>
      </c>
      <c r="AH16" s="88" t="e">
        <f t="shared" si="3"/>
        <v>#REF!</v>
      </c>
      <c r="AI16" s="101"/>
      <c r="AJ16" s="88" t="e">
        <f>AJ8+AJ10</f>
        <v>#REF!</v>
      </c>
      <c r="AK16" s="101"/>
      <c r="AL16" s="88" t="e">
        <f>AL8+AL10</f>
        <v>#REF!</v>
      </c>
      <c r="AM16" s="101"/>
      <c r="AN16" s="88" t="e">
        <f>AN8+AN10</f>
        <v>#REF!</v>
      </c>
      <c r="AP16" s="88" t="e">
        <f>AP8+AP10</f>
        <v>#REF!</v>
      </c>
      <c r="AR16" s="88" t="e">
        <f>AR8+AR10</f>
        <v>#REF!</v>
      </c>
      <c r="AT16" s="88" t="e">
        <f>AT8+AT10</f>
        <v>#REF!</v>
      </c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</row>
    <row r="17" spans="1:57" hidden="1" x14ac:dyDescent="0.25">
      <c r="A17" s="103"/>
      <c r="B17" s="103"/>
      <c r="C17" s="103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44"/>
      <c r="AJ17" s="89"/>
      <c r="AK17" s="44"/>
      <c r="AL17" s="89"/>
      <c r="AM17" s="44"/>
      <c r="AN17" s="89"/>
      <c r="AP17" s="89"/>
      <c r="AR17" s="89"/>
      <c r="AT17" s="89"/>
      <c r="BA17" s="31"/>
      <c r="BB17" s="31"/>
      <c r="BC17" s="31"/>
      <c r="BD17" s="31"/>
      <c r="BE17" s="31"/>
    </row>
    <row r="18" spans="1:57" ht="2.1" customHeight="1" x14ac:dyDescent="0.25">
      <c r="A18" s="104"/>
      <c r="B18" s="103"/>
      <c r="C18" s="103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44"/>
      <c r="AJ18" s="89"/>
      <c r="AK18" s="44"/>
      <c r="AL18" s="89"/>
      <c r="AM18" s="44"/>
      <c r="AN18" s="89"/>
      <c r="AP18" s="89"/>
      <c r="AR18" s="89"/>
      <c r="AT18" s="89"/>
      <c r="BA18" s="31"/>
      <c r="BB18" s="31"/>
      <c r="BC18" s="31"/>
      <c r="BD18" s="31"/>
      <c r="BE18" s="31"/>
    </row>
    <row r="19" spans="1:57" ht="18.75" x14ac:dyDescent="0.3">
      <c r="A19" s="207" t="s">
        <v>20</v>
      </c>
      <c r="B19" s="211"/>
      <c r="C19" s="211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44"/>
      <c r="AJ19" s="37"/>
      <c r="AK19" s="37"/>
      <c r="AL19" s="37"/>
      <c r="AM19" s="37"/>
      <c r="AN19" s="37"/>
      <c r="AO19" s="176"/>
      <c r="AP19" s="37"/>
      <c r="AQ19" s="176"/>
      <c r="AR19" s="37"/>
      <c r="AS19" s="176"/>
      <c r="AT19" s="37"/>
      <c r="BA19" s="31"/>
      <c r="BB19" s="31"/>
      <c r="BC19" s="31"/>
      <c r="BD19" s="31"/>
      <c r="BE19" s="31"/>
    </row>
    <row r="20" spans="1:57" x14ac:dyDescent="0.25">
      <c r="A20" s="208"/>
      <c r="B20" s="209"/>
      <c r="C20" s="209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44"/>
      <c r="AJ20" s="37"/>
      <c r="AK20" s="37"/>
      <c r="AL20" s="37"/>
      <c r="AM20" s="37"/>
      <c r="AN20" s="37"/>
      <c r="AO20" s="176"/>
      <c r="AP20" s="37"/>
      <c r="AQ20" s="176"/>
      <c r="AR20" s="37"/>
      <c r="AS20" s="176"/>
      <c r="AT20" s="37"/>
      <c r="BA20" s="31"/>
      <c r="BB20" s="31"/>
      <c r="BC20" s="31"/>
      <c r="BD20" s="31"/>
      <c r="BE20" s="31"/>
    </row>
    <row r="21" spans="1:57" ht="15.75" thickBot="1" x14ac:dyDescent="0.3">
      <c r="A21" s="1493" t="s">
        <v>21</v>
      </c>
      <c r="B21" s="67"/>
      <c r="C21" s="434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9"/>
      <c r="AI21" s="44"/>
      <c r="AJ21" s="25"/>
      <c r="AK21" s="44"/>
      <c r="AL21" s="25"/>
      <c r="AM21" s="44"/>
      <c r="AN21" s="25"/>
      <c r="AP21" s="25"/>
      <c r="AR21" s="25"/>
      <c r="AT21" s="25"/>
      <c r="AV21" s="25"/>
      <c r="AX21" s="25"/>
      <c r="BA21" s="31"/>
      <c r="BB21" s="31"/>
      <c r="BC21" s="31"/>
      <c r="BD21" s="31"/>
      <c r="BE21" s="31"/>
    </row>
    <row r="22" spans="1:57" x14ac:dyDescent="0.25">
      <c r="A22" s="1494"/>
      <c r="B22" s="184" t="s">
        <v>22</v>
      </c>
      <c r="C22" s="846"/>
      <c r="D22" s="247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9"/>
      <c r="AI22" s="44"/>
      <c r="AJ22" s="26">
        <f>D22+E22+F22+G22+H22+I22+J22+C22</f>
        <v>0</v>
      </c>
      <c r="AK22" s="44"/>
      <c r="AL22" s="26">
        <f>K22+L22+M22+N22+O22+P22+Q22</f>
        <v>0</v>
      </c>
      <c r="AM22" s="44"/>
      <c r="AN22" s="26">
        <f>R22+S22+T22+U22+V22+W22+X22</f>
        <v>0</v>
      </c>
      <c r="AP22" s="26">
        <f>Y22+Z22+AA22+AB22+AC22+AD22+AE22</f>
        <v>0</v>
      </c>
      <c r="AR22" s="26">
        <f>AF22+AG22+AH22</f>
        <v>0</v>
      </c>
      <c r="AT22" s="26">
        <f>AJ22+AL22+AN22+AP22+AR22</f>
        <v>0</v>
      </c>
      <c r="AV22" s="26">
        <f>ATTACH!AL7</f>
        <v>17235456013</v>
      </c>
      <c r="AX22" s="26">
        <f>AN22+AP22+AR22+AT22+AV22</f>
        <v>17235456013</v>
      </c>
      <c r="BA22" s="31"/>
      <c r="BB22" s="31"/>
      <c r="BC22" s="31"/>
      <c r="BD22" s="31"/>
      <c r="BE22" s="31"/>
    </row>
    <row r="23" spans="1:57" x14ac:dyDescent="0.25">
      <c r="A23" s="1494"/>
      <c r="B23" s="184" t="s">
        <v>153</v>
      </c>
      <c r="C23" s="250"/>
      <c r="D23" s="247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9"/>
      <c r="AI23" s="44"/>
      <c r="AJ23" s="26">
        <f>D23+E23+F23+G23+H23+I23+J23+C23</f>
        <v>0</v>
      </c>
      <c r="AK23" s="44"/>
      <c r="AL23" s="26">
        <f>K23+L23+M23+N23+O23+P23+Q23</f>
        <v>0</v>
      </c>
      <c r="AM23" s="44"/>
      <c r="AN23" s="26">
        <f>R23+S23+T23+U23+V23+W23+X23</f>
        <v>0</v>
      </c>
      <c r="AP23" s="26">
        <f>Y23+Z23+AA23+AB23+AC23+AD23+AE23</f>
        <v>0</v>
      </c>
      <c r="AR23" s="26">
        <f>AF23+AG23+AH23</f>
        <v>0</v>
      </c>
      <c r="AT23" s="26">
        <f>AJ23+AL23+AN23+AP23+AR23</f>
        <v>0</v>
      </c>
      <c r="AV23" s="26">
        <f>ATTACH!AL8</f>
        <v>2765908812</v>
      </c>
      <c r="AX23" s="26">
        <f>AN23+AP23+AR23+AT23+AV23</f>
        <v>2765908812</v>
      </c>
      <c r="BA23" s="31"/>
      <c r="BB23" s="31"/>
      <c r="BC23" s="31"/>
      <c r="BD23" s="31"/>
      <c r="BE23" s="31"/>
    </row>
    <row r="24" spans="1:57" ht="15.75" thickBot="1" x14ac:dyDescent="0.3">
      <c r="A24" s="1495"/>
      <c r="B24" s="185" t="s">
        <v>23</v>
      </c>
      <c r="C24" s="251"/>
      <c r="D24" s="247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49"/>
      <c r="AI24" s="44"/>
      <c r="AJ24" s="121">
        <f>D24+E24+F24+G24+H24+I24+J24+C24</f>
        <v>0</v>
      </c>
      <c r="AK24" s="44"/>
      <c r="AL24" s="121">
        <f>K24+L24+M24+N24+O24+P24+Q24</f>
        <v>0</v>
      </c>
      <c r="AM24" s="44"/>
      <c r="AN24" s="121">
        <f>R24+S24+T24+U24+V24+W24+X24</f>
        <v>0</v>
      </c>
      <c r="AP24" s="121">
        <f>Y24+Z24+AA24+AB24+AC24+AD24+AE24</f>
        <v>0</v>
      </c>
      <c r="AR24" s="121">
        <f>AF24+AG24+AH24</f>
        <v>0</v>
      </c>
      <c r="AT24" s="121">
        <f>AJ24+AL24+AN24+AP24+AR24</f>
        <v>0</v>
      </c>
      <c r="AV24" s="26" t="e">
        <f>ATTACH!#REF!</f>
        <v>#REF!</v>
      </c>
      <c r="AX24" s="121" t="e">
        <f>AN24+AP24+AR24+AT24+AV24</f>
        <v>#REF!</v>
      </c>
      <c r="BA24" s="31"/>
      <c r="BB24" s="31"/>
      <c r="BC24" s="31"/>
      <c r="BD24" s="31"/>
      <c r="BE24" s="31"/>
    </row>
    <row r="25" spans="1:57" s="105" customFormat="1" ht="15.75" thickBot="1" x14ac:dyDescent="0.3">
      <c r="A25" s="115"/>
      <c r="B25" s="186" t="s">
        <v>24</v>
      </c>
      <c r="C25" s="202">
        <f>SUM(C22:C24)</f>
        <v>0</v>
      </c>
      <c r="D25" s="85">
        <f>D22+D23+D24</f>
        <v>0</v>
      </c>
      <c r="E25" s="86">
        <f t="shared" ref="E25:AH25" si="4">E22+E23+E24</f>
        <v>0</v>
      </c>
      <c r="F25" s="86">
        <f t="shared" si="4"/>
        <v>0</v>
      </c>
      <c r="G25" s="86">
        <f t="shared" si="4"/>
        <v>0</v>
      </c>
      <c r="H25" s="86">
        <f t="shared" si="4"/>
        <v>0</v>
      </c>
      <c r="I25" s="86">
        <f t="shared" si="4"/>
        <v>0</v>
      </c>
      <c r="J25" s="86">
        <f t="shared" si="4"/>
        <v>0</v>
      </c>
      <c r="K25" s="86">
        <f t="shared" si="4"/>
        <v>0</v>
      </c>
      <c r="L25" s="86">
        <f t="shared" si="4"/>
        <v>0</v>
      </c>
      <c r="M25" s="86">
        <f t="shared" si="4"/>
        <v>0</v>
      </c>
      <c r="N25" s="86">
        <f t="shared" si="4"/>
        <v>0</v>
      </c>
      <c r="O25" s="86">
        <f t="shared" si="4"/>
        <v>0</v>
      </c>
      <c r="P25" s="86">
        <f t="shared" si="4"/>
        <v>0</v>
      </c>
      <c r="Q25" s="86">
        <f t="shared" si="4"/>
        <v>0</v>
      </c>
      <c r="R25" s="86">
        <f t="shared" si="4"/>
        <v>0</v>
      </c>
      <c r="S25" s="86">
        <f t="shared" si="4"/>
        <v>0</v>
      </c>
      <c r="T25" s="86">
        <f t="shared" si="4"/>
        <v>0</v>
      </c>
      <c r="U25" s="86">
        <f t="shared" si="4"/>
        <v>0</v>
      </c>
      <c r="V25" s="86">
        <f t="shared" si="4"/>
        <v>0</v>
      </c>
      <c r="W25" s="86">
        <f t="shared" si="4"/>
        <v>0</v>
      </c>
      <c r="X25" s="86">
        <f t="shared" si="4"/>
        <v>0</v>
      </c>
      <c r="Y25" s="86">
        <f t="shared" si="4"/>
        <v>0</v>
      </c>
      <c r="Z25" s="86">
        <f t="shared" si="4"/>
        <v>0</v>
      </c>
      <c r="AA25" s="86">
        <f t="shared" si="4"/>
        <v>0</v>
      </c>
      <c r="AB25" s="86">
        <f t="shared" si="4"/>
        <v>0</v>
      </c>
      <c r="AC25" s="86">
        <f t="shared" si="4"/>
        <v>0</v>
      </c>
      <c r="AD25" s="86">
        <f t="shared" si="4"/>
        <v>0</v>
      </c>
      <c r="AE25" s="86">
        <f t="shared" si="4"/>
        <v>0</v>
      </c>
      <c r="AF25" s="86">
        <f t="shared" si="4"/>
        <v>0</v>
      </c>
      <c r="AG25" s="86">
        <f t="shared" si="4"/>
        <v>0</v>
      </c>
      <c r="AH25" s="86">
        <f t="shared" si="4"/>
        <v>0</v>
      </c>
      <c r="AI25" s="119"/>
      <c r="AJ25" s="123">
        <f t="shared" ref="AJ25:AT25" si="5">AJ22+AJ23+AJ24</f>
        <v>0</v>
      </c>
      <c r="AK25" s="120"/>
      <c r="AL25" s="123">
        <f t="shared" si="5"/>
        <v>0</v>
      </c>
      <c r="AM25" s="120"/>
      <c r="AN25" s="123">
        <f t="shared" si="5"/>
        <v>0</v>
      </c>
      <c r="AO25" s="120"/>
      <c r="AP25" s="123">
        <f t="shared" si="5"/>
        <v>0</v>
      </c>
      <c r="AQ25" s="120"/>
      <c r="AR25" s="123">
        <f t="shared" si="5"/>
        <v>0</v>
      </c>
      <c r="AS25" s="120"/>
      <c r="AT25" s="123">
        <f t="shared" si="5"/>
        <v>0</v>
      </c>
      <c r="AV25" s="123" t="e">
        <f>AV22+AV23+AV24</f>
        <v>#REF!</v>
      </c>
      <c r="AW25" s="106"/>
      <c r="AX25" s="123" t="e">
        <f>AX22+AX23+AX24</f>
        <v>#REF!</v>
      </c>
      <c r="AY25" s="106"/>
      <c r="AZ25" s="106"/>
      <c r="BA25" s="106"/>
      <c r="BB25" s="106"/>
      <c r="BC25" s="106"/>
      <c r="BD25" s="106"/>
      <c r="BE25" s="106"/>
    </row>
    <row r="26" spans="1:57" x14ac:dyDescent="0.25">
      <c r="A26" s="1489" t="s">
        <v>25</v>
      </c>
      <c r="B26" s="187"/>
      <c r="C26" s="203"/>
      <c r="D26" s="200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3"/>
      <c r="AI26" s="44"/>
      <c r="AJ26" s="122">
        <f>D26+E26+F26+G26+H26+I26+J26+C26</f>
        <v>0</v>
      </c>
      <c r="AK26" s="44"/>
      <c r="AL26" s="122">
        <f>F26+G26+H26+I26+J26+K26+L26+E26</f>
        <v>0</v>
      </c>
      <c r="AM26" s="44"/>
      <c r="AN26" s="122">
        <f>H26+I26+J26+K26+L26+M26+N26+G26</f>
        <v>0</v>
      </c>
      <c r="AP26" s="122">
        <f>J26+K26+L26+M26+N26+O26+P26+I26</f>
        <v>0</v>
      </c>
      <c r="AR26" s="122">
        <f>L26+M26+N26+O26+P26+Q26+R26+K26</f>
        <v>0</v>
      </c>
      <c r="AT26" s="122">
        <f>AJ26+AL26+AN26+AP26+AR26</f>
        <v>0</v>
      </c>
      <c r="AV26" s="122">
        <f>AL26+AN26+AP26+AR26+AT26</f>
        <v>0</v>
      </c>
      <c r="AX26" s="122">
        <f>AN26+AP26+AR26+AT26+AV26</f>
        <v>0</v>
      </c>
      <c r="BA26" s="31"/>
      <c r="BB26" s="31"/>
      <c r="BC26" s="31"/>
      <c r="BD26" s="31"/>
      <c r="BE26" s="31"/>
    </row>
    <row r="27" spans="1:57" x14ac:dyDescent="0.25">
      <c r="A27" s="1491"/>
      <c r="B27" s="188" t="s">
        <v>26</v>
      </c>
      <c r="C27" s="204"/>
      <c r="D27" s="199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66"/>
      <c r="AI27" s="44"/>
      <c r="AJ27" s="26">
        <f t="shared" ref="AJ27:AJ63" si="6">D27+E27+F27+G27+H27+I27+J27+C27</f>
        <v>0</v>
      </c>
      <c r="AK27" s="44"/>
      <c r="AL27" s="26">
        <f>F27+G27+H27+I27+J27+K27+L27+E27</f>
        <v>0</v>
      </c>
      <c r="AM27" s="44"/>
      <c r="AN27" s="26">
        <f>H27+I27+J27+K27+L27+M27+N27+G27</f>
        <v>0</v>
      </c>
      <c r="AO27" s="44"/>
      <c r="AP27" s="26">
        <f>J27+K27+L27+M27+N27+O27+P27+I27</f>
        <v>0</v>
      </c>
      <c r="AQ27" s="44"/>
      <c r="AR27" s="26">
        <f>L27+M27+N27+O27+P27+Q27+R27+K27</f>
        <v>0</v>
      </c>
      <c r="AS27" s="44"/>
      <c r="AT27" s="26">
        <f>AJ27+AL27+AN27+AP27+AR27</f>
        <v>0</v>
      </c>
      <c r="AV27" s="26">
        <f>AL27+AN27+AP27+AR27+AT27</f>
        <v>0</v>
      </c>
      <c r="AX27" s="26">
        <f>AN27+AP27+AR27+AT27+AV27</f>
        <v>0</v>
      </c>
      <c r="BA27" s="31"/>
      <c r="BB27" s="31"/>
      <c r="BC27" s="31"/>
      <c r="BD27" s="31"/>
      <c r="BE27" s="31"/>
    </row>
    <row r="28" spans="1:57" x14ac:dyDescent="0.25">
      <c r="A28" s="1491"/>
      <c r="B28" s="188" t="s">
        <v>159</v>
      </c>
      <c r="C28" s="204"/>
      <c r="D28" s="199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66"/>
      <c r="AI28" s="44"/>
      <c r="AJ28" s="26">
        <f t="shared" si="6"/>
        <v>0</v>
      </c>
      <c r="AK28" s="44"/>
      <c r="AL28" s="26">
        <f>F28+G28+H28+I28+J28+K28+L28+E28</f>
        <v>0</v>
      </c>
      <c r="AM28" s="44"/>
      <c r="AN28" s="26">
        <f>H28+I28+J28+K28+L28+M28+N28+G28</f>
        <v>0</v>
      </c>
      <c r="AO28" s="44"/>
      <c r="AP28" s="26">
        <f>J28+K28+L28+M28+N28+O28+P28+I28</f>
        <v>0</v>
      </c>
      <c r="AQ28" s="44"/>
      <c r="AR28" s="26">
        <f>L28+M28+N28+O28+P28+Q28+R28+K28</f>
        <v>0</v>
      </c>
      <c r="AS28" s="44"/>
      <c r="AT28" s="26">
        <f>AJ28+AL28+AN28+AP28+AR28</f>
        <v>0</v>
      </c>
      <c r="AV28" s="26">
        <f>AL28+AN28+AP28+AR28+AT28</f>
        <v>0</v>
      </c>
      <c r="AX28" s="26">
        <f>AN28+AP28+AR28+AT28+AV28</f>
        <v>0</v>
      </c>
      <c r="BA28" s="31"/>
      <c r="BB28" s="31"/>
      <c r="BC28" s="31"/>
      <c r="BD28" s="31"/>
      <c r="BE28" s="31"/>
    </row>
    <row r="29" spans="1:57" ht="15.75" thickBot="1" x14ac:dyDescent="0.3">
      <c r="A29" s="1492"/>
      <c r="B29" s="189" t="s">
        <v>27</v>
      </c>
      <c r="C29" s="205"/>
      <c r="D29" s="201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49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68"/>
      <c r="AI29" s="44"/>
      <c r="AJ29" s="121">
        <f t="shared" si="6"/>
        <v>0</v>
      </c>
      <c r="AK29" s="44"/>
      <c r="AL29" s="121">
        <f>F29+G29+H29+I29+J29+K29+L29+E29</f>
        <v>0</v>
      </c>
      <c r="AM29" s="44"/>
      <c r="AN29" s="121">
        <f>H29+I29+J29+K29+L29+M29+N29+G29</f>
        <v>0</v>
      </c>
      <c r="AO29" s="44"/>
      <c r="AP29" s="121">
        <f>J29+K29+L29+M29+N29+O29+P29+I29</f>
        <v>0</v>
      </c>
      <c r="AQ29" s="44"/>
      <c r="AR29" s="121">
        <f>L29+M29+N29+O29+P29+Q29+R29+K29</f>
        <v>0</v>
      </c>
      <c r="AS29" s="44"/>
      <c r="AT29" s="121">
        <f>AJ29+AL29+AN29+AP29+AR29</f>
        <v>0</v>
      </c>
      <c r="AV29" s="121">
        <f>AL29+AN29+AP29+AR29+AT29</f>
        <v>0</v>
      </c>
      <c r="AX29" s="121">
        <f>AN29+AP29+AR29+AT29+AV29</f>
        <v>0</v>
      </c>
      <c r="BA29" s="31"/>
      <c r="BB29" s="31"/>
      <c r="BC29" s="31"/>
      <c r="BD29" s="31"/>
      <c r="BE29" s="31"/>
    </row>
    <row r="30" spans="1:57" s="77" customFormat="1" ht="15.75" thickBot="1" x14ac:dyDescent="0.3">
      <c r="A30" s="116"/>
      <c r="B30" s="190" t="s">
        <v>24</v>
      </c>
      <c r="C30" s="213">
        <f>SUM(C27:C29)</f>
        <v>0</v>
      </c>
      <c r="D30" s="213">
        <f t="shared" ref="D30:AH30" si="7">SUM(D27:D29)</f>
        <v>0</v>
      </c>
      <c r="E30" s="213">
        <f t="shared" si="7"/>
        <v>0</v>
      </c>
      <c r="F30" s="213">
        <f t="shared" si="7"/>
        <v>0</v>
      </c>
      <c r="G30" s="213">
        <f t="shared" si="7"/>
        <v>0</v>
      </c>
      <c r="H30" s="213">
        <f t="shared" si="7"/>
        <v>0</v>
      </c>
      <c r="I30" s="213">
        <f t="shared" si="7"/>
        <v>0</v>
      </c>
      <c r="J30" s="213">
        <f t="shared" si="7"/>
        <v>0</v>
      </c>
      <c r="K30" s="213">
        <f t="shared" si="7"/>
        <v>0</v>
      </c>
      <c r="L30" s="213">
        <f t="shared" si="7"/>
        <v>0</v>
      </c>
      <c r="M30" s="213">
        <f t="shared" si="7"/>
        <v>0</v>
      </c>
      <c r="N30" s="213">
        <f t="shared" si="7"/>
        <v>0</v>
      </c>
      <c r="O30" s="213">
        <f t="shared" si="7"/>
        <v>0</v>
      </c>
      <c r="P30" s="213">
        <f t="shared" si="7"/>
        <v>0</v>
      </c>
      <c r="Q30" s="213">
        <f t="shared" si="7"/>
        <v>0</v>
      </c>
      <c r="R30" s="213">
        <f t="shared" si="7"/>
        <v>0</v>
      </c>
      <c r="S30" s="213">
        <f t="shared" si="7"/>
        <v>0</v>
      </c>
      <c r="T30" s="213">
        <f t="shared" si="7"/>
        <v>0</v>
      </c>
      <c r="U30" s="213">
        <f t="shared" si="7"/>
        <v>0</v>
      </c>
      <c r="V30" s="213">
        <f t="shared" si="7"/>
        <v>0</v>
      </c>
      <c r="W30" s="213">
        <f t="shared" si="7"/>
        <v>0</v>
      </c>
      <c r="X30" s="213">
        <f t="shared" si="7"/>
        <v>0</v>
      </c>
      <c r="Y30" s="213">
        <f t="shared" si="7"/>
        <v>0</v>
      </c>
      <c r="Z30" s="213">
        <f t="shared" si="7"/>
        <v>0</v>
      </c>
      <c r="AA30" s="213">
        <f t="shared" si="7"/>
        <v>0</v>
      </c>
      <c r="AB30" s="213">
        <f t="shared" si="7"/>
        <v>0</v>
      </c>
      <c r="AC30" s="213">
        <f t="shared" si="7"/>
        <v>0</v>
      </c>
      <c r="AD30" s="213">
        <f t="shared" si="7"/>
        <v>0</v>
      </c>
      <c r="AE30" s="213">
        <f t="shared" si="7"/>
        <v>0</v>
      </c>
      <c r="AF30" s="213">
        <f t="shared" si="7"/>
        <v>0</v>
      </c>
      <c r="AG30" s="213">
        <f t="shared" si="7"/>
        <v>0</v>
      </c>
      <c r="AH30" s="213">
        <f t="shared" si="7"/>
        <v>0</v>
      </c>
      <c r="AI30" s="76"/>
      <c r="AJ30" s="178">
        <f t="shared" si="6"/>
        <v>0</v>
      </c>
      <c r="AK30" s="76"/>
      <c r="AL30" s="178">
        <f>F30+G30+H30+I30+J30+K30+L30+E30</f>
        <v>0</v>
      </c>
      <c r="AM30" s="76"/>
      <c r="AN30" s="178">
        <f>H30+I30+J30+K30+L30+M30+N30+G30</f>
        <v>0</v>
      </c>
      <c r="AO30" s="76"/>
      <c r="AP30" s="178">
        <f>J30+K30+L30+M30+N30+O30+P30+I30</f>
        <v>0</v>
      </c>
      <c r="AQ30" s="76"/>
      <c r="AR30" s="178">
        <f>L30+M30+N30+O30+P30+Q30+R30+K30</f>
        <v>0</v>
      </c>
      <c r="AS30" s="76"/>
      <c r="AT30" s="178">
        <f>AJ30+AL30+AN30+AP30+AR30</f>
        <v>0</v>
      </c>
      <c r="AV30" s="178">
        <f>AL30+AN30+AP30+AR30+AT30</f>
        <v>0</v>
      </c>
      <c r="AW30" s="78"/>
      <c r="AX30" s="178">
        <f>AN30+AP30+AR30+AT30+AV30</f>
        <v>0</v>
      </c>
      <c r="AY30" s="78"/>
      <c r="AZ30" s="78"/>
      <c r="BA30" s="78"/>
      <c r="BB30" s="78"/>
      <c r="BC30" s="78"/>
      <c r="BD30" s="78"/>
      <c r="BE30" s="78"/>
    </row>
    <row r="31" spans="1:57" x14ac:dyDescent="0.25">
      <c r="A31" s="1489" t="s">
        <v>28</v>
      </c>
      <c r="B31" s="191"/>
      <c r="C31" s="840"/>
      <c r="D31" s="841"/>
      <c r="E31" s="842"/>
      <c r="F31" s="842"/>
      <c r="G31" s="842"/>
      <c r="H31" s="842"/>
      <c r="I31" s="842"/>
      <c r="J31" s="842"/>
      <c r="K31" s="842"/>
      <c r="L31" s="842"/>
      <c r="M31" s="842"/>
      <c r="N31" s="842"/>
      <c r="O31" s="842"/>
      <c r="P31" s="842"/>
      <c r="Q31" s="842"/>
      <c r="R31" s="842"/>
      <c r="S31" s="842"/>
      <c r="T31" s="842"/>
      <c r="U31" s="842"/>
      <c r="V31" s="842"/>
      <c r="W31" s="842"/>
      <c r="X31" s="842"/>
      <c r="Y31" s="842"/>
      <c r="Z31" s="842"/>
      <c r="AA31" s="842"/>
      <c r="AB31" s="842"/>
      <c r="AC31" s="842"/>
      <c r="AD31" s="842"/>
      <c r="AE31" s="842"/>
      <c r="AF31" s="842"/>
      <c r="AG31" s="842"/>
      <c r="AH31" s="843"/>
      <c r="AI31" s="44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80"/>
      <c r="AV31" s="179"/>
      <c r="AW31" s="181"/>
      <c r="AX31" s="179"/>
      <c r="BA31" s="31"/>
      <c r="BB31" s="31"/>
      <c r="BC31" s="31"/>
      <c r="BD31" s="31"/>
      <c r="BE31" s="31"/>
    </row>
    <row r="32" spans="1:57" x14ac:dyDescent="0.25">
      <c r="A32" s="1490"/>
      <c r="B32" s="192"/>
      <c r="C32" s="432"/>
      <c r="D32" s="247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9"/>
      <c r="AI32" s="44"/>
      <c r="AJ32" s="182"/>
      <c r="AK32" s="37"/>
      <c r="AL32" s="182"/>
      <c r="AM32" s="37"/>
      <c r="AN32" s="182"/>
      <c r="AO32" s="37"/>
      <c r="AP32" s="182"/>
      <c r="AQ32" s="37"/>
      <c r="AR32" s="182"/>
      <c r="AS32" s="37"/>
      <c r="AT32" s="182"/>
      <c r="AU32" s="176"/>
      <c r="AV32" s="182"/>
      <c r="AW32" s="183"/>
      <c r="AX32" s="182"/>
      <c r="AY32" s="107"/>
      <c r="AZ32" s="107"/>
      <c r="BA32" s="31"/>
      <c r="BB32" s="31"/>
      <c r="BC32" s="31"/>
      <c r="BD32" s="31"/>
      <c r="BE32" s="31"/>
    </row>
    <row r="33" spans="1:57" x14ac:dyDescent="0.25">
      <c r="A33" s="28" t="s">
        <v>4920</v>
      </c>
      <c r="B33" s="193" t="s">
        <v>39</v>
      </c>
      <c r="C33" s="224"/>
      <c r="D33" s="225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8"/>
      <c r="AI33" s="29"/>
      <c r="AJ33" s="33">
        <f t="shared" ref="AJ33:AJ40" si="8">D33+E33+F33+G33+H33+I33+J33+C33</f>
        <v>0</v>
      </c>
      <c r="AK33" s="29"/>
      <c r="AL33" s="33">
        <f t="shared" ref="AL33:AL41" si="9">K33+L33+M33+N33+O33+P33+Q33</f>
        <v>0</v>
      </c>
      <c r="AM33" s="27"/>
      <c r="AN33" s="33">
        <f t="shared" ref="AN33:AN40" si="10">R33+S33+T33+U33+V33+W33+X33</f>
        <v>0</v>
      </c>
      <c r="AO33" s="108"/>
      <c r="AP33" s="33">
        <f t="shared" ref="AP33:AP41" si="11">Y33+Z33+AA33+AB33+AC33+AD33+AE33</f>
        <v>0</v>
      </c>
      <c r="AQ33" s="108"/>
      <c r="AR33" s="33">
        <f t="shared" ref="AR33:AR41" si="12">AF33+AG33+AH33</f>
        <v>0</v>
      </c>
      <c r="AS33" s="29"/>
      <c r="AT33" s="33">
        <f t="shared" ref="AT33:AT40" si="13">AJ33+AL33+AN33+AP33+AR33</f>
        <v>0</v>
      </c>
      <c r="AV33" s="33">
        <f>ATTACH!AL23</f>
        <v>10427618686</v>
      </c>
      <c r="AX33" s="27">
        <f>AN33+AP33+AR33+AT33+AV33</f>
        <v>10427618686</v>
      </c>
      <c r="BA33" s="31"/>
      <c r="BB33" s="31"/>
      <c r="BC33" s="31"/>
      <c r="BD33" s="31"/>
      <c r="BE33" s="31"/>
    </row>
    <row r="34" spans="1:57" ht="15.75" customHeight="1" x14ac:dyDescent="0.25">
      <c r="A34" s="28" t="s">
        <v>4921</v>
      </c>
      <c r="B34" s="193" t="s">
        <v>45</v>
      </c>
      <c r="C34" s="224"/>
      <c r="D34" s="225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32"/>
      <c r="AC34" s="226"/>
      <c r="AD34" s="226"/>
      <c r="AE34" s="226"/>
      <c r="AF34" s="226"/>
      <c r="AG34" s="226"/>
      <c r="AH34" s="228"/>
      <c r="AI34" s="29"/>
      <c r="AJ34" s="33">
        <f t="shared" si="8"/>
        <v>0</v>
      </c>
      <c r="AK34" s="29"/>
      <c r="AL34" s="33">
        <f t="shared" si="9"/>
        <v>0</v>
      </c>
      <c r="AM34" s="29"/>
      <c r="AN34" s="33">
        <f t="shared" si="10"/>
        <v>0</v>
      </c>
      <c r="AO34" s="108"/>
      <c r="AP34" s="33">
        <f t="shared" si="11"/>
        <v>0</v>
      </c>
      <c r="AQ34" s="108"/>
      <c r="AR34" s="33">
        <f t="shared" si="12"/>
        <v>0</v>
      </c>
      <c r="AS34" s="29"/>
      <c r="AT34" s="33">
        <f t="shared" si="13"/>
        <v>0</v>
      </c>
      <c r="AV34" s="33">
        <f>ATTACH!AL34</f>
        <v>0</v>
      </c>
      <c r="AX34" s="27">
        <f>AN34+AP34+AR34+AT34+AV34</f>
        <v>0</v>
      </c>
      <c r="BA34" s="31"/>
      <c r="BB34" s="31"/>
      <c r="BC34" s="31"/>
      <c r="BD34" s="31"/>
      <c r="BE34" s="31"/>
    </row>
    <row r="35" spans="1:57" ht="17.25" customHeight="1" x14ac:dyDescent="0.25">
      <c r="A35" s="28" t="s">
        <v>318</v>
      </c>
      <c r="B35" s="35" t="s">
        <v>58</v>
      </c>
      <c r="C35" s="844"/>
      <c r="D35" s="225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8"/>
      <c r="AI35" s="29"/>
      <c r="AJ35" s="33">
        <f t="shared" si="8"/>
        <v>0</v>
      </c>
      <c r="AK35" s="29"/>
      <c r="AL35" s="33">
        <f t="shared" si="9"/>
        <v>0</v>
      </c>
      <c r="AM35" s="29"/>
      <c r="AN35" s="33">
        <f t="shared" si="10"/>
        <v>0</v>
      </c>
      <c r="AO35" s="108"/>
      <c r="AP35" s="33">
        <f t="shared" si="11"/>
        <v>0</v>
      </c>
      <c r="AQ35" s="108"/>
      <c r="AR35" s="33">
        <f t="shared" si="12"/>
        <v>0</v>
      </c>
      <c r="AS35" s="29"/>
      <c r="AT35" s="33">
        <f t="shared" si="13"/>
        <v>0</v>
      </c>
      <c r="AV35" s="33">
        <f>ATTACH!AL41</f>
        <v>0</v>
      </c>
      <c r="AX35" s="27">
        <f>AN35+AP35+AR35+AT35+AV35</f>
        <v>0</v>
      </c>
      <c r="BA35" s="31"/>
      <c r="BB35" s="31"/>
      <c r="BC35" s="31"/>
      <c r="BD35" s="31"/>
      <c r="BE35" s="31"/>
    </row>
    <row r="36" spans="1:57" x14ac:dyDescent="0.25">
      <c r="A36" s="28" t="s">
        <v>4922</v>
      </c>
      <c r="B36" s="194" t="s">
        <v>152</v>
      </c>
      <c r="C36" s="224"/>
      <c r="D36" s="225"/>
      <c r="E36" s="226"/>
      <c r="F36" s="229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3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8"/>
      <c r="AI36" s="29"/>
      <c r="AJ36" s="33">
        <f t="shared" si="8"/>
        <v>0</v>
      </c>
      <c r="AK36" s="29"/>
      <c r="AL36" s="33">
        <f t="shared" si="9"/>
        <v>0</v>
      </c>
      <c r="AM36" s="29"/>
      <c r="AN36" s="33">
        <f t="shared" si="10"/>
        <v>0</v>
      </c>
      <c r="AO36" s="108"/>
      <c r="AP36" s="33">
        <f t="shared" si="11"/>
        <v>0</v>
      </c>
      <c r="AQ36" s="108"/>
      <c r="AR36" s="33">
        <f t="shared" si="12"/>
        <v>0</v>
      </c>
      <c r="AS36" s="29"/>
      <c r="AT36" s="33">
        <f t="shared" si="13"/>
        <v>0</v>
      </c>
      <c r="AV36" s="33">
        <f>ATTACH!AL43</f>
        <v>169409455</v>
      </c>
      <c r="AX36" s="27">
        <f>AN36+AP36+AR36+AT36+AV36</f>
        <v>169409455</v>
      </c>
      <c r="BA36" s="31"/>
      <c r="BB36" s="31"/>
      <c r="BC36" s="31"/>
      <c r="BD36" s="31"/>
      <c r="BE36" s="31"/>
    </row>
    <row r="37" spans="1:57" x14ac:dyDescent="0.25">
      <c r="A37" s="437" t="s">
        <v>4924</v>
      </c>
      <c r="B37" s="194"/>
      <c r="C37" s="224"/>
      <c r="D37" s="225"/>
      <c r="E37" s="442"/>
      <c r="F37" s="443"/>
      <c r="G37" s="442"/>
      <c r="H37" s="442"/>
      <c r="I37" s="442"/>
      <c r="J37" s="442"/>
      <c r="K37" s="442"/>
      <c r="L37" s="442"/>
      <c r="M37" s="442"/>
      <c r="N37" s="442"/>
      <c r="O37" s="442"/>
      <c r="P37" s="442"/>
      <c r="Q37" s="442"/>
      <c r="R37" s="442"/>
      <c r="S37" s="442"/>
      <c r="T37" s="442"/>
      <c r="U37" s="442"/>
      <c r="V37" s="442"/>
      <c r="W37" s="444"/>
      <c r="X37" s="442"/>
      <c r="Y37" s="442"/>
      <c r="Z37" s="442"/>
      <c r="AA37" s="442"/>
      <c r="AB37" s="442"/>
      <c r="AC37" s="442"/>
      <c r="AD37" s="442"/>
      <c r="AE37" s="442"/>
      <c r="AF37" s="442"/>
      <c r="AG37" s="442"/>
      <c r="AH37" s="445"/>
      <c r="AI37" s="29"/>
      <c r="AJ37" s="33">
        <f t="shared" si="8"/>
        <v>0</v>
      </c>
      <c r="AK37" s="29"/>
      <c r="AL37" s="33">
        <f t="shared" si="9"/>
        <v>0</v>
      </c>
      <c r="AM37" s="29"/>
      <c r="AN37" s="33">
        <f t="shared" si="10"/>
        <v>0</v>
      </c>
      <c r="AO37" s="108"/>
      <c r="AP37" s="33">
        <f t="shared" si="11"/>
        <v>0</v>
      </c>
      <c r="AQ37" s="108"/>
      <c r="AR37" s="33">
        <f t="shared" si="12"/>
        <v>0</v>
      </c>
      <c r="AS37" s="29"/>
      <c r="AT37" s="33">
        <f t="shared" si="13"/>
        <v>0</v>
      </c>
      <c r="AV37" s="33">
        <f>ATTACH!AL45</f>
        <v>0</v>
      </c>
      <c r="AX37" s="441"/>
      <c r="BA37" s="31"/>
      <c r="BB37" s="31"/>
      <c r="BC37" s="31"/>
      <c r="BD37" s="31"/>
      <c r="BE37" s="31"/>
    </row>
    <row r="38" spans="1:57" x14ac:dyDescent="0.25">
      <c r="A38" s="28" t="s">
        <v>4923</v>
      </c>
      <c r="B38" s="193" t="s">
        <v>63</v>
      </c>
      <c r="C38" s="234"/>
      <c r="D38" s="225"/>
      <c r="E38" s="226"/>
      <c r="F38" s="226"/>
      <c r="G38" s="226"/>
      <c r="H38" s="229"/>
      <c r="I38" s="226"/>
      <c r="J38" s="226"/>
      <c r="K38" s="226"/>
      <c r="L38" s="226"/>
      <c r="M38" s="442"/>
      <c r="N38" s="442"/>
      <c r="O38" s="442"/>
      <c r="P38" s="442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8"/>
      <c r="AI38" s="29"/>
      <c r="AJ38" s="33">
        <f t="shared" si="8"/>
        <v>0</v>
      </c>
      <c r="AK38" s="29"/>
      <c r="AL38" s="33">
        <f t="shared" si="9"/>
        <v>0</v>
      </c>
      <c r="AM38" s="29"/>
      <c r="AN38" s="33">
        <f t="shared" si="10"/>
        <v>0</v>
      </c>
      <c r="AO38" s="108"/>
      <c r="AP38" s="33">
        <f t="shared" si="11"/>
        <v>0</v>
      </c>
      <c r="AQ38" s="108"/>
      <c r="AR38" s="33">
        <f t="shared" si="12"/>
        <v>0</v>
      </c>
      <c r="AS38" s="29"/>
      <c r="AT38" s="33">
        <f t="shared" si="13"/>
        <v>0</v>
      </c>
      <c r="AV38" s="33">
        <f>ATTACH!AL48</f>
        <v>0</v>
      </c>
      <c r="AX38" s="27">
        <f>AN38+AP38+AR38+AT38+AV38</f>
        <v>0</v>
      </c>
      <c r="BA38" s="31"/>
      <c r="BB38" s="31"/>
      <c r="BC38" s="31"/>
      <c r="BD38" s="31"/>
      <c r="BE38" s="31"/>
    </row>
    <row r="39" spans="1:57" x14ac:dyDescent="0.25">
      <c r="A39" s="437" t="s">
        <v>4925</v>
      </c>
      <c r="B39" s="193"/>
      <c r="C39" s="234"/>
      <c r="D39" s="237"/>
      <c r="E39" s="438"/>
      <c r="F39" s="438"/>
      <c r="G39" s="438"/>
      <c r="H39" s="439"/>
      <c r="I39" s="438"/>
      <c r="J39" s="438"/>
      <c r="K39" s="438"/>
      <c r="L39" s="438"/>
      <c r="M39" s="442"/>
      <c r="N39" s="442"/>
      <c r="O39" s="442"/>
      <c r="P39" s="442"/>
      <c r="Q39" s="438"/>
      <c r="R39" s="438"/>
      <c r="S39" s="438"/>
      <c r="T39" s="438"/>
      <c r="U39" s="438"/>
      <c r="V39" s="438"/>
      <c r="W39" s="438"/>
      <c r="X39" s="438"/>
      <c r="Y39" s="438"/>
      <c r="Z39" s="438"/>
      <c r="AA39" s="438"/>
      <c r="AB39" s="438"/>
      <c r="AC39" s="438"/>
      <c r="AD39" s="438"/>
      <c r="AE39" s="438"/>
      <c r="AF39" s="438"/>
      <c r="AG39" s="438"/>
      <c r="AH39" s="440"/>
      <c r="AI39" s="29"/>
      <c r="AJ39" s="33">
        <f t="shared" si="8"/>
        <v>0</v>
      </c>
      <c r="AK39" s="29"/>
      <c r="AL39" s="33">
        <f t="shared" si="9"/>
        <v>0</v>
      </c>
      <c r="AM39" s="29"/>
      <c r="AN39" s="33">
        <f t="shared" si="10"/>
        <v>0</v>
      </c>
      <c r="AO39" s="108"/>
      <c r="AP39" s="33">
        <f t="shared" si="11"/>
        <v>0</v>
      </c>
      <c r="AQ39" s="108"/>
      <c r="AR39" s="33">
        <f t="shared" si="12"/>
        <v>0</v>
      </c>
      <c r="AS39" s="29"/>
      <c r="AT39" s="33">
        <f t="shared" si="13"/>
        <v>0</v>
      </c>
      <c r="AV39" s="33">
        <f>ATTACH!AL49</f>
        <v>0</v>
      </c>
      <c r="AX39" s="441"/>
      <c r="BA39" s="31"/>
      <c r="BB39" s="31"/>
      <c r="BC39" s="31"/>
      <c r="BD39" s="31"/>
      <c r="BE39" s="31"/>
    </row>
    <row r="40" spans="1:57" x14ac:dyDescent="0.25">
      <c r="A40" s="28" t="s">
        <v>4926</v>
      </c>
      <c r="B40" s="196" t="s">
        <v>69</v>
      </c>
      <c r="C40" s="690"/>
      <c r="D40" s="225"/>
      <c r="E40" s="226"/>
      <c r="F40" s="226"/>
      <c r="G40" s="226"/>
      <c r="H40" s="226"/>
      <c r="I40" s="226"/>
      <c r="J40" s="226"/>
      <c r="K40" s="226"/>
      <c r="L40" s="442"/>
      <c r="M40" s="442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3"/>
      <c r="AB40" s="442"/>
      <c r="AC40" s="442"/>
      <c r="AD40" s="442"/>
      <c r="AE40" s="442"/>
      <c r="AF40" s="442"/>
      <c r="AG40" s="442"/>
      <c r="AH40" s="442"/>
      <c r="AI40" s="29"/>
      <c r="AJ40" s="33">
        <f t="shared" si="8"/>
        <v>0</v>
      </c>
      <c r="AK40" s="29"/>
      <c r="AL40" s="33">
        <f t="shared" si="9"/>
        <v>0</v>
      </c>
      <c r="AM40" s="29"/>
      <c r="AN40" s="33">
        <f t="shared" si="10"/>
        <v>0</v>
      </c>
      <c r="AO40" s="108"/>
      <c r="AP40" s="33">
        <f t="shared" si="11"/>
        <v>0</v>
      </c>
      <c r="AQ40" s="108"/>
      <c r="AR40" s="33">
        <f t="shared" si="12"/>
        <v>0</v>
      </c>
      <c r="AS40" s="29"/>
      <c r="AT40" s="33">
        <f t="shared" si="13"/>
        <v>0</v>
      </c>
      <c r="AV40" s="33">
        <f>ATTACH!AL60</f>
        <v>0</v>
      </c>
      <c r="AX40" s="27">
        <f>AN40+AP40+AR40+AT40+AV40</f>
        <v>0</v>
      </c>
      <c r="BA40" s="31"/>
      <c r="BB40" s="31"/>
      <c r="BC40" s="31"/>
      <c r="BD40" s="31"/>
      <c r="BE40" s="31"/>
    </row>
    <row r="41" spans="1:57" s="92" customFormat="1" ht="14.25" customHeight="1" x14ac:dyDescent="0.25">
      <c r="A41" s="124" t="s">
        <v>29</v>
      </c>
      <c r="B41" s="193" t="s">
        <v>30</v>
      </c>
      <c r="C41" s="592"/>
      <c r="D41" s="246"/>
      <c r="E41" s="220"/>
      <c r="F41" s="220"/>
      <c r="G41" s="221"/>
      <c r="H41" s="220"/>
      <c r="I41" s="221"/>
      <c r="J41" s="220"/>
      <c r="K41" s="221"/>
      <c r="L41" s="220"/>
      <c r="M41" s="601"/>
      <c r="N41" s="598"/>
      <c r="O41" s="598"/>
      <c r="P41" s="597"/>
      <c r="Q41" s="220"/>
      <c r="R41" s="220"/>
      <c r="S41" s="220"/>
      <c r="T41" s="220"/>
      <c r="U41" s="220"/>
      <c r="V41" s="221"/>
      <c r="W41" s="220"/>
      <c r="X41" s="220"/>
      <c r="Y41" s="220"/>
      <c r="Z41" s="220"/>
      <c r="AA41" s="220"/>
      <c r="AB41" s="220"/>
      <c r="AC41" s="220"/>
      <c r="AD41" s="220"/>
      <c r="AE41" s="220"/>
      <c r="AF41" s="222"/>
      <c r="AG41" s="222"/>
      <c r="AH41" s="223"/>
      <c r="AI41" s="108"/>
      <c r="AJ41" s="33">
        <f t="shared" si="6"/>
        <v>0</v>
      </c>
      <c r="AK41" s="108"/>
      <c r="AL41" s="33">
        <f t="shared" si="9"/>
        <v>0</v>
      </c>
      <c r="AM41" s="108"/>
      <c r="AN41" s="33">
        <f>R41+S41+T41+U41+V41+W41+X41</f>
        <v>0</v>
      </c>
      <c r="AO41" s="108"/>
      <c r="AP41" s="33">
        <f t="shared" si="11"/>
        <v>0</v>
      </c>
      <c r="AQ41" s="108"/>
      <c r="AR41" s="33">
        <f t="shared" si="12"/>
        <v>0</v>
      </c>
      <c r="AS41" s="108"/>
      <c r="AT41" s="33">
        <f t="shared" ref="AT41:AT66" si="14">AJ41+AL41+AN41+AP41+AR41</f>
        <v>0</v>
      </c>
      <c r="AV41" s="33">
        <f>ATTACH!AL16</f>
        <v>0</v>
      </c>
      <c r="AW41" s="109"/>
      <c r="AX41" s="33">
        <f t="shared" ref="AX41:AX66" si="15">AN41+AP41+AR41+AT41+AV41</f>
        <v>0</v>
      </c>
      <c r="AY41" s="109"/>
      <c r="AZ41" s="109"/>
      <c r="BA41" s="109"/>
      <c r="BB41" s="109"/>
      <c r="BC41" s="109"/>
      <c r="BD41" s="109"/>
      <c r="BE41" s="109"/>
    </row>
    <row r="42" spans="1:57" s="92" customFormat="1" ht="14.25" customHeight="1" x14ac:dyDescent="0.25">
      <c r="A42" s="595" t="s">
        <v>4972</v>
      </c>
      <c r="B42" s="193"/>
      <c r="C42" s="592"/>
      <c r="D42" s="246"/>
      <c r="E42" s="596"/>
      <c r="F42" s="596"/>
      <c r="G42" s="597"/>
      <c r="H42" s="596"/>
      <c r="I42" s="597"/>
      <c r="J42" s="596"/>
      <c r="K42" s="597"/>
      <c r="L42" s="596"/>
      <c r="M42" s="601"/>
      <c r="N42" s="598"/>
      <c r="O42" s="598"/>
      <c r="P42" s="597"/>
      <c r="Q42" s="596"/>
      <c r="R42" s="596"/>
      <c r="S42" s="596"/>
      <c r="T42" s="596"/>
      <c r="U42" s="596"/>
      <c r="V42" s="597"/>
      <c r="W42" s="596"/>
      <c r="X42" s="596"/>
      <c r="Y42" s="596"/>
      <c r="Z42" s="596"/>
      <c r="AA42" s="596"/>
      <c r="AB42" s="596"/>
      <c r="AC42" s="596"/>
      <c r="AD42" s="596"/>
      <c r="AE42" s="596"/>
      <c r="AF42" s="599"/>
      <c r="AG42" s="599"/>
      <c r="AH42" s="600"/>
      <c r="AI42" s="108"/>
      <c r="AJ42" s="586"/>
      <c r="AK42" s="108"/>
      <c r="AL42" s="586"/>
      <c r="AM42" s="108"/>
      <c r="AN42" s="586"/>
      <c r="AO42" s="108"/>
      <c r="AP42" s="586"/>
      <c r="AQ42" s="108"/>
      <c r="AR42" s="586"/>
      <c r="AS42" s="108"/>
      <c r="AT42" s="586"/>
      <c r="AV42" s="586"/>
      <c r="AW42" s="109"/>
      <c r="AX42" s="586"/>
      <c r="AY42" s="109"/>
      <c r="AZ42" s="109"/>
      <c r="BA42" s="109"/>
      <c r="BB42" s="109"/>
      <c r="BC42" s="109"/>
      <c r="BD42" s="109"/>
      <c r="BE42" s="109"/>
    </row>
    <row r="43" spans="1:57" x14ac:dyDescent="0.25">
      <c r="A43" s="32" t="s">
        <v>128</v>
      </c>
      <c r="B43" s="193" t="s">
        <v>74</v>
      </c>
      <c r="C43" s="224"/>
      <c r="D43" s="225"/>
      <c r="E43" s="226"/>
      <c r="F43" s="226"/>
      <c r="G43" s="226"/>
      <c r="H43" s="226"/>
      <c r="I43" s="226"/>
      <c r="J43" s="226"/>
      <c r="K43" s="226"/>
      <c r="L43" s="226"/>
      <c r="M43" s="442"/>
      <c r="N43" s="442"/>
      <c r="O43" s="442"/>
      <c r="P43" s="442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7"/>
      <c r="AI43" s="29"/>
      <c r="AJ43" s="33">
        <f t="shared" si="6"/>
        <v>0</v>
      </c>
      <c r="AK43" s="29"/>
      <c r="AL43" s="33">
        <f t="shared" ref="AL43:AL63" si="16">K43+L43+M43+N43+O43+P43+Q43</f>
        <v>0</v>
      </c>
      <c r="AM43" s="29"/>
      <c r="AN43" s="33">
        <f t="shared" ref="AN43:AN63" si="17">R43+S43+T43+U43+V43+W43+X43</f>
        <v>0</v>
      </c>
      <c r="AO43" s="108"/>
      <c r="AP43" s="33">
        <f t="shared" ref="AP43:AP63" si="18">Y43+Z43+AA43+AB43+AC43+AD43+AE43</f>
        <v>0</v>
      </c>
      <c r="AQ43" s="108"/>
      <c r="AR43" s="33">
        <f t="shared" ref="AR43:AR63" si="19">AF43+AG43+AH43</f>
        <v>0</v>
      </c>
      <c r="AS43" s="29"/>
      <c r="AT43" s="33">
        <f t="shared" si="14"/>
        <v>0</v>
      </c>
      <c r="AV43" s="33">
        <f>ATTACH!AL17</f>
        <v>0</v>
      </c>
      <c r="AX43" s="27">
        <f t="shared" si="15"/>
        <v>0</v>
      </c>
      <c r="BA43" s="31"/>
      <c r="BB43" s="31"/>
      <c r="BC43" s="31"/>
      <c r="BD43" s="31"/>
      <c r="BE43" s="31"/>
    </row>
    <row r="44" spans="1:57" x14ac:dyDescent="0.25">
      <c r="A44" s="28" t="s">
        <v>31</v>
      </c>
      <c r="B44" s="193" t="s">
        <v>32</v>
      </c>
      <c r="C44" s="224"/>
      <c r="D44" s="225"/>
      <c r="E44" s="226"/>
      <c r="F44" s="226"/>
      <c r="G44" s="226"/>
      <c r="H44" s="226"/>
      <c r="I44" s="226"/>
      <c r="J44" s="226"/>
      <c r="K44" s="226"/>
      <c r="L44" s="226"/>
      <c r="M44" s="442"/>
      <c r="N44" s="442"/>
      <c r="O44" s="442"/>
      <c r="P44" s="442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8"/>
      <c r="AI44" s="29"/>
      <c r="AJ44" s="33">
        <f t="shared" si="6"/>
        <v>0</v>
      </c>
      <c r="AK44" s="29"/>
      <c r="AL44" s="33">
        <f t="shared" si="16"/>
        <v>0</v>
      </c>
      <c r="AM44" s="29"/>
      <c r="AN44" s="33">
        <f t="shared" si="17"/>
        <v>0</v>
      </c>
      <c r="AO44" s="108"/>
      <c r="AP44" s="33">
        <f t="shared" si="18"/>
        <v>0</v>
      </c>
      <c r="AQ44" s="108"/>
      <c r="AR44" s="33">
        <f t="shared" si="19"/>
        <v>0</v>
      </c>
      <c r="AS44" s="29"/>
      <c r="AT44" s="33">
        <f t="shared" si="14"/>
        <v>0</v>
      </c>
      <c r="AV44" s="33">
        <f>ATTACH!AL18</f>
        <v>498251919</v>
      </c>
      <c r="AX44" s="27">
        <f t="shared" si="15"/>
        <v>498251919</v>
      </c>
      <c r="BA44" s="31"/>
      <c r="BB44" s="31"/>
      <c r="BC44" s="31"/>
      <c r="BD44" s="31"/>
      <c r="BE44" s="31"/>
    </row>
    <row r="45" spans="1:57" x14ac:dyDescent="0.25">
      <c r="A45" s="32" t="s">
        <v>154</v>
      </c>
      <c r="B45" s="35" t="s">
        <v>156</v>
      </c>
      <c r="C45" s="224"/>
      <c r="D45" s="225"/>
      <c r="E45" s="226"/>
      <c r="F45" s="226"/>
      <c r="G45" s="226"/>
      <c r="H45" s="226"/>
      <c r="I45" s="226"/>
      <c r="J45" s="226"/>
      <c r="K45" s="226"/>
      <c r="L45" s="226"/>
      <c r="M45" s="442"/>
      <c r="N45" s="442"/>
      <c r="O45" s="442"/>
      <c r="P45" s="442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  <c r="AG45" s="226"/>
      <c r="AH45" s="227"/>
      <c r="AI45" s="29"/>
      <c r="AJ45" s="33">
        <f t="shared" si="6"/>
        <v>0</v>
      </c>
      <c r="AK45" s="29"/>
      <c r="AL45" s="33">
        <f t="shared" si="16"/>
        <v>0</v>
      </c>
      <c r="AM45" s="29"/>
      <c r="AN45" s="33">
        <f t="shared" si="17"/>
        <v>0</v>
      </c>
      <c r="AO45" s="108"/>
      <c r="AP45" s="33">
        <f t="shared" si="18"/>
        <v>0</v>
      </c>
      <c r="AQ45" s="108"/>
      <c r="AR45" s="33">
        <f t="shared" si="19"/>
        <v>0</v>
      </c>
      <c r="AS45" s="29"/>
      <c r="AT45" s="33">
        <f t="shared" si="14"/>
        <v>0</v>
      </c>
      <c r="AV45" s="33">
        <f>ATTACH!AL19</f>
        <v>0</v>
      </c>
      <c r="AX45" s="27">
        <f t="shared" si="15"/>
        <v>0</v>
      </c>
      <c r="BA45" s="31"/>
      <c r="BB45" s="31"/>
      <c r="BC45" s="31"/>
      <c r="BD45" s="31"/>
      <c r="BE45" s="31"/>
    </row>
    <row r="46" spans="1:57" x14ac:dyDescent="0.25">
      <c r="A46" s="28" t="s">
        <v>33</v>
      </c>
      <c r="B46" s="193" t="s">
        <v>34</v>
      </c>
      <c r="C46" s="691"/>
      <c r="D46" s="225"/>
      <c r="E46" s="226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8"/>
      <c r="AI46" s="29"/>
      <c r="AJ46" s="33">
        <f t="shared" si="6"/>
        <v>0</v>
      </c>
      <c r="AK46" s="29"/>
      <c r="AL46" s="33">
        <f t="shared" si="16"/>
        <v>0</v>
      </c>
      <c r="AM46" s="29"/>
      <c r="AN46" s="33">
        <f t="shared" si="17"/>
        <v>0</v>
      </c>
      <c r="AO46" s="108"/>
      <c r="AP46" s="33">
        <f t="shared" si="18"/>
        <v>0</v>
      </c>
      <c r="AQ46" s="108"/>
      <c r="AR46" s="33">
        <f t="shared" si="19"/>
        <v>0</v>
      </c>
      <c r="AS46" s="29"/>
      <c r="AT46" s="33">
        <f t="shared" si="14"/>
        <v>0</v>
      </c>
      <c r="AV46" s="33">
        <f>ATTACH!AL20</f>
        <v>0</v>
      </c>
      <c r="AX46" s="27">
        <f t="shared" si="15"/>
        <v>0</v>
      </c>
      <c r="BA46" s="31"/>
      <c r="BB46" s="31"/>
      <c r="BC46" s="31"/>
      <c r="BD46" s="31"/>
      <c r="BE46" s="31"/>
    </row>
    <row r="47" spans="1:57" x14ac:dyDescent="0.25">
      <c r="A47" s="28" t="s">
        <v>35</v>
      </c>
      <c r="B47" s="193" t="s">
        <v>36</v>
      </c>
      <c r="C47" s="224"/>
      <c r="D47" s="225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9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30"/>
      <c r="AE47" s="226"/>
      <c r="AF47" s="226"/>
      <c r="AG47" s="226"/>
      <c r="AH47" s="228"/>
      <c r="AI47" s="29"/>
      <c r="AJ47" s="33">
        <f t="shared" si="6"/>
        <v>0</v>
      </c>
      <c r="AK47" s="29"/>
      <c r="AL47" s="33">
        <f t="shared" si="16"/>
        <v>0</v>
      </c>
      <c r="AM47" s="29"/>
      <c r="AN47" s="33">
        <f t="shared" si="17"/>
        <v>0</v>
      </c>
      <c r="AO47" s="108"/>
      <c r="AP47" s="33">
        <f t="shared" si="18"/>
        <v>0</v>
      </c>
      <c r="AQ47" s="108"/>
      <c r="AR47" s="33">
        <f t="shared" si="19"/>
        <v>0</v>
      </c>
      <c r="AS47" s="29"/>
      <c r="AT47" s="33">
        <f t="shared" si="14"/>
        <v>0</v>
      </c>
      <c r="AV47" s="33">
        <f>ATTACH!AL21</f>
        <v>0</v>
      </c>
      <c r="AX47" s="27">
        <f t="shared" si="15"/>
        <v>0</v>
      </c>
      <c r="BA47" s="31"/>
      <c r="BB47" s="31"/>
      <c r="BC47" s="31"/>
      <c r="BD47" s="31"/>
      <c r="BE47" s="31"/>
    </row>
    <row r="48" spans="1:57" x14ac:dyDescent="0.25">
      <c r="A48" s="28" t="s">
        <v>37</v>
      </c>
      <c r="B48" s="35" t="s">
        <v>151</v>
      </c>
      <c r="C48" s="224"/>
      <c r="D48" s="225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48"/>
      <c r="Y48" s="226"/>
      <c r="Z48" s="226"/>
      <c r="AA48" s="226"/>
      <c r="AB48" s="226"/>
      <c r="AC48" s="226"/>
      <c r="AD48" s="226"/>
      <c r="AE48" s="226"/>
      <c r="AF48" s="226"/>
      <c r="AG48" s="226"/>
      <c r="AH48" s="228"/>
      <c r="AI48" s="29"/>
      <c r="AJ48" s="33">
        <f t="shared" si="6"/>
        <v>0</v>
      </c>
      <c r="AK48" s="29"/>
      <c r="AL48" s="33">
        <f t="shared" si="16"/>
        <v>0</v>
      </c>
      <c r="AM48" s="29"/>
      <c r="AN48" s="33">
        <f t="shared" si="17"/>
        <v>0</v>
      </c>
      <c r="AO48" s="108"/>
      <c r="AP48" s="33">
        <f t="shared" si="18"/>
        <v>0</v>
      </c>
      <c r="AQ48" s="108"/>
      <c r="AR48" s="33">
        <f t="shared" si="19"/>
        <v>0</v>
      </c>
      <c r="AS48" s="29"/>
      <c r="AT48" s="33">
        <f t="shared" si="14"/>
        <v>0</v>
      </c>
      <c r="AV48" s="33">
        <f>ATTACH!AL22</f>
        <v>0</v>
      </c>
      <c r="AX48" s="27">
        <f t="shared" si="15"/>
        <v>0</v>
      </c>
      <c r="BA48" s="31"/>
      <c r="BB48" s="31"/>
      <c r="BC48" s="31"/>
      <c r="BD48" s="31"/>
      <c r="BE48" s="31"/>
    </row>
    <row r="49" spans="1:57" ht="15.75" customHeight="1" x14ac:dyDescent="0.25">
      <c r="A49" s="28" t="s">
        <v>40</v>
      </c>
      <c r="B49" s="193" t="s">
        <v>41</v>
      </c>
      <c r="C49" s="224"/>
      <c r="D49" s="225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8"/>
      <c r="AI49" s="29"/>
      <c r="AJ49" s="33">
        <f t="shared" si="6"/>
        <v>0</v>
      </c>
      <c r="AK49" s="29"/>
      <c r="AL49" s="33">
        <f t="shared" si="16"/>
        <v>0</v>
      </c>
      <c r="AM49" s="29"/>
      <c r="AN49" s="33">
        <f t="shared" si="17"/>
        <v>0</v>
      </c>
      <c r="AO49" s="108"/>
      <c r="AP49" s="33">
        <f t="shared" si="18"/>
        <v>0</v>
      </c>
      <c r="AQ49" s="108"/>
      <c r="AR49" s="33">
        <f t="shared" si="19"/>
        <v>0</v>
      </c>
      <c r="AS49" s="29"/>
      <c r="AT49" s="33">
        <f t="shared" si="14"/>
        <v>0</v>
      </c>
      <c r="AV49" s="33">
        <f>ATTACH!AL30</f>
        <v>0</v>
      </c>
      <c r="AX49" s="27">
        <f t="shared" si="15"/>
        <v>0</v>
      </c>
      <c r="BA49" s="31"/>
      <c r="BB49" s="31"/>
      <c r="BC49" s="31"/>
      <c r="BD49" s="31"/>
      <c r="BE49" s="31"/>
    </row>
    <row r="50" spans="1:57" x14ac:dyDescent="0.25">
      <c r="A50" s="28" t="s">
        <v>42</v>
      </c>
      <c r="B50" s="193" t="s">
        <v>43</v>
      </c>
      <c r="C50" s="253"/>
      <c r="D50" s="225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31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8"/>
      <c r="AI50" s="29"/>
      <c r="AJ50" s="33">
        <f t="shared" si="6"/>
        <v>0</v>
      </c>
      <c r="AK50" s="29"/>
      <c r="AL50" s="33">
        <f t="shared" si="16"/>
        <v>0</v>
      </c>
      <c r="AM50" s="29"/>
      <c r="AN50" s="33">
        <f t="shared" si="17"/>
        <v>0</v>
      </c>
      <c r="AO50" s="108"/>
      <c r="AP50" s="33">
        <f t="shared" si="18"/>
        <v>0</v>
      </c>
      <c r="AQ50" s="108"/>
      <c r="AR50" s="33">
        <f t="shared" si="19"/>
        <v>0</v>
      </c>
      <c r="AS50" s="29"/>
      <c r="AT50" s="33">
        <f t="shared" si="14"/>
        <v>0</v>
      </c>
      <c r="AV50" s="33">
        <f>ATTACH!AL33</f>
        <v>0</v>
      </c>
      <c r="AX50" s="27">
        <f t="shared" si="15"/>
        <v>0</v>
      </c>
      <c r="BA50" s="31"/>
      <c r="BB50" s="31"/>
      <c r="BC50" s="31"/>
      <c r="BD50" s="31"/>
      <c r="BE50" s="31"/>
    </row>
    <row r="51" spans="1:57" x14ac:dyDescent="0.25">
      <c r="A51" s="28" t="s">
        <v>46</v>
      </c>
      <c r="B51" s="193" t="s">
        <v>47</v>
      </c>
      <c r="C51" s="845"/>
      <c r="D51" s="225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33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8"/>
      <c r="AI51" s="29"/>
      <c r="AJ51" s="33">
        <f t="shared" si="6"/>
        <v>0</v>
      </c>
      <c r="AK51" s="29"/>
      <c r="AL51" s="33">
        <f t="shared" si="16"/>
        <v>0</v>
      </c>
      <c r="AM51" s="29"/>
      <c r="AN51" s="33">
        <f t="shared" si="17"/>
        <v>0</v>
      </c>
      <c r="AO51" s="108"/>
      <c r="AP51" s="33">
        <f t="shared" si="18"/>
        <v>0</v>
      </c>
      <c r="AQ51" s="108"/>
      <c r="AR51" s="33">
        <f t="shared" si="19"/>
        <v>0</v>
      </c>
      <c r="AS51" s="29"/>
      <c r="AT51" s="33">
        <f t="shared" si="14"/>
        <v>0</v>
      </c>
      <c r="AV51" s="33">
        <f>ATTACH!AL35</f>
        <v>0</v>
      </c>
      <c r="AX51" s="27">
        <f t="shared" si="15"/>
        <v>0</v>
      </c>
      <c r="BA51" s="31"/>
      <c r="BB51" s="31"/>
      <c r="BC51" s="31"/>
      <c r="BD51" s="31"/>
      <c r="BE51" s="31"/>
    </row>
    <row r="52" spans="1:57" x14ac:dyDescent="0.25">
      <c r="A52" s="28" t="s">
        <v>48</v>
      </c>
      <c r="B52" s="193" t="s">
        <v>49</v>
      </c>
      <c r="C52" s="224"/>
      <c r="D52" s="225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31"/>
      <c r="AG52" s="226"/>
      <c r="AH52" s="228"/>
      <c r="AI52" s="29"/>
      <c r="AJ52" s="33">
        <f t="shared" si="6"/>
        <v>0</v>
      </c>
      <c r="AK52" s="29"/>
      <c r="AL52" s="33">
        <f t="shared" si="16"/>
        <v>0</v>
      </c>
      <c r="AM52" s="29"/>
      <c r="AN52" s="33">
        <f t="shared" si="17"/>
        <v>0</v>
      </c>
      <c r="AO52" s="108"/>
      <c r="AP52" s="33">
        <f t="shared" si="18"/>
        <v>0</v>
      </c>
      <c r="AQ52" s="108"/>
      <c r="AR52" s="33">
        <f t="shared" si="19"/>
        <v>0</v>
      </c>
      <c r="AS52" s="29"/>
      <c r="AT52" s="33">
        <f t="shared" si="14"/>
        <v>0</v>
      </c>
      <c r="AV52" s="33">
        <f>ATTACH!AL36</f>
        <v>0</v>
      </c>
      <c r="AX52" s="27">
        <f t="shared" si="15"/>
        <v>0</v>
      </c>
      <c r="BA52" s="31"/>
      <c r="BB52" s="31"/>
      <c r="BC52" s="31"/>
      <c r="BD52" s="31"/>
      <c r="BE52" s="31"/>
    </row>
    <row r="53" spans="1:57" x14ac:dyDescent="0.25">
      <c r="A53" s="28" t="s">
        <v>50</v>
      </c>
      <c r="B53" s="193" t="s">
        <v>51</v>
      </c>
      <c r="C53" s="234"/>
      <c r="D53" s="225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8"/>
      <c r="AI53" s="29"/>
      <c r="AJ53" s="33">
        <f t="shared" si="6"/>
        <v>0</v>
      </c>
      <c r="AK53" s="29"/>
      <c r="AL53" s="33">
        <f t="shared" si="16"/>
        <v>0</v>
      </c>
      <c r="AM53" s="29"/>
      <c r="AN53" s="33">
        <f t="shared" si="17"/>
        <v>0</v>
      </c>
      <c r="AO53" s="108"/>
      <c r="AP53" s="33">
        <f t="shared" si="18"/>
        <v>0</v>
      </c>
      <c r="AQ53" s="108"/>
      <c r="AR53" s="33">
        <f t="shared" si="19"/>
        <v>0</v>
      </c>
      <c r="AS53" s="29"/>
      <c r="AT53" s="33">
        <f t="shared" si="14"/>
        <v>0</v>
      </c>
      <c r="AV53" s="33" t="e">
        <f>ATTACH!#REF!</f>
        <v>#REF!</v>
      </c>
      <c r="AX53" s="27" t="e">
        <f t="shared" si="15"/>
        <v>#REF!</v>
      </c>
      <c r="BA53" s="31"/>
      <c r="BB53" s="31"/>
      <c r="BC53" s="31"/>
      <c r="BD53" s="31"/>
      <c r="BE53" s="31"/>
    </row>
    <row r="54" spans="1:57" x14ac:dyDescent="0.25">
      <c r="A54" s="28" t="s">
        <v>52</v>
      </c>
      <c r="B54" s="193" t="s">
        <v>160</v>
      </c>
      <c r="C54" s="224"/>
      <c r="D54" s="225"/>
      <c r="E54" s="226"/>
      <c r="F54" s="231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593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35"/>
      <c r="AG54" s="226"/>
      <c r="AH54" s="228"/>
      <c r="AI54" s="29"/>
      <c r="AJ54" s="33">
        <f t="shared" si="6"/>
        <v>0</v>
      </c>
      <c r="AK54" s="29"/>
      <c r="AL54" s="33">
        <f t="shared" si="16"/>
        <v>0</v>
      </c>
      <c r="AM54" s="29"/>
      <c r="AN54" s="33">
        <f t="shared" si="17"/>
        <v>0</v>
      </c>
      <c r="AO54" s="108"/>
      <c r="AP54" s="33">
        <f t="shared" si="18"/>
        <v>0</v>
      </c>
      <c r="AQ54" s="108"/>
      <c r="AR54" s="33">
        <f t="shared" si="19"/>
        <v>0</v>
      </c>
      <c r="AS54" s="29"/>
      <c r="AT54" s="33">
        <f t="shared" si="14"/>
        <v>0</v>
      </c>
      <c r="AV54" s="33">
        <f>ATTACH!AL38</f>
        <v>0</v>
      </c>
      <c r="AX54" s="27">
        <f t="shared" si="15"/>
        <v>0</v>
      </c>
      <c r="BA54" s="31"/>
      <c r="BB54" s="31"/>
      <c r="BC54" s="31"/>
      <c r="BD54" s="31"/>
      <c r="BE54" s="31"/>
    </row>
    <row r="55" spans="1:57" x14ac:dyDescent="0.25">
      <c r="A55" s="28" t="s">
        <v>53</v>
      </c>
      <c r="B55" s="193" t="s">
        <v>54</v>
      </c>
      <c r="C55" s="845"/>
      <c r="D55" s="225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8"/>
      <c r="AI55" s="29"/>
      <c r="AJ55" s="33">
        <f t="shared" si="6"/>
        <v>0</v>
      </c>
      <c r="AK55" s="29"/>
      <c r="AL55" s="33">
        <f t="shared" si="16"/>
        <v>0</v>
      </c>
      <c r="AM55" s="29"/>
      <c r="AN55" s="33">
        <f t="shared" si="17"/>
        <v>0</v>
      </c>
      <c r="AO55" s="108"/>
      <c r="AP55" s="33">
        <f t="shared" si="18"/>
        <v>0</v>
      </c>
      <c r="AQ55" s="108"/>
      <c r="AR55" s="33">
        <f t="shared" si="19"/>
        <v>0</v>
      </c>
      <c r="AS55" s="29"/>
      <c r="AT55" s="33">
        <f t="shared" si="14"/>
        <v>0</v>
      </c>
      <c r="AV55" s="33">
        <f>ATTACH!AL39</f>
        <v>0</v>
      </c>
      <c r="AX55" s="27">
        <f t="shared" si="15"/>
        <v>0</v>
      </c>
      <c r="BA55" s="31"/>
      <c r="BB55" s="31"/>
      <c r="BC55" s="31"/>
      <c r="BD55" s="31"/>
      <c r="BE55" s="31"/>
    </row>
    <row r="56" spans="1:57" x14ac:dyDescent="0.25">
      <c r="A56" s="28" t="s">
        <v>55</v>
      </c>
      <c r="B56" s="193" t="s">
        <v>56</v>
      </c>
      <c r="C56" s="224"/>
      <c r="D56" s="225"/>
      <c r="E56" s="226"/>
      <c r="F56" s="235"/>
      <c r="G56" s="226"/>
      <c r="H56" s="226"/>
      <c r="I56" s="226"/>
      <c r="J56" s="226"/>
      <c r="K56" s="229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8"/>
      <c r="AI56" s="29"/>
      <c r="AJ56" s="33">
        <f t="shared" si="6"/>
        <v>0</v>
      </c>
      <c r="AK56" s="29"/>
      <c r="AL56" s="33">
        <f t="shared" si="16"/>
        <v>0</v>
      </c>
      <c r="AM56" s="29"/>
      <c r="AN56" s="33">
        <f t="shared" si="17"/>
        <v>0</v>
      </c>
      <c r="AO56" s="108"/>
      <c r="AP56" s="33">
        <f t="shared" si="18"/>
        <v>0</v>
      </c>
      <c r="AQ56" s="108"/>
      <c r="AR56" s="33">
        <f t="shared" si="19"/>
        <v>0</v>
      </c>
      <c r="AS56" s="29"/>
      <c r="AT56" s="33">
        <f t="shared" si="14"/>
        <v>0</v>
      </c>
      <c r="AV56" s="33">
        <f>ATTACH!AL40</f>
        <v>0</v>
      </c>
      <c r="AX56" s="27">
        <f t="shared" si="15"/>
        <v>0</v>
      </c>
      <c r="BA56" s="31"/>
      <c r="BB56" s="31"/>
      <c r="BC56" s="31"/>
      <c r="BD56" s="31"/>
      <c r="BE56" s="31"/>
    </row>
    <row r="57" spans="1:57" x14ac:dyDescent="0.25">
      <c r="A57" s="28" t="s">
        <v>59</v>
      </c>
      <c r="B57" s="193" t="s">
        <v>60</v>
      </c>
      <c r="C57" s="224"/>
      <c r="D57" s="225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8"/>
      <c r="AI57" s="29"/>
      <c r="AJ57" s="33">
        <f t="shared" si="6"/>
        <v>0</v>
      </c>
      <c r="AK57" s="29"/>
      <c r="AL57" s="33">
        <f t="shared" si="16"/>
        <v>0</v>
      </c>
      <c r="AM57" s="29"/>
      <c r="AN57" s="33">
        <f t="shared" si="17"/>
        <v>0</v>
      </c>
      <c r="AO57" s="108"/>
      <c r="AP57" s="33">
        <f t="shared" si="18"/>
        <v>0</v>
      </c>
      <c r="AQ57" s="108"/>
      <c r="AR57" s="33">
        <f t="shared" si="19"/>
        <v>0</v>
      </c>
      <c r="AS57" s="29"/>
      <c r="AT57" s="33">
        <f t="shared" si="14"/>
        <v>0</v>
      </c>
      <c r="AV57" s="33">
        <f>ATTACH!AL42</f>
        <v>0</v>
      </c>
      <c r="AX57" s="27">
        <f t="shared" si="15"/>
        <v>0</v>
      </c>
      <c r="BA57" s="31"/>
      <c r="BB57" s="31"/>
      <c r="BC57" s="31"/>
      <c r="BD57" s="31"/>
      <c r="BE57" s="31"/>
    </row>
    <row r="58" spans="1:57" x14ac:dyDescent="0.25">
      <c r="A58" s="28" t="s">
        <v>64</v>
      </c>
      <c r="B58" s="193" t="s">
        <v>65</v>
      </c>
      <c r="C58" s="234"/>
      <c r="D58" s="225"/>
      <c r="E58" s="226"/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38"/>
      <c r="Z58" s="226"/>
      <c r="AA58" s="226"/>
      <c r="AB58" s="226"/>
      <c r="AC58" s="226"/>
      <c r="AD58" s="226"/>
      <c r="AE58" s="226"/>
      <c r="AF58" s="226"/>
      <c r="AG58" s="226"/>
      <c r="AH58" s="228"/>
      <c r="AI58" s="29"/>
      <c r="AJ58" s="33">
        <f t="shared" si="6"/>
        <v>0</v>
      </c>
      <c r="AK58" s="29"/>
      <c r="AL58" s="33">
        <f t="shared" si="16"/>
        <v>0</v>
      </c>
      <c r="AM58" s="29"/>
      <c r="AN58" s="33">
        <f t="shared" si="17"/>
        <v>0</v>
      </c>
      <c r="AO58" s="108"/>
      <c r="AP58" s="33">
        <f t="shared" si="18"/>
        <v>0</v>
      </c>
      <c r="AQ58" s="108"/>
      <c r="AR58" s="33">
        <f t="shared" si="19"/>
        <v>0</v>
      </c>
      <c r="AS58" s="29"/>
      <c r="AT58" s="33">
        <f t="shared" si="14"/>
        <v>0</v>
      </c>
      <c r="AV58" s="33">
        <f>ATTACH!AL50</f>
        <v>0</v>
      </c>
      <c r="AX58" s="27">
        <f t="shared" si="15"/>
        <v>0</v>
      </c>
      <c r="BA58" s="31"/>
      <c r="BB58" s="31"/>
      <c r="BC58" s="31"/>
      <c r="BD58" s="31"/>
      <c r="BE58" s="31"/>
    </row>
    <row r="59" spans="1:57" x14ac:dyDescent="0.25">
      <c r="A59" s="567" t="s">
        <v>4824</v>
      </c>
      <c r="B59" s="195" t="s">
        <v>4825</v>
      </c>
      <c r="C59" s="569"/>
      <c r="D59" s="442"/>
      <c r="E59" s="442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568"/>
      <c r="AI59" s="29"/>
      <c r="AJ59" s="33">
        <f>D59+E59+F59+G59+H59+I59+J59+C59</f>
        <v>0</v>
      </c>
      <c r="AK59" s="29"/>
      <c r="AL59" s="33">
        <f>K59+L59+M59+N59+O59+P59+Q59</f>
        <v>0</v>
      </c>
      <c r="AM59" s="29"/>
      <c r="AN59" s="33">
        <f>R59+S59+T59+U59+V59+W59+X59</f>
        <v>0</v>
      </c>
      <c r="AO59" s="108"/>
      <c r="AP59" s="33">
        <f>Y59+Z59+AA59+AB59+AC59+AD59+AE59</f>
        <v>0</v>
      </c>
      <c r="AQ59" s="108"/>
      <c r="AR59" s="33">
        <f>AF59+AG59+AH59</f>
        <v>0</v>
      </c>
      <c r="AS59" s="29"/>
      <c r="AT59" s="33">
        <f>AJ59+AL59+AN59+AP59+AR59</f>
        <v>0</v>
      </c>
      <c r="AV59" s="33">
        <f>ATTACH!AL59</f>
        <v>207705000</v>
      </c>
      <c r="AX59" s="441"/>
      <c r="BA59" s="31"/>
      <c r="BB59" s="31"/>
      <c r="BC59" s="31"/>
      <c r="BD59" s="31"/>
      <c r="BE59" s="31"/>
    </row>
    <row r="60" spans="1:57" x14ac:dyDescent="0.25">
      <c r="A60" s="32" t="s">
        <v>126</v>
      </c>
      <c r="B60" s="193" t="s">
        <v>72</v>
      </c>
      <c r="C60" s="224"/>
      <c r="D60" s="225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7"/>
      <c r="AI60" s="29"/>
      <c r="AJ60" s="33">
        <f t="shared" si="6"/>
        <v>0</v>
      </c>
      <c r="AK60" s="29"/>
      <c r="AL60" s="33">
        <f t="shared" si="16"/>
        <v>0</v>
      </c>
      <c r="AM60" s="29"/>
      <c r="AN60" s="33">
        <f t="shared" si="17"/>
        <v>0</v>
      </c>
      <c r="AO60" s="108"/>
      <c r="AP60" s="33">
        <f t="shared" si="18"/>
        <v>0</v>
      </c>
      <c r="AQ60" s="108"/>
      <c r="AR60" s="33">
        <f t="shared" si="19"/>
        <v>0</v>
      </c>
      <c r="AS60" s="29"/>
      <c r="AT60" s="33">
        <f t="shared" si="14"/>
        <v>0</v>
      </c>
      <c r="AV60" s="33">
        <f>ATTACH!AL52</f>
        <v>0</v>
      </c>
      <c r="AX60" s="27">
        <f t="shared" si="15"/>
        <v>0</v>
      </c>
      <c r="BA60" s="31"/>
      <c r="BB60" s="31"/>
      <c r="BC60" s="31"/>
      <c r="BD60" s="31"/>
      <c r="BE60" s="31"/>
    </row>
    <row r="61" spans="1:57" x14ac:dyDescent="0.25">
      <c r="A61" s="28" t="s">
        <v>66</v>
      </c>
      <c r="B61" s="193" t="s">
        <v>67</v>
      </c>
      <c r="C61" s="224"/>
      <c r="D61" s="239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433"/>
      <c r="Y61" s="241"/>
      <c r="Z61" s="240"/>
      <c r="AA61" s="240"/>
      <c r="AB61" s="240"/>
      <c r="AC61" s="240"/>
      <c r="AD61" s="240"/>
      <c r="AE61" s="240"/>
      <c r="AF61" s="240"/>
      <c r="AG61" s="240"/>
      <c r="AH61" s="245"/>
      <c r="AI61" s="29"/>
      <c r="AJ61" s="33">
        <f t="shared" si="6"/>
        <v>0</v>
      </c>
      <c r="AK61" s="29"/>
      <c r="AL61" s="33">
        <f t="shared" si="16"/>
        <v>0</v>
      </c>
      <c r="AM61" s="29"/>
      <c r="AN61" s="33">
        <f t="shared" si="17"/>
        <v>0</v>
      </c>
      <c r="AO61" s="108"/>
      <c r="AP61" s="33">
        <f t="shared" si="18"/>
        <v>0</v>
      </c>
      <c r="AQ61" s="108"/>
      <c r="AR61" s="33">
        <f t="shared" si="19"/>
        <v>0</v>
      </c>
      <c r="AS61" s="29"/>
      <c r="AT61" s="33">
        <f t="shared" si="14"/>
        <v>0</v>
      </c>
      <c r="AV61" s="33">
        <f>ATTACH!AL53</f>
        <v>0</v>
      </c>
      <c r="AX61" s="27">
        <f t="shared" si="15"/>
        <v>0</v>
      </c>
      <c r="BA61" s="31"/>
      <c r="BB61" s="31"/>
      <c r="BC61" s="31"/>
      <c r="BD61" s="31"/>
      <c r="BE61" s="31"/>
    </row>
    <row r="62" spans="1:57" x14ac:dyDescent="0.25">
      <c r="A62" s="32" t="s">
        <v>127</v>
      </c>
      <c r="B62" s="193" t="s">
        <v>73</v>
      </c>
      <c r="C62" s="224"/>
      <c r="D62" s="225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7"/>
      <c r="AI62" s="29"/>
      <c r="AJ62" s="33">
        <f t="shared" si="6"/>
        <v>0</v>
      </c>
      <c r="AK62" s="29"/>
      <c r="AL62" s="33">
        <f t="shared" si="16"/>
        <v>0</v>
      </c>
      <c r="AM62" s="29"/>
      <c r="AN62" s="33">
        <f t="shared" si="17"/>
        <v>0</v>
      </c>
      <c r="AO62" s="108"/>
      <c r="AP62" s="33">
        <f t="shared" si="18"/>
        <v>0</v>
      </c>
      <c r="AQ62" s="108"/>
      <c r="AR62" s="33">
        <f t="shared" si="19"/>
        <v>0</v>
      </c>
      <c r="AS62" s="29"/>
      <c r="AT62" s="33">
        <f t="shared" si="14"/>
        <v>0</v>
      </c>
      <c r="AV62" s="33">
        <f>ATTACH!AL54</f>
        <v>98153584</v>
      </c>
      <c r="AX62" s="27">
        <f t="shared" si="15"/>
        <v>98153584</v>
      </c>
      <c r="BA62" s="31"/>
      <c r="BB62" s="31"/>
      <c r="BC62" s="31"/>
      <c r="BD62" s="31"/>
      <c r="BE62" s="31"/>
    </row>
    <row r="63" spans="1:57" x14ac:dyDescent="0.25">
      <c r="A63" s="32" t="s">
        <v>155</v>
      </c>
      <c r="B63" s="193"/>
      <c r="C63" s="569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2"/>
      <c r="O63" s="442"/>
      <c r="P63" s="442"/>
      <c r="Q63" s="442"/>
      <c r="R63" s="442"/>
      <c r="S63" s="442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7"/>
      <c r="AI63" s="29"/>
      <c r="AJ63" s="33">
        <f t="shared" si="6"/>
        <v>0</v>
      </c>
      <c r="AK63" s="29"/>
      <c r="AL63" s="33">
        <f t="shared" si="16"/>
        <v>0</v>
      </c>
      <c r="AM63" s="29"/>
      <c r="AN63" s="33">
        <f t="shared" si="17"/>
        <v>0</v>
      </c>
      <c r="AO63" s="108"/>
      <c r="AP63" s="33">
        <f t="shared" si="18"/>
        <v>0</v>
      </c>
      <c r="AQ63" s="108"/>
      <c r="AR63" s="33">
        <f t="shared" si="19"/>
        <v>0</v>
      </c>
      <c r="AS63" s="29"/>
      <c r="AT63" s="33">
        <f t="shared" si="14"/>
        <v>0</v>
      </c>
      <c r="AV63" s="33">
        <f>ATTACH!AL56</f>
        <v>0</v>
      </c>
      <c r="AX63" s="27">
        <f t="shared" si="15"/>
        <v>0</v>
      </c>
      <c r="BA63" s="31"/>
      <c r="BB63" s="31"/>
      <c r="BC63" s="31"/>
      <c r="BD63" s="31"/>
      <c r="BE63" s="31"/>
    </row>
    <row r="64" spans="1:57" x14ac:dyDescent="0.25">
      <c r="A64" s="587" t="s">
        <v>4910</v>
      </c>
      <c r="B64" s="193"/>
      <c r="C64" s="594"/>
      <c r="D64" s="225"/>
      <c r="E64" s="442"/>
      <c r="F64" s="442"/>
      <c r="G64" s="442"/>
      <c r="H64" s="442"/>
      <c r="I64" s="442"/>
      <c r="J64" s="442"/>
      <c r="K64" s="442"/>
      <c r="L64" s="442"/>
      <c r="M64" s="442"/>
      <c r="N64" s="442"/>
      <c r="O64" s="442"/>
      <c r="P64" s="442"/>
      <c r="Q64" s="442"/>
      <c r="R64" s="442"/>
      <c r="S64" s="442"/>
      <c r="T64" s="442"/>
      <c r="U64" s="442"/>
      <c r="V64" s="442"/>
      <c r="W64" s="442"/>
      <c r="X64" s="442"/>
      <c r="Y64" s="442"/>
      <c r="Z64" s="442"/>
      <c r="AA64" s="442"/>
      <c r="AB64" s="442"/>
      <c r="AC64" s="442"/>
      <c r="AD64" s="442"/>
      <c r="AE64" s="442"/>
      <c r="AF64" s="442"/>
      <c r="AG64" s="442"/>
      <c r="AH64" s="588"/>
      <c r="AI64" s="29"/>
      <c r="AJ64" s="586"/>
      <c r="AK64" s="29"/>
      <c r="AL64" s="586"/>
      <c r="AM64" s="29"/>
      <c r="AN64" s="586"/>
      <c r="AO64" s="108"/>
      <c r="AP64" s="586"/>
      <c r="AQ64" s="108"/>
      <c r="AR64" s="586"/>
      <c r="AS64" s="29"/>
      <c r="AT64" s="586"/>
      <c r="AV64" s="586"/>
      <c r="AX64" s="441"/>
      <c r="BA64" s="31"/>
      <c r="BB64" s="31"/>
      <c r="BC64" s="31"/>
      <c r="BD64" s="31"/>
      <c r="BE64" s="31"/>
    </row>
    <row r="65" spans="1:57" x14ac:dyDescent="0.25">
      <c r="A65" s="28" t="s">
        <v>70</v>
      </c>
      <c r="B65" s="196" t="s">
        <v>71</v>
      </c>
      <c r="C65" s="224"/>
      <c r="D65" s="225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9"/>
      <c r="P65" s="229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7"/>
      <c r="AI65" s="29"/>
      <c r="AJ65" s="27">
        <f>D65+E65+F65+G65+H65+I65+J65+C65</f>
        <v>0</v>
      </c>
      <c r="AK65" s="29"/>
      <c r="AL65" s="27">
        <f>K65+L65+M65+N65+O65+P65+Q65</f>
        <v>0</v>
      </c>
      <c r="AM65" s="29"/>
      <c r="AN65" s="27">
        <f>R65+S65+T65+U65+V65+W65+X65</f>
        <v>0</v>
      </c>
      <c r="AO65" s="29"/>
      <c r="AP65" s="27">
        <f>Y65+Z65+AA65+AB65+AC65+AD65+AE65</f>
        <v>0</v>
      </c>
      <c r="AQ65" s="29"/>
      <c r="AR65" s="27">
        <f>AF65+AG65+AH65</f>
        <v>0</v>
      </c>
      <c r="AS65" s="29"/>
      <c r="AT65" s="27">
        <f t="shared" si="14"/>
        <v>0</v>
      </c>
      <c r="AV65" s="33">
        <f>ATTACH!AL64</f>
        <v>0</v>
      </c>
      <c r="AX65" s="27">
        <f t="shared" si="15"/>
        <v>0</v>
      </c>
      <c r="BA65" s="31"/>
      <c r="BB65" s="31"/>
      <c r="BC65" s="31"/>
      <c r="BD65" s="31"/>
      <c r="BE65" s="31"/>
    </row>
    <row r="66" spans="1:57" x14ac:dyDescent="0.25">
      <c r="A66" s="437" t="s">
        <v>5719</v>
      </c>
      <c r="B66" s="196" t="s">
        <v>5720</v>
      </c>
      <c r="C66" s="224"/>
      <c r="D66" s="225"/>
      <c r="E66" s="442"/>
      <c r="F66" s="442"/>
      <c r="G66" s="442"/>
      <c r="H66" s="442"/>
      <c r="I66" s="442"/>
      <c r="J66" s="442"/>
      <c r="K66" s="442"/>
      <c r="L66" s="442"/>
      <c r="M66" s="442"/>
      <c r="N66" s="442"/>
      <c r="O66" s="443"/>
      <c r="P66" s="443"/>
      <c r="Q66" s="442"/>
      <c r="R66" s="442"/>
      <c r="S66" s="442"/>
      <c r="T66" s="442"/>
      <c r="U66" s="442"/>
      <c r="V66" s="442"/>
      <c r="W66" s="442"/>
      <c r="X66" s="442"/>
      <c r="Y66" s="442"/>
      <c r="Z66" s="442"/>
      <c r="AA66" s="442"/>
      <c r="AB66" s="442"/>
      <c r="AC66" s="442"/>
      <c r="AD66" s="442"/>
      <c r="AE66" s="442"/>
      <c r="AF66" s="442"/>
      <c r="AG66" s="442"/>
      <c r="AH66" s="588"/>
      <c r="AI66" s="29"/>
      <c r="AJ66" s="27">
        <f>D66+E66+F66+G66+H66+I66+J66+C66</f>
        <v>0</v>
      </c>
      <c r="AK66" s="29"/>
      <c r="AL66" s="27">
        <f>K66+L66+M66+N66+O66+P66+Q66</f>
        <v>0</v>
      </c>
      <c r="AM66" s="29"/>
      <c r="AN66" s="27">
        <f>R66+S66+T66+U66+V66+W66+X66</f>
        <v>0</v>
      </c>
      <c r="AO66" s="29"/>
      <c r="AP66" s="27">
        <f>Y66+Z66+AA66+AB66+AC66+AD66+AE66</f>
        <v>0</v>
      </c>
      <c r="AQ66" s="29"/>
      <c r="AR66" s="27">
        <f>AF66+AG66+AH66</f>
        <v>0</v>
      </c>
      <c r="AS66" s="29"/>
      <c r="AT66" s="27">
        <f t="shared" si="14"/>
        <v>0</v>
      </c>
      <c r="AV66" s="33">
        <f>ATTACH!AL65</f>
        <v>0</v>
      </c>
      <c r="AX66" s="27">
        <f t="shared" si="15"/>
        <v>0</v>
      </c>
      <c r="BA66" s="31"/>
      <c r="BB66" s="31"/>
      <c r="BC66" s="31"/>
      <c r="BD66" s="31"/>
      <c r="BE66" s="31"/>
    </row>
    <row r="67" spans="1:57" ht="15.75" thickBot="1" x14ac:dyDescent="0.3">
      <c r="A67" s="32"/>
      <c r="B67" s="197"/>
      <c r="C67" s="224"/>
      <c r="D67" s="225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7"/>
      <c r="AI67" s="29"/>
      <c r="AJ67" s="34"/>
      <c r="AK67" s="29"/>
      <c r="AL67" s="34"/>
      <c r="AM67" s="29"/>
      <c r="AN67" s="34"/>
      <c r="AO67" s="29"/>
      <c r="AP67" s="34"/>
      <c r="AQ67" s="29"/>
      <c r="AR67" s="34"/>
      <c r="AS67" s="29"/>
      <c r="AT67" s="34"/>
      <c r="AV67" s="34"/>
      <c r="AX67" s="34"/>
      <c r="BA67" s="31"/>
      <c r="BB67" s="31"/>
      <c r="BC67" s="31"/>
      <c r="BD67" s="31"/>
      <c r="BE67" s="31"/>
    </row>
    <row r="68" spans="1:57" s="38" customFormat="1" ht="15.75" thickBot="1" x14ac:dyDescent="0.3">
      <c r="A68" s="117"/>
      <c r="B68" s="198" t="s">
        <v>24</v>
      </c>
      <c r="C68" s="206">
        <f>SUM(C41:C66)</f>
        <v>0</v>
      </c>
      <c r="D68" s="206">
        <f t="shared" ref="D68:AH68" si="20">SUM(D41:D66)</f>
        <v>0</v>
      </c>
      <c r="E68" s="206">
        <f t="shared" si="20"/>
        <v>0</v>
      </c>
      <c r="F68" s="206">
        <f t="shared" si="20"/>
        <v>0</v>
      </c>
      <c r="G68" s="206">
        <f t="shared" si="20"/>
        <v>0</v>
      </c>
      <c r="H68" s="206">
        <f t="shared" si="20"/>
        <v>0</v>
      </c>
      <c r="I68" s="206">
        <f t="shared" si="20"/>
        <v>0</v>
      </c>
      <c r="J68" s="206">
        <f t="shared" si="20"/>
        <v>0</v>
      </c>
      <c r="K68" s="206">
        <f t="shared" si="20"/>
        <v>0</v>
      </c>
      <c r="L68" s="206">
        <f t="shared" si="20"/>
        <v>0</v>
      </c>
      <c r="M68" s="206">
        <f t="shared" si="20"/>
        <v>0</v>
      </c>
      <c r="N68" s="206">
        <f t="shared" si="20"/>
        <v>0</v>
      </c>
      <c r="O68" s="206">
        <f t="shared" si="20"/>
        <v>0</v>
      </c>
      <c r="P68" s="206">
        <f t="shared" si="20"/>
        <v>0</v>
      </c>
      <c r="Q68" s="206">
        <f t="shared" si="20"/>
        <v>0</v>
      </c>
      <c r="R68" s="206">
        <f t="shared" si="20"/>
        <v>0</v>
      </c>
      <c r="S68" s="206">
        <f t="shared" si="20"/>
        <v>0</v>
      </c>
      <c r="T68" s="206">
        <f t="shared" si="20"/>
        <v>0</v>
      </c>
      <c r="U68" s="206">
        <f t="shared" si="20"/>
        <v>0</v>
      </c>
      <c r="V68" s="206">
        <f t="shared" si="20"/>
        <v>0</v>
      </c>
      <c r="W68" s="206">
        <f t="shared" si="20"/>
        <v>0</v>
      </c>
      <c r="X68" s="206">
        <f t="shared" si="20"/>
        <v>0</v>
      </c>
      <c r="Y68" s="206">
        <f t="shared" si="20"/>
        <v>0</v>
      </c>
      <c r="Z68" s="206">
        <f t="shared" si="20"/>
        <v>0</v>
      </c>
      <c r="AA68" s="206">
        <f t="shared" si="20"/>
        <v>0</v>
      </c>
      <c r="AB68" s="206">
        <f t="shared" si="20"/>
        <v>0</v>
      </c>
      <c r="AC68" s="206">
        <f t="shared" si="20"/>
        <v>0</v>
      </c>
      <c r="AD68" s="206">
        <f t="shared" si="20"/>
        <v>0</v>
      </c>
      <c r="AE68" s="206">
        <f t="shared" si="20"/>
        <v>0</v>
      </c>
      <c r="AF68" s="206">
        <f t="shared" si="20"/>
        <v>0</v>
      </c>
      <c r="AG68" s="206">
        <f t="shared" si="20"/>
        <v>0</v>
      </c>
      <c r="AH68" s="206">
        <f t="shared" si="20"/>
        <v>0</v>
      </c>
      <c r="AI68" s="36">
        <f>SUM(AI41:AI58)</f>
        <v>0</v>
      </c>
      <c r="AJ68" s="118">
        <f>SUM(AJ41:AJ65)</f>
        <v>0</v>
      </c>
      <c r="AK68" s="37"/>
      <c r="AL68" s="118">
        <f>SUM(AL41:AL66)</f>
        <v>0</v>
      </c>
      <c r="AM68" s="44"/>
      <c r="AN68" s="118">
        <f t="shared" ref="AN68:AV68" si="21">SUM(AN41:AN66)</f>
        <v>0</v>
      </c>
      <c r="AO68" s="44"/>
      <c r="AP68" s="118">
        <f t="shared" si="21"/>
        <v>0</v>
      </c>
      <c r="AQ68" s="44"/>
      <c r="AR68" s="118">
        <f t="shared" si="21"/>
        <v>0</v>
      </c>
      <c r="AS68" s="44"/>
      <c r="AT68" s="118">
        <f t="shared" si="21"/>
        <v>0</v>
      </c>
      <c r="AU68" s="30"/>
      <c r="AV68" s="118" t="e">
        <f t="shared" si="21"/>
        <v>#REF!</v>
      </c>
      <c r="AW68" s="39"/>
      <c r="AX68" s="118" t="e">
        <f>SUM(AX31:AX66)</f>
        <v>#REF!</v>
      </c>
      <c r="AY68" s="39"/>
      <c r="AZ68" s="39"/>
      <c r="BA68" s="39"/>
      <c r="BB68" s="39"/>
      <c r="BC68" s="39"/>
      <c r="BD68" s="39"/>
      <c r="BE68" s="39"/>
    </row>
    <row r="69" spans="1:57" hidden="1" x14ac:dyDescent="0.25">
      <c r="A69" s="40" t="s">
        <v>75</v>
      </c>
      <c r="B69" s="41"/>
      <c r="C69" s="41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3"/>
      <c r="AI69" s="44"/>
      <c r="AJ69" s="42">
        <f t="shared" ref="AJ69:AJ97" si="22">D69+E69+F69+G69+H69+I69+J69</f>
        <v>0</v>
      </c>
      <c r="AK69" s="44"/>
      <c r="AL69" s="42">
        <f t="shared" ref="AL69:AL97" si="23">K69+L69+M69+N69+O69+P69+Q69</f>
        <v>0</v>
      </c>
      <c r="AM69" s="44"/>
      <c r="AN69" s="42">
        <f t="shared" ref="AN69:AN114" si="24">R69+S69+T69+U69+V69+W69+X69</f>
        <v>0</v>
      </c>
      <c r="AO69" s="44"/>
      <c r="AP69" s="42">
        <f t="shared" ref="AP69:AP97" si="25">Y69+Z69+AA69+AB69+AC69+AD69+AE69</f>
        <v>0</v>
      </c>
      <c r="AQ69" s="44"/>
      <c r="AR69" s="42">
        <f t="shared" ref="AR69:AR97" si="26">AF69+AG69+AH69</f>
        <v>0</v>
      </c>
      <c r="AS69" s="44"/>
      <c r="AT69" s="42">
        <f t="shared" ref="AT69:AT97" si="27">AJ69+AL69+AN69+AP69+AR69</f>
        <v>0</v>
      </c>
      <c r="AU69" s="47"/>
      <c r="BA69" s="31"/>
      <c r="BB69" s="31"/>
      <c r="BC69" s="31"/>
      <c r="BD69" s="31"/>
      <c r="BE69" s="31"/>
    </row>
    <row r="70" spans="1:57" hidden="1" x14ac:dyDescent="0.25">
      <c r="A70" s="45" t="s">
        <v>76</v>
      </c>
      <c r="B70" s="46" t="s">
        <v>77</v>
      </c>
      <c r="C70" s="46"/>
      <c r="D70" s="26" t="e">
        <f>#REF!</f>
        <v>#REF!</v>
      </c>
      <c r="E70" s="26" t="e">
        <f>#REF!</f>
        <v>#REF!</v>
      </c>
      <c r="F70" s="26" t="e">
        <f>#REF!</f>
        <v>#REF!</v>
      </c>
      <c r="G70" s="26" t="e">
        <f>#REF!</f>
        <v>#REF!</v>
      </c>
      <c r="H70" s="26" t="e">
        <f>#REF!</f>
        <v>#REF!</v>
      </c>
      <c r="I70" s="26" t="e">
        <f>#REF!</f>
        <v>#REF!</v>
      </c>
      <c r="J70" s="26" t="e">
        <f>#REF!</f>
        <v>#REF!</v>
      </c>
      <c r="K70" s="26" t="e">
        <f>#REF!</f>
        <v>#REF!</v>
      </c>
      <c r="L70" s="26" t="e">
        <f>#REF!</f>
        <v>#REF!</v>
      </c>
      <c r="M70" s="26" t="e">
        <f>#REF!</f>
        <v>#REF!</v>
      </c>
      <c r="N70" s="26" t="e">
        <f>#REF!</f>
        <v>#REF!</v>
      </c>
      <c r="O70" s="26" t="e">
        <f>#REF!</f>
        <v>#REF!</v>
      </c>
      <c r="P70" s="26" t="e">
        <f>#REF!</f>
        <v>#REF!</v>
      </c>
      <c r="Q70" s="26" t="e">
        <f>#REF!</f>
        <v>#REF!</v>
      </c>
      <c r="R70" s="26" t="e">
        <f>#REF!</f>
        <v>#REF!</v>
      </c>
      <c r="S70" s="26" t="e">
        <f>#REF!</f>
        <v>#REF!</v>
      </c>
      <c r="T70" s="26" t="e">
        <f>#REF!</f>
        <v>#REF!</v>
      </c>
      <c r="U70" s="26" t="e">
        <f>#REF!</f>
        <v>#REF!</v>
      </c>
      <c r="V70" s="26" t="e">
        <f>#REF!</f>
        <v>#REF!</v>
      </c>
      <c r="W70" s="26" t="e">
        <f>#REF!</f>
        <v>#REF!</v>
      </c>
      <c r="X70" s="26" t="e">
        <f>#REF!</f>
        <v>#REF!</v>
      </c>
      <c r="Y70" s="26" t="e">
        <f>#REF!</f>
        <v>#REF!</v>
      </c>
      <c r="Z70" s="26" t="e">
        <f>#REF!</f>
        <v>#REF!</v>
      </c>
      <c r="AA70" s="26" t="e">
        <f>#REF!</f>
        <v>#REF!</v>
      </c>
      <c r="AB70" s="26" t="e">
        <f>#REF!</f>
        <v>#REF!</v>
      </c>
      <c r="AC70" s="26" t="e">
        <f>#REF!</f>
        <v>#REF!</v>
      </c>
      <c r="AD70" s="26" t="e">
        <f>#REF!</f>
        <v>#REF!</v>
      </c>
      <c r="AE70" s="26" t="e">
        <f>#REF!</f>
        <v>#REF!</v>
      </c>
      <c r="AF70" s="26" t="e">
        <f>#REF!</f>
        <v>#REF!</v>
      </c>
      <c r="AG70" s="26" t="e">
        <f>#REF!</f>
        <v>#REF!</v>
      </c>
      <c r="AH70" s="26" t="e">
        <f>#REF!</f>
        <v>#REF!</v>
      </c>
      <c r="AI70" s="44"/>
      <c r="AJ70" s="26" t="e">
        <f t="shared" si="22"/>
        <v>#REF!</v>
      </c>
      <c r="AK70" s="44"/>
      <c r="AL70" s="26" t="e">
        <f t="shared" si="23"/>
        <v>#REF!</v>
      </c>
      <c r="AM70" s="44"/>
      <c r="AN70" s="26" t="e">
        <f t="shared" si="24"/>
        <v>#REF!</v>
      </c>
      <c r="AO70" s="44"/>
      <c r="AP70" s="26" t="e">
        <f t="shared" si="25"/>
        <v>#REF!</v>
      </c>
      <c r="AQ70" s="44"/>
      <c r="AR70" s="26" t="e">
        <f t="shared" si="26"/>
        <v>#REF!</v>
      </c>
      <c r="AS70" s="44"/>
      <c r="AT70" s="42" t="e">
        <f t="shared" si="27"/>
        <v>#REF!</v>
      </c>
      <c r="BA70" s="31"/>
      <c r="BB70" s="31"/>
      <c r="BC70" s="31"/>
      <c r="BD70" s="31"/>
      <c r="BE70" s="31"/>
    </row>
    <row r="71" spans="1:57" hidden="1" x14ac:dyDescent="0.25">
      <c r="A71" s="45"/>
      <c r="B71" s="46" t="s">
        <v>78</v>
      </c>
      <c r="C71" s="46"/>
      <c r="D71" s="26" t="e">
        <f>#REF!</f>
        <v>#REF!</v>
      </c>
      <c r="E71" s="26" t="e">
        <f>#REF!</f>
        <v>#REF!</v>
      </c>
      <c r="F71" s="26" t="e">
        <f>#REF!</f>
        <v>#REF!</v>
      </c>
      <c r="G71" s="26" t="e">
        <f>#REF!</f>
        <v>#REF!</v>
      </c>
      <c r="H71" s="26" t="e">
        <f>#REF!</f>
        <v>#REF!</v>
      </c>
      <c r="I71" s="26" t="e">
        <f>#REF!</f>
        <v>#REF!</v>
      </c>
      <c r="J71" s="26" t="e">
        <f>#REF!</f>
        <v>#REF!</v>
      </c>
      <c r="K71" s="26" t="e">
        <f>#REF!</f>
        <v>#REF!</v>
      </c>
      <c r="L71" s="26" t="e">
        <f>#REF!</f>
        <v>#REF!</v>
      </c>
      <c r="M71" s="26" t="e">
        <f>#REF!</f>
        <v>#REF!</v>
      </c>
      <c r="N71" s="26" t="e">
        <f>#REF!</f>
        <v>#REF!</v>
      </c>
      <c r="O71" s="26" t="e">
        <f>#REF!</f>
        <v>#REF!</v>
      </c>
      <c r="P71" s="26" t="e">
        <f>#REF!</f>
        <v>#REF!</v>
      </c>
      <c r="Q71" s="26" t="e">
        <f>#REF!</f>
        <v>#REF!</v>
      </c>
      <c r="R71" s="26" t="e">
        <f>#REF!</f>
        <v>#REF!</v>
      </c>
      <c r="S71" s="26" t="e">
        <f>#REF!</f>
        <v>#REF!</v>
      </c>
      <c r="T71" s="26" t="e">
        <f>#REF!</f>
        <v>#REF!</v>
      </c>
      <c r="U71" s="26" t="e">
        <f>#REF!</f>
        <v>#REF!</v>
      </c>
      <c r="V71" s="26" t="e">
        <f>#REF!</f>
        <v>#REF!</v>
      </c>
      <c r="W71" s="26" t="e">
        <f>#REF!</f>
        <v>#REF!</v>
      </c>
      <c r="X71" s="26" t="e">
        <f>#REF!</f>
        <v>#REF!</v>
      </c>
      <c r="Y71" s="26" t="e">
        <f>#REF!</f>
        <v>#REF!</v>
      </c>
      <c r="Z71" s="26" t="e">
        <f>#REF!</f>
        <v>#REF!</v>
      </c>
      <c r="AA71" s="26" t="e">
        <f>#REF!</f>
        <v>#REF!</v>
      </c>
      <c r="AB71" s="26" t="e">
        <f>#REF!</f>
        <v>#REF!</v>
      </c>
      <c r="AC71" s="26" t="e">
        <f>#REF!</f>
        <v>#REF!</v>
      </c>
      <c r="AD71" s="26" t="e">
        <f>#REF!</f>
        <v>#REF!</v>
      </c>
      <c r="AE71" s="26" t="e">
        <f>#REF!</f>
        <v>#REF!</v>
      </c>
      <c r="AF71" s="26" t="e">
        <f>#REF!</f>
        <v>#REF!</v>
      </c>
      <c r="AG71" s="26" t="e">
        <f>#REF!</f>
        <v>#REF!</v>
      </c>
      <c r="AH71" s="26" t="e">
        <f>#REF!</f>
        <v>#REF!</v>
      </c>
      <c r="AI71" s="44"/>
      <c r="AJ71" s="26" t="e">
        <f t="shared" si="22"/>
        <v>#REF!</v>
      </c>
      <c r="AK71" s="44"/>
      <c r="AL71" s="26" t="e">
        <f t="shared" si="23"/>
        <v>#REF!</v>
      </c>
      <c r="AM71" s="44"/>
      <c r="AN71" s="26" t="e">
        <f t="shared" si="24"/>
        <v>#REF!</v>
      </c>
      <c r="AO71" s="44"/>
      <c r="AP71" s="26" t="e">
        <f t="shared" si="25"/>
        <v>#REF!</v>
      </c>
      <c r="AQ71" s="44"/>
      <c r="AR71" s="26" t="e">
        <f t="shared" si="26"/>
        <v>#REF!</v>
      </c>
      <c r="AS71" s="44"/>
      <c r="AT71" s="42" t="e">
        <f t="shared" si="27"/>
        <v>#REF!</v>
      </c>
      <c r="BA71" s="31"/>
      <c r="BB71" s="31"/>
      <c r="BC71" s="31"/>
      <c r="BD71" s="31"/>
      <c r="BE71" s="31"/>
    </row>
    <row r="72" spans="1:57" hidden="1" x14ac:dyDescent="0.25">
      <c r="A72" s="45"/>
      <c r="B72" s="46" t="s">
        <v>79</v>
      </c>
      <c r="C72" s="46"/>
      <c r="D72" s="26" t="e">
        <f>#REF!</f>
        <v>#REF!</v>
      </c>
      <c r="E72" s="26" t="e">
        <f>#REF!</f>
        <v>#REF!</v>
      </c>
      <c r="F72" s="26" t="e">
        <f>#REF!</f>
        <v>#REF!</v>
      </c>
      <c r="G72" s="26" t="e">
        <f>#REF!</f>
        <v>#REF!</v>
      </c>
      <c r="H72" s="26" t="e">
        <f>#REF!</f>
        <v>#REF!</v>
      </c>
      <c r="I72" s="26" t="e">
        <f>#REF!</f>
        <v>#REF!</v>
      </c>
      <c r="J72" s="26" t="e">
        <f>#REF!</f>
        <v>#REF!</v>
      </c>
      <c r="K72" s="26" t="e">
        <f>#REF!</f>
        <v>#REF!</v>
      </c>
      <c r="L72" s="26" t="e">
        <f>#REF!</f>
        <v>#REF!</v>
      </c>
      <c r="M72" s="26" t="e">
        <f>#REF!</f>
        <v>#REF!</v>
      </c>
      <c r="N72" s="26" t="e">
        <f>#REF!</f>
        <v>#REF!</v>
      </c>
      <c r="O72" s="26" t="e">
        <f>#REF!</f>
        <v>#REF!</v>
      </c>
      <c r="P72" s="26" t="e">
        <f>#REF!</f>
        <v>#REF!</v>
      </c>
      <c r="Q72" s="26" t="e">
        <f>#REF!</f>
        <v>#REF!</v>
      </c>
      <c r="R72" s="26" t="e">
        <f>#REF!</f>
        <v>#REF!</v>
      </c>
      <c r="S72" s="26" t="e">
        <f>#REF!</f>
        <v>#REF!</v>
      </c>
      <c r="T72" s="26" t="e">
        <f>#REF!</f>
        <v>#REF!</v>
      </c>
      <c r="U72" s="26" t="e">
        <f>#REF!</f>
        <v>#REF!</v>
      </c>
      <c r="V72" s="26" t="e">
        <f>#REF!</f>
        <v>#REF!</v>
      </c>
      <c r="W72" s="26" t="e">
        <f>#REF!</f>
        <v>#REF!</v>
      </c>
      <c r="X72" s="26" t="e">
        <f>#REF!</f>
        <v>#REF!</v>
      </c>
      <c r="Y72" s="26" t="e">
        <f>#REF!</f>
        <v>#REF!</v>
      </c>
      <c r="Z72" s="26" t="e">
        <f>#REF!</f>
        <v>#REF!</v>
      </c>
      <c r="AA72" s="26" t="e">
        <f>#REF!</f>
        <v>#REF!</v>
      </c>
      <c r="AB72" s="26" t="e">
        <f>#REF!</f>
        <v>#REF!</v>
      </c>
      <c r="AC72" s="26" t="e">
        <f>#REF!</f>
        <v>#REF!</v>
      </c>
      <c r="AD72" s="26" t="e">
        <f>#REF!</f>
        <v>#REF!</v>
      </c>
      <c r="AE72" s="26" t="e">
        <f>#REF!</f>
        <v>#REF!</v>
      </c>
      <c r="AF72" s="26" t="e">
        <f>#REF!</f>
        <v>#REF!</v>
      </c>
      <c r="AG72" s="26" t="e">
        <f>#REF!</f>
        <v>#REF!</v>
      </c>
      <c r="AH72" s="26" t="e">
        <f>#REF!</f>
        <v>#REF!</v>
      </c>
      <c r="AI72" s="44"/>
      <c r="AJ72" s="26" t="e">
        <f t="shared" si="22"/>
        <v>#REF!</v>
      </c>
      <c r="AK72" s="44"/>
      <c r="AL72" s="26" t="e">
        <f t="shared" si="23"/>
        <v>#REF!</v>
      </c>
      <c r="AM72" s="44"/>
      <c r="AN72" s="26" t="e">
        <f t="shared" si="24"/>
        <v>#REF!</v>
      </c>
      <c r="AO72" s="44"/>
      <c r="AP72" s="26" t="e">
        <f t="shared" si="25"/>
        <v>#REF!</v>
      </c>
      <c r="AQ72" s="44"/>
      <c r="AR72" s="26" t="e">
        <f t="shared" si="26"/>
        <v>#REF!</v>
      </c>
      <c r="AS72" s="44"/>
      <c r="AT72" s="42" t="e">
        <f t="shared" si="27"/>
        <v>#REF!</v>
      </c>
      <c r="BA72" s="31"/>
      <c r="BB72" s="31"/>
      <c r="BC72" s="31"/>
      <c r="BD72" s="31"/>
      <c r="BE72" s="31"/>
    </row>
    <row r="73" spans="1:57" hidden="1" x14ac:dyDescent="0.25">
      <c r="A73" s="45"/>
      <c r="B73" s="46" t="s">
        <v>80</v>
      </c>
      <c r="C73" s="46"/>
      <c r="D73" s="26" t="e">
        <f>#REF!</f>
        <v>#REF!</v>
      </c>
      <c r="E73" s="26" t="e">
        <f>#REF!</f>
        <v>#REF!</v>
      </c>
      <c r="F73" s="26" t="e">
        <f>#REF!</f>
        <v>#REF!</v>
      </c>
      <c r="G73" s="26" t="e">
        <f>#REF!</f>
        <v>#REF!</v>
      </c>
      <c r="H73" s="26" t="e">
        <f>#REF!</f>
        <v>#REF!</v>
      </c>
      <c r="I73" s="26" t="e">
        <f>#REF!</f>
        <v>#REF!</v>
      </c>
      <c r="J73" s="26" t="e">
        <f>#REF!</f>
        <v>#REF!</v>
      </c>
      <c r="K73" s="26" t="e">
        <f>#REF!</f>
        <v>#REF!</v>
      </c>
      <c r="L73" s="26" t="e">
        <f>#REF!</f>
        <v>#REF!</v>
      </c>
      <c r="M73" s="26" t="e">
        <f>#REF!</f>
        <v>#REF!</v>
      </c>
      <c r="N73" s="26" t="e">
        <f>#REF!</f>
        <v>#REF!</v>
      </c>
      <c r="O73" s="26" t="e">
        <f>#REF!</f>
        <v>#REF!</v>
      </c>
      <c r="P73" s="26" t="e">
        <f>#REF!</f>
        <v>#REF!</v>
      </c>
      <c r="Q73" s="26" t="e">
        <f>#REF!</f>
        <v>#REF!</v>
      </c>
      <c r="R73" s="26" t="e">
        <f>#REF!</f>
        <v>#REF!</v>
      </c>
      <c r="S73" s="26" t="e">
        <f>#REF!</f>
        <v>#REF!</v>
      </c>
      <c r="T73" s="26" t="e">
        <f>#REF!</f>
        <v>#REF!</v>
      </c>
      <c r="U73" s="26" t="e">
        <f>#REF!</f>
        <v>#REF!</v>
      </c>
      <c r="V73" s="26" t="e">
        <f>#REF!</f>
        <v>#REF!</v>
      </c>
      <c r="W73" s="26" t="e">
        <f>#REF!</f>
        <v>#REF!</v>
      </c>
      <c r="X73" s="26" t="e">
        <f>#REF!</f>
        <v>#REF!</v>
      </c>
      <c r="Y73" s="26" t="e">
        <f>#REF!</f>
        <v>#REF!</v>
      </c>
      <c r="Z73" s="26" t="e">
        <f>#REF!</f>
        <v>#REF!</v>
      </c>
      <c r="AA73" s="26" t="e">
        <f>#REF!</f>
        <v>#REF!</v>
      </c>
      <c r="AB73" s="26" t="e">
        <f>#REF!</f>
        <v>#REF!</v>
      </c>
      <c r="AC73" s="26" t="e">
        <f>#REF!</f>
        <v>#REF!</v>
      </c>
      <c r="AD73" s="26" t="e">
        <f>#REF!</f>
        <v>#REF!</v>
      </c>
      <c r="AE73" s="26" t="e">
        <f>#REF!</f>
        <v>#REF!</v>
      </c>
      <c r="AF73" s="26" t="e">
        <f>#REF!</f>
        <v>#REF!</v>
      </c>
      <c r="AG73" s="26" t="e">
        <f>#REF!</f>
        <v>#REF!</v>
      </c>
      <c r="AH73" s="26" t="e">
        <f>#REF!</f>
        <v>#REF!</v>
      </c>
      <c r="AI73" s="44"/>
      <c r="AJ73" s="26" t="e">
        <f t="shared" si="22"/>
        <v>#REF!</v>
      </c>
      <c r="AK73" s="44"/>
      <c r="AL73" s="26" t="e">
        <f t="shared" si="23"/>
        <v>#REF!</v>
      </c>
      <c r="AM73" s="44"/>
      <c r="AN73" s="26" t="e">
        <f t="shared" si="24"/>
        <v>#REF!</v>
      </c>
      <c r="AO73" s="44"/>
      <c r="AP73" s="26" t="e">
        <f t="shared" si="25"/>
        <v>#REF!</v>
      </c>
      <c r="AQ73" s="44"/>
      <c r="AR73" s="26" t="e">
        <f t="shared" si="26"/>
        <v>#REF!</v>
      </c>
      <c r="AS73" s="44"/>
      <c r="AT73" s="42" t="e">
        <f t="shared" si="27"/>
        <v>#REF!</v>
      </c>
      <c r="BA73" s="31"/>
      <c r="BB73" s="31"/>
      <c r="BC73" s="31"/>
      <c r="BD73" s="31"/>
      <c r="BE73" s="31"/>
    </row>
    <row r="74" spans="1:57" hidden="1" x14ac:dyDescent="0.25">
      <c r="A74" s="45"/>
      <c r="B74" s="46" t="s">
        <v>81</v>
      </c>
      <c r="C74" s="46"/>
      <c r="D74" s="26" t="e">
        <f>#REF!</f>
        <v>#REF!</v>
      </c>
      <c r="E74" s="26" t="e">
        <f>#REF!</f>
        <v>#REF!</v>
      </c>
      <c r="F74" s="26" t="e">
        <f>#REF!</f>
        <v>#REF!</v>
      </c>
      <c r="G74" s="26" t="e">
        <f>#REF!</f>
        <v>#REF!</v>
      </c>
      <c r="H74" s="26" t="e">
        <f>#REF!</f>
        <v>#REF!</v>
      </c>
      <c r="I74" s="26" t="e">
        <f>#REF!</f>
        <v>#REF!</v>
      </c>
      <c r="J74" s="26" t="e">
        <f>#REF!</f>
        <v>#REF!</v>
      </c>
      <c r="K74" s="26" t="e">
        <f>#REF!</f>
        <v>#REF!</v>
      </c>
      <c r="L74" s="26" t="e">
        <f>#REF!</f>
        <v>#REF!</v>
      </c>
      <c r="M74" s="26" t="e">
        <f>#REF!</f>
        <v>#REF!</v>
      </c>
      <c r="N74" s="26" t="e">
        <f>#REF!</f>
        <v>#REF!</v>
      </c>
      <c r="O74" s="26" t="e">
        <f>#REF!</f>
        <v>#REF!</v>
      </c>
      <c r="P74" s="26" t="e">
        <f>#REF!</f>
        <v>#REF!</v>
      </c>
      <c r="Q74" s="26" t="e">
        <f>#REF!</f>
        <v>#REF!</v>
      </c>
      <c r="R74" s="26" t="e">
        <f>#REF!</f>
        <v>#REF!</v>
      </c>
      <c r="S74" s="26" t="e">
        <f>#REF!</f>
        <v>#REF!</v>
      </c>
      <c r="T74" s="26" t="e">
        <f>#REF!</f>
        <v>#REF!</v>
      </c>
      <c r="U74" s="26" t="e">
        <f>#REF!</f>
        <v>#REF!</v>
      </c>
      <c r="V74" s="26" t="e">
        <f>#REF!</f>
        <v>#REF!</v>
      </c>
      <c r="W74" s="26" t="e">
        <f>#REF!</f>
        <v>#REF!</v>
      </c>
      <c r="X74" s="26" t="e">
        <f>#REF!</f>
        <v>#REF!</v>
      </c>
      <c r="Y74" s="26" t="e">
        <f>#REF!</f>
        <v>#REF!</v>
      </c>
      <c r="Z74" s="26" t="e">
        <f>#REF!</f>
        <v>#REF!</v>
      </c>
      <c r="AA74" s="26" t="e">
        <f>#REF!</f>
        <v>#REF!</v>
      </c>
      <c r="AB74" s="26" t="e">
        <f>#REF!</f>
        <v>#REF!</v>
      </c>
      <c r="AC74" s="26" t="e">
        <f>#REF!</f>
        <v>#REF!</v>
      </c>
      <c r="AD74" s="26" t="e">
        <f>#REF!</f>
        <v>#REF!</v>
      </c>
      <c r="AE74" s="26" t="e">
        <f>#REF!</f>
        <v>#REF!</v>
      </c>
      <c r="AF74" s="26" t="e">
        <f>#REF!</f>
        <v>#REF!</v>
      </c>
      <c r="AG74" s="26" t="e">
        <f>#REF!</f>
        <v>#REF!</v>
      </c>
      <c r="AH74" s="26" t="e">
        <f>#REF!</f>
        <v>#REF!</v>
      </c>
      <c r="AI74" s="44"/>
      <c r="AJ74" s="26" t="e">
        <f t="shared" si="22"/>
        <v>#REF!</v>
      </c>
      <c r="AK74" s="44"/>
      <c r="AL74" s="26" t="e">
        <f t="shared" si="23"/>
        <v>#REF!</v>
      </c>
      <c r="AM74" s="44"/>
      <c r="AN74" s="26" t="e">
        <f t="shared" si="24"/>
        <v>#REF!</v>
      </c>
      <c r="AO74" s="44"/>
      <c r="AP74" s="26" t="e">
        <f t="shared" si="25"/>
        <v>#REF!</v>
      </c>
      <c r="AQ74" s="44"/>
      <c r="AR74" s="26" t="e">
        <f t="shared" si="26"/>
        <v>#REF!</v>
      </c>
      <c r="AS74" s="44"/>
      <c r="AT74" s="42" t="e">
        <f t="shared" si="27"/>
        <v>#REF!</v>
      </c>
      <c r="BA74" s="31"/>
      <c r="BB74" s="31"/>
      <c r="BC74" s="31"/>
      <c r="BD74" s="31"/>
      <c r="BE74" s="31"/>
    </row>
    <row r="75" spans="1:57" hidden="1" x14ac:dyDescent="0.25">
      <c r="A75" s="45"/>
      <c r="B75" s="46" t="s">
        <v>82</v>
      </c>
      <c r="C75" s="46"/>
      <c r="D75" s="26" t="e">
        <f>#REF!</f>
        <v>#REF!</v>
      </c>
      <c r="E75" s="26" t="e">
        <f>#REF!</f>
        <v>#REF!</v>
      </c>
      <c r="F75" s="26" t="e">
        <f>#REF!</f>
        <v>#REF!</v>
      </c>
      <c r="G75" s="26" t="e">
        <f>#REF!</f>
        <v>#REF!</v>
      </c>
      <c r="H75" s="26" t="e">
        <f>#REF!</f>
        <v>#REF!</v>
      </c>
      <c r="I75" s="26" t="e">
        <f>#REF!</f>
        <v>#REF!</v>
      </c>
      <c r="J75" s="26" t="e">
        <f>#REF!</f>
        <v>#REF!</v>
      </c>
      <c r="K75" s="26" t="e">
        <f>#REF!</f>
        <v>#REF!</v>
      </c>
      <c r="L75" s="26" t="e">
        <f>#REF!</f>
        <v>#REF!</v>
      </c>
      <c r="M75" s="26" t="e">
        <f>#REF!</f>
        <v>#REF!</v>
      </c>
      <c r="N75" s="26" t="e">
        <f>#REF!</f>
        <v>#REF!</v>
      </c>
      <c r="O75" s="26" t="e">
        <f>#REF!</f>
        <v>#REF!</v>
      </c>
      <c r="P75" s="26" t="e">
        <f>#REF!</f>
        <v>#REF!</v>
      </c>
      <c r="Q75" s="26" t="e">
        <f>#REF!</f>
        <v>#REF!</v>
      </c>
      <c r="R75" s="26" t="e">
        <f>#REF!</f>
        <v>#REF!</v>
      </c>
      <c r="S75" s="26" t="e">
        <f>#REF!</f>
        <v>#REF!</v>
      </c>
      <c r="T75" s="26" t="e">
        <f>#REF!</f>
        <v>#REF!</v>
      </c>
      <c r="U75" s="26" t="e">
        <f>#REF!</f>
        <v>#REF!</v>
      </c>
      <c r="V75" s="26" t="e">
        <f>#REF!</f>
        <v>#REF!</v>
      </c>
      <c r="W75" s="26" t="e">
        <f>#REF!</f>
        <v>#REF!</v>
      </c>
      <c r="X75" s="26" t="e">
        <f>#REF!</f>
        <v>#REF!</v>
      </c>
      <c r="Y75" s="26" t="e">
        <f>#REF!</f>
        <v>#REF!</v>
      </c>
      <c r="Z75" s="26" t="e">
        <f>#REF!</f>
        <v>#REF!</v>
      </c>
      <c r="AA75" s="26" t="e">
        <f>#REF!</f>
        <v>#REF!</v>
      </c>
      <c r="AB75" s="26" t="e">
        <f>#REF!</f>
        <v>#REF!</v>
      </c>
      <c r="AC75" s="26" t="e">
        <f>#REF!</f>
        <v>#REF!</v>
      </c>
      <c r="AD75" s="26" t="e">
        <f>#REF!</f>
        <v>#REF!</v>
      </c>
      <c r="AE75" s="26" t="e">
        <f>#REF!</f>
        <v>#REF!</v>
      </c>
      <c r="AF75" s="26" t="e">
        <f>#REF!</f>
        <v>#REF!</v>
      </c>
      <c r="AG75" s="26" t="e">
        <f>#REF!</f>
        <v>#REF!</v>
      </c>
      <c r="AH75" s="26" t="e">
        <f>#REF!</f>
        <v>#REF!</v>
      </c>
      <c r="AI75" s="44"/>
      <c r="AJ75" s="26" t="e">
        <f t="shared" si="22"/>
        <v>#REF!</v>
      </c>
      <c r="AK75" s="44"/>
      <c r="AL75" s="26" t="e">
        <f t="shared" si="23"/>
        <v>#REF!</v>
      </c>
      <c r="AM75" s="44"/>
      <c r="AN75" s="26" t="e">
        <f t="shared" si="24"/>
        <v>#REF!</v>
      </c>
      <c r="AO75" s="44"/>
      <c r="AP75" s="26" t="e">
        <f t="shared" si="25"/>
        <v>#REF!</v>
      </c>
      <c r="AQ75" s="44"/>
      <c r="AR75" s="26" t="e">
        <f t="shared" si="26"/>
        <v>#REF!</v>
      </c>
      <c r="AS75" s="44"/>
      <c r="AT75" s="42" t="e">
        <f t="shared" si="27"/>
        <v>#REF!</v>
      </c>
      <c r="BA75" s="31"/>
      <c r="BB75" s="31"/>
      <c r="BC75" s="31"/>
      <c r="BD75" s="31"/>
      <c r="BE75" s="31"/>
    </row>
    <row r="76" spans="1:57" hidden="1" x14ac:dyDescent="0.25">
      <c r="A76" s="45"/>
      <c r="B76" s="46" t="s">
        <v>83</v>
      </c>
      <c r="C76" s="46"/>
      <c r="D76" s="26" t="e">
        <f>#REF!</f>
        <v>#REF!</v>
      </c>
      <c r="E76" s="26" t="e">
        <f>#REF!</f>
        <v>#REF!</v>
      </c>
      <c r="F76" s="26" t="e">
        <f>#REF!</f>
        <v>#REF!</v>
      </c>
      <c r="G76" s="26" t="e">
        <f>#REF!</f>
        <v>#REF!</v>
      </c>
      <c r="H76" s="26" t="e">
        <f>#REF!</f>
        <v>#REF!</v>
      </c>
      <c r="I76" s="26" t="e">
        <f>#REF!</f>
        <v>#REF!</v>
      </c>
      <c r="J76" s="26" t="e">
        <f>#REF!</f>
        <v>#REF!</v>
      </c>
      <c r="K76" s="26" t="e">
        <f>#REF!</f>
        <v>#REF!</v>
      </c>
      <c r="L76" s="26" t="e">
        <f>#REF!</f>
        <v>#REF!</v>
      </c>
      <c r="M76" s="26" t="e">
        <f>#REF!</f>
        <v>#REF!</v>
      </c>
      <c r="N76" s="26" t="e">
        <f>#REF!</f>
        <v>#REF!</v>
      </c>
      <c r="O76" s="26" t="e">
        <f>#REF!</f>
        <v>#REF!</v>
      </c>
      <c r="P76" s="26" t="e">
        <f>#REF!</f>
        <v>#REF!</v>
      </c>
      <c r="Q76" s="26" t="e">
        <f>#REF!</f>
        <v>#REF!</v>
      </c>
      <c r="R76" s="26" t="e">
        <f>#REF!</f>
        <v>#REF!</v>
      </c>
      <c r="S76" s="26" t="e">
        <f>#REF!</f>
        <v>#REF!</v>
      </c>
      <c r="T76" s="26" t="e">
        <f>#REF!</f>
        <v>#REF!</v>
      </c>
      <c r="U76" s="26" t="e">
        <f>#REF!</f>
        <v>#REF!</v>
      </c>
      <c r="V76" s="26" t="e">
        <f>#REF!</f>
        <v>#REF!</v>
      </c>
      <c r="W76" s="26" t="e">
        <f>#REF!</f>
        <v>#REF!</v>
      </c>
      <c r="X76" s="26" t="e">
        <f>#REF!</f>
        <v>#REF!</v>
      </c>
      <c r="Y76" s="26" t="e">
        <f>#REF!</f>
        <v>#REF!</v>
      </c>
      <c r="Z76" s="26" t="e">
        <f>#REF!</f>
        <v>#REF!</v>
      </c>
      <c r="AA76" s="26" t="e">
        <f>#REF!</f>
        <v>#REF!</v>
      </c>
      <c r="AB76" s="26" t="e">
        <f>#REF!</f>
        <v>#REF!</v>
      </c>
      <c r="AC76" s="26" t="e">
        <f>#REF!</f>
        <v>#REF!</v>
      </c>
      <c r="AD76" s="26" t="e">
        <f>#REF!</f>
        <v>#REF!</v>
      </c>
      <c r="AE76" s="26" t="e">
        <f>#REF!</f>
        <v>#REF!</v>
      </c>
      <c r="AF76" s="26" t="e">
        <f>#REF!</f>
        <v>#REF!</v>
      </c>
      <c r="AG76" s="26" t="e">
        <f>#REF!</f>
        <v>#REF!</v>
      </c>
      <c r="AH76" s="26" t="e">
        <f>#REF!</f>
        <v>#REF!</v>
      </c>
      <c r="AI76" s="44"/>
      <c r="AJ76" s="26" t="e">
        <f t="shared" si="22"/>
        <v>#REF!</v>
      </c>
      <c r="AK76" s="44"/>
      <c r="AL76" s="26" t="e">
        <f t="shared" si="23"/>
        <v>#REF!</v>
      </c>
      <c r="AM76" s="44"/>
      <c r="AN76" s="26" t="e">
        <f t="shared" si="24"/>
        <v>#REF!</v>
      </c>
      <c r="AO76" s="44"/>
      <c r="AP76" s="26" t="e">
        <f t="shared" si="25"/>
        <v>#REF!</v>
      </c>
      <c r="AQ76" s="44"/>
      <c r="AR76" s="26" t="e">
        <f t="shared" si="26"/>
        <v>#REF!</v>
      </c>
      <c r="AS76" s="44"/>
      <c r="AT76" s="42" t="e">
        <f t="shared" si="27"/>
        <v>#REF!</v>
      </c>
      <c r="BA76" s="31"/>
      <c r="BB76" s="31"/>
      <c r="BC76" s="31"/>
      <c r="BD76" s="31"/>
      <c r="BE76" s="31"/>
    </row>
    <row r="77" spans="1:57" hidden="1" x14ac:dyDescent="0.25">
      <c r="A77" s="45"/>
      <c r="B77" s="46" t="s">
        <v>84</v>
      </c>
      <c r="C77" s="46"/>
      <c r="D77" s="26" t="e">
        <f>#REF!</f>
        <v>#REF!</v>
      </c>
      <c r="E77" s="26" t="e">
        <f>#REF!</f>
        <v>#REF!</v>
      </c>
      <c r="F77" s="26" t="e">
        <f>#REF!</f>
        <v>#REF!</v>
      </c>
      <c r="G77" s="26" t="e">
        <f>#REF!</f>
        <v>#REF!</v>
      </c>
      <c r="H77" s="26" t="e">
        <f>#REF!</f>
        <v>#REF!</v>
      </c>
      <c r="I77" s="26" t="e">
        <f>#REF!</f>
        <v>#REF!</v>
      </c>
      <c r="J77" s="26" t="e">
        <f>#REF!</f>
        <v>#REF!</v>
      </c>
      <c r="K77" s="26" t="e">
        <f>#REF!</f>
        <v>#REF!</v>
      </c>
      <c r="L77" s="26" t="e">
        <f>#REF!</f>
        <v>#REF!</v>
      </c>
      <c r="M77" s="26" t="e">
        <f>#REF!</f>
        <v>#REF!</v>
      </c>
      <c r="N77" s="26" t="e">
        <f>#REF!</f>
        <v>#REF!</v>
      </c>
      <c r="O77" s="26" t="e">
        <f>#REF!</f>
        <v>#REF!</v>
      </c>
      <c r="P77" s="26" t="e">
        <f>#REF!</f>
        <v>#REF!</v>
      </c>
      <c r="Q77" s="26" t="e">
        <f>#REF!</f>
        <v>#REF!</v>
      </c>
      <c r="R77" s="26" t="e">
        <f>#REF!</f>
        <v>#REF!</v>
      </c>
      <c r="S77" s="26" t="e">
        <f>#REF!</f>
        <v>#REF!</v>
      </c>
      <c r="T77" s="26" t="e">
        <f>#REF!</f>
        <v>#REF!</v>
      </c>
      <c r="U77" s="26" t="e">
        <f>#REF!</f>
        <v>#REF!</v>
      </c>
      <c r="V77" s="26" t="e">
        <f>#REF!</f>
        <v>#REF!</v>
      </c>
      <c r="W77" s="26" t="e">
        <f>#REF!</f>
        <v>#REF!</v>
      </c>
      <c r="X77" s="26" t="e">
        <f>#REF!</f>
        <v>#REF!</v>
      </c>
      <c r="Y77" s="26" t="e">
        <f>#REF!</f>
        <v>#REF!</v>
      </c>
      <c r="Z77" s="26" t="e">
        <f>#REF!</f>
        <v>#REF!</v>
      </c>
      <c r="AA77" s="26" t="e">
        <f>#REF!</f>
        <v>#REF!</v>
      </c>
      <c r="AB77" s="26" t="e">
        <f>#REF!</f>
        <v>#REF!</v>
      </c>
      <c r="AC77" s="26" t="e">
        <f>#REF!</f>
        <v>#REF!</v>
      </c>
      <c r="AD77" s="26" t="e">
        <f>#REF!</f>
        <v>#REF!</v>
      </c>
      <c r="AE77" s="26" t="e">
        <f>#REF!</f>
        <v>#REF!</v>
      </c>
      <c r="AF77" s="26" t="e">
        <f>#REF!</f>
        <v>#REF!</v>
      </c>
      <c r="AG77" s="26" t="e">
        <f>#REF!</f>
        <v>#REF!</v>
      </c>
      <c r="AH77" s="26" t="e">
        <f>#REF!</f>
        <v>#REF!</v>
      </c>
      <c r="AI77" s="44"/>
      <c r="AJ77" s="26" t="e">
        <f t="shared" si="22"/>
        <v>#REF!</v>
      </c>
      <c r="AK77" s="44"/>
      <c r="AL77" s="26" t="e">
        <f t="shared" si="23"/>
        <v>#REF!</v>
      </c>
      <c r="AM77" s="44"/>
      <c r="AN77" s="26" t="e">
        <f t="shared" si="24"/>
        <v>#REF!</v>
      </c>
      <c r="AO77" s="44"/>
      <c r="AP77" s="26" t="e">
        <f t="shared" si="25"/>
        <v>#REF!</v>
      </c>
      <c r="AQ77" s="44"/>
      <c r="AR77" s="26" t="e">
        <f t="shared" si="26"/>
        <v>#REF!</v>
      </c>
      <c r="AS77" s="44"/>
      <c r="AT77" s="42" t="e">
        <f t="shared" si="27"/>
        <v>#REF!</v>
      </c>
      <c r="BA77" s="31"/>
      <c r="BB77" s="31"/>
      <c r="BC77" s="31"/>
      <c r="BD77" s="31"/>
      <c r="BE77" s="31"/>
    </row>
    <row r="78" spans="1:57" hidden="1" x14ac:dyDescent="0.25">
      <c r="A78" s="45"/>
      <c r="B78" s="46" t="s">
        <v>85</v>
      </c>
      <c r="C78" s="46"/>
      <c r="D78" s="26" t="e">
        <f>#REF!</f>
        <v>#REF!</v>
      </c>
      <c r="E78" s="26" t="e">
        <f>#REF!</f>
        <v>#REF!</v>
      </c>
      <c r="F78" s="26" t="e">
        <f>#REF!</f>
        <v>#REF!</v>
      </c>
      <c r="G78" s="26" t="e">
        <f>#REF!</f>
        <v>#REF!</v>
      </c>
      <c r="H78" s="26" t="e">
        <f>#REF!</f>
        <v>#REF!</v>
      </c>
      <c r="I78" s="26" t="e">
        <f>#REF!</f>
        <v>#REF!</v>
      </c>
      <c r="J78" s="26" t="e">
        <f>#REF!</f>
        <v>#REF!</v>
      </c>
      <c r="K78" s="26" t="e">
        <f>#REF!</f>
        <v>#REF!</v>
      </c>
      <c r="L78" s="26" t="e">
        <f>#REF!</f>
        <v>#REF!</v>
      </c>
      <c r="M78" s="26" t="e">
        <f>#REF!</f>
        <v>#REF!</v>
      </c>
      <c r="N78" s="26" t="e">
        <f>#REF!</f>
        <v>#REF!</v>
      </c>
      <c r="O78" s="26" t="e">
        <f>#REF!</f>
        <v>#REF!</v>
      </c>
      <c r="P78" s="26" t="e">
        <f>#REF!</f>
        <v>#REF!</v>
      </c>
      <c r="Q78" s="26" t="e">
        <f>#REF!</f>
        <v>#REF!</v>
      </c>
      <c r="R78" s="26" t="e">
        <f>#REF!</f>
        <v>#REF!</v>
      </c>
      <c r="S78" s="26" t="e">
        <f>#REF!</f>
        <v>#REF!</v>
      </c>
      <c r="T78" s="26" t="e">
        <f>#REF!</f>
        <v>#REF!</v>
      </c>
      <c r="U78" s="26" t="e">
        <f>#REF!</f>
        <v>#REF!</v>
      </c>
      <c r="V78" s="26" t="e">
        <f>#REF!</f>
        <v>#REF!</v>
      </c>
      <c r="W78" s="26" t="e">
        <f>#REF!</f>
        <v>#REF!</v>
      </c>
      <c r="X78" s="26" t="e">
        <f>#REF!</f>
        <v>#REF!</v>
      </c>
      <c r="Y78" s="26" t="e">
        <f>#REF!</f>
        <v>#REF!</v>
      </c>
      <c r="Z78" s="26" t="e">
        <f>#REF!</f>
        <v>#REF!</v>
      </c>
      <c r="AA78" s="26" t="e">
        <f>#REF!</f>
        <v>#REF!</v>
      </c>
      <c r="AB78" s="26" t="e">
        <f>#REF!</f>
        <v>#REF!</v>
      </c>
      <c r="AC78" s="26" t="e">
        <f>#REF!</f>
        <v>#REF!</v>
      </c>
      <c r="AD78" s="26" t="e">
        <f>#REF!</f>
        <v>#REF!</v>
      </c>
      <c r="AE78" s="26" t="e">
        <f>#REF!</f>
        <v>#REF!</v>
      </c>
      <c r="AF78" s="26" t="e">
        <f>#REF!</f>
        <v>#REF!</v>
      </c>
      <c r="AG78" s="26" t="e">
        <f>#REF!</f>
        <v>#REF!</v>
      </c>
      <c r="AH78" s="26" t="e">
        <f>#REF!</f>
        <v>#REF!</v>
      </c>
      <c r="AI78" s="44"/>
      <c r="AJ78" s="26" t="e">
        <f t="shared" si="22"/>
        <v>#REF!</v>
      </c>
      <c r="AK78" s="44"/>
      <c r="AL78" s="26" t="e">
        <f t="shared" si="23"/>
        <v>#REF!</v>
      </c>
      <c r="AM78" s="44"/>
      <c r="AN78" s="26" t="e">
        <f t="shared" si="24"/>
        <v>#REF!</v>
      </c>
      <c r="AO78" s="44"/>
      <c r="AP78" s="26" t="e">
        <f t="shared" si="25"/>
        <v>#REF!</v>
      </c>
      <c r="AQ78" s="44"/>
      <c r="AR78" s="26" t="e">
        <f t="shared" si="26"/>
        <v>#REF!</v>
      </c>
      <c r="AS78" s="44"/>
      <c r="AT78" s="42" t="e">
        <f t="shared" si="27"/>
        <v>#REF!</v>
      </c>
      <c r="BA78" s="31"/>
      <c r="BB78" s="31"/>
      <c r="BC78" s="31"/>
      <c r="BD78" s="31"/>
      <c r="BE78" s="31"/>
    </row>
    <row r="79" spans="1:57" hidden="1" x14ac:dyDescent="0.25">
      <c r="A79" s="45"/>
      <c r="B79" s="46" t="s">
        <v>86</v>
      </c>
      <c r="C79" s="46"/>
      <c r="D79" s="26" t="e">
        <f>#REF!</f>
        <v>#REF!</v>
      </c>
      <c r="E79" s="26" t="e">
        <f>#REF!</f>
        <v>#REF!</v>
      </c>
      <c r="F79" s="26" t="e">
        <f>#REF!</f>
        <v>#REF!</v>
      </c>
      <c r="G79" s="26" t="e">
        <f>#REF!</f>
        <v>#REF!</v>
      </c>
      <c r="H79" s="26" t="e">
        <f>#REF!</f>
        <v>#REF!</v>
      </c>
      <c r="I79" s="26" t="e">
        <f>#REF!</f>
        <v>#REF!</v>
      </c>
      <c r="J79" s="26" t="e">
        <f>#REF!</f>
        <v>#REF!</v>
      </c>
      <c r="K79" s="26" t="e">
        <f>#REF!</f>
        <v>#REF!</v>
      </c>
      <c r="L79" s="26" t="e">
        <f>#REF!</f>
        <v>#REF!</v>
      </c>
      <c r="M79" s="26" t="e">
        <f>#REF!</f>
        <v>#REF!</v>
      </c>
      <c r="N79" s="26" t="e">
        <f>#REF!</f>
        <v>#REF!</v>
      </c>
      <c r="O79" s="26" t="e">
        <f>#REF!</f>
        <v>#REF!</v>
      </c>
      <c r="P79" s="26" t="e">
        <f>#REF!</f>
        <v>#REF!</v>
      </c>
      <c r="Q79" s="26" t="e">
        <f>#REF!</f>
        <v>#REF!</v>
      </c>
      <c r="R79" s="26" t="e">
        <f>#REF!</f>
        <v>#REF!</v>
      </c>
      <c r="S79" s="26" t="e">
        <f>#REF!</f>
        <v>#REF!</v>
      </c>
      <c r="T79" s="26" t="e">
        <f>#REF!</f>
        <v>#REF!</v>
      </c>
      <c r="U79" s="26" t="e">
        <f>#REF!</f>
        <v>#REF!</v>
      </c>
      <c r="V79" s="26" t="e">
        <f>#REF!</f>
        <v>#REF!</v>
      </c>
      <c r="W79" s="26" t="e">
        <f>#REF!</f>
        <v>#REF!</v>
      </c>
      <c r="X79" s="26" t="e">
        <f>#REF!</f>
        <v>#REF!</v>
      </c>
      <c r="Y79" s="26" t="e">
        <f>#REF!</f>
        <v>#REF!</v>
      </c>
      <c r="Z79" s="26" t="e">
        <f>#REF!</f>
        <v>#REF!</v>
      </c>
      <c r="AA79" s="26" t="e">
        <f>#REF!</f>
        <v>#REF!</v>
      </c>
      <c r="AB79" s="26" t="e">
        <f>#REF!</f>
        <v>#REF!</v>
      </c>
      <c r="AC79" s="26" t="e">
        <f>#REF!</f>
        <v>#REF!</v>
      </c>
      <c r="AD79" s="26" t="e">
        <f>#REF!</f>
        <v>#REF!</v>
      </c>
      <c r="AE79" s="26" t="e">
        <f>#REF!</f>
        <v>#REF!</v>
      </c>
      <c r="AF79" s="26" t="e">
        <f>#REF!</f>
        <v>#REF!</v>
      </c>
      <c r="AG79" s="26" t="e">
        <f>#REF!</f>
        <v>#REF!</v>
      </c>
      <c r="AH79" s="26" t="e">
        <f>#REF!</f>
        <v>#REF!</v>
      </c>
      <c r="AI79" s="44"/>
      <c r="AJ79" s="26" t="e">
        <f t="shared" si="22"/>
        <v>#REF!</v>
      </c>
      <c r="AK79" s="44"/>
      <c r="AL79" s="26" t="e">
        <f t="shared" si="23"/>
        <v>#REF!</v>
      </c>
      <c r="AM79" s="44"/>
      <c r="AN79" s="26" t="e">
        <f t="shared" si="24"/>
        <v>#REF!</v>
      </c>
      <c r="AO79" s="44"/>
      <c r="AP79" s="26" t="e">
        <f t="shared" si="25"/>
        <v>#REF!</v>
      </c>
      <c r="AQ79" s="44"/>
      <c r="AR79" s="26" t="e">
        <f t="shared" si="26"/>
        <v>#REF!</v>
      </c>
      <c r="AS79" s="44"/>
      <c r="AT79" s="42" t="e">
        <f t="shared" si="27"/>
        <v>#REF!</v>
      </c>
      <c r="BA79" s="31"/>
      <c r="BB79" s="31"/>
      <c r="BC79" s="31"/>
      <c r="BD79" s="31"/>
      <c r="BE79" s="31"/>
    </row>
    <row r="80" spans="1:57" hidden="1" x14ac:dyDescent="0.25">
      <c r="A80" s="45"/>
      <c r="B80" s="46" t="s">
        <v>87</v>
      </c>
      <c r="C80" s="46"/>
      <c r="D80" s="26" t="e">
        <f>#REF!</f>
        <v>#REF!</v>
      </c>
      <c r="E80" s="26" t="e">
        <f>#REF!</f>
        <v>#REF!</v>
      </c>
      <c r="F80" s="26" t="e">
        <f>#REF!</f>
        <v>#REF!</v>
      </c>
      <c r="G80" s="26" t="e">
        <f>#REF!</f>
        <v>#REF!</v>
      </c>
      <c r="H80" s="26" t="e">
        <f>#REF!</f>
        <v>#REF!</v>
      </c>
      <c r="I80" s="26" t="e">
        <f>#REF!</f>
        <v>#REF!</v>
      </c>
      <c r="J80" s="26" t="e">
        <f>#REF!</f>
        <v>#REF!</v>
      </c>
      <c r="K80" s="26" t="e">
        <f>#REF!</f>
        <v>#REF!</v>
      </c>
      <c r="L80" s="26" t="e">
        <f>#REF!</f>
        <v>#REF!</v>
      </c>
      <c r="M80" s="26" t="e">
        <f>#REF!</f>
        <v>#REF!</v>
      </c>
      <c r="N80" s="26" t="e">
        <f>#REF!</f>
        <v>#REF!</v>
      </c>
      <c r="O80" s="26" t="e">
        <f>#REF!</f>
        <v>#REF!</v>
      </c>
      <c r="P80" s="26" t="e">
        <f>#REF!</f>
        <v>#REF!</v>
      </c>
      <c r="Q80" s="26" t="e">
        <f>#REF!</f>
        <v>#REF!</v>
      </c>
      <c r="R80" s="26" t="e">
        <f>#REF!</f>
        <v>#REF!</v>
      </c>
      <c r="S80" s="26" t="e">
        <f>#REF!</f>
        <v>#REF!</v>
      </c>
      <c r="T80" s="26" t="e">
        <f>#REF!</f>
        <v>#REF!</v>
      </c>
      <c r="U80" s="26" t="e">
        <f>#REF!</f>
        <v>#REF!</v>
      </c>
      <c r="V80" s="26" t="e">
        <f>#REF!</f>
        <v>#REF!</v>
      </c>
      <c r="W80" s="26" t="e">
        <f>#REF!</f>
        <v>#REF!</v>
      </c>
      <c r="X80" s="26" t="e">
        <f>#REF!</f>
        <v>#REF!</v>
      </c>
      <c r="Y80" s="26" t="e">
        <f>#REF!</f>
        <v>#REF!</v>
      </c>
      <c r="Z80" s="26" t="e">
        <f>#REF!</f>
        <v>#REF!</v>
      </c>
      <c r="AA80" s="26" t="e">
        <f>#REF!</f>
        <v>#REF!</v>
      </c>
      <c r="AB80" s="26" t="e">
        <f>#REF!</f>
        <v>#REF!</v>
      </c>
      <c r="AC80" s="26" t="e">
        <f>#REF!</f>
        <v>#REF!</v>
      </c>
      <c r="AD80" s="26" t="e">
        <f>#REF!</f>
        <v>#REF!</v>
      </c>
      <c r="AE80" s="26" t="e">
        <f>#REF!</f>
        <v>#REF!</v>
      </c>
      <c r="AF80" s="26" t="e">
        <f>#REF!</f>
        <v>#REF!</v>
      </c>
      <c r="AG80" s="26" t="e">
        <f>#REF!</f>
        <v>#REF!</v>
      </c>
      <c r="AH80" s="26" t="e">
        <f>#REF!</f>
        <v>#REF!</v>
      </c>
      <c r="AI80" s="44"/>
      <c r="AJ80" s="26" t="e">
        <f t="shared" si="22"/>
        <v>#REF!</v>
      </c>
      <c r="AK80" s="44"/>
      <c r="AL80" s="26" t="e">
        <f t="shared" si="23"/>
        <v>#REF!</v>
      </c>
      <c r="AM80" s="44"/>
      <c r="AN80" s="26" t="e">
        <f t="shared" si="24"/>
        <v>#REF!</v>
      </c>
      <c r="AO80" s="44"/>
      <c r="AP80" s="26" t="e">
        <f t="shared" si="25"/>
        <v>#REF!</v>
      </c>
      <c r="AQ80" s="44"/>
      <c r="AR80" s="26" t="e">
        <f t="shared" si="26"/>
        <v>#REF!</v>
      </c>
      <c r="AS80" s="44"/>
      <c r="AT80" s="42" t="e">
        <f t="shared" si="27"/>
        <v>#REF!</v>
      </c>
      <c r="BA80" s="31"/>
      <c r="BB80" s="31"/>
      <c r="BC80" s="31"/>
      <c r="BD80" s="31"/>
      <c r="BE80" s="31"/>
    </row>
    <row r="81" spans="1:57" hidden="1" x14ac:dyDescent="0.25">
      <c r="A81" s="45"/>
      <c r="B81" s="46" t="s">
        <v>88</v>
      </c>
      <c r="C81" s="46"/>
      <c r="D81" s="26" t="e">
        <f>#REF!</f>
        <v>#REF!</v>
      </c>
      <c r="E81" s="26" t="e">
        <f>#REF!</f>
        <v>#REF!</v>
      </c>
      <c r="F81" s="26" t="e">
        <f>#REF!</f>
        <v>#REF!</v>
      </c>
      <c r="G81" s="26" t="e">
        <f>#REF!</f>
        <v>#REF!</v>
      </c>
      <c r="H81" s="26" t="e">
        <f>#REF!</f>
        <v>#REF!</v>
      </c>
      <c r="I81" s="26" t="e">
        <f>#REF!</f>
        <v>#REF!</v>
      </c>
      <c r="J81" s="26" t="e">
        <f>#REF!</f>
        <v>#REF!</v>
      </c>
      <c r="K81" s="26" t="e">
        <f>#REF!</f>
        <v>#REF!</v>
      </c>
      <c r="L81" s="26" t="e">
        <f>#REF!</f>
        <v>#REF!</v>
      </c>
      <c r="M81" s="26" t="e">
        <f>#REF!</f>
        <v>#REF!</v>
      </c>
      <c r="N81" s="26" t="e">
        <f>#REF!</f>
        <v>#REF!</v>
      </c>
      <c r="O81" s="26" t="e">
        <f>#REF!</f>
        <v>#REF!</v>
      </c>
      <c r="P81" s="26" t="e">
        <f>#REF!</f>
        <v>#REF!</v>
      </c>
      <c r="Q81" s="26" t="e">
        <f>#REF!</f>
        <v>#REF!</v>
      </c>
      <c r="R81" s="26" t="e">
        <f>#REF!</f>
        <v>#REF!</v>
      </c>
      <c r="S81" s="26" t="e">
        <f>#REF!</f>
        <v>#REF!</v>
      </c>
      <c r="T81" s="26" t="e">
        <f>#REF!</f>
        <v>#REF!</v>
      </c>
      <c r="U81" s="26" t="e">
        <f>#REF!</f>
        <v>#REF!</v>
      </c>
      <c r="V81" s="26" t="e">
        <f>#REF!</f>
        <v>#REF!</v>
      </c>
      <c r="W81" s="26" t="e">
        <f>#REF!</f>
        <v>#REF!</v>
      </c>
      <c r="X81" s="26" t="e">
        <f>#REF!</f>
        <v>#REF!</v>
      </c>
      <c r="Y81" s="26" t="e">
        <f>#REF!</f>
        <v>#REF!</v>
      </c>
      <c r="Z81" s="26" t="e">
        <f>#REF!</f>
        <v>#REF!</v>
      </c>
      <c r="AA81" s="26" t="e">
        <f>#REF!</f>
        <v>#REF!</v>
      </c>
      <c r="AB81" s="26" t="e">
        <f>#REF!</f>
        <v>#REF!</v>
      </c>
      <c r="AC81" s="26" t="e">
        <f>#REF!</f>
        <v>#REF!</v>
      </c>
      <c r="AD81" s="26" t="e">
        <f>#REF!</f>
        <v>#REF!</v>
      </c>
      <c r="AE81" s="26" t="e">
        <f>#REF!</f>
        <v>#REF!</v>
      </c>
      <c r="AF81" s="26" t="e">
        <f>#REF!</f>
        <v>#REF!</v>
      </c>
      <c r="AG81" s="26" t="e">
        <f>#REF!</f>
        <v>#REF!</v>
      </c>
      <c r="AH81" s="26" t="e">
        <f>#REF!</f>
        <v>#REF!</v>
      </c>
      <c r="AI81" s="44"/>
      <c r="AJ81" s="26" t="e">
        <f t="shared" si="22"/>
        <v>#REF!</v>
      </c>
      <c r="AK81" s="44"/>
      <c r="AL81" s="26" t="e">
        <f t="shared" si="23"/>
        <v>#REF!</v>
      </c>
      <c r="AM81" s="44"/>
      <c r="AN81" s="26" t="e">
        <f t="shared" si="24"/>
        <v>#REF!</v>
      </c>
      <c r="AO81" s="44"/>
      <c r="AP81" s="26" t="e">
        <f t="shared" si="25"/>
        <v>#REF!</v>
      </c>
      <c r="AQ81" s="44"/>
      <c r="AR81" s="26" t="e">
        <f t="shared" si="26"/>
        <v>#REF!</v>
      </c>
      <c r="AS81" s="44"/>
      <c r="AT81" s="26" t="e">
        <f t="shared" si="27"/>
        <v>#REF!</v>
      </c>
      <c r="BA81" s="31"/>
      <c r="BB81" s="31"/>
      <c r="BC81" s="31"/>
      <c r="BD81" s="31"/>
      <c r="BE81" s="31"/>
    </row>
    <row r="82" spans="1:57" hidden="1" x14ac:dyDescent="0.25">
      <c r="A82" s="45"/>
      <c r="B82" s="46" t="s">
        <v>89</v>
      </c>
      <c r="C82" s="46"/>
      <c r="D82" s="26" t="e">
        <f>#REF!</f>
        <v>#REF!</v>
      </c>
      <c r="E82" s="26" t="e">
        <f>#REF!</f>
        <v>#REF!</v>
      </c>
      <c r="F82" s="26" t="e">
        <f>#REF!</f>
        <v>#REF!</v>
      </c>
      <c r="G82" s="26" t="e">
        <f>#REF!</f>
        <v>#REF!</v>
      </c>
      <c r="H82" s="26" t="e">
        <f>#REF!</f>
        <v>#REF!</v>
      </c>
      <c r="I82" s="26" t="e">
        <f>#REF!</f>
        <v>#REF!</v>
      </c>
      <c r="J82" s="26" t="e">
        <f>#REF!</f>
        <v>#REF!</v>
      </c>
      <c r="K82" s="26" t="e">
        <f>#REF!</f>
        <v>#REF!</v>
      </c>
      <c r="L82" s="26" t="e">
        <f>#REF!</f>
        <v>#REF!</v>
      </c>
      <c r="M82" s="26" t="e">
        <f>#REF!</f>
        <v>#REF!</v>
      </c>
      <c r="N82" s="26" t="e">
        <f>#REF!</f>
        <v>#REF!</v>
      </c>
      <c r="O82" s="26" t="e">
        <f>#REF!</f>
        <v>#REF!</v>
      </c>
      <c r="P82" s="26" t="e">
        <f>#REF!</f>
        <v>#REF!</v>
      </c>
      <c r="Q82" s="26" t="e">
        <f>#REF!</f>
        <v>#REF!</v>
      </c>
      <c r="R82" s="26" t="e">
        <f>#REF!</f>
        <v>#REF!</v>
      </c>
      <c r="S82" s="26" t="e">
        <f>#REF!</f>
        <v>#REF!</v>
      </c>
      <c r="T82" s="26" t="e">
        <f>#REF!</f>
        <v>#REF!</v>
      </c>
      <c r="U82" s="26" t="e">
        <f>#REF!</f>
        <v>#REF!</v>
      </c>
      <c r="V82" s="26" t="e">
        <f>#REF!</f>
        <v>#REF!</v>
      </c>
      <c r="W82" s="26" t="e">
        <f>#REF!</f>
        <v>#REF!</v>
      </c>
      <c r="X82" s="26" t="e">
        <f>#REF!</f>
        <v>#REF!</v>
      </c>
      <c r="Y82" s="26" t="e">
        <f>#REF!</f>
        <v>#REF!</v>
      </c>
      <c r="Z82" s="26" t="e">
        <f>#REF!</f>
        <v>#REF!</v>
      </c>
      <c r="AA82" s="26" t="e">
        <f>#REF!</f>
        <v>#REF!</v>
      </c>
      <c r="AB82" s="26" t="e">
        <f>#REF!</f>
        <v>#REF!</v>
      </c>
      <c r="AC82" s="26" t="e">
        <f>#REF!</f>
        <v>#REF!</v>
      </c>
      <c r="AD82" s="26" t="e">
        <f>#REF!</f>
        <v>#REF!</v>
      </c>
      <c r="AE82" s="26" t="e">
        <f>#REF!</f>
        <v>#REF!</v>
      </c>
      <c r="AF82" s="26" t="e">
        <f>#REF!</f>
        <v>#REF!</v>
      </c>
      <c r="AG82" s="26" t="e">
        <f>#REF!</f>
        <v>#REF!</v>
      </c>
      <c r="AH82" s="26" t="e">
        <f>#REF!</f>
        <v>#REF!</v>
      </c>
      <c r="AI82" s="44"/>
      <c r="AJ82" s="26" t="e">
        <f t="shared" si="22"/>
        <v>#REF!</v>
      </c>
      <c r="AK82" s="44"/>
      <c r="AL82" s="26" t="e">
        <f t="shared" si="23"/>
        <v>#REF!</v>
      </c>
      <c r="AM82" s="44"/>
      <c r="AN82" s="26" t="e">
        <f t="shared" si="24"/>
        <v>#REF!</v>
      </c>
      <c r="AO82" s="44"/>
      <c r="AP82" s="26" t="e">
        <f t="shared" si="25"/>
        <v>#REF!</v>
      </c>
      <c r="AQ82" s="44"/>
      <c r="AR82" s="26" t="e">
        <f t="shared" si="26"/>
        <v>#REF!</v>
      </c>
      <c r="AS82" s="44"/>
      <c r="AT82" s="26" t="e">
        <f t="shared" si="27"/>
        <v>#REF!</v>
      </c>
      <c r="BA82" s="31"/>
      <c r="BB82" s="31"/>
      <c r="BC82" s="31"/>
      <c r="BD82" s="31"/>
      <c r="BE82" s="31"/>
    </row>
    <row r="83" spans="1:57" hidden="1" x14ac:dyDescent="0.25">
      <c r="A83" s="48"/>
      <c r="B83" s="49" t="s">
        <v>90</v>
      </c>
      <c r="C83" s="49"/>
      <c r="D83" s="26" t="e">
        <f>#REF!</f>
        <v>#REF!</v>
      </c>
      <c r="E83" s="26" t="e">
        <f>#REF!</f>
        <v>#REF!</v>
      </c>
      <c r="F83" s="26" t="e">
        <f>#REF!</f>
        <v>#REF!</v>
      </c>
      <c r="G83" s="26" t="e">
        <f>#REF!</f>
        <v>#REF!</v>
      </c>
      <c r="H83" s="26" t="e">
        <f>#REF!</f>
        <v>#REF!</v>
      </c>
      <c r="I83" s="26" t="e">
        <f>#REF!</f>
        <v>#REF!</v>
      </c>
      <c r="J83" s="26" t="e">
        <f>#REF!</f>
        <v>#REF!</v>
      </c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44"/>
      <c r="AJ83" s="121" t="e">
        <f t="shared" si="22"/>
        <v>#REF!</v>
      </c>
      <c r="AK83" s="44"/>
      <c r="AL83" s="50">
        <f t="shared" si="23"/>
        <v>0</v>
      </c>
      <c r="AM83" s="56"/>
      <c r="AN83" s="50">
        <f t="shared" si="24"/>
        <v>0</v>
      </c>
      <c r="AO83" s="37"/>
      <c r="AP83" s="50">
        <f t="shared" si="25"/>
        <v>0</v>
      </c>
      <c r="AQ83" s="37"/>
      <c r="AR83" s="50">
        <f t="shared" si="26"/>
        <v>0</v>
      </c>
      <c r="AS83" s="58"/>
      <c r="AT83" s="26" t="e">
        <f t="shared" si="27"/>
        <v>#REF!</v>
      </c>
      <c r="AU83" s="38"/>
      <c r="BA83" s="31"/>
      <c r="BB83" s="31"/>
      <c r="BC83" s="31"/>
      <c r="BD83" s="31"/>
      <c r="BE83" s="31"/>
    </row>
    <row r="84" spans="1:57" s="38" customFormat="1" ht="15.75" hidden="1" thickBot="1" x14ac:dyDescent="0.3">
      <c r="A84" s="51"/>
      <c r="B84" s="52" t="s">
        <v>24</v>
      </c>
      <c r="C84" s="53">
        <f>SUM(C70:C83)</f>
        <v>0</v>
      </c>
      <c r="D84" s="53" t="e">
        <f t="shared" ref="D84:AH84" si="28">SUM(D70:D83)</f>
        <v>#REF!</v>
      </c>
      <c r="E84" s="53" t="e">
        <f t="shared" si="28"/>
        <v>#REF!</v>
      </c>
      <c r="F84" s="53" t="e">
        <f t="shared" si="28"/>
        <v>#REF!</v>
      </c>
      <c r="G84" s="53" t="e">
        <f t="shared" si="28"/>
        <v>#REF!</v>
      </c>
      <c r="H84" s="53" t="e">
        <f t="shared" si="28"/>
        <v>#REF!</v>
      </c>
      <c r="I84" s="53" t="e">
        <f t="shared" si="28"/>
        <v>#REF!</v>
      </c>
      <c r="J84" s="53" t="e">
        <f t="shared" si="28"/>
        <v>#REF!</v>
      </c>
      <c r="K84" s="53" t="e">
        <f t="shared" si="28"/>
        <v>#REF!</v>
      </c>
      <c r="L84" s="53" t="e">
        <f t="shared" si="28"/>
        <v>#REF!</v>
      </c>
      <c r="M84" s="53" t="e">
        <f t="shared" si="28"/>
        <v>#REF!</v>
      </c>
      <c r="N84" s="53" t="e">
        <f t="shared" si="28"/>
        <v>#REF!</v>
      </c>
      <c r="O84" s="53" t="e">
        <f t="shared" si="28"/>
        <v>#REF!</v>
      </c>
      <c r="P84" s="53" t="e">
        <f t="shared" si="28"/>
        <v>#REF!</v>
      </c>
      <c r="Q84" s="53" t="e">
        <f t="shared" si="28"/>
        <v>#REF!</v>
      </c>
      <c r="R84" s="53" t="e">
        <f t="shared" si="28"/>
        <v>#REF!</v>
      </c>
      <c r="S84" s="53" t="e">
        <f t="shared" si="28"/>
        <v>#REF!</v>
      </c>
      <c r="T84" s="53" t="e">
        <f t="shared" si="28"/>
        <v>#REF!</v>
      </c>
      <c r="U84" s="53" t="e">
        <f t="shared" si="28"/>
        <v>#REF!</v>
      </c>
      <c r="V84" s="53" t="e">
        <f t="shared" si="28"/>
        <v>#REF!</v>
      </c>
      <c r="W84" s="53" t="e">
        <f t="shared" si="28"/>
        <v>#REF!</v>
      </c>
      <c r="X84" s="53" t="e">
        <f t="shared" si="28"/>
        <v>#REF!</v>
      </c>
      <c r="Y84" s="53" t="e">
        <f t="shared" si="28"/>
        <v>#REF!</v>
      </c>
      <c r="Z84" s="53" t="e">
        <f t="shared" si="28"/>
        <v>#REF!</v>
      </c>
      <c r="AA84" s="53" t="e">
        <f t="shared" si="28"/>
        <v>#REF!</v>
      </c>
      <c r="AB84" s="53" t="e">
        <f t="shared" si="28"/>
        <v>#REF!</v>
      </c>
      <c r="AC84" s="53" t="e">
        <f t="shared" si="28"/>
        <v>#REF!</v>
      </c>
      <c r="AD84" s="53" t="e">
        <f t="shared" si="28"/>
        <v>#REF!</v>
      </c>
      <c r="AE84" s="53" t="e">
        <f t="shared" si="28"/>
        <v>#REF!</v>
      </c>
      <c r="AF84" s="53" t="e">
        <f t="shared" si="28"/>
        <v>#REF!</v>
      </c>
      <c r="AG84" s="53" t="e">
        <f t="shared" si="28"/>
        <v>#REF!</v>
      </c>
      <c r="AH84" s="53" t="e">
        <f t="shared" si="28"/>
        <v>#REF!</v>
      </c>
      <c r="AI84" s="54">
        <f>SUM(AI70:AI82)</f>
        <v>0</v>
      </c>
      <c r="AJ84" s="65" t="e">
        <f t="shared" si="22"/>
        <v>#REF!</v>
      </c>
      <c r="AK84" s="44"/>
      <c r="AL84" s="55" t="e">
        <f t="shared" si="23"/>
        <v>#REF!</v>
      </c>
      <c r="AM84" s="44"/>
      <c r="AN84" s="55" t="e">
        <f t="shared" si="24"/>
        <v>#REF!</v>
      </c>
      <c r="AO84" s="44"/>
      <c r="AP84" s="57" t="e">
        <f t="shared" si="25"/>
        <v>#REF!</v>
      </c>
      <c r="AQ84" s="44"/>
      <c r="AR84" s="57" t="e">
        <f t="shared" si="26"/>
        <v>#REF!</v>
      </c>
      <c r="AS84" s="54"/>
      <c r="AT84" s="59" t="e">
        <f t="shared" si="27"/>
        <v>#REF!</v>
      </c>
      <c r="AV84" s="39">
        <f>AV79</f>
        <v>0</v>
      </c>
      <c r="AW84" s="39"/>
      <c r="AX84" s="39"/>
      <c r="AY84" s="39"/>
      <c r="AZ84" s="39"/>
      <c r="BA84" s="39"/>
      <c r="BB84" s="39"/>
      <c r="BC84" s="39"/>
      <c r="BD84" s="39"/>
      <c r="BE84" s="39"/>
    </row>
    <row r="85" spans="1:57" s="38" customFormat="1" hidden="1" x14ac:dyDescent="0.25">
      <c r="A85" s="60" t="s">
        <v>91</v>
      </c>
      <c r="B85" s="46" t="s">
        <v>77</v>
      </c>
      <c r="C85" s="41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54"/>
      <c r="AJ85" s="122">
        <f t="shared" si="22"/>
        <v>0</v>
      </c>
      <c r="AK85" s="44"/>
      <c r="AL85" s="42">
        <f t="shared" si="23"/>
        <v>0</v>
      </c>
      <c r="AM85" s="44"/>
      <c r="AN85" s="42">
        <f t="shared" si="24"/>
        <v>0</v>
      </c>
      <c r="AO85" s="44"/>
      <c r="AP85" s="42">
        <f t="shared" si="25"/>
        <v>0</v>
      </c>
      <c r="AQ85" s="44"/>
      <c r="AR85" s="42">
        <f t="shared" si="26"/>
        <v>0</v>
      </c>
      <c r="AS85" s="54"/>
      <c r="AT85" s="42">
        <f t="shared" si="27"/>
        <v>0</v>
      </c>
      <c r="AV85" s="39"/>
      <c r="AW85" s="39"/>
      <c r="AX85" s="39"/>
      <c r="AY85" s="39"/>
      <c r="AZ85" s="39"/>
      <c r="BA85" s="39"/>
      <c r="BB85" s="39"/>
      <c r="BC85" s="39"/>
      <c r="BD85" s="39"/>
      <c r="BE85" s="39"/>
    </row>
    <row r="86" spans="1:57" s="38" customFormat="1" hidden="1" x14ac:dyDescent="0.25">
      <c r="A86" s="60"/>
      <c r="B86" s="46" t="s">
        <v>78</v>
      </c>
      <c r="C86" s="4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54"/>
      <c r="AJ86" s="26">
        <f t="shared" si="22"/>
        <v>0</v>
      </c>
      <c r="AK86" s="44"/>
      <c r="AL86" s="26">
        <f t="shared" si="23"/>
        <v>0</v>
      </c>
      <c r="AM86" s="44"/>
      <c r="AN86" s="26">
        <f t="shared" si="24"/>
        <v>0</v>
      </c>
      <c r="AO86" s="44"/>
      <c r="AP86" s="26">
        <f t="shared" si="25"/>
        <v>0</v>
      </c>
      <c r="AQ86" s="44"/>
      <c r="AR86" s="26">
        <f t="shared" si="26"/>
        <v>0</v>
      </c>
      <c r="AS86" s="54"/>
      <c r="AT86" s="26">
        <f t="shared" si="27"/>
        <v>0</v>
      </c>
      <c r="AV86" s="39"/>
      <c r="AW86" s="39"/>
      <c r="AX86" s="39"/>
      <c r="AY86" s="39"/>
      <c r="AZ86" s="39"/>
      <c r="BA86" s="39"/>
      <c r="BB86" s="39"/>
      <c r="BC86" s="39"/>
      <c r="BD86" s="39"/>
      <c r="BE86" s="39"/>
    </row>
    <row r="87" spans="1:57" s="38" customFormat="1" hidden="1" x14ac:dyDescent="0.25">
      <c r="A87" s="60"/>
      <c r="B87" s="46" t="s">
        <v>79</v>
      </c>
      <c r="C87" s="4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54"/>
      <c r="AJ87" s="26">
        <f t="shared" si="22"/>
        <v>0</v>
      </c>
      <c r="AK87" s="44"/>
      <c r="AL87" s="26">
        <f t="shared" si="23"/>
        <v>0</v>
      </c>
      <c r="AM87" s="44"/>
      <c r="AN87" s="26">
        <f t="shared" si="24"/>
        <v>0</v>
      </c>
      <c r="AO87" s="44"/>
      <c r="AP87" s="26">
        <f t="shared" si="25"/>
        <v>0</v>
      </c>
      <c r="AQ87" s="44"/>
      <c r="AR87" s="26">
        <f t="shared" si="26"/>
        <v>0</v>
      </c>
      <c r="AS87" s="54"/>
      <c r="AT87" s="26">
        <f t="shared" si="27"/>
        <v>0</v>
      </c>
      <c r="AV87" s="39"/>
      <c r="AW87" s="39"/>
      <c r="AX87" s="39"/>
      <c r="AY87" s="39"/>
      <c r="AZ87" s="39"/>
      <c r="BA87" s="39"/>
      <c r="BB87" s="39"/>
      <c r="BC87" s="39"/>
      <c r="BD87" s="39"/>
      <c r="BE87" s="39"/>
    </row>
    <row r="88" spans="1:57" s="38" customFormat="1" hidden="1" x14ac:dyDescent="0.25">
      <c r="A88" s="60"/>
      <c r="B88" s="46" t="s">
        <v>80</v>
      </c>
      <c r="C88" s="4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54"/>
      <c r="AJ88" s="26">
        <f t="shared" si="22"/>
        <v>0</v>
      </c>
      <c r="AK88" s="44"/>
      <c r="AL88" s="26">
        <f t="shared" si="23"/>
        <v>0</v>
      </c>
      <c r="AM88" s="44"/>
      <c r="AN88" s="26">
        <f t="shared" si="24"/>
        <v>0</v>
      </c>
      <c r="AO88" s="44"/>
      <c r="AP88" s="26">
        <f t="shared" si="25"/>
        <v>0</v>
      </c>
      <c r="AQ88" s="44"/>
      <c r="AR88" s="26">
        <f t="shared" si="26"/>
        <v>0</v>
      </c>
      <c r="AS88" s="54"/>
      <c r="AT88" s="26">
        <f t="shared" si="27"/>
        <v>0</v>
      </c>
      <c r="AV88" s="39"/>
      <c r="AW88" s="39"/>
      <c r="AX88" s="39"/>
      <c r="AY88" s="39"/>
      <c r="AZ88" s="39"/>
      <c r="BA88" s="39"/>
      <c r="BB88" s="39"/>
      <c r="BC88" s="39"/>
      <c r="BD88" s="39"/>
      <c r="BE88" s="39"/>
    </row>
    <row r="89" spans="1:57" s="38" customFormat="1" hidden="1" x14ac:dyDescent="0.25">
      <c r="A89" s="60"/>
      <c r="B89" s="46" t="s">
        <v>81</v>
      </c>
      <c r="C89" s="4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54"/>
      <c r="AJ89" s="26">
        <f t="shared" si="22"/>
        <v>0</v>
      </c>
      <c r="AK89" s="44"/>
      <c r="AL89" s="26">
        <f t="shared" si="23"/>
        <v>0</v>
      </c>
      <c r="AM89" s="44"/>
      <c r="AN89" s="26">
        <f t="shared" si="24"/>
        <v>0</v>
      </c>
      <c r="AO89" s="44"/>
      <c r="AP89" s="26">
        <f t="shared" si="25"/>
        <v>0</v>
      </c>
      <c r="AQ89" s="44"/>
      <c r="AR89" s="26">
        <f t="shared" si="26"/>
        <v>0</v>
      </c>
      <c r="AS89" s="54"/>
      <c r="AT89" s="26">
        <f t="shared" si="27"/>
        <v>0</v>
      </c>
      <c r="AV89" s="39"/>
      <c r="AW89" s="39"/>
      <c r="AX89" s="39"/>
      <c r="AY89" s="39"/>
      <c r="AZ89" s="39"/>
      <c r="BA89" s="39"/>
      <c r="BB89" s="39"/>
      <c r="BC89" s="39"/>
      <c r="BD89" s="39"/>
      <c r="BE89" s="39"/>
    </row>
    <row r="90" spans="1:57" s="38" customFormat="1" hidden="1" x14ac:dyDescent="0.25">
      <c r="A90" s="60"/>
      <c r="B90" s="46" t="s">
        <v>82</v>
      </c>
      <c r="C90" s="4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54"/>
      <c r="AJ90" s="26">
        <f t="shared" si="22"/>
        <v>0</v>
      </c>
      <c r="AK90" s="44"/>
      <c r="AL90" s="26">
        <f t="shared" si="23"/>
        <v>0</v>
      </c>
      <c r="AM90" s="44"/>
      <c r="AN90" s="26">
        <f t="shared" si="24"/>
        <v>0</v>
      </c>
      <c r="AO90" s="44"/>
      <c r="AP90" s="26">
        <f t="shared" si="25"/>
        <v>0</v>
      </c>
      <c r="AQ90" s="44"/>
      <c r="AR90" s="26">
        <f t="shared" si="26"/>
        <v>0</v>
      </c>
      <c r="AS90" s="54"/>
      <c r="AT90" s="26">
        <f t="shared" si="27"/>
        <v>0</v>
      </c>
      <c r="AV90" s="39"/>
      <c r="AW90" s="39"/>
      <c r="AX90" s="39"/>
      <c r="AY90" s="39"/>
      <c r="AZ90" s="39"/>
      <c r="BA90" s="39"/>
      <c r="BB90" s="39"/>
      <c r="BC90" s="39"/>
      <c r="BD90" s="39"/>
      <c r="BE90" s="39"/>
    </row>
    <row r="91" spans="1:57" s="38" customFormat="1" hidden="1" x14ac:dyDescent="0.25">
      <c r="A91" s="60"/>
      <c r="B91" s="46" t="s">
        <v>83</v>
      </c>
      <c r="C91" s="4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54"/>
      <c r="AJ91" s="26">
        <f t="shared" si="22"/>
        <v>0</v>
      </c>
      <c r="AK91" s="44"/>
      <c r="AL91" s="26">
        <f t="shared" si="23"/>
        <v>0</v>
      </c>
      <c r="AM91" s="44"/>
      <c r="AN91" s="26">
        <f t="shared" si="24"/>
        <v>0</v>
      </c>
      <c r="AO91" s="44"/>
      <c r="AP91" s="26">
        <f t="shared" si="25"/>
        <v>0</v>
      </c>
      <c r="AQ91" s="44"/>
      <c r="AR91" s="26">
        <f t="shared" si="26"/>
        <v>0</v>
      </c>
      <c r="AS91" s="54"/>
      <c r="AT91" s="26">
        <f t="shared" si="27"/>
        <v>0</v>
      </c>
      <c r="AV91" s="39"/>
      <c r="AW91" s="39"/>
      <c r="AX91" s="39"/>
      <c r="AY91" s="39"/>
      <c r="AZ91" s="39"/>
      <c r="BA91" s="39"/>
      <c r="BB91" s="39"/>
      <c r="BC91" s="39"/>
      <c r="BD91" s="39"/>
      <c r="BE91" s="39"/>
    </row>
    <row r="92" spans="1:57" s="38" customFormat="1" hidden="1" x14ac:dyDescent="0.25">
      <c r="A92" s="60"/>
      <c r="B92" s="46" t="s">
        <v>84</v>
      </c>
      <c r="C92" s="4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54"/>
      <c r="AJ92" s="26">
        <f t="shared" si="22"/>
        <v>0</v>
      </c>
      <c r="AK92" s="44"/>
      <c r="AL92" s="26">
        <f t="shared" si="23"/>
        <v>0</v>
      </c>
      <c r="AM92" s="44"/>
      <c r="AN92" s="26">
        <f t="shared" si="24"/>
        <v>0</v>
      </c>
      <c r="AO92" s="44"/>
      <c r="AP92" s="26">
        <f t="shared" si="25"/>
        <v>0</v>
      </c>
      <c r="AQ92" s="44"/>
      <c r="AR92" s="26">
        <f t="shared" si="26"/>
        <v>0</v>
      </c>
      <c r="AS92" s="54"/>
      <c r="AT92" s="26">
        <f t="shared" si="27"/>
        <v>0</v>
      </c>
      <c r="AV92" s="39"/>
      <c r="AW92" s="39"/>
      <c r="AX92" s="39"/>
      <c r="AY92" s="39"/>
      <c r="AZ92" s="39"/>
      <c r="BA92" s="39"/>
      <c r="BB92" s="39"/>
      <c r="BC92" s="39"/>
      <c r="BD92" s="39"/>
      <c r="BE92" s="39"/>
    </row>
    <row r="93" spans="1:57" s="38" customFormat="1" hidden="1" x14ac:dyDescent="0.25">
      <c r="A93" s="60"/>
      <c r="B93" s="46" t="s">
        <v>85</v>
      </c>
      <c r="C93" s="4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54"/>
      <c r="AJ93" s="26">
        <f t="shared" si="22"/>
        <v>0</v>
      </c>
      <c r="AK93" s="44"/>
      <c r="AL93" s="26">
        <f t="shared" si="23"/>
        <v>0</v>
      </c>
      <c r="AM93" s="44"/>
      <c r="AN93" s="26">
        <f t="shared" si="24"/>
        <v>0</v>
      </c>
      <c r="AO93" s="44"/>
      <c r="AP93" s="26">
        <f t="shared" si="25"/>
        <v>0</v>
      </c>
      <c r="AQ93" s="44"/>
      <c r="AR93" s="26">
        <f t="shared" si="26"/>
        <v>0</v>
      </c>
      <c r="AS93" s="54"/>
      <c r="AT93" s="26">
        <f t="shared" si="27"/>
        <v>0</v>
      </c>
      <c r="AV93" s="39"/>
      <c r="AW93" s="39"/>
      <c r="AX93" s="39"/>
      <c r="AY93" s="39"/>
      <c r="AZ93" s="39"/>
      <c r="BA93" s="39"/>
      <c r="BB93" s="39"/>
      <c r="BC93" s="39"/>
      <c r="BD93" s="39"/>
      <c r="BE93" s="39"/>
    </row>
    <row r="94" spans="1:57" s="38" customFormat="1" hidden="1" x14ac:dyDescent="0.25">
      <c r="A94" s="60"/>
      <c r="B94" s="46" t="s">
        <v>86</v>
      </c>
      <c r="C94" s="4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54"/>
      <c r="AJ94" s="26">
        <f t="shared" si="22"/>
        <v>0</v>
      </c>
      <c r="AK94" s="44"/>
      <c r="AL94" s="26">
        <f t="shared" si="23"/>
        <v>0</v>
      </c>
      <c r="AM94" s="44"/>
      <c r="AN94" s="26">
        <f t="shared" si="24"/>
        <v>0</v>
      </c>
      <c r="AO94" s="44"/>
      <c r="AP94" s="26">
        <f t="shared" si="25"/>
        <v>0</v>
      </c>
      <c r="AQ94" s="44"/>
      <c r="AR94" s="26">
        <f t="shared" si="26"/>
        <v>0</v>
      </c>
      <c r="AS94" s="54"/>
      <c r="AT94" s="26">
        <f t="shared" si="27"/>
        <v>0</v>
      </c>
      <c r="AV94" s="39"/>
      <c r="AW94" s="39"/>
      <c r="AX94" s="39"/>
      <c r="AY94" s="39"/>
      <c r="AZ94" s="39"/>
      <c r="BA94" s="39"/>
      <c r="BB94" s="39"/>
      <c r="BC94" s="39"/>
      <c r="BD94" s="39"/>
      <c r="BE94" s="39"/>
    </row>
    <row r="95" spans="1:57" s="38" customFormat="1" hidden="1" x14ac:dyDescent="0.25">
      <c r="A95" s="60"/>
      <c r="B95" s="46" t="s">
        <v>87</v>
      </c>
      <c r="C95" s="4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54"/>
      <c r="AJ95" s="26">
        <f t="shared" si="22"/>
        <v>0</v>
      </c>
      <c r="AK95" s="44"/>
      <c r="AL95" s="26">
        <f t="shared" si="23"/>
        <v>0</v>
      </c>
      <c r="AM95" s="44"/>
      <c r="AN95" s="26">
        <f t="shared" si="24"/>
        <v>0</v>
      </c>
      <c r="AO95" s="44"/>
      <c r="AP95" s="26">
        <f t="shared" si="25"/>
        <v>0</v>
      </c>
      <c r="AQ95" s="44"/>
      <c r="AR95" s="26">
        <f t="shared" si="26"/>
        <v>0</v>
      </c>
      <c r="AS95" s="54"/>
      <c r="AT95" s="26">
        <f t="shared" si="27"/>
        <v>0</v>
      </c>
      <c r="AV95" s="39"/>
      <c r="AW95" s="39"/>
      <c r="AX95" s="39"/>
      <c r="AY95" s="39"/>
      <c r="AZ95" s="39"/>
      <c r="BA95" s="39"/>
      <c r="BB95" s="39"/>
      <c r="BC95" s="39"/>
      <c r="BD95" s="39"/>
      <c r="BE95" s="39"/>
    </row>
    <row r="96" spans="1:57" s="38" customFormat="1" hidden="1" x14ac:dyDescent="0.25">
      <c r="A96" s="60"/>
      <c r="B96" s="46" t="s">
        <v>88</v>
      </c>
      <c r="C96" s="4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54"/>
      <c r="AJ96" s="26">
        <f t="shared" si="22"/>
        <v>0</v>
      </c>
      <c r="AK96" s="44"/>
      <c r="AL96" s="26">
        <f t="shared" si="23"/>
        <v>0</v>
      </c>
      <c r="AM96" s="44"/>
      <c r="AN96" s="26">
        <f t="shared" si="24"/>
        <v>0</v>
      </c>
      <c r="AO96" s="44"/>
      <c r="AP96" s="26">
        <f t="shared" si="25"/>
        <v>0</v>
      </c>
      <c r="AQ96" s="44"/>
      <c r="AR96" s="26">
        <f t="shared" si="26"/>
        <v>0</v>
      </c>
      <c r="AS96" s="54"/>
      <c r="AT96" s="26">
        <f t="shared" si="27"/>
        <v>0</v>
      </c>
      <c r="AV96" s="39"/>
      <c r="AW96" s="39"/>
      <c r="AX96" s="39"/>
      <c r="AY96" s="39"/>
      <c r="AZ96" s="39"/>
      <c r="BA96" s="39"/>
      <c r="BB96" s="39"/>
      <c r="BC96" s="39"/>
      <c r="BD96" s="39"/>
      <c r="BE96" s="39"/>
    </row>
    <row r="97" spans="1:57" s="38" customFormat="1" hidden="1" x14ac:dyDescent="0.25">
      <c r="A97" s="60"/>
      <c r="B97" s="46" t="s">
        <v>89</v>
      </c>
      <c r="C97" s="4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54"/>
      <c r="AJ97" s="26">
        <f t="shared" si="22"/>
        <v>0</v>
      </c>
      <c r="AK97" s="44"/>
      <c r="AL97" s="26">
        <f t="shared" si="23"/>
        <v>0</v>
      </c>
      <c r="AM97" s="44"/>
      <c r="AN97" s="26">
        <f t="shared" si="24"/>
        <v>0</v>
      </c>
      <c r="AO97" s="44"/>
      <c r="AP97" s="26">
        <f t="shared" si="25"/>
        <v>0</v>
      </c>
      <c r="AQ97" s="44"/>
      <c r="AR97" s="26">
        <f t="shared" si="26"/>
        <v>0</v>
      </c>
      <c r="AS97" s="54"/>
      <c r="AT97" s="26">
        <f t="shared" si="27"/>
        <v>0</v>
      </c>
      <c r="AV97" s="39"/>
      <c r="AW97" s="39"/>
      <c r="AX97" s="39"/>
      <c r="AY97" s="39"/>
      <c r="AZ97" s="39"/>
      <c r="BA97" s="39"/>
      <c r="BB97" s="39"/>
      <c r="BC97" s="39"/>
      <c r="BD97" s="39"/>
      <c r="BE97" s="39"/>
    </row>
    <row r="98" spans="1:57" s="38" customFormat="1" hidden="1" x14ac:dyDescent="0.25">
      <c r="A98" s="60"/>
      <c r="B98" s="61" t="s">
        <v>90</v>
      </c>
      <c r="C98" s="61"/>
      <c r="D98" s="50"/>
      <c r="E98" s="50"/>
      <c r="F98" s="50"/>
      <c r="G98" s="50"/>
      <c r="H98" s="50"/>
      <c r="I98" s="50"/>
      <c r="J98" s="50"/>
      <c r="K98" s="62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3"/>
      <c r="AI98" s="54"/>
      <c r="AJ98" s="121">
        <f t="shared" ref="AJ98:AJ114" si="29">D98+E98+F98+G98+H98+I98+J98</f>
        <v>0</v>
      </c>
      <c r="AK98" s="44"/>
      <c r="AL98" s="50">
        <f t="shared" ref="AL98:AL114" si="30">K98+L98+M98+N98+O98+P98+Q98</f>
        <v>0</v>
      </c>
      <c r="AM98" s="37"/>
      <c r="AN98" s="50">
        <f t="shared" si="24"/>
        <v>0</v>
      </c>
      <c r="AO98" s="37"/>
      <c r="AP98" s="50">
        <f t="shared" ref="AP98:AP114" si="31">Y98+Z98+AA98+AB98+AC98+AD98+AE98</f>
        <v>0</v>
      </c>
      <c r="AQ98" s="37"/>
      <c r="AR98" s="50">
        <f t="shared" ref="AR98:AR114" si="32">AF98+AG98+AH98</f>
        <v>0</v>
      </c>
      <c r="AS98" s="58"/>
      <c r="AT98" s="50">
        <f t="shared" ref="AT98:AT114" si="33">AJ98+AL98+AN98+AP98+AR98</f>
        <v>0</v>
      </c>
      <c r="AV98" s="39"/>
      <c r="AW98" s="39"/>
      <c r="AX98" s="39"/>
      <c r="AY98" s="39"/>
      <c r="AZ98" s="39"/>
      <c r="BA98" s="39"/>
      <c r="BB98" s="39"/>
      <c r="BC98" s="39"/>
      <c r="BD98" s="39"/>
      <c r="BE98" s="39"/>
    </row>
    <row r="99" spans="1:57" s="38" customFormat="1" ht="15.75" hidden="1" thickBot="1" x14ac:dyDescent="0.3">
      <c r="A99" s="51"/>
      <c r="B99" s="52" t="s">
        <v>24</v>
      </c>
      <c r="C99" s="52"/>
      <c r="D99" s="53">
        <f>SUM(D85:D98)</f>
        <v>0</v>
      </c>
      <c r="E99" s="53">
        <f t="shared" ref="E99:K99" si="34">SUM(E85:E98)</f>
        <v>0</v>
      </c>
      <c r="F99" s="53">
        <f t="shared" si="34"/>
        <v>0</v>
      </c>
      <c r="G99" s="53">
        <f t="shared" si="34"/>
        <v>0</v>
      </c>
      <c r="H99" s="53">
        <f t="shared" si="34"/>
        <v>0</v>
      </c>
      <c r="I99" s="53">
        <f t="shared" si="34"/>
        <v>0</v>
      </c>
      <c r="J99" s="53">
        <f t="shared" si="34"/>
        <v>0</v>
      </c>
      <c r="K99" s="53">
        <f t="shared" si="34"/>
        <v>0</v>
      </c>
      <c r="L99" s="53" t="e">
        <f t="shared" ref="L99:AH99" si="35">SUM(L84:L96)</f>
        <v>#REF!</v>
      </c>
      <c r="M99" s="53" t="e">
        <f t="shared" si="35"/>
        <v>#REF!</v>
      </c>
      <c r="N99" s="53" t="e">
        <f t="shared" si="35"/>
        <v>#REF!</v>
      </c>
      <c r="O99" s="53" t="e">
        <f t="shared" si="35"/>
        <v>#REF!</v>
      </c>
      <c r="P99" s="53" t="e">
        <f t="shared" si="35"/>
        <v>#REF!</v>
      </c>
      <c r="Q99" s="53" t="e">
        <f t="shared" si="35"/>
        <v>#REF!</v>
      </c>
      <c r="R99" s="53" t="e">
        <f t="shared" si="35"/>
        <v>#REF!</v>
      </c>
      <c r="S99" s="53" t="e">
        <f t="shared" si="35"/>
        <v>#REF!</v>
      </c>
      <c r="T99" s="53" t="e">
        <f t="shared" si="35"/>
        <v>#REF!</v>
      </c>
      <c r="U99" s="53" t="e">
        <f t="shared" si="35"/>
        <v>#REF!</v>
      </c>
      <c r="V99" s="53" t="e">
        <f t="shared" si="35"/>
        <v>#REF!</v>
      </c>
      <c r="W99" s="53" t="e">
        <f t="shared" si="35"/>
        <v>#REF!</v>
      </c>
      <c r="X99" s="53" t="e">
        <f t="shared" si="35"/>
        <v>#REF!</v>
      </c>
      <c r="Y99" s="53" t="e">
        <f t="shared" si="35"/>
        <v>#REF!</v>
      </c>
      <c r="Z99" s="53" t="e">
        <f t="shared" si="35"/>
        <v>#REF!</v>
      </c>
      <c r="AA99" s="53" t="e">
        <f t="shared" si="35"/>
        <v>#REF!</v>
      </c>
      <c r="AB99" s="53" t="e">
        <f t="shared" si="35"/>
        <v>#REF!</v>
      </c>
      <c r="AC99" s="53" t="e">
        <f t="shared" si="35"/>
        <v>#REF!</v>
      </c>
      <c r="AD99" s="53" t="e">
        <f t="shared" si="35"/>
        <v>#REF!</v>
      </c>
      <c r="AE99" s="53" t="e">
        <f t="shared" si="35"/>
        <v>#REF!</v>
      </c>
      <c r="AF99" s="53" t="e">
        <f t="shared" si="35"/>
        <v>#REF!</v>
      </c>
      <c r="AG99" s="53" t="e">
        <f t="shared" si="35"/>
        <v>#REF!</v>
      </c>
      <c r="AH99" s="64" t="e">
        <f t="shared" si="35"/>
        <v>#REF!</v>
      </c>
      <c r="AI99" s="54"/>
      <c r="AJ99" s="214">
        <f t="shared" si="29"/>
        <v>0</v>
      </c>
      <c r="AK99" s="44"/>
      <c r="AL99" s="55" t="e">
        <f t="shared" si="30"/>
        <v>#REF!</v>
      </c>
      <c r="AM99" s="44"/>
      <c r="AN99" s="65" t="e">
        <f t="shared" si="24"/>
        <v>#REF!</v>
      </c>
      <c r="AO99" s="44"/>
      <c r="AP99" s="57" t="e">
        <f t="shared" si="31"/>
        <v>#REF!</v>
      </c>
      <c r="AQ99" s="44"/>
      <c r="AR99" s="57" t="e">
        <f t="shared" si="32"/>
        <v>#REF!</v>
      </c>
      <c r="AS99" s="44"/>
      <c r="AT99" s="59" t="e">
        <f t="shared" si="33"/>
        <v>#REF!</v>
      </c>
      <c r="AU99" s="30"/>
      <c r="AV99" s="39"/>
      <c r="AW99" s="39"/>
      <c r="AX99" s="39"/>
      <c r="AY99" s="39"/>
      <c r="AZ99" s="39"/>
      <c r="BA99" s="39"/>
      <c r="BB99" s="39"/>
      <c r="BC99" s="39"/>
      <c r="BD99" s="39"/>
      <c r="BE99" s="39"/>
    </row>
    <row r="100" spans="1:57" hidden="1" x14ac:dyDescent="0.25">
      <c r="A100" s="40"/>
      <c r="B100" s="41"/>
      <c r="C100" s="41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3"/>
      <c r="AI100" s="44"/>
      <c r="AJ100" s="122">
        <f t="shared" si="29"/>
        <v>0</v>
      </c>
      <c r="AK100" s="44"/>
      <c r="AL100" s="42">
        <f t="shared" si="30"/>
        <v>0</v>
      </c>
      <c r="AM100" s="44"/>
      <c r="AN100" s="42">
        <f t="shared" si="24"/>
        <v>0</v>
      </c>
      <c r="AO100" s="44"/>
      <c r="AP100" s="42">
        <f t="shared" si="31"/>
        <v>0</v>
      </c>
      <c r="AQ100" s="44"/>
      <c r="AR100" s="42">
        <f t="shared" si="32"/>
        <v>0</v>
      </c>
      <c r="AS100" s="44"/>
      <c r="AT100" s="42">
        <f t="shared" si="33"/>
        <v>0</v>
      </c>
      <c r="BA100" s="31"/>
      <c r="BB100" s="31"/>
      <c r="BC100" s="31"/>
      <c r="BD100" s="31"/>
      <c r="BE100" s="31"/>
    </row>
    <row r="101" spans="1:57" hidden="1" x14ac:dyDescent="0.25">
      <c r="A101" s="45" t="s">
        <v>92</v>
      </c>
      <c r="B101" s="46"/>
      <c r="C101" s="4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66"/>
      <c r="AI101" s="44"/>
      <c r="AJ101" s="26">
        <f t="shared" si="29"/>
        <v>0</v>
      </c>
      <c r="AK101" s="44"/>
      <c r="AL101" s="26">
        <f t="shared" si="30"/>
        <v>0</v>
      </c>
      <c r="AM101" s="44"/>
      <c r="AN101" s="26">
        <f t="shared" si="24"/>
        <v>0</v>
      </c>
      <c r="AO101" s="44"/>
      <c r="AP101" s="26">
        <f t="shared" si="31"/>
        <v>0</v>
      </c>
      <c r="AQ101" s="44"/>
      <c r="AR101" s="26">
        <f t="shared" si="32"/>
        <v>0</v>
      </c>
      <c r="AS101" s="44"/>
      <c r="AT101" s="26">
        <f t="shared" si="33"/>
        <v>0</v>
      </c>
      <c r="BA101" s="31"/>
      <c r="BB101" s="31"/>
      <c r="BC101" s="31"/>
      <c r="BD101" s="31"/>
      <c r="BE101" s="31"/>
    </row>
    <row r="102" spans="1:57" hidden="1" x14ac:dyDescent="0.25">
      <c r="A102" s="45"/>
      <c r="B102" s="46" t="s">
        <v>93</v>
      </c>
      <c r="C102" s="46"/>
      <c r="D102" s="26"/>
      <c r="E102" s="26"/>
      <c r="F102" s="26"/>
      <c r="G102" s="26"/>
      <c r="H102" s="26"/>
      <c r="I102" s="26"/>
      <c r="J102" s="26"/>
      <c r="K102" s="26"/>
      <c r="L102" s="67">
        <f>34866805+74760295</f>
        <v>109627100</v>
      </c>
      <c r="M102" s="26"/>
      <c r="N102" s="26"/>
      <c r="O102" s="67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>
        <v>1300000000</v>
      </c>
      <c r="AC102" s="26"/>
      <c r="AD102" s="26"/>
      <c r="AE102" s="26"/>
      <c r="AF102" s="26"/>
      <c r="AG102" s="26"/>
      <c r="AH102" s="66"/>
      <c r="AI102" s="44"/>
      <c r="AJ102" s="26">
        <f t="shared" si="29"/>
        <v>0</v>
      </c>
      <c r="AK102" s="44"/>
      <c r="AL102" s="26">
        <f t="shared" si="30"/>
        <v>109627100</v>
      </c>
      <c r="AM102" s="44"/>
      <c r="AN102" s="26">
        <f t="shared" si="24"/>
        <v>0</v>
      </c>
      <c r="AO102" s="44"/>
      <c r="AP102" s="26">
        <f t="shared" si="31"/>
        <v>1300000000</v>
      </c>
      <c r="AQ102" s="44"/>
      <c r="AR102" s="26">
        <f t="shared" si="32"/>
        <v>0</v>
      </c>
      <c r="AS102" s="44"/>
      <c r="AT102" s="26">
        <f t="shared" si="33"/>
        <v>1409627100</v>
      </c>
      <c r="BA102" s="31"/>
      <c r="BB102" s="31"/>
      <c r="BC102" s="31"/>
      <c r="BD102" s="31"/>
      <c r="BE102" s="31"/>
    </row>
    <row r="103" spans="1:57" hidden="1" x14ac:dyDescent="0.25">
      <c r="A103" s="45"/>
      <c r="B103" s="46" t="s">
        <v>94</v>
      </c>
      <c r="C103" s="46"/>
      <c r="D103" s="26"/>
      <c r="E103" s="26"/>
      <c r="F103" s="26"/>
      <c r="G103" s="26"/>
      <c r="H103" s="26"/>
      <c r="I103" s="26"/>
      <c r="J103" s="26"/>
      <c r="K103" s="26"/>
      <c r="L103" s="67">
        <v>154801297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66"/>
      <c r="AI103" s="44"/>
      <c r="AJ103" s="26">
        <f t="shared" si="29"/>
        <v>0</v>
      </c>
      <c r="AK103" s="44"/>
      <c r="AL103" s="26">
        <f t="shared" si="30"/>
        <v>154801297</v>
      </c>
      <c r="AM103" s="44"/>
      <c r="AN103" s="26">
        <f t="shared" si="24"/>
        <v>0</v>
      </c>
      <c r="AO103" s="44"/>
      <c r="AP103" s="26">
        <f t="shared" si="31"/>
        <v>0</v>
      </c>
      <c r="AQ103" s="44"/>
      <c r="AR103" s="26">
        <f t="shared" si="32"/>
        <v>0</v>
      </c>
      <c r="AS103" s="44"/>
      <c r="AT103" s="26">
        <f t="shared" si="33"/>
        <v>154801297</v>
      </c>
      <c r="BA103" s="31"/>
      <c r="BB103" s="31"/>
      <c r="BC103" s="31"/>
      <c r="BD103" s="31"/>
      <c r="BE103" s="31"/>
    </row>
    <row r="104" spans="1:57" hidden="1" x14ac:dyDescent="0.25">
      <c r="A104" s="48"/>
      <c r="B104" s="49" t="s">
        <v>95</v>
      </c>
      <c r="C104" s="49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68"/>
      <c r="AI104" s="44"/>
      <c r="AJ104" s="26">
        <f t="shared" si="29"/>
        <v>0</v>
      </c>
      <c r="AK104" s="44"/>
      <c r="AL104" s="26">
        <f t="shared" si="30"/>
        <v>0</v>
      </c>
      <c r="AM104" s="44"/>
      <c r="AN104" s="26">
        <f t="shared" si="24"/>
        <v>0</v>
      </c>
      <c r="AO104" s="44"/>
      <c r="AP104" s="26">
        <f t="shared" si="31"/>
        <v>0</v>
      </c>
      <c r="AQ104" s="44"/>
      <c r="AR104" s="26">
        <f t="shared" si="32"/>
        <v>0</v>
      </c>
      <c r="AS104" s="44"/>
      <c r="AT104" s="26">
        <f t="shared" si="33"/>
        <v>0</v>
      </c>
      <c r="BA104" s="31"/>
      <c r="BB104" s="31"/>
      <c r="BC104" s="31"/>
      <c r="BD104" s="31"/>
      <c r="BE104" s="31"/>
    </row>
    <row r="105" spans="1:57" hidden="1" x14ac:dyDescent="0.25">
      <c r="A105" s="48"/>
      <c r="B105" s="49" t="s">
        <v>96</v>
      </c>
      <c r="C105" s="49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68"/>
      <c r="AI105" s="44"/>
      <c r="AJ105" s="26">
        <f t="shared" si="29"/>
        <v>0</v>
      </c>
      <c r="AK105" s="44"/>
      <c r="AL105" s="26">
        <f t="shared" si="30"/>
        <v>0</v>
      </c>
      <c r="AM105" s="44"/>
      <c r="AN105" s="26">
        <f t="shared" si="24"/>
        <v>0</v>
      </c>
      <c r="AO105" s="44"/>
      <c r="AP105" s="26">
        <f t="shared" si="31"/>
        <v>0</v>
      </c>
      <c r="AQ105" s="44"/>
      <c r="AR105" s="26">
        <f t="shared" si="32"/>
        <v>0</v>
      </c>
      <c r="AS105" s="44"/>
      <c r="AT105" s="26">
        <f t="shared" si="33"/>
        <v>0</v>
      </c>
      <c r="BA105" s="31"/>
      <c r="BB105" s="31"/>
      <c r="BC105" s="31"/>
      <c r="BD105" s="31"/>
      <c r="BE105" s="31"/>
    </row>
    <row r="106" spans="1:57" hidden="1" x14ac:dyDescent="0.25">
      <c r="A106" s="48"/>
      <c r="B106" s="49" t="s">
        <v>97</v>
      </c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68"/>
      <c r="AI106" s="44"/>
      <c r="AJ106" s="26">
        <f t="shared" si="29"/>
        <v>0</v>
      </c>
      <c r="AK106" s="44"/>
      <c r="AL106" s="26">
        <f t="shared" si="30"/>
        <v>0</v>
      </c>
      <c r="AM106" s="44"/>
      <c r="AN106" s="26">
        <f t="shared" si="24"/>
        <v>0</v>
      </c>
      <c r="AO106" s="44"/>
      <c r="AP106" s="26">
        <f t="shared" si="31"/>
        <v>0</v>
      </c>
      <c r="AQ106" s="44"/>
      <c r="AR106" s="26">
        <f t="shared" si="32"/>
        <v>0</v>
      </c>
      <c r="AS106" s="44"/>
      <c r="AT106" s="26">
        <f t="shared" si="33"/>
        <v>0</v>
      </c>
      <c r="BA106" s="31"/>
      <c r="BB106" s="31"/>
      <c r="BC106" s="31"/>
      <c r="BD106" s="31"/>
      <c r="BE106" s="31"/>
    </row>
    <row r="107" spans="1:57" hidden="1" x14ac:dyDescent="0.25">
      <c r="A107" s="48"/>
      <c r="B107" s="49" t="s">
        <v>98</v>
      </c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>
        <v>35000000</v>
      </c>
      <c r="AC107" s="50"/>
      <c r="AD107" s="50"/>
      <c r="AE107" s="50"/>
      <c r="AF107" s="50"/>
      <c r="AG107" s="50"/>
      <c r="AH107" s="68"/>
      <c r="AI107" s="44"/>
      <c r="AJ107" s="26">
        <f t="shared" si="29"/>
        <v>0</v>
      </c>
      <c r="AK107" s="44"/>
      <c r="AL107" s="26">
        <f t="shared" si="30"/>
        <v>0</v>
      </c>
      <c r="AM107" s="44"/>
      <c r="AN107" s="26">
        <f t="shared" si="24"/>
        <v>0</v>
      </c>
      <c r="AO107" s="44"/>
      <c r="AP107" s="26">
        <f t="shared" si="31"/>
        <v>35000000</v>
      </c>
      <c r="AQ107" s="44"/>
      <c r="AR107" s="26">
        <f t="shared" si="32"/>
        <v>0</v>
      </c>
      <c r="AS107" s="44"/>
      <c r="AT107" s="26">
        <f t="shared" si="33"/>
        <v>35000000</v>
      </c>
      <c r="BA107" s="31"/>
      <c r="BB107" s="31"/>
      <c r="BC107" s="31"/>
      <c r="BD107" s="31"/>
      <c r="BE107" s="31"/>
    </row>
    <row r="108" spans="1:57" hidden="1" x14ac:dyDescent="0.25">
      <c r="A108" s="48"/>
      <c r="B108" s="49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68"/>
      <c r="AI108" s="44"/>
      <c r="AJ108" s="26">
        <f t="shared" si="29"/>
        <v>0</v>
      </c>
      <c r="AK108" s="44"/>
      <c r="AL108" s="26">
        <f t="shared" si="30"/>
        <v>0</v>
      </c>
      <c r="AM108" s="44"/>
      <c r="AN108" s="26">
        <f t="shared" si="24"/>
        <v>0</v>
      </c>
      <c r="AO108" s="44"/>
      <c r="AP108" s="26">
        <f t="shared" si="31"/>
        <v>0</v>
      </c>
      <c r="AQ108" s="44"/>
      <c r="AR108" s="26">
        <f t="shared" si="32"/>
        <v>0</v>
      </c>
      <c r="AS108" s="44"/>
      <c r="AT108" s="26">
        <f t="shared" si="33"/>
        <v>0</v>
      </c>
      <c r="BA108" s="31"/>
      <c r="BB108" s="31"/>
      <c r="BC108" s="31"/>
      <c r="BD108" s="31"/>
      <c r="BE108" s="31"/>
    </row>
    <row r="109" spans="1:57" hidden="1" x14ac:dyDescent="0.25">
      <c r="A109" s="48"/>
      <c r="B109" s="49" t="s">
        <v>99</v>
      </c>
      <c r="C109" s="49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68"/>
      <c r="AI109" s="44"/>
      <c r="AJ109" s="121">
        <f t="shared" si="29"/>
        <v>0</v>
      </c>
      <c r="AK109" s="44"/>
      <c r="AL109" s="50">
        <f t="shared" si="30"/>
        <v>0</v>
      </c>
      <c r="AM109" s="37"/>
      <c r="AN109" s="50">
        <f t="shared" si="24"/>
        <v>0</v>
      </c>
      <c r="AO109" s="37"/>
      <c r="AP109" s="50">
        <f t="shared" si="31"/>
        <v>0</v>
      </c>
      <c r="AQ109" s="37"/>
      <c r="AR109" s="50">
        <f t="shared" si="32"/>
        <v>0</v>
      </c>
      <c r="AS109" s="58"/>
      <c r="AT109" s="50">
        <f t="shared" si="33"/>
        <v>0</v>
      </c>
      <c r="AU109" s="38"/>
      <c r="BA109" s="31"/>
      <c r="BB109" s="31"/>
      <c r="BC109" s="31"/>
      <c r="BD109" s="31"/>
      <c r="BE109" s="31"/>
    </row>
    <row r="110" spans="1:57" s="38" customFormat="1" ht="15.75" hidden="1" thickBot="1" x14ac:dyDescent="0.3">
      <c r="A110" s="51"/>
      <c r="B110" s="52" t="s">
        <v>24</v>
      </c>
      <c r="C110" s="52"/>
      <c r="D110" s="53">
        <f>SUM(D102:D109)</f>
        <v>0</v>
      </c>
      <c r="E110" s="53">
        <f t="shared" ref="E110:S110" si="36">SUM(E102:E109)</f>
        <v>0</v>
      </c>
      <c r="F110" s="53">
        <f t="shared" si="36"/>
        <v>0</v>
      </c>
      <c r="G110" s="53">
        <f t="shared" si="36"/>
        <v>0</v>
      </c>
      <c r="H110" s="53">
        <f t="shared" si="36"/>
        <v>0</v>
      </c>
      <c r="I110" s="53">
        <f t="shared" si="36"/>
        <v>0</v>
      </c>
      <c r="J110" s="53">
        <f t="shared" si="36"/>
        <v>0</v>
      </c>
      <c r="K110" s="53">
        <f t="shared" si="36"/>
        <v>0</v>
      </c>
      <c r="L110" s="53">
        <f t="shared" si="36"/>
        <v>264428397</v>
      </c>
      <c r="M110" s="53">
        <f t="shared" si="36"/>
        <v>0</v>
      </c>
      <c r="N110" s="53">
        <f t="shared" si="36"/>
        <v>0</v>
      </c>
      <c r="O110" s="53">
        <f t="shared" si="36"/>
        <v>0</v>
      </c>
      <c r="P110" s="53">
        <f t="shared" si="36"/>
        <v>0</v>
      </c>
      <c r="Q110" s="53">
        <f t="shared" si="36"/>
        <v>0</v>
      </c>
      <c r="R110" s="53">
        <f t="shared" si="36"/>
        <v>0</v>
      </c>
      <c r="S110" s="53">
        <f t="shared" si="36"/>
        <v>0</v>
      </c>
      <c r="T110" s="53">
        <f t="shared" ref="T110:AH110" si="37">SUM(T102:T109)</f>
        <v>0</v>
      </c>
      <c r="U110" s="53">
        <f t="shared" si="37"/>
        <v>0</v>
      </c>
      <c r="V110" s="53">
        <f t="shared" si="37"/>
        <v>0</v>
      </c>
      <c r="W110" s="53">
        <f t="shared" si="37"/>
        <v>0</v>
      </c>
      <c r="X110" s="53">
        <f t="shared" si="37"/>
        <v>0</v>
      </c>
      <c r="Y110" s="53">
        <f t="shared" si="37"/>
        <v>0</v>
      </c>
      <c r="Z110" s="53">
        <f t="shared" si="37"/>
        <v>0</v>
      </c>
      <c r="AA110" s="53">
        <f t="shared" si="37"/>
        <v>0</v>
      </c>
      <c r="AB110" s="53">
        <f t="shared" si="37"/>
        <v>1335000000</v>
      </c>
      <c r="AC110" s="53">
        <f t="shared" si="37"/>
        <v>0</v>
      </c>
      <c r="AD110" s="53">
        <f t="shared" si="37"/>
        <v>0</v>
      </c>
      <c r="AE110" s="53">
        <f t="shared" si="37"/>
        <v>0</v>
      </c>
      <c r="AF110" s="53">
        <f t="shared" si="37"/>
        <v>0</v>
      </c>
      <c r="AG110" s="53">
        <f t="shared" si="37"/>
        <v>0</v>
      </c>
      <c r="AH110" s="64">
        <f t="shared" si="37"/>
        <v>0</v>
      </c>
      <c r="AI110" s="54"/>
      <c r="AJ110" s="65">
        <f t="shared" si="29"/>
        <v>0</v>
      </c>
      <c r="AK110" s="44"/>
      <c r="AL110" s="55">
        <f t="shared" si="30"/>
        <v>264428397</v>
      </c>
      <c r="AM110" s="44"/>
      <c r="AN110" s="57">
        <f t="shared" si="24"/>
        <v>0</v>
      </c>
      <c r="AO110" s="44"/>
      <c r="AP110" s="57">
        <f t="shared" si="31"/>
        <v>1335000000</v>
      </c>
      <c r="AQ110" s="44"/>
      <c r="AR110" s="57">
        <f t="shared" si="32"/>
        <v>0</v>
      </c>
      <c r="AS110" s="44"/>
      <c r="AT110" s="59">
        <f t="shared" si="33"/>
        <v>1599428397</v>
      </c>
      <c r="AU110" s="30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</row>
    <row r="111" spans="1:57" hidden="1" x14ac:dyDescent="0.25">
      <c r="A111" s="69"/>
      <c r="B111" s="70"/>
      <c r="C111" s="70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2"/>
      <c r="AI111" s="44"/>
      <c r="AJ111" s="122">
        <f t="shared" si="29"/>
        <v>0</v>
      </c>
      <c r="AK111" s="44"/>
      <c r="AL111" s="42">
        <f t="shared" si="30"/>
        <v>0</v>
      </c>
      <c r="AM111" s="44"/>
      <c r="AN111" s="42">
        <f t="shared" si="24"/>
        <v>0</v>
      </c>
      <c r="AO111" s="44"/>
      <c r="AP111" s="42">
        <f t="shared" si="31"/>
        <v>0</v>
      </c>
      <c r="AQ111" s="44"/>
      <c r="AR111" s="42">
        <f t="shared" si="32"/>
        <v>0</v>
      </c>
      <c r="AS111" s="76"/>
      <c r="AT111" s="42">
        <f t="shared" si="33"/>
        <v>0</v>
      </c>
      <c r="AU111" s="77"/>
      <c r="BA111" s="31"/>
      <c r="BB111" s="31"/>
      <c r="BC111" s="31"/>
      <c r="BD111" s="31"/>
      <c r="BE111" s="31"/>
    </row>
    <row r="112" spans="1:57" s="77" customFormat="1" ht="15.75" hidden="1" thickBot="1" x14ac:dyDescent="0.3">
      <c r="A112" s="73" t="s">
        <v>100</v>
      </c>
      <c r="B112" s="74"/>
      <c r="C112" s="74"/>
      <c r="D112" s="75" t="e">
        <f t="shared" ref="D112:AH112" si="38">D110+D84+D68+D30+D25+D99</f>
        <v>#REF!</v>
      </c>
      <c r="E112" s="75" t="e">
        <f t="shared" si="38"/>
        <v>#REF!</v>
      </c>
      <c r="F112" s="75" t="e">
        <f t="shared" si="38"/>
        <v>#REF!</v>
      </c>
      <c r="G112" s="75" t="e">
        <f t="shared" si="38"/>
        <v>#REF!</v>
      </c>
      <c r="H112" s="75" t="e">
        <f t="shared" si="38"/>
        <v>#REF!</v>
      </c>
      <c r="I112" s="75" t="e">
        <f t="shared" si="38"/>
        <v>#REF!</v>
      </c>
      <c r="J112" s="75" t="e">
        <f t="shared" si="38"/>
        <v>#REF!</v>
      </c>
      <c r="K112" s="75" t="e">
        <f t="shared" si="38"/>
        <v>#REF!</v>
      </c>
      <c r="L112" s="75" t="e">
        <f t="shared" si="38"/>
        <v>#REF!</v>
      </c>
      <c r="M112" s="75" t="e">
        <f t="shared" si="38"/>
        <v>#REF!</v>
      </c>
      <c r="N112" s="75" t="e">
        <f t="shared" si="38"/>
        <v>#REF!</v>
      </c>
      <c r="O112" s="75" t="e">
        <f t="shared" si="38"/>
        <v>#REF!</v>
      </c>
      <c r="P112" s="75" t="e">
        <f t="shared" si="38"/>
        <v>#REF!</v>
      </c>
      <c r="Q112" s="75" t="e">
        <f t="shared" si="38"/>
        <v>#REF!</v>
      </c>
      <c r="R112" s="75" t="e">
        <f t="shared" si="38"/>
        <v>#REF!</v>
      </c>
      <c r="S112" s="75" t="e">
        <f t="shared" si="38"/>
        <v>#REF!</v>
      </c>
      <c r="T112" s="75" t="e">
        <f t="shared" si="38"/>
        <v>#REF!</v>
      </c>
      <c r="U112" s="75" t="e">
        <f t="shared" si="38"/>
        <v>#REF!</v>
      </c>
      <c r="V112" s="75" t="e">
        <f t="shared" si="38"/>
        <v>#REF!</v>
      </c>
      <c r="W112" s="75" t="e">
        <f t="shared" si="38"/>
        <v>#REF!</v>
      </c>
      <c r="X112" s="75" t="e">
        <f t="shared" si="38"/>
        <v>#REF!</v>
      </c>
      <c r="Y112" s="75" t="e">
        <f t="shared" si="38"/>
        <v>#REF!</v>
      </c>
      <c r="Z112" s="75" t="e">
        <f t="shared" si="38"/>
        <v>#REF!</v>
      </c>
      <c r="AA112" s="75" t="e">
        <f t="shared" si="38"/>
        <v>#REF!</v>
      </c>
      <c r="AB112" s="75" t="e">
        <f t="shared" si="38"/>
        <v>#REF!</v>
      </c>
      <c r="AC112" s="75" t="e">
        <f t="shared" si="38"/>
        <v>#REF!</v>
      </c>
      <c r="AD112" s="75" t="e">
        <f t="shared" si="38"/>
        <v>#REF!</v>
      </c>
      <c r="AE112" s="75" t="e">
        <f t="shared" si="38"/>
        <v>#REF!</v>
      </c>
      <c r="AF112" s="75" t="e">
        <f t="shared" si="38"/>
        <v>#REF!</v>
      </c>
      <c r="AG112" s="75" t="e">
        <f t="shared" si="38"/>
        <v>#REF!</v>
      </c>
      <c r="AH112" s="75" t="e">
        <f t="shared" si="38"/>
        <v>#REF!</v>
      </c>
      <c r="AI112" s="76"/>
      <c r="AJ112" s="26" t="e">
        <f t="shared" si="29"/>
        <v>#REF!</v>
      </c>
      <c r="AK112" s="44"/>
      <c r="AL112" s="26" t="e">
        <f t="shared" si="30"/>
        <v>#REF!</v>
      </c>
      <c r="AM112" s="44"/>
      <c r="AN112" s="26" t="e">
        <f t="shared" si="24"/>
        <v>#REF!</v>
      </c>
      <c r="AO112" s="44"/>
      <c r="AP112" s="26" t="e">
        <f t="shared" si="31"/>
        <v>#REF!</v>
      </c>
      <c r="AQ112" s="44"/>
      <c r="AR112" s="26" t="e">
        <f t="shared" si="32"/>
        <v>#REF!</v>
      </c>
      <c r="AS112" s="44"/>
      <c r="AT112" s="26" t="e">
        <f t="shared" si="33"/>
        <v>#REF!</v>
      </c>
      <c r="AU112" s="30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</row>
    <row r="113" spans="1:57" hidden="1" x14ac:dyDescent="0.25">
      <c r="A113" s="40"/>
      <c r="B113" s="41"/>
      <c r="C113" s="41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3"/>
      <c r="AI113" s="44"/>
      <c r="AJ113" s="121">
        <f t="shared" si="29"/>
        <v>0</v>
      </c>
      <c r="AK113" s="44"/>
      <c r="AL113" s="121">
        <f t="shared" si="30"/>
        <v>0</v>
      </c>
      <c r="AM113" s="44"/>
      <c r="AN113" s="121">
        <f t="shared" si="24"/>
        <v>0</v>
      </c>
      <c r="AO113" s="44"/>
      <c r="AP113" s="121">
        <f t="shared" si="31"/>
        <v>0</v>
      </c>
      <c r="AQ113" s="44"/>
      <c r="AR113" s="121">
        <f t="shared" si="32"/>
        <v>0</v>
      </c>
      <c r="AS113" s="82"/>
      <c r="AT113" s="121">
        <f t="shared" si="33"/>
        <v>0</v>
      </c>
      <c r="AU113" s="83"/>
      <c r="BA113" s="31"/>
      <c r="BB113" s="31"/>
      <c r="BC113" s="31"/>
      <c r="BD113" s="31"/>
      <c r="BE113" s="31"/>
    </row>
    <row r="114" spans="1:57" s="83" customFormat="1" ht="15.75" hidden="1" thickBot="1" x14ac:dyDescent="0.3">
      <c r="A114" s="79" t="s">
        <v>101</v>
      </c>
      <c r="B114" s="80"/>
      <c r="C114" s="80"/>
      <c r="D114" s="81" t="e">
        <f t="shared" ref="D114:AH114" si="39">D16-D112</f>
        <v>#REF!</v>
      </c>
      <c r="E114" s="81" t="e">
        <f t="shared" si="39"/>
        <v>#REF!</v>
      </c>
      <c r="F114" s="81" t="e">
        <f t="shared" si="39"/>
        <v>#REF!</v>
      </c>
      <c r="G114" s="81" t="e">
        <f t="shared" si="39"/>
        <v>#REF!</v>
      </c>
      <c r="H114" s="81" t="e">
        <f t="shared" si="39"/>
        <v>#REF!</v>
      </c>
      <c r="I114" s="81" t="e">
        <f t="shared" si="39"/>
        <v>#REF!</v>
      </c>
      <c r="J114" s="81" t="e">
        <f t="shared" si="39"/>
        <v>#REF!</v>
      </c>
      <c r="K114" s="81" t="e">
        <f t="shared" si="39"/>
        <v>#REF!</v>
      </c>
      <c r="L114" s="81" t="e">
        <f t="shared" si="39"/>
        <v>#REF!</v>
      </c>
      <c r="M114" s="81" t="e">
        <f t="shared" si="39"/>
        <v>#REF!</v>
      </c>
      <c r="N114" s="81" t="e">
        <f t="shared" si="39"/>
        <v>#REF!</v>
      </c>
      <c r="O114" s="81" t="e">
        <f t="shared" si="39"/>
        <v>#REF!</v>
      </c>
      <c r="P114" s="81" t="e">
        <f t="shared" si="39"/>
        <v>#REF!</v>
      </c>
      <c r="Q114" s="81" t="e">
        <f t="shared" si="39"/>
        <v>#REF!</v>
      </c>
      <c r="R114" s="81" t="e">
        <f t="shared" si="39"/>
        <v>#REF!</v>
      </c>
      <c r="S114" s="81" t="e">
        <f t="shared" si="39"/>
        <v>#REF!</v>
      </c>
      <c r="T114" s="81" t="e">
        <f t="shared" si="39"/>
        <v>#REF!</v>
      </c>
      <c r="U114" s="81" t="e">
        <f t="shared" si="39"/>
        <v>#REF!</v>
      </c>
      <c r="V114" s="81" t="e">
        <f t="shared" si="39"/>
        <v>#REF!</v>
      </c>
      <c r="W114" s="81" t="e">
        <f t="shared" si="39"/>
        <v>#REF!</v>
      </c>
      <c r="X114" s="81" t="e">
        <f t="shared" si="39"/>
        <v>#REF!</v>
      </c>
      <c r="Y114" s="81" t="e">
        <f t="shared" si="39"/>
        <v>#REF!</v>
      </c>
      <c r="Z114" s="81" t="e">
        <f t="shared" si="39"/>
        <v>#REF!</v>
      </c>
      <c r="AA114" s="81" t="e">
        <f t="shared" si="39"/>
        <v>#REF!</v>
      </c>
      <c r="AB114" s="81" t="e">
        <f t="shared" si="39"/>
        <v>#REF!</v>
      </c>
      <c r="AC114" s="81" t="e">
        <f t="shared" si="39"/>
        <v>#REF!</v>
      </c>
      <c r="AD114" s="81" t="e">
        <f t="shared" si="39"/>
        <v>#REF!</v>
      </c>
      <c r="AE114" s="81" t="e">
        <f t="shared" si="39"/>
        <v>#REF!</v>
      </c>
      <c r="AF114" s="81" t="e">
        <f t="shared" si="39"/>
        <v>#REF!</v>
      </c>
      <c r="AG114" s="81" t="e">
        <f t="shared" si="39"/>
        <v>#REF!</v>
      </c>
      <c r="AH114" s="81" t="e">
        <f t="shared" si="39"/>
        <v>#REF!</v>
      </c>
      <c r="AI114" s="82">
        <f>AI16-AI25-AI30-AI68-AI84</f>
        <v>0</v>
      </c>
      <c r="AJ114" s="65" t="e">
        <f t="shared" si="29"/>
        <v>#REF!</v>
      </c>
      <c r="AK114" s="44"/>
      <c r="AL114" s="65" t="e">
        <f t="shared" si="30"/>
        <v>#REF!</v>
      </c>
      <c r="AM114" s="44"/>
      <c r="AN114" s="65" t="e">
        <f t="shared" si="24"/>
        <v>#REF!</v>
      </c>
      <c r="AO114" s="30"/>
      <c r="AP114" s="65" t="e">
        <f t="shared" si="31"/>
        <v>#REF!</v>
      </c>
      <c r="AQ114" s="30"/>
      <c r="AR114" s="65" t="e">
        <f t="shared" si="32"/>
        <v>#REF!</v>
      </c>
      <c r="AS114" s="30"/>
      <c r="AT114" s="65" t="e">
        <f t="shared" si="33"/>
        <v>#REF!</v>
      </c>
      <c r="AU114" s="30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</row>
    <row r="115" spans="1:57" ht="15.75" hidden="1" thickBot="1" x14ac:dyDescent="0.3">
      <c r="A115" s="110"/>
      <c r="B115" s="111"/>
      <c r="C115" s="111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112"/>
      <c r="AI115" s="44"/>
      <c r="AJ115" s="44"/>
      <c r="AK115" s="44"/>
      <c r="AL115" s="44"/>
      <c r="BA115" s="31"/>
      <c r="BB115" s="31"/>
      <c r="BC115" s="31"/>
      <c r="BD115" s="31"/>
      <c r="BE115" s="31"/>
    </row>
    <row r="116" spans="1:57" hidden="1" x14ac:dyDescent="0.25"/>
  </sheetData>
  <sortState ref="A33:AH63">
    <sortCondition ref="A33:A63"/>
  </sortState>
  <mergeCells count="16">
    <mergeCell ref="D4:J4"/>
    <mergeCell ref="D5:AH5"/>
    <mergeCell ref="C5:C6"/>
    <mergeCell ref="AJ5:AJ6"/>
    <mergeCell ref="AN5:AN6"/>
    <mergeCell ref="AA1:AH4"/>
    <mergeCell ref="AL5:AL6"/>
    <mergeCell ref="AV5:AV6"/>
    <mergeCell ref="AX5:AX6"/>
    <mergeCell ref="A31:A32"/>
    <mergeCell ref="A26:A29"/>
    <mergeCell ref="A21:A24"/>
    <mergeCell ref="A5:B6"/>
    <mergeCell ref="AP5:AP6"/>
    <mergeCell ref="AR5:AR6"/>
    <mergeCell ref="AT5:AT6"/>
  </mergeCells>
  <pageMargins left="1.5" right="0.75" top="1" bottom="0" header="0.51" footer="0.51"/>
  <pageSetup paperSize="9" scale="48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44"/>
  <sheetViews>
    <sheetView topLeftCell="A4" zoomScale="80" zoomScaleNormal="80" zoomScaleSheetLayoutView="100" workbookViewId="0">
      <pane xSplit="4" ySplit="4" topLeftCell="E8" activePane="bottomRight" state="frozen"/>
      <selection activeCell="A4" sqref="A4"/>
      <selection pane="topRight" activeCell="E4" sqref="E4"/>
      <selection pane="bottomLeft" activeCell="A8" sqref="A8"/>
      <selection pane="bottomRight" activeCell="H23" sqref="H23"/>
    </sheetView>
  </sheetViews>
  <sheetFormatPr defaultRowHeight="15.75" x14ac:dyDescent="0.25"/>
  <cols>
    <col min="1" max="1" width="13.140625" style="985" customWidth="1"/>
    <col min="2" max="2" width="12.42578125" style="1015" customWidth="1"/>
    <col min="3" max="3" width="23.42578125" style="994" customWidth="1"/>
    <col min="4" max="4" width="12.5703125" style="994" customWidth="1"/>
    <col min="5" max="5" width="12.140625" style="994" bestFit="1" customWidth="1"/>
    <col min="6" max="6" width="21.28515625" style="994" customWidth="1"/>
    <col min="7" max="7" width="13.7109375" style="1016" customWidth="1"/>
    <col min="8" max="8" width="17" style="1017" customWidth="1"/>
    <col min="9" max="9" width="23" style="994" customWidth="1"/>
    <col min="10" max="10" width="16.28515625" style="994" customWidth="1"/>
    <col min="11" max="11" width="11.5703125" style="994" customWidth="1"/>
    <col min="12" max="12" width="8.140625" style="994" customWidth="1"/>
    <col min="13" max="13" width="12" style="994" customWidth="1"/>
    <col min="14" max="14" width="18.140625" style="985" customWidth="1"/>
    <col min="15" max="15" width="12.7109375" style="1022" customWidth="1"/>
    <col min="16" max="16" width="8.85546875" style="1022" customWidth="1"/>
    <col min="17" max="17" width="9.85546875" style="992" customWidth="1"/>
    <col min="18" max="18" width="13" style="1019" bestFit="1" customWidth="1"/>
    <col min="19" max="19" width="19.140625" style="994" customWidth="1"/>
    <col min="20" max="20" width="14.5703125" style="994" customWidth="1"/>
    <col min="21" max="26" width="12" style="994" customWidth="1"/>
    <col min="27" max="27" width="13.42578125" style="994" customWidth="1"/>
    <col min="28" max="28" width="13.7109375" style="994" customWidth="1"/>
    <col min="29" max="29" width="14.5703125" style="994" customWidth="1"/>
    <col min="30" max="34" width="13.7109375" style="994" customWidth="1"/>
    <col min="35" max="35" width="17" style="994" customWidth="1"/>
    <col min="36" max="36" width="13.7109375" style="994" customWidth="1"/>
    <col min="37" max="37" width="17.7109375" style="994" customWidth="1"/>
    <col min="38" max="38" width="15" style="994" customWidth="1"/>
    <col min="39" max="42" width="13.7109375" style="994" customWidth="1"/>
    <col min="43" max="43" width="15.7109375" style="994" customWidth="1"/>
    <col min="44" max="48" width="13.7109375" style="994" customWidth="1"/>
    <col min="49" max="49" width="19.140625" style="994" customWidth="1"/>
    <col min="50" max="16384" width="9.140625" style="994"/>
  </cols>
  <sheetData>
    <row r="2" spans="1:49" x14ac:dyDescent="0.25">
      <c r="B2" s="986"/>
      <c r="C2" s="987"/>
      <c r="D2" s="987"/>
      <c r="E2" s="987"/>
      <c r="F2" s="987"/>
      <c r="G2" s="988"/>
      <c r="H2" s="989"/>
      <c r="I2" s="987"/>
      <c r="J2" s="987"/>
      <c r="K2" s="987"/>
      <c r="L2" s="987"/>
      <c r="M2" s="987"/>
      <c r="N2" s="990"/>
      <c r="O2" s="991"/>
      <c r="P2" s="991"/>
      <c r="R2" s="993"/>
      <c r="S2" s="987"/>
      <c r="T2" s="987"/>
      <c r="U2" s="987"/>
      <c r="V2" s="987"/>
      <c r="W2" s="987"/>
      <c r="X2" s="987"/>
      <c r="Y2" s="987"/>
      <c r="Z2" s="987"/>
      <c r="AA2" s="987"/>
      <c r="AB2" s="987"/>
      <c r="AC2" s="987"/>
      <c r="AD2" s="987"/>
      <c r="AE2" s="987"/>
      <c r="AF2" s="987"/>
      <c r="AG2" s="987"/>
      <c r="AH2" s="987"/>
      <c r="AI2" s="987"/>
      <c r="AJ2" s="987"/>
      <c r="AK2" s="987"/>
      <c r="AL2" s="987"/>
      <c r="AM2" s="987"/>
      <c r="AN2" s="987"/>
      <c r="AO2" s="987"/>
      <c r="AP2" s="987"/>
      <c r="AQ2" s="987"/>
      <c r="AR2" s="987"/>
      <c r="AS2" s="987"/>
      <c r="AT2" s="987"/>
      <c r="AU2" s="987"/>
      <c r="AV2" s="987"/>
      <c r="AW2" s="987"/>
    </row>
    <row r="3" spans="1:49" x14ac:dyDescent="0.25">
      <c r="B3" s="986"/>
      <c r="C3" s="987"/>
      <c r="D3" s="987"/>
      <c r="E3" s="987"/>
      <c r="F3" s="987"/>
      <c r="G3" s="988"/>
      <c r="H3" s="989"/>
      <c r="I3" s="987"/>
      <c r="J3" s="987"/>
      <c r="K3" s="987"/>
      <c r="L3" s="987"/>
      <c r="M3" s="987"/>
      <c r="N3" s="990"/>
      <c r="O3" s="991"/>
      <c r="P3" s="991"/>
      <c r="R3" s="993"/>
      <c r="S3" s="987"/>
      <c r="T3" s="987"/>
      <c r="U3" s="987"/>
      <c r="V3" s="987"/>
      <c r="W3" s="987"/>
      <c r="X3" s="987"/>
      <c r="Y3" s="987"/>
      <c r="Z3" s="987"/>
      <c r="AA3" s="987"/>
      <c r="AB3" s="987"/>
      <c r="AC3" s="987"/>
      <c r="AD3" s="987"/>
      <c r="AE3" s="987"/>
      <c r="AF3" s="987"/>
      <c r="AG3" s="987"/>
      <c r="AH3" s="987"/>
      <c r="AI3" s="987"/>
      <c r="AJ3" s="987"/>
      <c r="AK3" s="987"/>
      <c r="AL3" s="987"/>
      <c r="AM3" s="987"/>
      <c r="AN3" s="987"/>
      <c r="AO3" s="987"/>
      <c r="AP3" s="987"/>
      <c r="AQ3" s="987"/>
      <c r="AR3" s="987"/>
      <c r="AS3" s="987"/>
      <c r="AT3" s="987"/>
      <c r="AU3" s="987"/>
      <c r="AV3" s="987"/>
      <c r="AW3" s="987"/>
    </row>
    <row r="4" spans="1:49" ht="16.5" thickBot="1" x14ac:dyDescent="0.3">
      <c r="A4" s="985" t="s">
        <v>153</v>
      </c>
      <c r="B4" s="995"/>
      <c r="C4" s="987" t="s">
        <v>6215</v>
      </c>
      <c r="D4" s="1131">
        <v>8.2500000000000004E-2</v>
      </c>
      <c r="E4" s="987"/>
      <c r="F4" s="987">
        <v>30</v>
      </c>
      <c r="G4" s="988"/>
      <c r="H4" s="989"/>
      <c r="I4" s="996">
        <v>0.1</v>
      </c>
      <c r="J4" s="987"/>
      <c r="K4" s="987"/>
      <c r="L4" s="987"/>
      <c r="M4" s="987"/>
      <c r="N4" s="990"/>
      <c r="O4" s="991"/>
      <c r="P4" s="991"/>
      <c r="R4" s="993"/>
      <c r="S4" s="987"/>
      <c r="T4" s="987"/>
      <c r="U4" s="987"/>
      <c r="V4" s="987"/>
      <c r="W4" s="987"/>
      <c r="X4" s="987"/>
      <c r="Y4" s="987"/>
      <c r="Z4" s="987"/>
      <c r="AA4" s="987"/>
      <c r="AB4" s="987"/>
      <c r="AC4" s="987"/>
      <c r="AD4" s="987"/>
      <c r="AE4" s="987"/>
      <c r="AF4" s="987"/>
      <c r="AG4" s="987"/>
      <c r="AH4" s="987"/>
      <c r="AI4" s="987"/>
      <c r="AJ4" s="987"/>
      <c r="AK4" s="987"/>
      <c r="AL4" s="987"/>
      <c r="AM4" s="987"/>
      <c r="AN4" s="987"/>
      <c r="AO4" s="987"/>
      <c r="AP4" s="987"/>
      <c r="AQ4" s="987"/>
      <c r="AR4" s="987"/>
      <c r="AS4" s="987"/>
      <c r="AT4" s="987"/>
      <c r="AU4" s="987"/>
      <c r="AV4" s="987"/>
      <c r="AW4" s="987"/>
    </row>
    <row r="5" spans="1:49" s="997" customFormat="1" ht="15" customHeight="1" thickBot="1" x14ac:dyDescent="0.3">
      <c r="A5" s="1513" t="s">
        <v>102</v>
      </c>
      <c r="B5" s="1513"/>
      <c r="C5" s="1513"/>
      <c r="D5" s="1512" t="s">
        <v>103</v>
      </c>
      <c r="E5" s="1520" t="s">
        <v>124</v>
      </c>
      <c r="F5" s="1521"/>
      <c r="G5" s="1521"/>
      <c r="H5" s="1522"/>
      <c r="I5" s="1513" t="s">
        <v>104</v>
      </c>
      <c r="J5" s="1514" t="s">
        <v>105</v>
      </c>
      <c r="K5" s="1506" t="s">
        <v>106</v>
      </c>
      <c r="L5" s="1507"/>
      <c r="M5" s="1507"/>
      <c r="N5" s="1507"/>
      <c r="O5" s="1507"/>
      <c r="P5" s="1507"/>
      <c r="Q5" s="1507"/>
      <c r="R5" s="1507"/>
      <c r="S5" s="1507"/>
      <c r="T5" s="1508"/>
    </row>
    <row r="6" spans="1:49" s="997" customFormat="1" ht="16.5" thickBot="1" x14ac:dyDescent="0.3">
      <c r="A6" s="1320" t="s">
        <v>109</v>
      </c>
      <c r="B6" s="998" t="s">
        <v>110</v>
      </c>
      <c r="C6" s="999" t="s">
        <v>111</v>
      </c>
      <c r="D6" s="1512"/>
      <c r="E6" s="999" t="s">
        <v>112</v>
      </c>
      <c r="F6" s="999" t="s">
        <v>113</v>
      </c>
      <c r="G6" s="999" t="s">
        <v>114</v>
      </c>
      <c r="H6" s="1000" t="s">
        <v>5960</v>
      </c>
      <c r="I6" s="1513"/>
      <c r="J6" s="1515"/>
      <c r="K6" s="1509" t="s">
        <v>117</v>
      </c>
      <c r="L6" s="1510"/>
      <c r="M6" s="1510"/>
      <c r="N6" s="1510"/>
      <c r="O6" s="1510"/>
      <c r="P6" s="1510"/>
      <c r="Q6" s="1510"/>
      <c r="R6" s="1510"/>
      <c r="S6" s="1510"/>
      <c r="T6" s="1511"/>
    </row>
    <row r="7" spans="1:49" s="1006" customFormat="1" ht="16.5" thickBot="1" x14ac:dyDescent="0.3">
      <c r="A7" s="1001"/>
      <c r="B7" s="1002"/>
      <c r="C7" s="1003"/>
      <c r="D7" s="1003"/>
      <c r="E7" s="1003"/>
      <c r="F7" s="1003"/>
      <c r="G7" s="1004"/>
      <c r="H7" s="1005"/>
      <c r="I7" s="1003"/>
      <c r="J7" s="1322"/>
      <c r="K7" s="1424" t="s">
        <v>6215</v>
      </c>
      <c r="L7" s="1424" t="s">
        <v>6266</v>
      </c>
      <c r="M7" s="1424" t="s">
        <v>6267</v>
      </c>
      <c r="N7" s="1004" t="s">
        <v>6145</v>
      </c>
      <c r="O7" s="1004" t="s">
        <v>6265</v>
      </c>
      <c r="P7" s="1424" t="s">
        <v>6215</v>
      </c>
      <c r="Q7" s="1424" t="s">
        <v>6266</v>
      </c>
      <c r="R7" s="1424" t="s">
        <v>6267</v>
      </c>
      <c r="S7" s="1004" t="s">
        <v>6145</v>
      </c>
      <c r="T7" s="1004" t="s">
        <v>6265</v>
      </c>
    </row>
    <row r="8" spans="1:49" x14ac:dyDescent="0.25">
      <c r="A8" s="1387">
        <v>44816</v>
      </c>
      <c r="B8" s="984" t="s">
        <v>6300</v>
      </c>
      <c r="C8" s="1377">
        <v>1012013188</v>
      </c>
      <c r="D8" s="1007">
        <f>A8+$F$4</f>
        <v>44846</v>
      </c>
      <c r="E8" s="1338">
        <f>D8-G8</f>
        <v>6</v>
      </c>
      <c r="F8" s="1008">
        <v>1012013188</v>
      </c>
      <c r="G8" s="1007">
        <v>44840</v>
      </c>
      <c r="H8" s="1437">
        <f>G8-A8</f>
        <v>24</v>
      </c>
      <c r="I8" s="1008">
        <f>C8-F8</f>
        <v>0</v>
      </c>
      <c r="J8" s="1008">
        <f>C8/360*H8*$I$4</f>
        <v>6746754.586666666</v>
      </c>
      <c r="K8" s="1422">
        <v>0.08</v>
      </c>
      <c r="L8" s="1008">
        <v>2</v>
      </c>
      <c r="M8" s="1007">
        <v>44818</v>
      </c>
      <c r="N8" s="1008">
        <f>C8/360*L8*K8</f>
        <v>449783.63911111112</v>
      </c>
      <c r="O8" s="1010">
        <v>44840</v>
      </c>
      <c r="P8" s="1422">
        <v>0.09</v>
      </c>
      <c r="Q8" s="1011">
        <v>23</v>
      </c>
      <c r="R8" s="1010">
        <v>44841</v>
      </c>
      <c r="S8" s="1438">
        <f>C8/360*P8*Q8</f>
        <v>5819075.8310000002</v>
      </c>
      <c r="T8" s="1010">
        <v>44840</v>
      </c>
    </row>
    <row r="9" spans="1:49" x14ac:dyDescent="0.25">
      <c r="A9" s="1387">
        <v>44816</v>
      </c>
      <c r="B9" s="984" t="s">
        <v>6300</v>
      </c>
      <c r="C9" s="1377">
        <v>375260038</v>
      </c>
      <c r="D9" s="1007">
        <f t="shared" ref="D9:D14" si="0">A9+$F$4</f>
        <v>44846</v>
      </c>
      <c r="E9" s="1338">
        <f t="shared" ref="E9:E14" si="1">D9-G9</f>
        <v>6</v>
      </c>
      <c r="F9" s="1008">
        <v>375260038</v>
      </c>
      <c r="G9" s="1007">
        <v>44840</v>
      </c>
      <c r="H9" s="1437">
        <f>G9-A9</f>
        <v>24</v>
      </c>
      <c r="I9" s="1008">
        <f t="shared" ref="I9:I14" si="2">C9-F9</f>
        <v>0</v>
      </c>
      <c r="J9" s="1008">
        <f>C9/360*H9*$I$4</f>
        <v>2501733.5866666669</v>
      </c>
      <c r="K9" s="1422">
        <v>0.08</v>
      </c>
      <c r="L9" s="1008">
        <v>2</v>
      </c>
      <c r="M9" s="1007">
        <v>44818</v>
      </c>
      <c r="N9" s="1008">
        <f>C9/360*L9*K9</f>
        <v>166782.23911111112</v>
      </c>
      <c r="O9" s="1010">
        <v>44840</v>
      </c>
      <c r="P9" s="1422">
        <v>0.09</v>
      </c>
      <c r="Q9" s="1011">
        <v>23</v>
      </c>
      <c r="R9" s="1010">
        <v>44841</v>
      </c>
      <c r="S9" s="1438">
        <f t="shared" ref="S9:S10" si="3">C9/360*P9*Q9</f>
        <v>2157745.2185</v>
      </c>
      <c r="T9" s="1010">
        <v>44840</v>
      </c>
    </row>
    <row r="10" spans="1:49" x14ac:dyDescent="0.25">
      <c r="A10" s="1387">
        <v>44818</v>
      </c>
      <c r="B10" s="984" t="s">
        <v>52</v>
      </c>
      <c r="C10" s="1377">
        <v>982636426</v>
      </c>
      <c r="D10" s="1007">
        <f t="shared" si="0"/>
        <v>44848</v>
      </c>
      <c r="E10" s="1338">
        <f t="shared" si="1"/>
        <v>8</v>
      </c>
      <c r="F10" s="1008">
        <v>982636426</v>
      </c>
      <c r="G10" s="1007">
        <v>44840</v>
      </c>
      <c r="H10" s="1437">
        <f t="shared" ref="H10:H14" si="4">G10-A10</f>
        <v>22</v>
      </c>
      <c r="I10" s="1008">
        <f t="shared" si="2"/>
        <v>0</v>
      </c>
      <c r="J10" s="1008">
        <f t="shared" ref="J10:J14" si="5">C10/360*H10*$I$4</f>
        <v>6005000.3811111115</v>
      </c>
      <c r="K10" s="1422">
        <v>0.08</v>
      </c>
      <c r="L10" s="1008">
        <v>1</v>
      </c>
      <c r="M10" s="1007">
        <v>44818</v>
      </c>
      <c r="N10" s="1008">
        <f t="shared" ref="N10:N14" si="6">C10/360*L10*K10</f>
        <v>218363.6502222222</v>
      </c>
      <c r="O10" s="1010">
        <v>44840</v>
      </c>
      <c r="P10" s="1422">
        <v>0.09</v>
      </c>
      <c r="Q10" s="1011">
        <v>22</v>
      </c>
      <c r="R10" s="1010">
        <v>44841</v>
      </c>
      <c r="S10" s="1438">
        <f t="shared" si="3"/>
        <v>5404500.3429999994</v>
      </c>
      <c r="T10" s="1010">
        <v>44840</v>
      </c>
    </row>
    <row r="11" spans="1:49" x14ac:dyDescent="0.25">
      <c r="A11" s="1387">
        <v>44820</v>
      </c>
      <c r="B11" s="984" t="s">
        <v>70</v>
      </c>
      <c r="C11" s="1377">
        <v>395999160</v>
      </c>
      <c r="D11" s="1007">
        <f t="shared" si="0"/>
        <v>44850</v>
      </c>
      <c r="E11" s="1338">
        <f t="shared" si="1"/>
        <v>10</v>
      </c>
      <c r="F11" s="1008">
        <v>395999160</v>
      </c>
      <c r="G11" s="1007">
        <v>44840</v>
      </c>
      <c r="H11" s="1437">
        <f t="shared" si="4"/>
        <v>20</v>
      </c>
      <c r="I11" s="1008">
        <f t="shared" si="2"/>
        <v>0</v>
      </c>
      <c r="J11" s="1008">
        <f t="shared" si="5"/>
        <v>2199995.3333333335</v>
      </c>
      <c r="K11" s="1422">
        <v>0.09</v>
      </c>
      <c r="L11" s="1008">
        <v>21</v>
      </c>
      <c r="M11" s="1007">
        <v>44841</v>
      </c>
      <c r="N11" s="1008">
        <f t="shared" si="6"/>
        <v>2078995.5899999999</v>
      </c>
      <c r="O11" s="1010">
        <v>44840</v>
      </c>
      <c r="P11" s="1010"/>
      <c r="Q11" s="1011"/>
      <c r="R11" s="1010"/>
      <c r="S11" s="1427"/>
      <c r="T11" s="1010"/>
    </row>
    <row r="12" spans="1:49" x14ac:dyDescent="0.25">
      <c r="A12" s="1387">
        <v>44830</v>
      </c>
      <c r="B12" s="984" t="s">
        <v>70</v>
      </c>
      <c r="C12" s="1377">
        <v>356399244</v>
      </c>
      <c r="D12" s="1007">
        <f t="shared" si="0"/>
        <v>44860</v>
      </c>
      <c r="E12" s="1338">
        <f t="shared" si="1"/>
        <v>13</v>
      </c>
      <c r="F12" s="1008">
        <v>356399244</v>
      </c>
      <c r="G12" s="1007">
        <v>44847</v>
      </c>
      <c r="H12" s="1437">
        <f t="shared" si="4"/>
        <v>17</v>
      </c>
      <c r="I12" s="1008">
        <f t="shared" si="2"/>
        <v>0</v>
      </c>
      <c r="J12" s="1008">
        <f t="shared" si="5"/>
        <v>1682996.4300000002</v>
      </c>
      <c r="K12" s="1422">
        <v>0.09</v>
      </c>
      <c r="L12" s="1008">
        <v>18</v>
      </c>
      <c r="M12" s="1007">
        <v>44848</v>
      </c>
      <c r="N12" s="1008">
        <f t="shared" si="6"/>
        <v>1603796.5979999998</v>
      </c>
      <c r="O12" s="1010">
        <v>44847</v>
      </c>
      <c r="P12" s="1010"/>
      <c r="Q12" s="1011"/>
      <c r="R12" s="1426"/>
      <c r="S12" s="1427"/>
      <c r="T12" s="1010"/>
    </row>
    <row r="13" spans="1:49" x14ac:dyDescent="0.25">
      <c r="A13" s="1387">
        <v>44832</v>
      </c>
      <c r="B13" s="984" t="s">
        <v>6300</v>
      </c>
      <c r="C13" s="1377">
        <v>674578607</v>
      </c>
      <c r="D13" s="1007">
        <f t="shared" si="0"/>
        <v>44862</v>
      </c>
      <c r="E13" s="1338">
        <f t="shared" si="1"/>
        <v>15</v>
      </c>
      <c r="F13" s="1008">
        <v>674578607</v>
      </c>
      <c r="G13" s="1007">
        <v>44847</v>
      </c>
      <c r="H13" s="1437">
        <f t="shared" si="4"/>
        <v>15</v>
      </c>
      <c r="I13" s="1008">
        <f t="shared" si="2"/>
        <v>0</v>
      </c>
      <c r="J13" s="1008">
        <f t="shared" si="5"/>
        <v>2810744.1958333338</v>
      </c>
      <c r="K13" s="1422">
        <v>0.09</v>
      </c>
      <c r="L13" s="1008">
        <v>16</v>
      </c>
      <c r="M13" s="1007">
        <v>44848</v>
      </c>
      <c r="N13" s="1008">
        <f t="shared" si="6"/>
        <v>2698314.4279999998</v>
      </c>
      <c r="O13" s="1010">
        <v>44847</v>
      </c>
      <c r="P13" s="1010"/>
      <c r="Q13" s="1011"/>
      <c r="R13" s="1426"/>
      <c r="S13" s="1427"/>
      <c r="T13" s="1010"/>
    </row>
    <row r="14" spans="1:49" x14ac:dyDescent="0.25">
      <c r="A14" s="1329">
        <v>44834</v>
      </c>
      <c r="B14" s="984" t="s">
        <v>64</v>
      </c>
      <c r="C14" s="1377">
        <v>809829000</v>
      </c>
      <c r="D14" s="1007">
        <f t="shared" si="0"/>
        <v>44864</v>
      </c>
      <c r="E14" s="1338">
        <f t="shared" si="1"/>
        <v>17</v>
      </c>
      <c r="F14" s="1008">
        <v>809829000</v>
      </c>
      <c r="G14" s="1007">
        <v>44847</v>
      </c>
      <c r="H14" s="1437">
        <f t="shared" si="4"/>
        <v>13</v>
      </c>
      <c r="I14" s="1008">
        <f t="shared" si="2"/>
        <v>0</v>
      </c>
      <c r="J14" s="1008">
        <f t="shared" si="5"/>
        <v>2924382.5</v>
      </c>
      <c r="K14" s="1422">
        <v>0.09</v>
      </c>
      <c r="L14" s="1008">
        <v>14</v>
      </c>
      <c r="M14" s="1007">
        <v>44848</v>
      </c>
      <c r="N14" s="1008">
        <f t="shared" si="6"/>
        <v>2834401.5</v>
      </c>
      <c r="O14" s="1010">
        <v>44847</v>
      </c>
      <c r="P14" s="1010"/>
      <c r="Q14" s="1011"/>
      <c r="R14" s="1426"/>
      <c r="S14" s="1427"/>
      <c r="T14" s="1427"/>
    </row>
    <row r="15" spans="1:49" x14ac:dyDescent="0.25">
      <c r="A15" s="1387"/>
      <c r="B15" s="984"/>
      <c r="C15" s="1330"/>
      <c r="D15" s="1007"/>
      <c r="E15" s="1338"/>
      <c r="F15" s="1008"/>
      <c r="G15" s="1007"/>
      <c r="H15" s="1009"/>
      <c r="I15" s="1008"/>
      <c r="J15" s="1008"/>
      <c r="K15" s="1008"/>
      <c r="L15" s="1008"/>
      <c r="M15" s="1007"/>
      <c r="N15" s="1008"/>
      <c r="O15" s="1010"/>
      <c r="P15" s="1010"/>
      <c r="Q15" s="1011"/>
      <c r="R15" s="1426"/>
      <c r="S15" s="1427"/>
      <c r="T15" s="1427"/>
    </row>
    <row r="16" spans="1:49" s="1014" customFormat="1" ht="16.5" thickBot="1" x14ac:dyDescent="0.3">
      <c r="A16" s="1518" t="s">
        <v>24</v>
      </c>
      <c r="B16" s="1519"/>
      <c r="C16" s="1012">
        <f>SUM(C8:C15)</f>
        <v>4606715663</v>
      </c>
      <c r="D16" s="1012"/>
      <c r="E16" s="1012"/>
      <c r="F16" s="1012">
        <f>SUM(F8:F14)</f>
        <v>4606715663</v>
      </c>
      <c r="G16" s="1013"/>
      <c r="H16" s="1315"/>
      <c r="I16" s="1012">
        <f>SUM(I8:I15)</f>
        <v>0</v>
      </c>
      <c r="J16" s="1012">
        <f>SUM(J8:J15)</f>
        <v>24871607.013611108</v>
      </c>
      <c r="K16" s="1012"/>
      <c r="L16" s="1012"/>
      <c r="M16" s="1012"/>
      <c r="N16" s="1012">
        <f>SUM(N8:N15)</f>
        <v>10050437.644444443</v>
      </c>
      <c r="O16" s="1012"/>
      <c r="P16" s="1012"/>
      <c r="Q16" s="1012"/>
      <c r="R16" s="1425"/>
      <c r="S16" s="1425">
        <f>SUM(S8:S15)</f>
        <v>13381321.392499998</v>
      </c>
      <c r="T16" s="1425"/>
    </row>
    <row r="17" spans="1:20" x14ac:dyDescent="0.25">
      <c r="N17" s="994"/>
      <c r="O17" s="994"/>
      <c r="P17" s="994"/>
      <c r="Q17" s="1018"/>
    </row>
    <row r="18" spans="1:20" x14ac:dyDescent="0.25">
      <c r="A18" s="1516" t="s">
        <v>6315</v>
      </c>
      <c r="B18" s="1517"/>
      <c r="C18" s="1516"/>
      <c r="D18" s="1516"/>
      <c r="E18" s="1020"/>
      <c r="F18" s="1021">
        <f>SUM(C8:C14)</f>
        <v>4606715663</v>
      </c>
    </row>
    <row r="19" spans="1:20" x14ac:dyDescent="0.25">
      <c r="A19" s="1516" t="s">
        <v>6316</v>
      </c>
      <c r="B19" s="1516"/>
      <c r="C19" s="1516"/>
      <c r="D19" s="1516"/>
      <c r="E19" s="1023"/>
      <c r="F19" s="1024">
        <f>SUM(C15)</f>
        <v>0</v>
      </c>
    </row>
    <row r="20" spans="1:20" x14ac:dyDescent="0.25">
      <c r="A20" s="1516" t="s">
        <v>6317</v>
      </c>
      <c r="B20" s="1517"/>
      <c r="C20" s="1516"/>
      <c r="D20" s="1516"/>
      <c r="E20" s="1023"/>
      <c r="F20" s="1024">
        <f>F16</f>
        <v>4606715663</v>
      </c>
    </row>
    <row r="21" spans="1:20" x14ac:dyDescent="0.25">
      <c r="A21" s="1516" t="s">
        <v>6318</v>
      </c>
      <c r="B21" s="1517"/>
      <c r="C21" s="1516"/>
      <c r="D21" s="1516"/>
      <c r="E21" s="1023"/>
      <c r="F21" s="1025">
        <f>F18+F19-F20</f>
        <v>0</v>
      </c>
      <c r="I21" s="1136"/>
    </row>
    <row r="24" spans="1:20" x14ac:dyDescent="0.25">
      <c r="T24" s="1026"/>
    </row>
    <row r="25" spans="1:20" x14ac:dyDescent="0.25">
      <c r="T25" s="1026"/>
    </row>
    <row r="26" spans="1:20" x14ac:dyDescent="0.25">
      <c r="T26" s="1026"/>
    </row>
    <row r="27" spans="1:20" x14ac:dyDescent="0.25">
      <c r="T27" s="1026"/>
    </row>
    <row r="28" spans="1:20" x14ac:dyDescent="0.25">
      <c r="T28" s="1026"/>
    </row>
    <row r="29" spans="1:20" x14ac:dyDescent="0.25">
      <c r="T29" s="1026"/>
    </row>
    <row r="30" spans="1:20" x14ac:dyDescent="0.25">
      <c r="T30" s="1026"/>
    </row>
    <row r="31" spans="1:20" x14ac:dyDescent="0.25">
      <c r="T31" s="1026"/>
    </row>
    <row r="32" spans="1:20" x14ac:dyDescent="0.25">
      <c r="T32" s="1026"/>
    </row>
    <row r="33" spans="10:20" x14ac:dyDescent="0.25">
      <c r="T33" s="1026"/>
    </row>
    <row r="34" spans="10:20" x14ac:dyDescent="0.25">
      <c r="T34" s="1026"/>
    </row>
    <row r="42" spans="10:20" x14ac:dyDescent="0.25">
      <c r="J42" s="994" t="s">
        <v>6328</v>
      </c>
    </row>
    <row r="43" spans="10:20" x14ac:dyDescent="0.25">
      <c r="J43" s="994" t="s">
        <v>120</v>
      </c>
      <c r="K43" s="994">
        <v>341500000000</v>
      </c>
    </row>
    <row r="44" spans="10:20" x14ac:dyDescent="0.25">
      <c r="J44" s="994" t="s">
        <v>68</v>
      </c>
      <c r="K44" s="994" t="s">
        <v>6329</v>
      </c>
    </row>
  </sheetData>
  <mergeCells count="12">
    <mergeCell ref="A21:D21"/>
    <mergeCell ref="A16:B16"/>
    <mergeCell ref="A5:C5"/>
    <mergeCell ref="E5:H5"/>
    <mergeCell ref="A18:D18"/>
    <mergeCell ref="A19:D19"/>
    <mergeCell ref="A20:D20"/>
    <mergeCell ref="K5:T5"/>
    <mergeCell ref="K6:T6"/>
    <mergeCell ref="D5:D6"/>
    <mergeCell ref="I5:I6"/>
    <mergeCell ref="J5:J6"/>
  </mergeCells>
  <pageMargins left="0.16" right="0.16" top="0.75" bottom="0.75" header="0.3" footer="0.3"/>
  <pageSetup paperSize="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"/>
  <sheetViews>
    <sheetView workbookViewId="0">
      <selection activeCell="C13" sqref="C13"/>
    </sheetView>
  </sheetViews>
  <sheetFormatPr defaultRowHeight="15" x14ac:dyDescent="0.25"/>
  <cols>
    <col min="1" max="1" width="10.7109375" bestFit="1" customWidth="1"/>
    <col min="3" max="3" width="18.85546875" customWidth="1"/>
    <col min="4" max="4" width="14.28515625" bestFit="1" customWidth="1"/>
    <col min="6" max="6" width="15.28515625" customWidth="1"/>
    <col min="7" max="7" width="11.5703125" bestFit="1" customWidth="1"/>
    <col min="12" max="12" width="16.42578125" customWidth="1"/>
    <col min="16" max="16" width="12.42578125" customWidth="1"/>
    <col min="17" max="17" width="9.5703125" bestFit="1" customWidth="1"/>
  </cols>
  <sheetData>
    <row r="1" spans="1:19" ht="15.75" thickBot="1" x14ac:dyDescent="0.3">
      <c r="A1" s="215" t="s">
        <v>22</v>
      </c>
      <c r="B1" s="6"/>
      <c r="C1" s="7"/>
      <c r="D1" s="4"/>
      <c r="E1" s="5">
        <v>59</v>
      </c>
      <c r="F1" s="4">
        <v>50</v>
      </c>
      <c r="G1" s="4">
        <v>45</v>
      </c>
      <c r="H1" s="4">
        <v>5</v>
      </c>
      <c r="I1" s="23"/>
      <c r="J1" s="4"/>
      <c r="K1" s="17"/>
      <c r="L1" s="18">
        <v>0.1</v>
      </c>
      <c r="M1" s="18"/>
      <c r="N1" s="18"/>
      <c r="O1" s="18"/>
      <c r="P1" s="4"/>
      <c r="Q1" s="4"/>
      <c r="R1" s="4"/>
      <c r="S1" s="4"/>
    </row>
    <row r="2" spans="1:19" ht="15.75" thickBot="1" x14ac:dyDescent="0.3">
      <c r="A2" s="1531" t="s">
        <v>102</v>
      </c>
      <c r="B2" s="1532"/>
      <c r="C2" s="1533"/>
      <c r="D2" s="1534" t="s">
        <v>103</v>
      </c>
      <c r="E2" s="1536"/>
      <c r="F2" s="1537"/>
      <c r="G2" s="1537"/>
      <c r="H2" s="1537"/>
      <c r="I2" s="1538"/>
      <c r="J2" s="1537"/>
      <c r="K2" s="1539"/>
      <c r="L2" s="1540" t="s">
        <v>104</v>
      </c>
      <c r="M2" s="1542" t="s">
        <v>105</v>
      </c>
      <c r="N2" s="1544" t="s">
        <v>106</v>
      </c>
      <c r="O2" s="1545"/>
      <c r="P2" s="1545"/>
      <c r="Q2" s="1545"/>
      <c r="R2" s="1523" t="s">
        <v>24</v>
      </c>
      <c r="S2" s="1526" t="s">
        <v>107</v>
      </c>
    </row>
    <row r="3" spans="1:19" ht="15.75" thickBot="1" x14ac:dyDescent="0.3">
      <c r="A3" s="216" t="s">
        <v>109</v>
      </c>
      <c r="B3" s="8" t="s">
        <v>110</v>
      </c>
      <c r="C3" s="9" t="s">
        <v>111</v>
      </c>
      <c r="D3" s="1535"/>
      <c r="E3" s="10" t="s">
        <v>112</v>
      </c>
      <c r="F3" s="11" t="s">
        <v>113</v>
      </c>
      <c r="G3" s="12" t="s">
        <v>114</v>
      </c>
      <c r="H3" s="259" t="s">
        <v>115</v>
      </c>
      <c r="I3" s="19" t="s">
        <v>109</v>
      </c>
      <c r="J3" s="19" t="s">
        <v>116</v>
      </c>
      <c r="K3" s="260" t="s">
        <v>109</v>
      </c>
      <c r="L3" s="1541"/>
      <c r="M3" s="1543"/>
      <c r="N3" s="1529" t="s">
        <v>117</v>
      </c>
      <c r="O3" s="1530"/>
      <c r="P3" s="1530"/>
      <c r="Q3" s="1530"/>
      <c r="R3" s="1524"/>
      <c r="S3" s="1527"/>
    </row>
    <row r="4" spans="1:19" ht="15.75" thickBot="1" x14ac:dyDescent="0.3">
      <c r="A4" s="217"/>
      <c r="B4" s="14"/>
      <c r="C4" s="15"/>
      <c r="D4" s="15"/>
      <c r="E4" s="16"/>
      <c r="F4" s="15"/>
      <c r="G4" s="15"/>
      <c r="H4" s="15"/>
      <c r="I4" s="13"/>
      <c r="J4" s="15"/>
      <c r="K4" s="20"/>
      <c r="L4" s="15"/>
      <c r="M4" s="15"/>
      <c r="N4" s="21" t="s">
        <v>118</v>
      </c>
      <c r="O4" s="22" t="s">
        <v>114</v>
      </c>
      <c r="P4" s="22" t="s">
        <v>119</v>
      </c>
      <c r="Q4" s="22" t="s">
        <v>114</v>
      </c>
      <c r="R4" s="1525"/>
      <c r="S4" s="1528"/>
    </row>
    <row r="5" spans="1:19" x14ac:dyDescent="0.25">
      <c r="A5" s="305">
        <v>43922</v>
      </c>
      <c r="B5" s="306" t="s">
        <v>4003</v>
      </c>
      <c r="C5" s="307">
        <v>1245547676</v>
      </c>
      <c r="D5" s="308">
        <f>A5+$H$1</f>
        <v>43927</v>
      </c>
      <c r="E5" s="316">
        <f t="shared" ref="E5:E13" si="0">D5-G5</f>
        <v>0</v>
      </c>
      <c r="F5" s="309">
        <v>1245547676</v>
      </c>
      <c r="G5" s="308">
        <v>43927</v>
      </c>
      <c r="H5" s="309"/>
      <c r="I5" s="310"/>
      <c r="J5" s="309"/>
      <c r="K5" s="311"/>
      <c r="L5" s="312">
        <f t="shared" ref="L5:L13" si="1">C5-F5-H5-J5</f>
        <v>0</v>
      </c>
      <c r="M5" s="313">
        <f>(E$4/360)*C5*10%</f>
        <v>0</v>
      </c>
      <c r="N5" s="313"/>
      <c r="O5" s="314"/>
      <c r="P5" s="313">
        <v>2378304</v>
      </c>
      <c r="Q5" s="314">
        <v>43927</v>
      </c>
      <c r="R5" s="313"/>
      <c r="S5" s="315"/>
    </row>
    <row r="6" spans="1:19" x14ac:dyDescent="0.25">
      <c r="A6" s="305">
        <v>43924</v>
      </c>
      <c r="B6" s="306" t="s">
        <v>4003</v>
      </c>
      <c r="C6" s="307">
        <v>348518733</v>
      </c>
      <c r="D6" s="308">
        <f t="shared" ref="D6:D13" si="2">A6+$H$1</f>
        <v>43929</v>
      </c>
      <c r="E6" s="316">
        <f t="shared" si="0"/>
        <v>0</v>
      </c>
      <c r="F6" s="309">
        <v>348518733</v>
      </c>
      <c r="G6" s="308">
        <v>43929</v>
      </c>
      <c r="H6" s="309"/>
      <c r="I6" s="310"/>
      <c r="J6" s="309"/>
      <c r="K6" s="311"/>
      <c r="L6" s="312">
        <f t="shared" si="1"/>
        <v>0</v>
      </c>
      <c r="M6" s="313">
        <f>(E$4/360)*C6*10%</f>
        <v>0</v>
      </c>
      <c r="N6" s="313"/>
      <c r="O6" s="314"/>
      <c r="P6" s="313">
        <v>665473</v>
      </c>
      <c r="Q6" s="314">
        <v>43929</v>
      </c>
      <c r="R6" s="313"/>
      <c r="S6" s="315"/>
    </row>
    <row r="7" spans="1:19" x14ac:dyDescent="0.25">
      <c r="A7" s="305">
        <v>43929</v>
      </c>
      <c r="B7" s="306" t="s">
        <v>4003</v>
      </c>
      <c r="C7" s="307">
        <v>1488745261</v>
      </c>
      <c r="D7" s="308">
        <f t="shared" si="2"/>
        <v>43934</v>
      </c>
      <c r="E7" s="316">
        <f t="shared" si="0"/>
        <v>0</v>
      </c>
      <c r="F7" s="309">
        <v>1488745261</v>
      </c>
      <c r="G7" s="308">
        <v>43934</v>
      </c>
      <c r="H7" s="309"/>
      <c r="I7" s="310"/>
      <c r="J7" s="309"/>
      <c r="K7" s="311"/>
      <c r="L7" s="312">
        <f t="shared" si="1"/>
        <v>0</v>
      </c>
      <c r="M7" s="313">
        <f>(E$4/360)*C7*10%</f>
        <v>0</v>
      </c>
      <c r="N7" s="313"/>
      <c r="O7" s="314"/>
      <c r="P7" s="313">
        <v>2842676</v>
      </c>
      <c r="Q7" s="314">
        <v>43934</v>
      </c>
      <c r="R7" s="313"/>
      <c r="S7" s="315"/>
    </row>
    <row r="8" spans="1:19" x14ac:dyDescent="0.25">
      <c r="A8" s="305">
        <v>43936</v>
      </c>
      <c r="B8" s="306" t="s">
        <v>4003</v>
      </c>
      <c r="C8" s="307">
        <v>410403120</v>
      </c>
      <c r="D8" s="308">
        <f t="shared" si="2"/>
        <v>43941</v>
      </c>
      <c r="E8" s="316">
        <f t="shared" si="0"/>
        <v>-1</v>
      </c>
      <c r="F8" s="309">
        <v>410403120</v>
      </c>
      <c r="G8" s="308">
        <v>43942</v>
      </c>
      <c r="H8" s="309"/>
      <c r="I8" s="310"/>
      <c r="J8" s="309"/>
      <c r="K8" s="311"/>
      <c r="L8" s="312">
        <f t="shared" si="1"/>
        <v>0</v>
      </c>
      <c r="M8" s="313"/>
      <c r="N8" s="313"/>
      <c r="O8" s="314"/>
      <c r="P8" s="313">
        <v>895591</v>
      </c>
      <c r="Q8" s="314">
        <v>43942</v>
      </c>
      <c r="R8" s="313"/>
      <c r="S8" s="315"/>
    </row>
    <row r="9" spans="1:19" x14ac:dyDescent="0.25">
      <c r="A9" s="351">
        <v>43938</v>
      </c>
      <c r="B9" s="352" t="s">
        <v>4003</v>
      </c>
      <c r="C9" s="353">
        <v>446382666</v>
      </c>
      <c r="D9" s="354">
        <f t="shared" si="2"/>
        <v>43943</v>
      </c>
      <c r="E9" s="316">
        <f t="shared" si="0"/>
        <v>0</v>
      </c>
      <c r="F9" s="355">
        <v>446382666</v>
      </c>
      <c r="G9" s="354">
        <v>43943</v>
      </c>
      <c r="H9" s="355"/>
      <c r="I9" s="356"/>
      <c r="J9" s="355"/>
      <c r="K9" s="357"/>
      <c r="L9" s="358">
        <f t="shared" si="1"/>
        <v>0</v>
      </c>
      <c r="M9" s="359"/>
      <c r="N9" s="359"/>
      <c r="O9" s="360"/>
      <c r="P9" s="359">
        <v>852343</v>
      </c>
      <c r="Q9" s="360">
        <v>43943</v>
      </c>
      <c r="R9" s="359"/>
      <c r="S9" s="361"/>
    </row>
    <row r="10" spans="1:19" x14ac:dyDescent="0.25">
      <c r="A10" s="351">
        <v>43943</v>
      </c>
      <c r="B10" s="352" t="s">
        <v>4003</v>
      </c>
      <c r="C10" s="353">
        <v>746535565</v>
      </c>
      <c r="D10" s="354">
        <f t="shared" si="2"/>
        <v>43948</v>
      </c>
      <c r="E10" s="316">
        <f t="shared" si="0"/>
        <v>43948</v>
      </c>
      <c r="F10" s="355"/>
      <c r="G10" s="354"/>
      <c r="H10" s="355"/>
      <c r="I10" s="356"/>
      <c r="J10" s="355"/>
      <c r="K10" s="357"/>
      <c r="L10" s="358">
        <f t="shared" si="1"/>
        <v>746535565</v>
      </c>
      <c r="M10" s="359"/>
      <c r="N10" s="359"/>
      <c r="O10" s="360"/>
      <c r="P10" s="359"/>
      <c r="Q10" s="360"/>
      <c r="R10" s="359"/>
      <c r="S10" s="361"/>
    </row>
    <row r="11" spans="1:19" x14ac:dyDescent="0.25">
      <c r="A11" s="364">
        <v>43945</v>
      </c>
      <c r="B11" s="352" t="s">
        <v>4003</v>
      </c>
      <c r="C11" s="353">
        <v>1114356343</v>
      </c>
      <c r="D11" s="354">
        <f t="shared" si="2"/>
        <v>43950</v>
      </c>
      <c r="E11" s="316">
        <f t="shared" si="0"/>
        <v>43950</v>
      </c>
      <c r="F11" s="362"/>
      <c r="G11" s="362"/>
      <c r="H11" s="362"/>
      <c r="I11" s="362"/>
      <c r="J11" s="362"/>
      <c r="K11" s="362"/>
      <c r="L11" s="363">
        <f t="shared" si="1"/>
        <v>1114356343</v>
      </c>
      <c r="M11" s="362"/>
      <c r="N11" s="362"/>
      <c r="O11" s="362"/>
      <c r="P11" s="362"/>
      <c r="Q11" s="362"/>
      <c r="R11" s="362"/>
      <c r="S11" s="362"/>
    </row>
    <row r="12" spans="1:19" x14ac:dyDescent="0.25">
      <c r="A12" s="364">
        <v>43950</v>
      </c>
      <c r="B12" s="367" t="s">
        <v>4003</v>
      </c>
      <c r="C12" s="368">
        <v>588217903</v>
      </c>
      <c r="D12" s="354">
        <f t="shared" si="2"/>
        <v>43955</v>
      </c>
      <c r="E12" s="367">
        <f t="shared" si="0"/>
        <v>43955</v>
      </c>
      <c r="F12" s="362"/>
      <c r="G12" s="362"/>
      <c r="H12" s="362"/>
      <c r="I12" s="362"/>
      <c r="J12" s="362"/>
      <c r="K12" s="362"/>
      <c r="L12" s="362">
        <f t="shared" si="1"/>
        <v>588217903</v>
      </c>
      <c r="M12" s="362"/>
      <c r="N12" s="362"/>
      <c r="O12" s="362"/>
      <c r="P12" s="362"/>
      <c r="Q12" s="362"/>
      <c r="R12" s="362"/>
      <c r="S12" s="362"/>
    </row>
    <row r="13" spans="1:19" x14ac:dyDescent="0.25">
      <c r="A13" s="364">
        <v>43955</v>
      </c>
      <c r="B13" s="367" t="s">
        <v>4003</v>
      </c>
      <c r="C13" s="368">
        <v>568739307</v>
      </c>
      <c r="D13" s="354">
        <f t="shared" si="2"/>
        <v>43960</v>
      </c>
      <c r="E13" s="367">
        <f t="shared" si="0"/>
        <v>43960</v>
      </c>
      <c r="F13" s="362"/>
      <c r="G13" s="362"/>
      <c r="H13" s="362"/>
      <c r="I13" s="362"/>
      <c r="J13" s="362"/>
      <c r="K13" s="362"/>
      <c r="L13" s="362">
        <f t="shared" si="1"/>
        <v>568739307</v>
      </c>
      <c r="M13" s="362"/>
      <c r="N13" s="362"/>
      <c r="O13" s="362"/>
      <c r="P13" s="362"/>
      <c r="Q13" s="362"/>
      <c r="R13" s="362"/>
      <c r="S13" s="362"/>
    </row>
    <row r="14" spans="1:19" x14ac:dyDescent="0.25">
      <c r="A14" s="364"/>
      <c r="B14" s="362"/>
      <c r="C14" s="369"/>
      <c r="D14" s="362"/>
      <c r="E14" s="367"/>
      <c r="F14" s="362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</row>
    <row r="15" spans="1:19" x14ac:dyDescent="0.25">
      <c r="A15" s="362"/>
      <c r="B15" s="362"/>
      <c r="C15" s="362"/>
      <c r="D15" s="362"/>
      <c r="E15" s="362"/>
      <c r="F15" s="362"/>
      <c r="G15" s="362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2"/>
      <c r="S15" s="362"/>
    </row>
    <row r="16" spans="1:19" x14ac:dyDescent="0.25">
      <c r="A16" s="362"/>
      <c r="B16" s="362"/>
      <c r="C16" s="362"/>
      <c r="D16" s="362"/>
      <c r="E16" s="362"/>
      <c r="F16" s="362"/>
      <c r="G16" s="362"/>
      <c r="H16" s="362"/>
      <c r="I16" s="362"/>
      <c r="J16" s="362"/>
      <c r="K16" s="362"/>
      <c r="L16" s="362"/>
      <c r="M16" s="362"/>
      <c r="N16" s="362"/>
      <c r="O16" s="362"/>
      <c r="P16" s="362"/>
      <c r="Q16" s="362"/>
      <c r="R16" s="362"/>
      <c r="S16" s="362"/>
    </row>
    <row r="17" spans="1:19" x14ac:dyDescent="0.25">
      <c r="A17" s="362"/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  <c r="S17" s="362"/>
    </row>
  </sheetData>
  <mergeCells count="9">
    <mergeCell ref="R2:R4"/>
    <mergeCell ref="S2:S4"/>
    <mergeCell ref="N3:Q3"/>
    <mergeCell ref="A2:C2"/>
    <mergeCell ref="D2:D3"/>
    <mergeCell ref="E2:K2"/>
    <mergeCell ref="L2:L3"/>
    <mergeCell ref="M2:M3"/>
    <mergeCell ref="N2:Q2"/>
  </mergeCells>
  <pageMargins left="0.31" right="0.21" top="0.75" bottom="0.75" header="0.3" footer="0.3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U62"/>
  <sheetViews>
    <sheetView topLeftCell="A13" zoomScale="60" zoomScaleNormal="60" workbookViewId="0">
      <selection activeCell="F40" sqref="F40"/>
    </sheetView>
  </sheetViews>
  <sheetFormatPr defaultColWidth="13.7109375" defaultRowHeight="15.75" x14ac:dyDescent="0.25"/>
  <cols>
    <col min="1" max="1" width="22" style="470" customWidth="1"/>
    <col min="2" max="2" width="12.140625" style="753" bestFit="1" customWidth="1"/>
    <col min="3" max="3" width="20.85546875" style="752" bestFit="1" customWidth="1"/>
    <col min="4" max="4" width="17" style="468" bestFit="1" customWidth="1"/>
    <col min="5" max="5" width="15.85546875" style="524" bestFit="1" customWidth="1"/>
    <col min="6" max="6" width="20.140625" style="468" bestFit="1" customWidth="1"/>
    <col min="7" max="7" width="15.85546875" style="468" bestFit="1" customWidth="1"/>
    <col min="8" max="8" width="17" style="468" bestFit="1" customWidth="1"/>
    <col min="9" max="9" width="11.5703125" style="500" bestFit="1" customWidth="1"/>
    <col min="10" max="10" width="15.140625" style="468" bestFit="1" customWidth="1"/>
    <col min="11" max="11" width="13.7109375" style="525"/>
    <col min="12" max="12" width="17" style="468" bestFit="1" customWidth="1"/>
    <col min="13" max="16" width="13.7109375" style="468"/>
    <col min="17" max="17" width="13.7109375" style="468" customWidth="1"/>
    <col min="18" max="19" width="13.7109375" style="468"/>
    <col min="20" max="20" width="20.140625" style="468" bestFit="1" customWidth="1"/>
    <col min="21" max="21" width="10" style="500" bestFit="1" customWidth="1"/>
    <col min="22" max="22" width="11.28515625" style="500" bestFit="1" customWidth="1"/>
    <col min="23" max="23" width="5.140625" style="468" bestFit="1" customWidth="1"/>
    <col min="24" max="25" width="13.7109375" style="468"/>
    <col min="26" max="26" width="19.5703125" style="468" bestFit="1" customWidth="1"/>
    <col min="27" max="255" width="13.7109375" style="468"/>
    <col min="256" max="16384" width="13.7109375" style="469"/>
  </cols>
  <sheetData>
    <row r="2" spans="1:255" x14ac:dyDescent="0.25">
      <c r="B2" s="471"/>
      <c r="C2" s="472"/>
      <c r="D2" s="473"/>
      <c r="E2" s="474"/>
      <c r="F2" s="473"/>
      <c r="G2" s="473"/>
      <c r="H2" s="473"/>
      <c r="I2" s="475"/>
      <c r="J2" s="473"/>
      <c r="K2" s="476"/>
      <c r="L2" s="473"/>
      <c r="M2" s="473"/>
      <c r="N2" s="473"/>
      <c r="O2" s="473"/>
      <c r="P2" s="473"/>
      <c r="Q2" s="473"/>
      <c r="R2" s="473"/>
      <c r="S2" s="473"/>
      <c r="T2" s="473"/>
      <c r="U2" s="475"/>
      <c r="V2" s="475"/>
      <c r="W2" s="473"/>
      <c r="X2" s="473"/>
      <c r="Y2" s="473"/>
      <c r="Z2" s="473"/>
      <c r="AA2" s="473"/>
      <c r="AB2" s="473"/>
      <c r="AC2" s="473"/>
      <c r="AD2" s="473"/>
      <c r="AE2" s="473"/>
      <c r="AF2" s="473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3"/>
      <c r="AS2" s="473"/>
      <c r="AT2" s="473"/>
      <c r="AU2" s="473"/>
      <c r="AV2" s="473"/>
      <c r="AW2" s="473"/>
      <c r="AX2" s="473"/>
      <c r="AY2" s="473"/>
      <c r="AZ2" s="473"/>
      <c r="BA2" s="473"/>
      <c r="BB2" s="473"/>
      <c r="BC2" s="473"/>
      <c r="BD2" s="473"/>
      <c r="BE2" s="473"/>
      <c r="BF2" s="473"/>
      <c r="BG2" s="473"/>
      <c r="BH2" s="473"/>
      <c r="BI2" s="473"/>
      <c r="BJ2" s="473"/>
      <c r="BK2" s="473"/>
      <c r="BL2" s="473"/>
      <c r="BM2" s="473"/>
      <c r="BN2" s="473"/>
    </row>
    <row r="3" spans="1:255" x14ac:dyDescent="0.25">
      <c r="B3" s="471"/>
      <c r="C3" s="472"/>
      <c r="D3" s="473"/>
      <c r="E3" s="474"/>
      <c r="F3" s="473"/>
      <c r="G3" s="473"/>
      <c r="H3" s="473"/>
      <c r="I3" s="475"/>
      <c r="J3" s="473"/>
      <c r="K3" s="476"/>
      <c r="L3" s="473"/>
      <c r="M3" s="473"/>
      <c r="N3" s="473"/>
      <c r="O3" s="473"/>
      <c r="P3" s="473"/>
      <c r="Q3" s="473"/>
      <c r="R3" s="473"/>
      <c r="S3" s="473"/>
      <c r="T3" s="473"/>
      <c r="U3" s="475"/>
      <c r="V3" s="475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473"/>
      <c r="AR3" s="473"/>
      <c r="AS3" s="473"/>
      <c r="AT3" s="473"/>
      <c r="AU3" s="473"/>
      <c r="AV3" s="473"/>
      <c r="AW3" s="473"/>
      <c r="AX3" s="473"/>
      <c r="AY3" s="473"/>
      <c r="AZ3" s="473"/>
      <c r="BA3" s="473"/>
      <c r="BB3" s="473"/>
      <c r="BC3" s="473"/>
      <c r="BD3" s="473"/>
      <c r="BE3" s="473"/>
      <c r="BF3" s="473"/>
      <c r="BG3" s="473"/>
      <c r="BH3" s="473"/>
      <c r="BI3" s="473"/>
      <c r="BJ3" s="473"/>
      <c r="BK3" s="473"/>
      <c r="BL3" s="473"/>
      <c r="BM3" s="473"/>
      <c r="BN3" s="473"/>
    </row>
    <row r="4" spans="1:255" ht="16.5" thickBot="1" x14ac:dyDescent="0.3">
      <c r="A4" s="470" t="s">
        <v>22</v>
      </c>
      <c r="B4" s="477"/>
      <c r="C4" s="478"/>
      <c r="D4" s="473"/>
      <c r="E4" s="474">
        <v>59</v>
      </c>
      <c r="F4" s="473">
        <v>50</v>
      </c>
      <c r="G4" s="473">
        <v>45</v>
      </c>
      <c r="H4" s="473">
        <v>5</v>
      </c>
      <c r="I4" s="602">
        <v>25</v>
      </c>
      <c r="J4" s="473">
        <v>15</v>
      </c>
      <c r="K4" s="476"/>
      <c r="L4" s="479">
        <v>0.1</v>
      </c>
      <c r="M4" s="479"/>
      <c r="N4" s="479"/>
      <c r="O4" s="479"/>
      <c r="P4" s="473"/>
      <c r="Q4" s="473"/>
      <c r="R4" s="473"/>
      <c r="S4" s="473"/>
      <c r="T4" s="473"/>
      <c r="U4" s="475"/>
      <c r="V4" s="475"/>
      <c r="W4" s="473"/>
      <c r="X4" s="473"/>
      <c r="Y4" s="473"/>
      <c r="Z4" s="473"/>
      <c r="AA4" s="473"/>
      <c r="AB4" s="473"/>
      <c r="AC4" s="473"/>
      <c r="AD4" s="473"/>
      <c r="AE4" s="473"/>
      <c r="AF4" s="473"/>
      <c r="AG4" s="473"/>
      <c r="AH4" s="473"/>
      <c r="AI4" s="473"/>
      <c r="AJ4" s="473"/>
      <c r="AK4" s="473"/>
      <c r="AL4" s="473"/>
      <c r="AM4" s="473"/>
      <c r="AN4" s="473"/>
      <c r="AO4" s="473"/>
      <c r="AP4" s="473"/>
      <c r="AQ4" s="473"/>
      <c r="AR4" s="473"/>
      <c r="AS4" s="473"/>
      <c r="AT4" s="473"/>
      <c r="AU4" s="473"/>
      <c r="AV4" s="473"/>
      <c r="AW4" s="473"/>
      <c r="AX4" s="473"/>
      <c r="AY4" s="473"/>
      <c r="AZ4" s="473"/>
      <c r="BA4" s="473"/>
      <c r="BB4" s="473"/>
      <c r="BC4" s="473"/>
      <c r="BD4" s="473"/>
      <c r="BE4" s="473"/>
      <c r="BF4" s="473"/>
      <c r="BG4" s="473"/>
      <c r="BH4" s="473"/>
      <c r="BI4" s="473"/>
      <c r="BJ4" s="473"/>
      <c r="BK4" s="473"/>
      <c r="BL4" s="473"/>
      <c r="BM4" s="473"/>
      <c r="BN4" s="473"/>
    </row>
    <row r="5" spans="1:255" s="468" customFormat="1" ht="15" customHeight="1" thickBot="1" x14ac:dyDescent="0.3">
      <c r="A5" s="1549" t="s">
        <v>102</v>
      </c>
      <c r="B5" s="1550"/>
      <c r="C5" s="1551"/>
      <c r="D5" s="1552" t="s">
        <v>103</v>
      </c>
      <c r="E5" s="1554"/>
      <c r="F5" s="1555"/>
      <c r="G5" s="1555"/>
      <c r="H5" s="1555"/>
      <c r="I5" s="1556"/>
      <c r="J5" s="1555"/>
      <c r="K5" s="1557"/>
      <c r="L5" s="1558" t="s">
        <v>104</v>
      </c>
      <c r="M5" s="1560" t="s">
        <v>105</v>
      </c>
      <c r="N5" s="1562" t="s">
        <v>106</v>
      </c>
      <c r="O5" s="1563"/>
      <c r="P5" s="1563"/>
      <c r="Q5" s="1563"/>
      <c r="R5" s="1564" t="s">
        <v>24</v>
      </c>
      <c r="S5" s="1567" t="s">
        <v>107</v>
      </c>
      <c r="T5" s="468" t="s">
        <v>108</v>
      </c>
    </row>
    <row r="6" spans="1:255" s="468" customFormat="1" ht="16.5" thickBot="1" x14ac:dyDescent="0.3">
      <c r="A6" s="480" t="s">
        <v>109</v>
      </c>
      <c r="B6" s="481" t="s">
        <v>110</v>
      </c>
      <c r="C6" s="482" t="s">
        <v>111</v>
      </c>
      <c r="D6" s="1553"/>
      <c r="E6" s="483" t="s">
        <v>112</v>
      </c>
      <c r="F6" s="484" t="s">
        <v>113</v>
      </c>
      <c r="G6" s="485" t="s">
        <v>114</v>
      </c>
      <c r="H6" s="754" t="s">
        <v>115</v>
      </c>
      <c r="I6" s="486" t="s">
        <v>109</v>
      </c>
      <c r="J6" s="486" t="s">
        <v>116</v>
      </c>
      <c r="K6" s="755" t="s">
        <v>109</v>
      </c>
      <c r="L6" s="1559"/>
      <c r="M6" s="1561"/>
      <c r="N6" s="1570" t="s">
        <v>117</v>
      </c>
      <c r="O6" s="1571"/>
      <c r="P6" s="1571"/>
      <c r="Q6" s="1571"/>
      <c r="R6" s="1565"/>
      <c r="S6" s="1568"/>
    </row>
    <row r="7" spans="1:255" s="495" customFormat="1" ht="16.5" thickBot="1" x14ac:dyDescent="0.3">
      <c r="A7" s="487"/>
      <c r="B7" s="488"/>
      <c r="C7" s="489"/>
      <c r="D7" s="489"/>
      <c r="E7" s="490"/>
      <c r="F7" s="489"/>
      <c r="G7" s="489"/>
      <c r="H7" s="489"/>
      <c r="I7" s="491"/>
      <c r="J7" s="489"/>
      <c r="K7" s="492"/>
      <c r="L7" s="489"/>
      <c r="M7" s="489"/>
      <c r="N7" s="493" t="s">
        <v>118</v>
      </c>
      <c r="O7" s="494" t="s">
        <v>114</v>
      </c>
      <c r="P7" s="494" t="s">
        <v>119</v>
      </c>
      <c r="Q7" s="494" t="s">
        <v>114</v>
      </c>
      <c r="R7" s="1566"/>
      <c r="S7" s="1569"/>
    </row>
    <row r="8" spans="1:255" s="811" customFormat="1" ht="15" customHeight="1" x14ac:dyDescent="0.25">
      <c r="A8" s="795">
        <v>43922</v>
      </c>
      <c r="B8" s="796" t="s">
        <v>4003</v>
      </c>
      <c r="C8" s="797">
        <v>1245547676</v>
      </c>
      <c r="D8" s="798">
        <f>A8+$H$4</f>
        <v>43927</v>
      </c>
      <c r="E8" s="799">
        <f t="shared" ref="E8:E40" si="0">D8-G8</f>
        <v>0</v>
      </c>
      <c r="F8" s="800">
        <v>1245547676</v>
      </c>
      <c r="G8" s="798">
        <v>43927</v>
      </c>
      <c r="H8" s="800"/>
      <c r="I8" s="801"/>
      <c r="J8" s="800"/>
      <c r="K8" s="802"/>
      <c r="L8" s="803">
        <f t="shared" ref="L8:L16" si="1">C8-F8-H8-J8</f>
        <v>0</v>
      </c>
      <c r="M8" s="804">
        <f>(E$4/360)*C8*10%</f>
        <v>20413142.467777777</v>
      </c>
      <c r="N8" s="804"/>
      <c r="O8" s="805"/>
      <c r="P8" s="804">
        <v>2378304</v>
      </c>
      <c r="Q8" s="805">
        <v>43927</v>
      </c>
      <c r="R8" s="804"/>
      <c r="S8" s="804"/>
      <c r="T8" s="806"/>
      <c r="U8" s="807"/>
      <c r="V8" s="807"/>
      <c r="W8" s="808"/>
      <c r="X8" s="809"/>
      <c r="Y8" s="810"/>
      <c r="Z8" s="810"/>
      <c r="AA8" s="810"/>
      <c r="AB8" s="810"/>
      <c r="AC8" s="810"/>
      <c r="AD8" s="810"/>
      <c r="AE8" s="810"/>
      <c r="AF8" s="810"/>
      <c r="AG8" s="810"/>
      <c r="AH8" s="810"/>
      <c r="AI8" s="810"/>
      <c r="AJ8" s="810"/>
      <c r="AK8" s="810"/>
      <c r="AL8" s="810"/>
      <c r="AM8" s="810"/>
      <c r="AN8" s="810"/>
      <c r="AO8" s="810"/>
      <c r="AP8" s="810"/>
      <c r="AQ8" s="810"/>
      <c r="AR8" s="810"/>
      <c r="AS8" s="810"/>
      <c r="AT8" s="810"/>
      <c r="AU8" s="810"/>
      <c r="AV8" s="810"/>
      <c r="AW8" s="810"/>
      <c r="AX8" s="810"/>
      <c r="AY8" s="810"/>
      <c r="AZ8" s="810"/>
      <c r="BA8" s="810"/>
      <c r="BB8" s="810"/>
      <c r="BC8" s="810"/>
      <c r="BD8" s="810"/>
      <c r="BE8" s="810"/>
      <c r="BF8" s="810"/>
      <c r="BG8" s="810"/>
      <c r="BH8" s="810"/>
      <c r="BI8" s="810"/>
      <c r="BJ8" s="810"/>
      <c r="BK8" s="810"/>
      <c r="BL8" s="810"/>
      <c r="BM8" s="810"/>
      <c r="BN8" s="810"/>
      <c r="BO8" s="810"/>
      <c r="BP8" s="810"/>
      <c r="BQ8" s="810"/>
      <c r="BR8" s="810"/>
      <c r="BS8" s="810"/>
      <c r="BT8" s="810"/>
      <c r="BU8" s="810"/>
      <c r="BV8" s="810"/>
      <c r="BW8" s="810"/>
      <c r="BX8" s="810"/>
      <c r="BY8" s="810"/>
      <c r="BZ8" s="810"/>
      <c r="CA8" s="810"/>
      <c r="CB8" s="810"/>
      <c r="CC8" s="810"/>
      <c r="CD8" s="810"/>
      <c r="CE8" s="810"/>
      <c r="CF8" s="810"/>
      <c r="CG8" s="810"/>
      <c r="CH8" s="810"/>
      <c r="CI8" s="810"/>
      <c r="CJ8" s="810"/>
      <c r="CK8" s="810"/>
      <c r="CL8" s="810"/>
      <c r="CM8" s="810"/>
      <c r="CN8" s="810"/>
      <c r="CO8" s="810"/>
      <c r="CP8" s="810"/>
      <c r="CQ8" s="810"/>
      <c r="CR8" s="810"/>
      <c r="CS8" s="810"/>
      <c r="CT8" s="810"/>
      <c r="CU8" s="810"/>
      <c r="CV8" s="810"/>
      <c r="CW8" s="810"/>
      <c r="CX8" s="810"/>
      <c r="CY8" s="810"/>
      <c r="CZ8" s="810"/>
      <c r="DA8" s="810"/>
      <c r="DB8" s="810"/>
      <c r="DC8" s="810"/>
      <c r="DD8" s="810"/>
      <c r="DE8" s="810"/>
      <c r="DF8" s="810"/>
      <c r="DG8" s="810"/>
      <c r="DH8" s="810"/>
      <c r="DI8" s="810"/>
      <c r="DJ8" s="810"/>
      <c r="DK8" s="810"/>
      <c r="DL8" s="810"/>
      <c r="DM8" s="810"/>
      <c r="DN8" s="810"/>
      <c r="DO8" s="810"/>
      <c r="DP8" s="810"/>
      <c r="DQ8" s="810"/>
      <c r="DR8" s="810"/>
      <c r="DS8" s="810"/>
      <c r="DT8" s="810"/>
      <c r="DU8" s="810"/>
      <c r="DV8" s="810"/>
      <c r="DW8" s="810"/>
      <c r="DX8" s="810"/>
      <c r="DY8" s="810"/>
      <c r="DZ8" s="810"/>
      <c r="EA8" s="810"/>
      <c r="EB8" s="810"/>
      <c r="EC8" s="810"/>
      <c r="ED8" s="810"/>
      <c r="EE8" s="810"/>
      <c r="EF8" s="810"/>
      <c r="EG8" s="810"/>
      <c r="EH8" s="810"/>
      <c r="EI8" s="810"/>
      <c r="EJ8" s="810"/>
      <c r="EK8" s="810"/>
      <c r="EL8" s="810"/>
      <c r="EM8" s="810"/>
      <c r="EN8" s="810"/>
      <c r="EO8" s="810"/>
      <c r="EP8" s="810"/>
      <c r="EQ8" s="810"/>
      <c r="ER8" s="810"/>
      <c r="ES8" s="810"/>
      <c r="ET8" s="810"/>
      <c r="EU8" s="810"/>
      <c r="EV8" s="810"/>
      <c r="EW8" s="810"/>
      <c r="EX8" s="810"/>
      <c r="EY8" s="810"/>
      <c r="EZ8" s="810"/>
      <c r="FA8" s="810"/>
      <c r="FB8" s="810"/>
      <c r="FC8" s="810"/>
      <c r="FD8" s="810"/>
      <c r="FE8" s="810"/>
      <c r="FF8" s="810"/>
      <c r="FG8" s="810"/>
      <c r="FH8" s="810"/>
      <c r="FI8" s="810"/>
      <c r="FJ8" s="810"/>
      <c r="FK8" s="810"/>
      <c r="FL8" s="810"/>
      <c r="FM8" s="810"/>
      <c r="FN8" s="810"/>
      <c r="FO8" s="810"/>
      <c r="FP8" s="810"/>
      <c r="FQ8" s="810"/>
      <c r="FR8" s="810"/>
      <c r="FS8" s="810"/>
      <c r="FT8" s="810"/>
      <c r="FU8" s="810"/>
      <c r="FV8" s="810"/>
      <c r="FW8" s="810"/>
      <c r="FX8" s="810"/>
      <c r="FY8" s="810"/>
      <c r="FZ8" s="810"/>
      <c r="GA8" s="810"/>
      <c r="GB8" s="810"/>
      <c r="GC8" s="810"/>
      <c r="GD8" s="810"/>
      <c r="GE8" s="810"/>
      <c r="GF8" s="810"/>
      <c r="GG8" s="810"/>
      <c r="GH8" s="810"/>
      <c r="GI8" s="810"/>
      <c r="GJ8" s="810"/>
      <c r="GK8" s="810"/>
      <c r="GL8" s="810"/>
      <c r="GM8" s="810"/>
      <c r="GN8" s="810"/>
      <c r="GO8" s="810"/>
      <c r="GP8" s="810"/>
      <c r="GQ8" s="810"/>
      <c r="GR8" s="810"/>
      <c r="GS8" s="810"/>
      <c r="GT8" s="810"/>
      <c r="GU8" s="810"/>
      <c r="GV8" s="810"/>
      <c r="GW8" s="810"/>
      <c r="GX8" s="810"/>
      <c r="GY8" s="810"/>
      <c r="GZ8" s="810"/>
      <c r="HA8" s="810"/>
      <c r="HB8" s="810"/>
      <c r="HC8" s="810"/>
      <c r="HD8" s="810"/>
      <c r="HE8" s="810"/>
      <c r="HF8" s="810"/>
      <c r="HG8" s="810"/>
      <c r="HH8" s="810"/>
      <c r="HI8" s="810"/>
      <c r="HJ8" s="810"/>
      <c r="HK8" s="810"/>
      <c r="HL8" s="810"/>
      <c r="HM8" s="810"/>
      <c r="HN8" s="810"/>
      <c r="HO8" s="810"/>
      <c r="HP8" s="810"/>
      <c r="HQ8" s="810"/>
      <c r="HR8" s="810"/>
      <c r="HS8" s="810"/>
      <c r="HT8" s="810"/>
      <c r="HU8" s="810"/>
      <c r="HV8" s="810"/>
      <c r="HW8" s="810"/>
      <c r="HX8" s="810"/>
      <c r="HY8" s="810"/>
      <c r="HZ8" s="810"/>
      <c r="IA8" s="810"/>
      <c r="IB8" s="810"/>
      <c r="IC8" s="810"/>
      <c r="ID8" s="810"/>
      <c r="IE8" s="810"/>
      <c r="IF8" s="810"/>
      <c r="IG8" s="810"/>
      <c r="IH8" s="810"/>
      <c r="II8" s="810"/>
      <c r="IJ8" s="810"/>
      <c r="IK8" s="810"/>
      <c r="IL8" s="810"/>
      <c r="IM8" s="810"/>
      <c r="IN8" s="810"/>
      <c r="IO8" s="810"/>
      <c r="IP8" s="810"/>
      <c r="IQ8" s="810"/>
      <c r="IR8" s="810"/>
      <c r="IS8" s="810"/>
      <c r="IT8" s="810"/>
      <c r="IU8" s="810"/>
    </row>
    <row r="9" spans="1:255" s="811" customFormat="1" ht="15" customHeight="1" x14ac:dyDescent="0.25">
      <c r="A9" s="795">
        <v>43924</v>
      </c>
      <c r="B9" s="796" t="s">
        <v>4003</v>
      </c>
      <c r="C9" s="797">
        <v>348518733</v>
      </c>
      <c r="D9" s="798">
        <f t="shared" ref="D9:D19" si="2">A9+$H$4</f>
        <v>43929</v>
      </c>
      <c r="E9" s="799">
        <f t="shared" si="0"/>
        <v>0</v>
      </c>
      <c r="F9" s="800">
        <v>348518733</v>
      </c>
      <c r="G9" s="798">
        <v>43929</v>
      </c>
      <c r="H9" s="800"/>
      <c r="I9" s="801"/>
      <c r="J9" s="800"/>
      <c r="K9" s="802"/>
      <c r="L9" s="812">
        <f t="shared" si="1"/>
        <v>0</v>
      </c>
      <c r="M9" s="813">
        <f>(E$4/360)*C9*10%</f>
        <v>5711834.7908333335</v>
      </c>
      <c r="N9" s="804"/>
      <c r="O9" s="805"/>
      <c r="P9" s="804">
        <v>665473</v>
      </c>
      <c r="Q9" s="805">
        <v>43929</v>
      </c>
      <c r="R9" s="804"/>
      <c r="S9" s="804"/>
      <c r="T9" s="806"/>
      <c r="U9" s="807"/>
      <c r="V9" s="807"/>
      <c r="W9" s="808"/>
      <c r="X9" s="809"/>
      <c r="Y9" s="810"/>
      <c r="Z9" s="810"/>
      <c r="AA9" s="810"/>
      <c r="AB9" s="810"/>
      <c r="AC9" s="810"/>
      <c r="AD9" s="810"/>
      <c r="AE9" s="810"/>
      <c r="AF9" s="810"/>
      <c r="AG9" s="810"/>
      <c r="AH9" s="810"/>
      <c r="AI9" s="810"/>
      <c r="AJ9" s="810"/>
      <c r="AK9" s="810"/>
      <c r="AL9" s="810"/>
      <c r="AM9" s="810"/>
      <c r="AN9" s="810"/>
      <c r="AO9" s="810"/>
      <c r="AP9" s="810"/>
      <c r="AQ9" s="810"/>
      <c r="AR9" s="810"/>
      <c r="AS9" s="810"/>
      <c r="AT9" s="810"/>
      <c r="AU9" s="810"/>
      <c r="AV9" s="810"/>
      <c r="AW9" s="810"/>
      <c r="AX9" s="810"/>
      <c r="AY9" s="810"/>
      <c r="AZ9" s="810"/>
      <c r="BA9" s="810"/>
      <c r="BB9" s="810"/>
      <c r="BC9" s="810"/>
      <c r="BD9" s="810"/>
      <c r="BE9" s="810"/>
      <c r="BF9" s="810"/>
      <c r="BG9" s="810"/>
      <c r="BH9" s="810"/>
      <c r="BI9" s="810"/>
      <c r="BJ9" s="810"/>
      <c r="BK9" s="810"/>
      <c r="BL9" s="810"/>
      <c r="BM9" s="810"/>
      <c r="BN9" s="810"/>
      <c r="BO9" s="810"/>
      <c r="BP9" s="810"/>
      <c r="BQ9" s="810"/>
      <c r="BR9" s="810"/>
      <c r="BS9" s="810"/>
      <c r="BT9" s="810"/>
      <c r="BU9" s="810"/>
      <c r="BV9" s="810"/>
      <c r="BW9" s="810"/>
      <c r="BX9" s="810"/>
      <c r="BY9" s="810"/>
      <c r="BZ9" s="810"/>
      <c r="CA9" s="810"/>
      <c r="CB9" s="810"/>
      <c r="CC9" s="810"/>
      <c r="CD9" s="810"/>
      <c r="CE9" s="810"/>
      <c r="CF9" s="810"/>
      <c r="CG9" s="810"/>
      <c r="CH9" s="810"/>
      <c r="CI9" s="810"/>
      <c r="CJ9" s="810"/>
      <c r="CK9" s="810"/>
      <c r="CL9" s="810"/>
      <c r="CM9" s="810"/>
      <c r="CN9" s="810"/>
      <c r="CO9" s="810"/>
      <c r="CP9" s="810"/>
      <c r="CQ9" s="810"/>
      <c r="CR9" s="810"/>
      <c r="CS9" s="810"/>
      <c r="CT9" s="810"/>
      <c r="CU9" s="810"/>
      <c r="CV9" s="810"/>
      <c r="CW9" s="810"/>
      <c r="CX9" s="810"/>
      <c r="CY9" s="810"/>
      <c r="CZ9" s="810"/>
      <c r="DA9" s="810"/>
      <c r="DB9" s="810"/>
      <c r="DC9" s="810"/>
      <c r="DD9" s="810"/>
      <c r="DE9" s="810"/>
      <c r="DF9" s="810"/>
      <c r="DG9" s="810"/>
      <c r="DH9" s="810"/>
      <c r="DI9" s="810"/>
      <c r="DJ9" s="810"/>
      <c r="DK9" s="810"/>
      <c r="DL9" s="810"/>
      <c r="DM9" s="810"/>
      <c r="DN9" s="810"/>
      <c r="DO9" s="810"/>
      <c r="DP9" s="810"/>
      <c r="DQ9" s="810"/>
      <c r="DR9" s="810"/>
      <c r="DS9" s="810"/>
      <c r="DT9" s="810"/>
      <c r="DU9" s="810"/>
      <c r="DV9" s="810"/>
      <c r="DW9" s="810"/>
      <c r="DX9" s="810"/>
      <c r="DY9" s="810"/>
      <c r="DZ9" s="810"/>
      <c r="EA9" s="810"/>
      <c r="EB9" s="810"/>
      <c r="EC9" s="810"/>
      <c r="ED9" s="810"/>
      <c r="EE9" s="810"/>
      <c r="EF9" s="810"/>
      <c r="EG9" s="810"/>
      <c r="EH9" s="810"/>
      <c r="EI9" s="810"/>
      <c r="EJ9" s="810"/>
      <c r="EK9" s="810"/>
      <c r="EL9" s="810"/>
      <c r="EM9" s="810"/>
      <c r="EN9" s="810"/>
      <c r="EO9" s="810"/>
      <c r="EP9" s="810"/>
      <c r="EQ9" s="810"/>
      <c r="ER9" s="810"/>
      <c r="ES9" s="810"/>
      <c r="ET9" s="810"/>
      <c r="EU9" s="810"/>
      <c r="EV9" s="810"/>
      <c r="EW9" s="810"/>
      <c r="EX9" s="810"/>
      <c r="EY9" s="810"/>
      <c r="EZ9" s="810"/>
      <c r="FA9" s="810"/>
      <c r="FB9" s="810"/>
      <c r="FC9" s="810"/>
      <c r="FD9" s="810"/>
      <c r="FE9" s="810"/>
      <c r="FF9" s="810"/>
      <c r="FG9" s="810"/>
      <c r="FH9" s="810"/>
      <c r="FI9" s="810"/>
      <c r="FJ9" s="810"/>
      <c r="FK9" s="810"/>
      <c r="FL9" s="810"/>
      <c r="FM9" s="810"/>
      <c r="FN9" s="810"/>
      <c r="FO9" s="810"/>
      <c r="FP9" s="810"/>
      <c r="FQ9" s="810"/>
      <c r="FR9" s="810"/>
      <c r="FS9" s="810"/>
      <c r="FT9" s="810"/>
      <c r="FU9" s="810"/>
      <c r="FV9" s="810"/>
      <c r="FW9" s="810"/>
      <c r="FX9" s="810"/>
      <c r="FY9" s="810"/>
      <c r="FZ9" s="810"/>
      <c r="GA9" s="810"/>
      <c r="GB9" s="810"/>
      <c r="GC9" s="810"/>
      <c r="GD9" s="810"/>
      <c r="GE9" s="810"/>
      <c r="GF9" s="810"/>
      <c r="GG9" s="810"/>
      <c r="GH9" s="810"/>
      <c r="GI9" s="810"/>
      <c r="GJ9" s="810"/>
      <c r="GK9" s="810"/>
      <c r="GL9" s="810"/>
      <c r="GM9" s="810"/>
      <c r="GN9" s="810"/>
      <c r="GO9" s="810"/>
      <c r="GP9" s="810"/>
      <c r="GQ9" s="810"/>
      <c r="GR9" s="810"/>
      <c r="GS9" s="810"/>
      <c r="GT9" s="810"/>
      <c r="GU9" s="810"/>
      <c r="GV9" s="810"/>
      <c r="GW9" s="810"/>
      <c r="GX9" s="810"/>
      <c r="GY9" s="810"/>
      <c r="GZ9" s="810"/>
      <c r="HA9" s="810"/>
      <c r="HB9" s="810"/>
      <c r="HC9" s="810"/>
      <c r="HD9" s="810"/>
      <c r="HE9" s="810"/>
      <c r="HF9" s="810"/>
      <c r="HG9" s="810"/>
      <c r="HH9" s="810"/>
      <c r="HI9" s="810"/>
      <c r="HJ9" s="810"/>
      <c r="HK9" s="810"/>
      <c r="HL9" s="810"/>
      <c r="HM9" s="810"/>
      <c r="HN9" s="810"/>
      <c r="HO9" s="810"/>
      <c r="HP9" s="810"/>
      <c r="HQ9" s="810"/>
      <c r="HR9" s="810"/>
      <c r="HS9" s="810"/>
      <c r="HT9" s="810"/>
      <c r="HU9" s="810"/>
      <c r="HV9" s="810"/>
      <c r="HW9" s="810"/>
      <c r="HX9" s="810"/>
      <c r="HY9" s="810"/>
      <c r="HZ9" s="810"/>
      <c r="IA9" s="810"/>
      <c r="IB9" s="810"/>
      <c r="IC9" s="810"/>
      <c r="ID9" s="810"/>
      <c r="IE9" s="810"/>
      <c r="IF9" s="810"/>
      <c r="IG9" s="810"/>
      <c r="IH9" s="810"/>
      <c r="II9" s="810"/>
      <c r="IJ9" s="810"/>
      <c r="IK9" s="810"/>
      <c r="IL9" s="810"/>
      <c r="IM9" s="810"/>
      <c r="IN9" s="810"/>
      <c r="IO9" s="810"/>
      <c r="IP9" s="810"/>
      <c r="IQ9" s="810"/>
      <c r="IR9" s="810"/>
      <c r="IS9" s="810"/>
      <c r="IT9" s="810"/>
      <c r="IU9" s="810"/>
    </row>
    <row r="10" spans="1:255" s="811" customFormat="1" ht="15" customHeight="1" x14ac:dyDescent="0.25">
      <c r="A10" s="795">
        <v>43929</v>
      </c>
      <c r="B10" s="796" t="s">
        <v>4003</v>
      </c>
      <c r="C10" s="797">
        <v>1488745261</v>
      </c>
      <c r="D10" s="798">
        <f t="shared" si="2"/>
        <v>43934</v>
      </c>
      <c r="E10" s="799">
        <f t="shared" si="0"/>
        <v>0</v>
      </c>
      <c r="F10" s="800">
        <v>1488745261</v>
      </c>
      <c r="G10" s="798">
        <v>43934</v>
      </c>
      <c r="H10" s="800"/>
      <c r="I10" s="801"/>
      <c r="J10" s="800"/>
      <c r="K10" s="802"/>
      <c r="L10" s="812">
        <f t="shared" si="1"/>
        <v>0</v>
      </c>
      <c r="M10" s="813">
        <f>(E$4/360)*C10*10%</f>
        <v>24398880.666388892</v>
      </c>
      <c r="N10" s="804"/>
      <c r="O10" s="805"/>
      <c r="P10" s="804">
        <v>2842676</v>
      </c>
      <c r="Q10" s="805">
        <v>43934</v>
      </c>
      <c r="R10" s="804"/>
      <c r="S10" s="814"/>
      <c r="T10" s="806"/>
      <c r="U10" s="807"/>
      <c r="V10" s="807"/>
      <c r="W10" s="808"/>
      <c r="X10" s="809"/>
      <c r="Y10" s="810"/>
      <c r="Z10" s="810"/>
      <c r="AA10" s="810"/>
      <c r="AB10" s="810"/>
      <c r="AC10" s="810"/>
      <c r="AD10" s="810"/>
      <c r="AE10" s="810"/>
      <c r="AF10" s="810"/>
      <c r="AG10" s="810"/>
      <c r="AH10" s="810"/>
      <c r="AI10" s="810"/>
      <c r="AJ10" s="810"/>
      <c r="AK10" s="810"/>
      <c r="AL10" s="810"/>
      <c r="AM10" s="810"/>
      <c r="AN10" s="810"/>
      <c r="AO10" s="810"/>
      <c r="AP10" s="810"/>
      <c r="AQ10" s="810"/>
      <c r="AR10" s="810"/>
      <c r="AS10" s="810"/>
      <c r="AT10" s="810"/>
      <c r="AU10" s="810"/>
      <c r="AV10" s="810"/>
      <c r="AW10" s="810"/>
      <c r="AX10" s="810"/>
      <c r="AY10" s="810"/>
      <c r="AZ10" s="810"/>
      <c r="BA10" s="810"/>
      <c r="BB10" s="810"/>
      <c r="BC10" s="810"/>
      <c r="BD10" s="810"/>
      <c r="BE10" s="810"/>
      <c r="BF10" s="810"/>
      <c r="BG10" s="810"/>
      <c r="BH10" s="810"/>
      <c r="BI10" s="810"/>
      <c r="BJ10" s="810"/>
      <c r="BK10" s="810"/>
      <c r="BL10" s="810"/>
      <c r="BM10" s="810"/>
      <c r="BN10" s="810"/>
      <c r="BO10" s="810"/>
      <c r="BP10" s="810"/>
      <c r="BQ10" s="810"/>
      <c r="BR10" s="810"/>
      <c r="BS10" s="810"/>
      <c r="BT10" s="810"/>
      <c r="BU10" s="810"/>
      <c r="BV10" s="810"/>
      <c r="BW10" s="810"/>
      <c r="BX10" s="810"/>
      <c r="BY10" s="810"/>
      <c r="BZ10" s="810"/>
      <c r="CA10" s="810"/>
      <c r="CB10" s="810"/>
      <c r="CC10" s="810"/>
      <c r="CD10" s="810"/>
      <c r="CE10" s="810"/>
      <c r="CF10" s="810"/>
      <c r="CG10" s="810"/>
      <c r="CH10" s="810"/>
      <c r="CI10" s="810"/>
      <c r="CJ10" s="810"/>
      <c r="CK10" s="810"/>
      <c r="CL10" s="810"/>
      <c r="CM10" s="810"/>
      <c r="CN10" s="810"/>
      <c r="CO10" s="810"/>
      <c r="CP10" s="810"/>
      <c r="CQ10" s="810"/>
      <c r="CR10" s="810"/>
      <c r="CS10" s="810"/>
      <c r="CT10" s="810"/>
      <c r="CU10" s="810"/>
      <c r="CV10" s="810"/>
      <c r="CW10" s="810"/>
      <c r="CX10" s="810"/>
      <c r="CY10" s="810"/>
      <c r="CZ10" s="810"/>
      <c r="DA10" s="810"/>
      <c r="DB10" s="810"/>
      <c r="DC10" s="810"/>
      <c r="DD10" s="810"/>
      <c r="DE10" s="810"/>
      <c r="DF10" s="810"/>
      <c r="DG10" s="810"/>
      <c r="DH10" s="810"/>
      <c r="DI10" s="810"/>
      <c r="DJ10" s="810"/>
      <c r="DK10" s="810"/>
      <c r="DL10" s="810"/>
      <c r="DM10" s="810"/>
      <c r="DN10" s="810"/>
      <c r="DO10" s="810"/>
      <c r="DP10" s="810"/>
      <c r="DQ10" s="810"/>
      <c r="DR10" s="810"/>
      <c r="DS10" s="810"/>
      <c r="DT10" s="810"/>
      <c r="DU10" s="810"/>
      <c r="DV10" s="810"/>
      <c r="DW10" s="810"/>
      <c r="DX10" s="810"/>
      <c r="DY10" s="810"/>
      <c r="DZ10" s="810"/>
      <c r="EA10" s="810"/>
      <c r="EB10" s="810"/>
      <c r="EC10" s="810"/>
      <c r="ED10" s="810"/>
      <c r="EE10" s="810"/>
      <c r="EF10" s="810"/>
      <c r="EG10" s="810"/>
      <c r="EH10" s="810"/>
      <c r="EI10" s="810"/>
      <c r="EJ10" s="810"/>
      <c r="EK10" s="810"/>
      <c r="EL10" s="810"/>
      <c r="EM10" s="810"/>
      <c r="EN10" s="810"/>
      <c r="EO10" s="810"/>
      <c r="EP10" s="810"/>
      <c r="EQ10" s="810"/>
      <c r="ER10" s="810"/>
      <c r="ES10" s="810"/>
      <c r="ET10" s="810"/>
      <c r="EU10" s="810"/>
      <c r="EV10" s="810"/>
      <c r="EW10" s="810"/>
      <c r="EX10" s="810"/>
      <c r="EY10" s="810"/>
      <c r="EZ10" s="810"/>
      <c r="FA10" s="810"/>
      <c r="FB10" s="810"/>
      <c r="FC10" s="810"/>
      <c r="FD10" s="810"/>
      <c r="FE10" s="810"/>
      <c r="FF10" s="810"/>
      <c r="FG10" s="810"/>
      <c r="FH10" s="810"/>
      <c r="FI10" s="810"/>
      <c r="FJ10" s="810"/>
      <c r="FK10" s="810"/>
      <c r="FL10" s="810"/>
      <c r="FM10" s="810"/>
      <c r="FN10" s="810"/>
      <c r="FO10" s="810"/>
      <c r="FP10" s="810"/>
      <c r="FQ10" s="810"/>
      <c r="FR10" s="810"/>
      <c r="FS10" s="810"/>
      <c r="FT10" s="810"/>
      <c r="FU10" s="810"/>
      <c r="FV10" s="810"/>
      <c r="FW10" s="810"/>
      <c r="FX10" s="810"/>
      <c r="FY10" s="810"/>
      <c r="FZ10" s="810"/>
      <c r="GA10" s="810"/>
      <c r="GB10" s="810"/>
      <c r="GC10" s="810"/>
      <c r="GD10" s="810"/>
      <c r="GE10" s="810"/>
      <c r="GF10" s="810"/>
      <c r="GG10" s="810"/>
      <c r="GH10" s="810"/>
      <c r="GI10" s="810"/>
      <c r="GJ10" s="810"/>
      <c r="GK10" s="810"/>
      <c r="GL10" s="810"/>
      <c r="GM10" s="810"/>
      <c r="GN10" s="810"/>
      <c r="GO10" s="810"/>
      <c r="GP10" s="810"/>
      <c r="GQ10" s="810"/>
      <c r="GR10" s="810"/>
      <c r="GS10" s="810"/>
      <c r="GT10" s="810"/>
      <c r="GU10" s="810"/>
      <c r="GV10" s="810"/>
      <c r="GW10" s="810"/>
      <c r="GX10" s="810"/>
      <c r="GY10" s="810"/>
      <c r="GZ10" s="810"/>
      <c r="HA10" s="810"/>
      <c r="HB10" s="810"/>
      <c r="HC10" s="810"/>
      <c r="HD10" s="810"/>
      <c r="HE10" s="810"/>
      <c r="HF10" s="810"/>
      <c r="HG10" s="810"/>
      <c r="HH10" s="810"/>
      <c r="HI10" s="810"/>
      <c r="HJ10" s="810"/>
      <c r="HK10" s="810"/>
      <c r="HL10" s="810"/>
      <c r="HM10" s="810"/>
      <c r="HN10" s="810"/>
      <c r="HO10" s="810"/>
      <c r="HP10" s="810"/>
      <c r="HQ10" s="810"/>
      <c r="HR10" s="810"/>
      <c r="HS10" s="810"/>
      <c r="HT10" s="810"/>
      <c r="HU10" s="810"/>
      <c r="HV10" s="810"/>
      <c r="HW10" s="810"/>
      <c r="HX10" s="810"/>
      <c r="HY10" s="810"/>
      <c r="HZ10" s="810"/>
      <c r="IA10" s="810"/>
      <c r="IB10" s="810"/>
      <c r="IC10" s="810"/>
      <c r="ID10" s="810"/>
      <c r="IE10" s="810"/>
      <c r="IF10" s="810"/>
      <c r="IG10" s="810"/>
      <c r="IH10" s="810"/>
      <c r="II10" s="810"/>
      <c r="IJ10" s="810"/>
      <c r="IK10" s="810"/>
      <c r="IL10" s="810"/>
      <c r="IM10" s="810"/>
      <c r="IN10" s="810"/>
      <c r="IO10" s="810"/>
      <c r="IP10" s="810"/>
      <c r="IQ10" s="810"/>
      <c r="IR10" s="810"/>
      <c r="IS10" s="810"/>
      <c r="IT10" s="810"/>
      <c r="IU10" s="810"/>
    </row>
    <row r="11" spans="1:255" s="811" customFormat="1" ht="15" customHeight="1" x14ac:dyDescent="0.25">
      <c r="A11" s="795">
        <v>43936</v>
      </c>
      <c r="B11" s="796" t="s">
        <v>4003</v>
      </c>
      <c r="C11" s="797">
        <v>410403120</v>
      </c>
      <c r="D11" s="798">
        <f t="shared" si="2"/>
        <v>43941</v>
      </c>
      <c r="E11" s="815">
        <f t="shared" si="0"/>
        <v>-1</v>
      </c>
      <c r="F11" s="800">
        <v>410403120</v>
      </c>
      <c r="G11" s="798">
        <v>43942</v>
      </c>
      <c r="H11" s="800"/>
      <c r="I11" s="801"/>
      <c r="J11" s="800"/>
      <c r="K11" s="802"/>
      <c r="L11" s="803">
        <f t="shared" si="1"/>
        <v>0</v>
      </c>
      <c r="M11" s="813">
        <f t="shared" ref="M11:M29" si="3">(E$4/360)*C11*10%</f>
        <v>6726051.1333333328</v>
      </c>
      <c r="N11" s="804"/>
      <c r="O11" s="805"/>
      <c r="P11" s="804">
        <v>895591</v>
      </c>
      <c r="Q11" s="805">
        <v>43942</v>
      </c>
      <c r="R11" s="804"/>
      <c r="S11" s="814"/>
      <c r="T11" s="806"/>
      <c r="U11" s="807"/>
      <c r="V11" s="807"/>
      <c r="W11" s="808"/>
      <c r="X11" s="816"/>
      <c r="Y11" s="810"/>
      <c r="Z11" s="810"/>
      <c r="AA11" s="810"/>
      <c r="AB11" s="810"/>
      <c r="AC11" s="810"/>
      <c r="AD11" s="810"/>
      <c r="AE11" s="810"/>
      <c r="AF11" s="810"/>
      <c r="AG11" s="810"/>
      <c r="AH11" s="810"/>
      <c r="AI11" s="810"/>
      <c r="AJ11" s="810"/>
      <c r="AK11" s="810"/>
      <c r="AL11" s="810"/>
      <c r="AM11" s="810"/>
      <c r="AN11" s="810"/>
      <c r="AO11" s="810"/>
      <c r="AP11" s="810"/>
      <c r="AQ11" s="810"/>
      <c r="AR11" s="810"/>
      <c r="AS11" s="810"/>
      <c r="AT11" s="810"/>
      <c r="AU11" s="810"/>
      <c r="AV11" s="810"/>
      <c r="AW11" s="810"/>
      <c r="AX11" s="810"/>
      <c r="AY11" s="810"/>
      <c r="AZ11" s="810"/>
      <c r="BA11" s="810"/>
      <c r="BB11" s="810"/>
      <c r="BC11" s="810"/>
      <c r="BD11" s="810"/>
      <c r="BE11" s="810"/>
      <c r="BF11" s="810"/>
      <c r="BG11" s="810"/>
      <c r="BH11" s="810"/>
      <c r="BI11" s="810"/>
      <c r="BJ11" s="810"/>
      <c r="BK11" s="810"/>
      <c r="BL11" s="810"/>
      <c r="BM11" s="810"/>
      <c r="BN11" s="810"/>
      <c r="BO11" s="810"/>
      <c r="BP11" s="810"/>
      <c r="BQ11" s="810"/>
      <c r="BR11" s="810"/>
      <c r="BS11" s="810"/>
      <c r="BT11" s="810"/>
      <c r="BU11" s="810"/>
      <c r="BV11" s="810"/>
      <c r="BW11" s="810"/>
      <c r="BX11" s="810"/>
      <c r="BY11" s="810"/>
      <c r="BZ11" s="810"/>
      <c r="CA11" s="810"/>
      <c r="CB11" s="810"/>
      <c r="CC11" s="810"/>
      <c r="CD11" s="810"/>
      <c r="CE11" s="810"/>
      <c r="CF11" s="810"/>
      <c r="CG11" s="810"/>
      <c r="CH11" s="810"/>
      <c r="CI11" s="810"/>
      <c r="CJ11" s="810"/>
      <c r="CK11" s="810"/>
      <c r="CL11" s="810"/>
      <c r="CM11" s="810"/>
      <c r="CN11" s="810"/>
      <c r="CO11" s="810"/>
      <c r="CP11" s="810"/>
      <c r="CQ11" s="810"/>
      <c r="CR11" s="810"/>
      <c r="CS11" s="810"/>
      <c r="CT11" s="810"/>
      <c r="CU11" s="810"/>
      <c r="CV11" s="810"/>
      <c r="CW11" s="810"/>
      <c r="CX11" s="810"/>
      <c r="CY11" s="810"/>
      <c r="CZ11" s="810"/>
      <c r="DA11" s="810"/>
      <c r="DB11" s="810"/>
      <c r="DC11" s="810"/>
      <c r="DD11" s="810"/>
      <c r="DE11" s="810"/>
      <c r="DF11" s="810"/>
      <c r="DG11" s="810"/>
      <c r="DH11" s="810"/>
      <c r="DI11" s="810"/>
      <c r="DJ11" s="810"/>
      <c r="DK11" s="810"/>
      <c r="DL11" s="810"/>
      <c r="DM11" s="810"/>
      <c r="DN11" s="810"/>
      <c r="DO11" s="810"/>
      <c r="DP11" s="810"/>
      <c r="DQ11" s="810"/>
      <c r="DR11" s="810"/>
      <c r="DS11" s="810"/>
      <c r="DT11" s="810"/>
      <c r="DU11" s="810"/>
      <c r="DV11" s="810"/>
      <c r="DW11" s="810"/>
      <c r="DX11" s="810"/>
      <c r="DY11" s="810"/>
      <c r="DZ11" s="810"/>
      <c r="EA11" s="810"/>
      <c r="EB11" s="810"/>
      <c r="EC11" s="810"/>
      <c r="ED11" s="810"/>
      <c r="EE11" s="810"/>
      <c r="EF11" s="810"/>
      <c r="EG11" s="810"/>
      <c r="EH11" s="810"/>
      <c r="EI11" s="810"/>
      <c r="EJ11" s="810"/>
      <c r="EK11" s="810"/>
      <c r="EL11" s="810"/>
      <c r="EM11" s="810"/>
      <c r="EN11" s="810"/>
      <c r="EO11" s="810"/>
      <c r="EP11" s="810"/>
      <c r="EQ11" s="810"/>
      <c r="ER11" s="810"/>
      <c r="ES11" s="810"/>
      <c r="ET11" s="810"/>
      <c r="EU11" s="810"/>
      <c r="EV11" s="810"/>
      <c r="EW11" s="810"/>
      <c r="EX11" s="810"/>
      <c r="EY11" s="810"/>
      <c r="EZ11" s="810"/>
      <c r="FA11" s="810"/>
      <c r="FB11" s="810"/>
      <c r="FC11" s="810"/>
      <c r="FD11" s="810"/>
      <c r="FE11" s="810"/>
      <c r="FF11" s="810"/>
      <c r="FG11" s="810"/>
      <c r="FH11" s="810"/>
      <c r="FI11" s="810"/>
      <c r="FJ11" s="810"/>
      <c r="FK11" s="810"/>
      <c r="FL11" s="810"/>
      <c r="FM11" s="810"/>
      <c r="FN11" s="810"/>
      <c r="FO11" s="810"/>
      <c r="FP11" s="810"/>
      <c r="FQ11" s="810"/>
      <c r="FR11" s="810"/>
      <c r="FS11" s="810"/>
      <c r="FT11" s="810"/>
      <c r="FU11" s="810"/>
      <c r="FV11" s="810"/>
      <c r="FW11" s="810"/>
      <c r="FX11" s="810"/>
      <c r="FY11" s="810"/>
      <c r="FZ11" s="810"/>
      <c r="GA11" s="810"/>
      <c r="GB11" s="810"/>
      <c r="GC11" s="810"/>
      <c r="GD11" s="810"/>
      <c r="GE11" s="810"/>
      <c r="GF11" s="810"/>
      <c r="GG11" s="810"/>
      <c r="GH11" s="810"/>
      <c r="GI11" s="810"/>
      <c r="GJ11" s="810"/>
      <c r="GK11" s="810"/>
      <c r="GL11" s="810"/>
      <c r="GM11" s="810"/>
      <c r="GN11" s="810"/>
      <c r="GO11" s="810"/>
      <c r="GP11" s="810"/>
      <c r="GQ11" s="810"/>
      <c r="GR11" s="810"/>
      <c r="GS11" s="810"/>
      <c r="GT11" s="810"/>
      <c r="GU11" s="810"/>
      <c r="GV11" s="810"/>
      <c r="GW11" s="810"/>
      <c r="GX11" s="810"/>
      <c r="GY11" s="810"/>
      <c r="GZ11" s="810"/>
      <c r="HA11" s="810"/>
      <c r="HB11" s="810"/>
      <c r="HC11" s="810"/>
      <c r="HD11" s="810"/>
      <c r="HE11" s="810"/>
      <c r="HF11" s="810"/>
      <c r="HG11" s="810"/>
      <c r="HH11" s="810"/>
      <c r="HI11" s="810"/>
      <c r="HJ11" s="810"/>
      <c r="HK11" s="810"/>
      <c r="HL11" s="810"/>
      <c r="HM11" s="810"/>
      <c r="HN11" s="810"/>
      <c r="HO11" s="810"/>
      <c r="HP11" s="810"/>
      <c r="HQ11" s="810"/>
      <c r="HR11" s="810"/>
      <c r="HS11" s="810"/>
      <c r="HT11" s="810"/>
      <c r="HU11" s="810"/>
      <c r="HV11" s="810"/>
      <c r="HW11" s="810"/>
      <c r="HX11" s="810"/>
      <c r="HY11" s="810"/>
      <c r="HZ11" s="810"/>
      <c r="IA11" s="810"/>
      <c r="IB11" s="810"/>
      <c r="IC11" s="810"/>
      <c r="ID11" s="810"/>
      <c r="IE11" s="810"/>
      <c r="IF11" s="810"/>
      <c r="IG11" s="810"/>
      <c r="IH11" s="810"/>
      <c r="II11" s="810"/>
      <c r="IJ11" s="810"/>
      <c r="IK11" s="810"/>
      <c r="IL11" s="810"/>
      <c r="IM11" s="810"/>
      <c r="IN11" s="810"/>
      <c r="IO11" s="810"/>
      <c r="IP11" s="810"/>
      <c r="IQ11" s="810"/>
      <c r="IR11" s="810"/>
      <c r="IS11" s="810"/>
      <c r="IT11" s="810"/>
      <c r="IU11" s="810"/>
    </row>
    <row r="12" spans="1:255" s="811" customFormat="1" ht="15" customHeight="1" x14ac:dyDescent="0.25">
      <c r="A12" s="795">
        <v>43938</v>
      </c>
      <c r="B12" s="796" t="s">
        <v>4003</v>
      </c>
      <c r="C12" s="797">
        <v>446382666</v>
      </c>
      <c r="D12" s="798">
        <f t="shared" si="2"/>
        <v>43943</v>
      </c>
      <c r="E12" s="815">
        <f t="shared" si="0"/>
        <v>0</v>
      </c>
      <c r="F12" s="800">
        <v>446382666</v>
      </c>
      <c r="G12" s="798">
        <v>43943</v>
      </c>
      <c r="H12" s="800"/>
      <c r="I12" s="801"/>
      <c r="J12" s="800"/>
      <c r="K12" s="802"/>
      <c r="L12" s="803">
        <f t="shared" si="1"/>
        <v>0</v>
      </c>
      <c r="M12" s="813">
        <f t="shared" si="3"/>
        <v>7315715.915000001</v>
      </c>
      <c r="N12" s="804"/>
      <c r="O12" s="805"/>
      <c r="P12" s="804">
        <v>852343</v>
      </c>
      <c r="Q12" s="805">
        <v>43943</v>
      </c>
      <c r="R12" s="804"/>
      <c r="S12" s="804"/>
      <c r="T12" s="806"/>
      <c r="U12" s="807"/>
      <c r="V12" s="807"/>
      <c r="W12" s="808"/>
      <c r="X12" s="809"/>
      <c r="Y12" s="810"/>
      <c r="Z12" s="810"/>
      <c r="AA12" s="810"/>
      <c r="AB12" s="810"/>
      <c r="AC12" s="810"/>
      <c r="AD12" s="810"/>
      <c r="AE12" s="810"/>
      <c r="AF12" s="810"/>
      <c r="AG12" s="810"/>
      <c r="AH12" s="810"/>
      <c r="AI12" s="810"/>
      <c r="AJ12" s="810"/>
      <c r="AK12" s="810"/>
      <c r="AL12" s="810"/>
      <c r="AM12" s="810"/>
      <c r="AN12" s="810"/>
      <c r="AO12" s="810"/>
      <c r="AP12" s="810"/>
      <c r="AQ12" s="810"/>
      <c r="AR12" s="810"/>
      <c r="AS12" s="810"/>
      <c r="AT12" s="810"/>
      <c r="AU12" s="810"/>
      <c r="AV12" s="810"/>
      <c r="AW12" s="810"/>
      <c r="AX12" s="810"/>
      <c r="AY12" s="810"/>
      <c r="AZ12" s="810"/>
      <c r="BA12" s="810"/>
      <c r="BB12" s="810"/>
      <c r="BC12" s="810"/>
      <c r="BD12" s="810"/>
      <c r="BE12" s="810"/>
      <c r="BF12" s="810"/>
      <c r="BG12" s="810"/>
      <c r="BH12" s="810"/>
      <c r="BI12" s="810"/>
      <c r="BJ12" s="810"/>
      <c r="BK12" s="810"/>
      <c r="BL12" s="810"/>
      <c r="BM12" s="810"/>
      <c r="BN12" s="810"/>
      <c r="BO12" s="810"/>
      <c r="BP12" s="810"/>
      <c r="BQ12" s="810"/>
      <c r="BR12" s="810"/>
      <c r="BS12" s="810"/>
      <c r="BT12" s="810"/>
      <c r="BU12" s="810"/>
      <c r="BV12" s="810"/>
      <c r="BW12" s="810"/>
      <c r="BX12" s="810"/>
      <c r="BY12" s="810"/>
      <c r="BZ12" s="810"/>
      <c r="CA12" s="810"/>
      <c r="CB12" s="810"/>
      <c r="CC12" s="810"/>
      <c r="CD12" s="810"/>
      <c r="CE12" s="810"/>
      <c r="CF12" s="810"/>
      <c r="CG12" s="810"/>
      <c r="CH12" s="810"/>
      <c r="CI12" s="810"/>
      <c r="CJ12" s="810"/>
      <c r="CK12" s="810"/>
      <c r="CL12" s="810"/>
      <c r="CM12" s="810"/>
      <c r="CN12" s="810"/>
      <c r="CO12" s="810"/>
      <c r="CP12" s="810"/>
      <c r="CQ12" s="810"/>
      <c r="CR12" s="810"/>
      <c r="CS12" s="810"/>
      <c r="CT12" s="810"/>
      <c r="CU12" s="810"/>
      <c r="CV12" s="810"/>
      <c r="CW12" s="810"/>
      <c r="CX12" s="810"/>
      <c r="CY12" s="810"/>
      <c r="CZ12" s="810"/>
      <c r="DA12" s="810"/>
      <c r="DB12" s="810"/>
      <c r="DC12" s="810"/>
      <c r="DD12" s="810"/>
      <c r="DE12" s="810"/>
      <c r="DF12" s="810"/>
      <c r="DG12" s="810"/>
      <c r="DH12" s="810"/>
      <c r="DI12" s="810"/>
      <c r="DJ12" s="810"/>
      <c r="DK12" s="810"/>
      <c r="DL12" s="810"/>
      <c r="DM12" s="810"/>
      <c r="DN12" s="810"/>
      <c r="DO12" s="810"/>
      <c r="DP12" s="810"/>
      <c r="DQ12" s="810"/>
      <c r="DR12" s="810"/>
      <c r="DS12" s="810"/>
      <c r="DT12" s="810"/>
      <c r="DU12" s="810"/>
      <c r="DV12" s="810"/>
      <c r="DW12" s="810"/>
      <c r="DX12" s="810"/>
      <c r="DY12" s="810"/>
      <c r="DZ12" s="810"/>
      <c r="EA12" s="810"/>
      <c r="EB12" s="810"/>
      <c r="EC12" s="810"/>
      <c r="ED12" s="810"/>
      <c r="EE12" s="810"/>
      <c r="EF12" s="810"/>
      <c r="EG12" s="810"/>
      <c r="EH12" s="810"/>
      <c r="EI12" s="810"/>
      <c r="EJ12" s="810"/>
      <c r="EK12" s="810"/>
      <c r="EL12" s="810"/>
      <c r="EM12" s="810"/>
      <c r="EN12" s="810"/>
      <c r="EO12" s="810"/>
      <c r="EP12" s="810"/>
      <c r="EQ12" s="810"/>
      <c r="ER12" s="810"/>
      <c r="ES12" s="810"/>
      <c r="ET12" s="810"/>
      <c r="EU12" s="810"/>
      <c r="EV12" s="810"/>
      <c r="EW12" s="810"/>
      <c r="EX12" s="810"/>
      <c r="EY12" s="810"/>
      <c r="EZ12" s="810"/>
      <c r="FA12" s="810"/>
      <c r="FB12" s="810"/>
      <c r="FC12" s="810"/>
      <c r="FD12" s="810"/>
      <c r="FE12" s="810"/>
      <c r="FF12" s="810"/>
      <c r="FG12" s="810"/>
      <c r="FH12" s="810"/>
      <c r="FI12" s="810"/>
      <c r="FJ12" s="810"/>
      <c r="FK12" s="810"/>
      <c r="FL12" s="810"/>
      <c r="FM12" s="810"/>
      <c r="FN12" s="810"/>
      <c r="FO12" s="810"/>
      <c r="FP12" s="810"/>
      <c r="FQ12" s="810"/>
      <c r="FR12" s="810"/>
      <c r="FS12" s="810"/>
      <c r="FT12" s="810"/>
      <c r="FU12" s="810"/>
      <c r="FV12" s="810"/>
      <c r="FW12" s="810"/>
      <c r="FX12" s="810"/>
      <c r="FY12" s="810"/>
      <c r="FZ12" s="810"/>
      <c r="GA12" s="810"/>
      <c r="GB12" s="810"/>
      <c r="GC12" s="810"/>
      <c r="GD12" s="810"/>
      <c r="GE12" s="810"/>
      <c r="GF12" s="810"/>
      <c r="GG12" s="810"/>
      <c r="GH12" s="810"/>
      <c r="GI12" s="810"/>
      <c r="GJ12" s="810"/>
      <c r="GK12" s="810"/>
      <c r="GL12" s="810"/>
      <c r="GM12" s="810"/>
      <c r="GN12" s="810"/>
      <c r="GO12" s="810"/>
      <c r="GP12" s="810"/>
      <c r="GQ12" s="810"/>
      <c r="GR12" s="810"/>
      <c r="GS12" s="810"/>
      <c r="GT12" s="810"/>
      <c r="GU12" s="810"/>
      <c r="GV12" s="810"/>
      <c r="GW12" s="810"/>
      <c r="GX12" s="810"/>
      <c r="GY12" s="810"/>
      <c r="GZ12" s="810"/>
      <c r="HA12" s="810"/>
      <c r="HB12" s="810"/>
      <c r="HC12" s="810"/>
      <c r="HD12" s="810"/>
      <c r="HE12" s="810"/>
      <c r="HF12" s="810"/>
      <c r="HG12" s="810"/>
      <c r="HH12" s="810"/>
      <c r="HI12" s="810"/>
      <c r="HJ12" s="810"/>
      <c r="HK12" s="810"/>
      <c r="HL12" s="810"/>
      <c r="HM12" s="810"/>
      <c r="HN12" s="810"/>
      <c r="HO12" s="810"/>
      <c r="HP12" s="810"/>
      <c r="HQ12" s="810"/>
      <c r="HR12" s="810"/>
      <c r="HS12" s="810"/>
      <c r="HT12" s="810"/>
      <c r="HU12" s="810"/>
      <c r="HV12" s="810"/>
      <c r="HW12" s="810"/>
      <c r="HX12" s="810"/>
      <c r="HY12" s="810"/>
      <c r="HZ12" s="810"/>
      <c r="IA12" s="810"/>
      <c r="IB12" s="810"/>
      <c r="IC12" s="810"/>
      <c r="ID12" s="810"/>
      <c r="IE12" s="810"/>
      <c r="IF12" s="810"/>
      <c r="IG12" s="810"/>
      <c r="IH12" s="810"/>
      <c r="II12" s="810"/>
      <c r="IJ12" s="810"/>
      <c r="IK12" s="810"/>
      <c r="IL12" s="810"/>
      <c r="IM12" s="810"/>
      <c r="IN12" s="810"/>
      <c r="IO12" s="810"/>
      <c r="IP12" s="810"/>
      <c r="IQ12" s="810"/>
      <c r="IR12" s="810"/>
      <c r="IS12" s="810"/>
      <c r="IT12" s="810"/>
      <c r="IU12" s="810"/>
    </row>
    <row r="13" spans="1:255" s="811" customFormat="1" ht="15" customHeight="1" x14ac:dyDescent="0.25">
      <c r="A13" s="795">
        <v>43943</v>
      </c>
      <c r="B13" s="796" t="s">
        <v>4003</v>
      </c>
      <c r="C13" s="797">
        <v>746535565</v>
      </c>
      <c r="D13" s="798">
        <f t="shared" si="2"/>
        <v>43948</v>
      </c>
      <c r="E13" s="799">
        <f t="shared" si="0"/>
        <v>0</v>
      </c>
      <c r="F13" s="800">
        <v>746535565</v>
      </c>
      <c r="G13" s="798">
        <v>43948</v>
      </c>
      <c r="H13" s="800"/>
      <c r="I13" s="801"/>
      <c r="J13" s="800"/>
      <c r="K13" s="802"/>
      <c r="L13" s="803">
        <f t="shared" si="1"/>
        <v>0</v>
      </c>
      <c r="M13" s="813">
        <f t="shared" si="3"/>
        <v>12234888.42638889</v>
      </c>
      <c r="N13" s="804"/>
      <c r="O13" s="805"/>
      <c r="P13" s="804">
        <v>1221830</v>
      </c>
      <c r="Q13" s="805">
        <v>43948</v>
      </c>
      <c r="R13" s="804"/>
      <c r="S13" s="804"/>
      <c r="T13" s="806"/>
      <c r="U13" s="807"/>
      <c r="V13" s="807"/>
      <c r="W13" s="808"/>
      <c r="X13" s="809"/>
      <c r="Y13" s="810"/>
      <c r="Z13" s="810"/>
      <c r="AA13" s="810"/>
      <c r="AB13" s="810"/>
      <c r="AC13" s="810"/>
      <c r="AD13" s="810"/>
      <c r="AE13" s="810"/>
      <c r="AF13" s="810"/>
      <c r="AG13" s="810"/>
      <c r="AH13" s="810"/>
      <c r="AI13" s="810"/>
      <c r="AJ13" s="810"/>
      <c r="AK13" s="810"/>
      <c r="AL13" s="810"/>
      <c r="AM13" s="810"/>
      <c r="AN13" s="810"/>
      <c r="AO13" s="810"/>
      <c r="AP13" s="810"/>
      <c r="AQ13" s="810"/>
      <c r="AR13" s="810"/>
      <c r="AS13" s="810"/>
      <c r="AT13" s="810"/>
      <c r="AU13" s="810"/>
      <c r="AV13" s="810"/>
      <c r="AW13" s="810"/>
      <c r="AX13" s="810"/>
      <c r="AY13" s="810"/>
      <c r="AZ13" s="810"/>
      <c r="BA13" s="810"/>
      <c r="BB13" s="810"/>
      <c r="BC13" s="810"/>
      <c r="BD13" s="810"/>
      <c r="BE13" s="810"/>
      <c r="BF13" s="810"/>
      <c r="BG13" s="810"/>
      <c r="BH13" s="810"/>
      <c r="BI13" s="810"/>
      <c r="BJ13" s="810"/>
      <c r="BK13" s="810"/>
      <c r="BL13" s="810"/>
      <c r="BM13" s="810"/>
      <c r="BN13" s="810"/>
      <c r="BO13" s="810"/>
      <c r="BP13" s="810"/>
      <c r="BQ13" s="810"/>
      <c r="BR13" s="810"/>
      <c r="BS13" s="810"/>
      <c r="BT13" s="810"/>
      <c r="BU13" s="810"/>
      <c r="BV13" s="810"/>
      <c r="BW13" s="810"/>
      <c r="BX13" s="810"/>
      <c r="BY13" s="810"/>
      <c r="BZ13" s="810"/>
      <c r="CA13" s="810"/>
      <c r="CB13" s="810"/>
      <c r="CC13" s="810"/>
      <c r="CD13" s="810"/>
      <c r="CE13" s="810"/>
      <c r="CF13" s="810"/>
      <c r="CG13" s="810"/>
      <c r="CH13" s="810"/>
      <c r="CI13" s="810"/>
      <c r="CJ13" s="810"/>
      <c r="CK13" s="810"/>
      <c r="CL13" s="810"/>
      <c r="CM13" s="810"/>
      <c r="CN13" s="810"/>
      <c r="CO13" s="810"/>
      <c r="CP13" s="810"/>
      <c r="CQ13" s="810"/>
      <c r="CR13" s="810"/>
      <c r="CS13" s="810"/>
      <c r="CT13" s="810"/>
      <c r="CU13" s="810"/>
      <c r="CV13" s="810"/>
      <c r="CW13" s="810"/>
      <c r="CX13" s="810"/>
      <c r="CY13" s="810"/>
      <c r="CZ13" s="810"/>
      <c r="DA13" s="810"/>
      <c r="DB13" s="810"/>
      <c r="DC13" s="810"/>
      <c r="DD13" s="810"/>
      <c r="DE13" s="810"/>
      <c r="DF13" s="810"/>
      <c r="DG13" s="810"/>
      <c r="DH13" s="810"/>
      <c r="DI13" s="810"/>
      <c r="DJ13" s="810"/>
      <c r="DK13" s="810"/>
      <c r="DL13" s="810"/>
      <c r="DM13" s="810"/>
      <c r="DN13" s="810"/>
      <c r="DO13" s="810"/>
      <c r="DP13" s="810"/>
      <c r="DQ13" s="810"/>
      <c r="DR13" s="810"/>
      <c r="DS13" s="810"/>
      <c r="DT13" s="810"/>
      <c r="DU13" s="810"/>
      <c r="DV13" s="810"/>
      <c r="DW13" s="810"/>
      <c r="DX13" s="810"/>
      <c r="DY13" s="810"/>
      <c r="DZ13" s="810"/>
      <c r="EA13" s="810"/>
      <c r="EB13" s="810"/>
      <c r="EC13" s="810"/>
      <c r="ED13" s="810"/>
      <c r="EE13" s="810"/>
      <c r="EF13" s="810"/>
      <c r="EG13" s="810"/>
      <c r="EH13" s="810"/>
      <c r="EI13" s="810"/>
      <c r="EJ13" s="810"/>
      <c r="EK13" s="810"/>
      <c r="EL13" s="810"/>
      <c r="EM13" s="810"/>
      <c r="EN13" s="810"/>
      <c r="EO13" s="810"/>
      <c r="EP13" s="810"/>
      <c r="EQ13" s="810"/>
      <c r="ER13" s="810"/>
      <c r="ES13" s="810"/>
      <c r="ET13" s="810"/>
      <c r="EU13" s="810"/>
      <c r="EV13" s="810"/>
      <c r="EW13" s="810"/>
      <c r="EX13" s="810"/>
      <c r="EY13" s="810"/>
      <c r="EZ13" s="810"/>
      <c r="FA13" s="810"/>
      <c r="FB13" s="810"/>
      <c r="FC13" s="810"/>
      <c r="FD13" s="810"/>
      <c r="FE13" s="810"/>
      <c r="FF13" s="810"/>
      <c r="FG13" s="810"/>
      <c r="FH13" s="810"/>
      <c r="FI13" s="810"/>
      <c r="FJ13" s="810"/>
      <c r="FK13" s="810"/>
      <c r="FL13" s="810"/>
      <c r="FM13" s="810"/>
      <c r="FN13" s="810"/>
      <c r="FO13" s="810"/>
      <c r="FP13" s="810"/>
      <c r="FQ13" s="810"/>
      <c r="FR13" s="810"/>
      <c r="FS13" s="810"/>
      <c r="FT13" s="810"/>
      <c r="FU13" s="810"/>
      <c r="FV13" s="810"/>
      <c r="FW13" s="810"/>
      <c r="FX13" s="810"/>
      <c r="FY13" s="810"/>
      <c r="FZ13" s="810"/>
      <c r="GA13" s="810"/>
      <c r="GB13" s="810"/>
      <c r="GC13" s="810"/>
      <c r="GD13" s="810"/>
      <c r="GE13" s="810"/>
      <c r="GF13" s="810"/>
      <c r="GG13" s="810"/>
      <c r="GH13" s="810"/>
      <c r="GI13" s="810"/>
      <c r="GJ13" s="810"/>
      <c r="GK13" s="810"/>
      <c r="GL13" s="810"/>
      <c r="GM13" s="810"/>
      <c r="GN13" s="810"/>
      <c r="GO13" s="810"/>
      <c r="GP13" s="810"/>
      <c r="GQ13" s="810"/>
      <c r="GR13" s="810"/>
      <c r="GS13" s="810"/>
      <c r="GT13" s="810"/>
      <c r="GU13" s="810"/>
      <c r="GV13" s="810"/>
      <c r="GW13" s="810"/>
      <c r="GX13" s="810"/>
      <c r="GY13" s="810"/>
      <c r="GZ13" s="810"/>
      <c r="HA13" s="810"/>
      <c r="HB13" s="810"/>
      <c r="HC13" s="810"/>
      <c r="HD13" s="810"/>
      <c r="HE13" s="810"/>
      <c r="HF13" s="810"/>
      <c r="HG13" s="810"/>
      <c r="HH13" s="810"/>
      <c r="HI13" s="810"/>
      <c r="HJ13" s="810"/>
      <c r="HK13" s="810"/>
      <c r="HL13" s="810"/>
      <c r="HM13" s="810"/>
      <c r="HN13" s="810"/>
      <c r="HO13" s="810"/>
      <c r="HP13" s="810"/>
      <c r="HQ13" s="810"/>
      <c r="HR13" s="810"/>
      <c r="HS13" s="810"/>
      <c r="HT13" s="810"/>
      <c r="HU13" s="810"/>
      <c r="HV13" s="810"/>
      <c r="HW13" s="810"/>
      <c r="HX13" s="810"/>
      <c r="HY13" s="810"/>
      <c r="HZ13" s="810"/>
      <c r="IA13" s="810"/>
      <c r="IB13" s="810"/>
      <c r="IC13" s="810"/>
      <c r="ID13" s="810"/>
      <c r="IE13" s="810"/>
      <c r="IF13" s="810"/>
      <c r="IG13" s="810"/>
      <c r="IH13" s="810"/>
      <c r="II13" s="810"/>
      <c r="IJ13" s="810"/>
      <c r="IK13" s="810"/>
      <c r="IL13" s="810"/>
      <c r="IM13" s="810"/>
      <c r="IN13" s="810"/>
      <c r="IO13" s="810"/>
      <c r="IP13" s="810"/>
      <c r="IQ13" s="810"/>
      <c r="IR13" s="810"/>
      <c r="IS13" s="810"/>
      <c r="IT13" s="810"/>
      <c r="IU13" s="810"/>
    </row>
    <row r="14" spans="1:255" s="811" customFormat="1" ht="15" customHeight="1" x14ac:dyDescent="0.25">
      <c r="A14" s="817">
        <v>43945</v>
      </c>
      <c r="B14" s="796" t="s">
        <v>4003</v>
      </c>
      <c r="C14" s="797">
        <v>1114356343</v>
      </c>
      <c r="D14" s="798">
        <f t="shared" si="2"/>
        <v>43950</v>
      </c>
      <c r="E14" s="799">
        <f t="shared" si="0"/>
        <v>0</v>
      </c>
      <c r="F14" s="818">
        <v>1114356343</v>
      </c>
      <c r="G14" s="819">
        <v>43950</v>
      </c>
      <c r="H14" s="814"/>
      <c r="I14" s="814"/>
      <c r="J14" s="814"/>
      <c r="K14" s="814"/>
      <c r="L14" s="803">
        <f t="shared" si="1"/>
        <v>0</v>
      </c>
      <c r="M14" s="813">
        <f t="shared" si="3"/>
        <v>18263062.288055558</v>
      </c>
      <c r="N14" s="814"/>
      <c r="O14" s="814"/>
      <c r="P14" s="818">
        <v>2127802</v>
      </c>
      <c r="Q14" s="819">
        <v>43950</v>
      </c>
      <c r="R14" s="814"/>
      <c r="S14" s="804"/>
      <c r="T14" s="806"/>
      <c r="U14" s="807"/>
      <c r="V14" s="807"/>
      <c r="W14" s="808"/>
      <c r="X14" s="816"/>
      <c r="Y14" s="810"/>
      <c r="Z14" s="810"/>
      <c r="AA14" s="810"/>
      <c r="AB14" s="810"/>
      <c r="AC14" s="810"/>
      <c r="AD14" s="810"/>
      <c r="AE14" s="810"/>
      <c r="AF14" s="810"/>
      <c r="AG14" s="810"/>
      <c r="AH14" s="810"/>
      <c r="AI14" s="810"/>
      <c r="AJ14" s="810"/>
      <c r="AK14" s="810"/>
      <c r="AL14" s="810"/>
      <c r="AM14" s="810"/>
      <c r="AN14" s="810"/>
      <c r="AO14" s="810"/>
      <c r="AP14" s="810"/>
      <c r="AQ14" s="810"/>
      <c r="AR14" s="810"/>
      <c r="AS14" s="810"/>
      <c r="AT14" s="810"/>
      <c r="AU14" s="810"/>
      <c r="AV14" s="810"/>
      <c r="AW14" s="810"/>
      <c r="AX14" s="810"/>
      <c r="AY14" s="810"/>
      <c r="AZ14" s="810"/>
      <c r="BA14" s="810"/>
      <c r="BB14" s="810"/>
      <c r="BC14" s="810"/>
      <c r="BD14" s="810"/>
      <c r="BE14" s="810"/>
      <c r="BF14" s="810"/>
      <c r="BG14" s="810"/>
      <c r="BH14" s="810"/>
      <c r="BI14" s="810"/>
      <c r="BJ14" s="810"/>
      <c r="BK14" s="810"/>
      <c r="BL14" s="810"/>
      <c r="BM14" s="810"/>
      <c r="BN14" s="810"/>
      <c r="BO14" s="810"/>
      <c r="BP14" s="810"/>
      <c r="BQ14" s="810"/>
      <c r="BR14" s="810"/>
      <c r="BS14" s="810"/>
      <c r="BT14" s="810"/>
      <c r="BU14" s="810"/>
      <c r="BV14" s="810"/>
      <c r="BW14" s="810"/>
      <c r="BX14" s="810"/>
      <c r="BY14" s="810"/>
      <c r="BZ14" s="810"/>
      <c r="CA14" s="810"/>
      <c r="CB14" s="810"/>
      <c r="CC14" s="810"/>
      <c r="CD14" s="810"/>
      <c r="CE14" s="810"/>
      <c r="CF14" s="810"/>
      <c r="CG14" s="810"/>
      <c r="CH14" s="810"/>
      <c r="CI14" s="810"/>
      <c r="CJ14" s="810"/>
      <c r="CK14" s="810"/>
      <c r="CL14" s="810"/>
      <c r="CM14" s="810"/>
      <c r="CN14" s="810"/>
      <c r="CO14" s="810"/>
      <c r="CP14" s="810"/>
      <c r="CQ14" s="810"/>
      <c r="CR14" s="810"/>
      <c r="CS14" s="810"/>
      <c r="CT14" s="810"/>
      <c r="CU14" s="810"/>
      <c r="CV14" s="810"/>
      <c r="CW14" s="810"/>
      <c r="CX14" s="810"/>
      <c r="CY14" s="810"/>
      <c r="CZ14" s="810"/>
      <c r="DA14" s="810"/>
      <c r="DB14" s="810"/>
      <c r="DC14" s="810"/>
      <c r="DD14" s="810"/>
      <c r="DE14" s="810"/>
      <c r="DF14" s="810"/>
      <c r="DG14" s="810"/>
      <c r="DH14" s="810"/>
      <c r="DI14" s="810"/>
      <c r="DJ14" s="810"/>
      <c r="DK14" s="810"/>
      <c r="DL14" s="810"/>
      <c r="DM14" s="810"/>
      <c r="DN14" s="810"/>
      <c r="DO14" s="810"/>
      <c r="DP14" s="810"/>
      <c r="DQ14" s="810"/>
      <c r="DR14" s="810"/>
      <c r="DS14" s="810"/>
      <c r="DT14" s="810"/>
      <c r="DU14" s="810"/>
      <c r="DV14" s="810"/>
      <c r="DW14" s="810"/>
      <c r="DX14" s="810"/>
      <c r="DY14" s="810"/>
      <c r="DZ14" s="810"/>
      <c r="EA14" s="810"/>
      <c r="EB14" s="810"/>
      <c r="EC14" s="810"/>
      <c r="ED14" s="810"/>
      <c r="EE14" s="810"/>
      <c r="EF14" s="810"/>
      <c r="EG14" s="810"/>
      <c r="EH14" s="810"/>
      <c r="EI14" s="810"/>
      <c r="EJ14" s="810"/>
      <c r="EK14" s="810"/>
      <c r="EL14" s="810"/>
      <c r="EM14" s="810"/>
      <c r="EN14" s="810"/>
      <c r="EO14" s="810"/>
      <c r="EP14" s="810"/>
      <c r="EQ14" s="810"/>
      <c r="ER14" s="810"/>
      <c r="ES14" s="810"/>
      <c r="ET14" s="810"/>
      <c r="EU14" s="810"/>
      <c r="EV14" s="810"/>
      <c r="EW14" s="810"/>
      <c r="EX14" s="810"/>
      <c r="EY14" s="810"/>
      <c r="EZ14" s="810"/>
      <c r="FA14" s="810"/>
      <c r="FB14" s="810"/>
      <c r="FC14" s="810"/>
      <c r="FD14" s="810"/>
      <c r="FE14" s="810"/>
      <c r="FF14" s="810"/>
      <c r="FG14" s="810"/>
      <c r="FH14" s="810"/>
      <c r="FI14" s="810"/>
      <c r="FJ14" s="810"/>
      <c r="FK14" s="810"/>
      <c r="FL14" s="810"/>
      <c r="FM14" s="810"/>
      <c r="FN14" s="810"/>
      <c r="FO14" s="810"/>
      <c r="FP14" s="810"/>
      <c r="FQ14" s="810"/>
      <c r="FR14" s="810"/>
      <c r="FS14" s="810"/>
      <c r="FT14" s="810"/>
      <c r="FU14" s="810"/>
      <c r="FV14" s="810"/>
      <c r="FW14" s="810"/>
      <c r="FX14" s="810"/>
      <c r="FY14" s="810"/>
      <c r="FZ14" s="810"/>
      <c r="GA14" s="810"/>
      <c r="GB14" s="810"/>
      <c r="GC14" s="810"/>
      <c r="GD14" s="810"/>
      <c r="GE14" s="810"/>
      <c r="GF14" s="810"/>
      <c r="GG14" s="810"/>
      <c r="GH14" s="810"/>
      <c r="GI14" s="810"/>
      <c r="GJ14" s="810"/>
      <c r="GK14" s="810"/>
      <c r="GL14" s="810"/>
      <c r="GM14" s="810"/>
      <c r="GN14" s="810"/>
      <c r="GO14" s="810"/>
      <c r="GP14" s="810"/>
      <c r="GQ14" s="810"/>
      <c r="GR14" s="810"/>
      <c r="GS14" s="810"/>
      <c r="GT14" s="810"/>
      <c r="GU14" s="810"/>
      <c r="GV14" s="810"/>
      <c r="GW14" s="810"/>
      <c r="GX14" s="810"/>
      <c r="GY14" s="810"/>
      <c r="GZ14" s="810"/>
      <c r="HA14" s="810"/>
      <c r="HB14" s="810"/>
      <c r="HC14" s="810"/>
      <c r="HD14" s="810"/>
      <c r="HE14" s="810"/>
      <c r="HF14" s="810"/>
      <c r="HG14" s="810"/>
      <c r="HH14" s="810"/>
      <c r="HI14" s="810"/>
      <c r="HJ14" s="810"/>
      <c r="HK14" s="810"/>
      <c r="HL14" s="810"/>
      <c r="HM14" s="810"/>
      <c r="HN14" s="810"/>
      <c r="HO14" s="810"/>
      <c r="HP14" s="810"/>
      <c r="HQ14" s="810"/>
      <c r="HR14" s="810"/>
      <c r="HS14" s="810"/>
      <c r="HT14" s="810"/>
      <c r="HU14" s="810"/>
      <c r="HV14" s="810"/>
      <c r="HW14" s="810"/>
      <c r="HX14" s="810"/>
      <c r="HY14" s="810"/>
      <c r="HZ14" s="810"/>
      <c r="IA14" s="810"/>
      <c r="IB14" s="810"/>
      <c r="IC14" s="810"/>
      <c r="ID14" s="810"/>
      <c r="IE14" s="810"/>
      <c r="IF14" s="810"/>
      <c r="IG14" s="810"/>
      <c r="IH14" s="810"/>
      <c r="II14" s="810"/>
      <c r="IJ14" s="810"/>
      <c r="IK14" s="810"/>
      <c r="IL14" s="810"/>
      <c r="IM14" s="810"/>
      <c r="IN14" s="810"/>
      <c r="IO14" s="810"/>
      <c r="IP14" s="810"/>
      <c r="IQ14" s="810"/>
      <c r="IR14" s="810"/>
      <c r="IS14" s="810"/>
      <c r="IT14" s="810"/>
      <c r="IU14" s="810"/>
    </row>
    <row r="15" spans="1:255" s="811" customFormat="1" ht="15" customHeight="1" x14ac:dyDescent="0.25">
      <c r="A15" s="817">
        <v>43950</v>
      </c>
      <c r="B15" s="820" t="s">
        <v>4003</v>
      </c>
      <c r="C15" s="818">
        <v>588217903</v>
      </c>
      <c r="D15" s="798">
        <f t="shared" si="2"/>
        <v>43955</v>
      </c>
      <c r="E15" s="820">
        <f t="shared" si="0"/>
        <v>0</v>
      </c>
      <c r="F15" s="818">
        <v>588217903</v>
      </c>
      <c r="G15" s="819">
        <v>43955</v>
      </c>
      <c r="H15" s="814"/>
      <c r="I15" s="814"/>
      <c r="J15" s="814"/>
      <c r="K15" s="814"/>
      <c r="L15" s="814">
        <f t="shared" si="1"/>
        <v>0</v>
      </c>
      <c r="M15" s="813">
        <f t="shared" si="3"/>
        <v>9640237.8547222223</v>
      </c>
      <c r="N15" s="814"/>
      <c r="O15" s="814"/>
      <c r="P15" s="818">
        <v>1123169</v>
      </c>
      <c r="Q15" s="819">
        <v>43955</v>
      </c>
      <c r="R15" s="814"/>
      <c r="S15" s="804"/>
      <c r="T15" s="806"/>
      <c r="U15" s="807"/>
      <c r="V15" s="807"/>
      <c r="W15" s="808"/>
      <c r="X15" s="816"/>
      <c r="Y15" s="810"/>
      <c r="Z15" s="810"/>
      <c r="AA15" s="810"/>
      <c r="AB15" s="810"/>
      <c r="AC15" s="810"/>
      <c r="AD15" s="810"/>
      <c r="AE15" s="810"/>
      <c r="AF15" s="810"/>
      <c r="AG15" s="810"/>
      <c r="AH15" s="810"/>
      <c r="AI15" s="810"/>
      <c r="AJ15" s="810"/>
      <c r="AK15" s="810"/>
      <c r="AL15" s="810"/>
      <c r="AM15" s="810"/>
      <c r="AN15" s="810"/>
      <c r="AO15" s="810"/>
      <c r="AP15" s="810"/>
      <c r="AQ15" s="810"/>
      <c r="AR15" s="810"/>
      <c r="AS15" s="810"/>
      <c r="AT15" s="810"/>
      <c r="AU15" s="810"/>
      <c r="AV15" s="810"/>
      <c r="AW15" s="810"/>
      <c r="AX15" s="810"/>
      <c r="AY15" s="810"/>
      <c r="AZ15" s="810"/>
      <c r="BA15" s="810"/>
      <c r="BB15" s="810"/>
      <c r="BC15" s="810"/>
      <c r="BD15" s="810"/>
      <c r="BE15" s="810"/>
      <c r="BF15" s="810"/>
      <c r="BG15" s="810"/>
      <c r="BH15" s="810"/>
      <c r="BI15" s="810"/>
      <c r="BJ15" s="810"/>
      <c r="BK15" s="810"/>
      <c r="BL15" s="810"/>
      <c r="BM15" s="810"/>
      <c r="BN15" s="810"/>
      <c r="BO15" s="810"/>
      <c r="BP15" s="810"/>
      <c r="BQ15" s="810"/>
      <c r="BR15" s="810"/>
      <c r="BS15" s="810"/>
      <c r="BT15" s="810"/>
      <c r="BU15" s="810"/>
      <c r="BV15" s="810"/>
      <c r="BW15" s="810"/>
      <c r="BX15" s="810"/>
      <c r="BY15" s="810"/>
      <c r="BZ15" s="810"/>
      <c r="CA15" s="810"/>
      <c r="CB15" s="810"/>
      <c r="CC15" s="810"/>
      <c r="CD15" s="810"/>
      <c r="CE15" s="810"/>
      <c r="CF15" s="810"/>
      <c r="CG15" s="810"/>
      <c r="CH15" s="810"/>
      <c r="CI15" s="810"/>
      <c r="CJ15" s="810"/>
      <c r="CK15" s="810"/>
      <c r="CL15" s="810"/>
      <c r="CM15" s="810"/>
      <c r="CN15" s="810"/>
      <c r="CO15" s="810"/>
      <c r="CP15" s="810"/>
      <c r="CQ15" s="810"/>
      <c r="CR15" s="810"/>
      <c r="CS15" s="810"/>
      <c r="CT15" s="810"/>
      <c r="CU15" s="810"/>
      <c r="CV15" s="810"/>
      <c r="CW15" s="810"/>
      <c r="CX15" s="810"/>
      <c r="CY15" s="810"/>
      <c r="CZ15" s="810"/>
      <c r="DA15" s="810"/>
      <c r="DB15" s="810"/>
      <c r="DC15" s="810"/>
      <c r="DD15" s="810"/>
      <c r="DE15" s="810"/>
      <c r="DF15" s="810"/>
      <c r="DG15" s="810"/>
      <c r="DH15" s="810"/>
      <c r="DI15" s="810"/>
      <c r="DJ15" s="810"/>
      <c r="DK15" s="810"/>
      <c r="DL15" s="810"/>
      <c r="DM15" s="810"/>
      <c r="DN15" s="810"/>
      <c r="DO15" s="810"/>
      <c r="DP15" s="810"/>
      <c r="DQ15" s="810"/>
      <c r="DR15" s="810"/>
      <c r="DS15" s="810"/>
      <c r="DT15" s="810"/>
      <c r="DU15" s="810"/>
      <c r="DV15" s="810"/>
      <c r="DW15" s="810"/>
      <c r="DX15" s="810"/>
      <c r="DY15" s="810"/>
      <c r="DZ15" s="810"/>
      <c r="EA15" s="810"/>
      <c r="EB15" s="810"/>
      <c r="EC15" s="810"/>
      <c r="ED15" s="810"/>
      <c r="EE15" s="810"/>
      <c r="EF15" s="810"/>
      <c r="EG15" s="810"/>
      <c r="EH15" s="810"/>
      <c r="EI15" s="810"/>
      <c r="EJ15" s="810"/>
      <c r="EK15" s="810"/>
      <c r="EL15" s="810"/>
      <c r="EM15" s="810"/>
      <c r="EN15" s="810"/>
      <c r="EO15" s="810"/>
      <c r="EP15" s="810"/>
      <c r="EQ15" s="810"/>
      <c r="ER15" s="810"/>
      <c r="ES15" s="810"/>
      <c r="ET15" s="810"/>
      <c r="EU15" s="810"/>
      <c r="EV15" s="810"/>
      <c r="EW15" s="810"/>
      <c r="EX15" s="810"/>
      <c r="EY15" s="810"/>
      <c r="EZ15" s="810"/>
      <c r="FA15" s="810"/>
      <c r="FB15" s="810"/>
      <c r="FC15" s="810"/>
      <c r="FD15" s="810"/>
      <c r="FE15" s="810"/>
      <c r="FF15" s="810"/>
      <c r="FG15" s="810"/>
      <c r="FH15" s="810"/>
      <c r="FI15" s="810"/>
      <c r="FJ15" s="810"/>
      <c r="FK15" s="810"/>
      <c r="FL15" s="810"/>
      <c r="FM15" s="810"/>
      <c r="FN15" s="810"/>
      <c r="FO15" s="810"/>
      <c r="FP15" s="810"/>
      <c r="FQ15" s="810"/>
      <c r="FR15" s="810"/>
      <c r="FS15" s="810"/>
      <c r="FT15" s="810"/>
      <c r="FU15" s="810"/>
      <c r="FV15" s="810"/>
      <c r="FW15" s="810"/>
      <c r="FX15" s="810"/>
      <c r="FY15" s="810"/>
      <c r="FZ15" s="810"/>
      <c r="GA15" s="810"/>
      <c r="GB15" s="810"/>
      <c r="GC15" s="810"/>
      <c r="GD15" s="810"/>
      <c r="GE15" s="810"/>
      <c r="GF15" s="810"/>
      <c r="GG15" s="810"/>
      <c r="GH15" s="810"/>
      <c r="GI15" s="810"/>
      <c r="GJ15" s="810"/>
      <c r="GK15" s="810"/>
      <c r="GL15" s="810"/>
      <c r="GM15" s="810"/>
      <c r="GN15" s="810"/>
      <c r="GO15" s="810"/>
      <c r="GP15" s="810"/>
      <c r="GQ15" s="810"/>
      <c r="GR15" s="810"/>
      <c r="GS15" s="810"/>
      <c r="GT15" s="810"/>
      <c r="GU15" s="810"/>
      <c r="GV15" s="810"/>
      <c r="GW15" s="810"/>
      <c r="GX15" s="810"/>
      <c r="GY15" s="810"/>
      <c r="GZ15" s="810"/>
      <c r="HA15" s="810"/>
      <c r="HB15" s="810"/>
      <c r="HC15" s="810"/>
      <c r="HD15" s="810"/>
      <c r="HE15" s="810"/>
      <c r="HF15" s="810"/>
      <c r="HG15" s="810"/>
      <c r="HH15" s="810"/>
      <c r="HI15" s="810"/>
      <c r="HJ15" s="810"/>
      <c r="HK15" s="810"/>
      <c r="HL15" s="810"/>
      <c r="HM15" s="810"/>
      <c r="HN15" s="810"/>
      <c r="HO15" s="810"/>
      <c r="HP15" s="810"/>
      <c r="HQ15" s="810"/>
      <c r="HR15" s="810"/>
      <c r="HS15" s="810"/>
      <c r="HT15" s="810"/>
      <c r="HU15" s="810"/>
      <c r="HV15" s="810"/>
      <c r="HW15" s="810"/>
      <c r="HX15" s="810"/>
      <c r="HY15" s="810"/>
      <c r="HZ15" s="810"/>
      <c r="IA15" s="810"/>
      <c r="IB15" s="810"/>
      <c r="IC15" s="810"/>
      <c r="ID15" s="810"/>
      <c r="IE15" s="810"/>
      <c r="IF15" s="810"/>
      <c r="IG15" s="810"/>
      <c r="IH15" s="810"/>
      <c r="II15" s="810"/>
      <c r="IJ15" s="810"/>
      <c r="IK15" s="810"/>
      <c r="IL15" s="810"/>
      <c r="IM15" s="810"/>
      <c r="IN15" s="810"/>
      <c r="IO15" s="810"/>
      <c r="IP15" s="810"/>
      <c r="IQ15" s="810"/>
      <c r="IR15" s="810"/>
      <c r="IS15" s="810"/>
      <c r="IT15" s="810"/>
      <c r="IU15" s="810"/>
    </row>
    <row r="16" spans="1:255" s="811" customFormat="1" ht="15" customHeight="1" x14ac:dyDescent="0.25">
      <c r="A16" s="817">
        <v>43955</v>
      </c>
      <c r="B16" s="820" t="s">
        <v>4003</v>
      </c>
      <c r="C16" s="821">
        <v>567077065</v>
      </c>
      <c r="D16" s="798">
        <f t="shared" si="2"/>
        <v>43960</v>
      </c>
      <c r="E16" s="820">
        <f t="shared" si="0"/>
        <v>1</v>
      </c>
      <c r="F16" s="818">
        <v>567077065</v>
      </c>
      <c r="G16" s="819">
        <v>43959</v>
      </c>
      <c r="H16" s="814"/>
      <c r="I16" s="814"/>
      <c r="J16" s="814"/>
      <c r="K16" s="814"/>
      <c r="L16" s="818">
        <f t="shared" si="1"/>
        <v>0</v>
      </c>
      <c r="M16" s="813">
        <f t="shared" si="3"/>
        <v>9293763.0097222235</v>
      </c>
      <c r="N16" s="814"/>
      <c r="O16" s="814"/>
      <c r="P16" s="818">
        <v>508479</v>
      </c>
      <c r="Q16" s="819">
        <v>43959</v>
      </c>
      <c r="R16" s="814"/>
      <c r="S16" s="804"/>
      <c r="T16" s="806"/>
      <c r="U16" s="807"/>
      <c r="V16" s="807"/>
      <c r="W16" s="808"/>
      <c r="X16" s="816"/>
      <c r="Y16" s="810"/>
      <c r="Z16" s="810"/>
      <c r="AA16" s="810"/>
      <c r="AB16" s="810"/>
      <c r="AC16" s="810"/>
      <c r="AD16" s="810"/>
      <c r="AE16" s="810"/>
      <c r="AF16" s="810"/>
      <c r="AG16" s="810"/>
      <c r="AH16" s="810"/>
      <c r="AI16" s="810"/>
      <c r="AJ16" s="810"/>
      <c r="AK16" s="810"/>
      <c r="AL16" s="810"/>
      <c r="AM16" s="810"/>
      <c r="AN16" s="810"/>
      <c r="AO16" s="810"/>
      <c r="AP16" s="810"/>
      <c r="AQ16" s="810"/>
      <c r="AR16" s="810"/>
      <c r="AS16" s="810"/>
      <c r="AT16" s="810"/>
      <c r="AU16" s="810"/>
      <c r="AV16" s="810"/>
      <c r="AW16" s="810"/>
      <c r="AX16" s="810"/>
      <c r="AY16" s="810"/>
      <c r="AZ16" s="810"/>
      <c r="BA16" s="810"/>
      <c r="BB16" s="810"/>
      <c r="BC16" s="810"/>
      <c r="BD16" s="810"/>
      <c r="BE16" s="810"/>
      <c r="BF16" s="810"/>
      <c r="BG16" s="810"/>
      <c r="BH16" s="810"/>
      <c r="BI16" s="810"/>
      <c r="BJ16" s="810"/>
      <c r="BK16" s="810"/>
      <c r="BL16" s="810"/>
      <c r="BM16" s="810"/>
      <c r="BN16" s="810"/>
      <c r="BO16" s="810"/>
      <c r="BP16" s="810"/>
      <c r="BQ16" s="810"/>
      <c r="BR16" s="810"/>
      <c r="BS16" s="810"/>
      <c r="BT16" s="810"/>
      <c r="BU16" s="810"/>
      <c r="BV16" s="810"/>
      <c r="BW16" s="810"/>
      <c r="BX16" s="810"/>
      <c r="BY16" s="810"/>
      <c r="BZ16" s="810"/>
      <c r="CA16" s="810"/>
      <c r="CB16" s="810"/>
      <c r="CC16" s="810"/>
      <c r="CD16" s="810"/>
      <c r="CE16" s="810"/>
      <c r="CF16" s="810"/>
      <c r="CG16" s="810"/>
      <c r="CH16" s="810"/>
      <c r="CI16" s="810"/>
      <c r="CJ16" s="810"/>
      <c r="CK16" s="810"/>
      <c r="CL16" s="810"/>
      <c r="CM16" s="810"/>
      <c r="CN16" s="810"/>
      <c r="CO16" s="810"/>
      <c r="CP16" s="810"/>
      <c r="CQ16" s="810"/>
      <c r="CR16" s="810"/>
      <c r="CS16" s="810"/>
      <c r="CT16" s="810"/>
      <c r="CU16" s="810"/>
      <c r="CV16" s="810"/>
      <c r="CW16" s="810"/>
      <c r="CX16" s="810"/>
      <c r="CY16" s="810"/>
      <c r="CZ16" s="810"/>
      <c r="DA16" s="810"/>
      <c r="DB16" s="810"/>
      <c r="DC16" s="810"/>
      <c r="DD16" s="810"/>
      <c r="DE16" s="810"/>
      <c r="DF16" s="810"/>
      <c r="DG16" s="810"/>
      <c r="DH16" s="810"/>
      <c r="DI16" s="810"/>
      <c r="DJ16" s="810"/>
      <c r="DK16" s="810"/>
      <c r="DL16" s="810"/>
      <c r="DM16" s="810"/>
      <c r="DN16" s="810"/>
      <c r="DO16" s="810"/>
      <c r="DP16" s="810"/>
      <c r="DQ16" s="810"/>
      <c r="DR16" s="810"/>
      <c r="DS16" s="810"/>
      <c r="DT16" s="810"/>
      <c r="DU16" s="810"/>
      <c r="DV16" s="810"/>
      <c r="DW16" s="810"/>
      <c r="DX16" s="810"/>
      <c r="DY16" s="810"/>
      <c r="DZ16" s="810"/>
      <c r="EA16" s="810"/>
      <c r="EB16" s="810"/>
      <c r="EC16" s="810"/>
      <c r="ED16" s="810"/>
      <c r="EE16" s="810"/>
      <c r="EF16" s="810"/>
      <c r="EG16" s="810"/>
      <c r="EH16" s="810"/>
      <c r="EI16" s="810"/>
      <c r="EJ16" s="810"/>
      <c r="EK16" s="810"/>
      <c r="EL16" s="810"/>
      <c r="EM16" s="810"/>
      <c r="EN16" s="810"/>
      <c r="EO16" s="810"/>
      <c r="EP16" s="810"/>
      <c r="EQ16" s="810"/>
      <c r="ER16" s="810"/>
      <c r="ES16" s="810"/>
      <c r="ET16" s="810"/>
      <c r="EU16" s="810"/>
      <c r="EV16" s="810"/>
      <c r="EW16" s="810"/>
      <c r="EX16" s="810"/>
      <c r="EY16" s="810"/>
      <c r="EZ16" s="810"/>
      <c r="FA16" s="810"/>
      <c r="FB16" s="810"/>
      <c r="FC16" s="810"/>
      <c r="FD16" s="810"/>
      <c r="FE16" s="810"/>
      <c r="FF16" s="810"/>
      <c r="FG16" s="810"/>
      <c r="FH16" s="810"/>
      <c r="FI16" s="810"/>
      <c r="FJ16" s="810"/>
      <c r="FK16" s="810"/>
      <c r="FL16" s="810"/>
      <c r="FM16" s="810"/>
      <c r="FN16" s="810"/>
      <c r="FO16" s="810"/>
      <c r="FP16" s="810"/>
      <c r="FQ16" s="810"/>
      <c r="FR16" s="810"/>
      <c r="FS16" s="810"/>
      <c r="FT16" s="810"/>
      <c r="FU16" s="810"/>
      <c r="FV16" s="810"/>
      <c r="FW16" s="810"/>
      <c r="FX16" s="810"/>
      <c r="FY16" s="810"/>
      <c r="FZ16" s="810"/>
      <c r="GA16" s="810"/>
      <c r="GB16" s="810"/>
      <c r="GC16" s="810"/>
      <c r="GD16" s="810"/>
      <c r="GE16" s="810"/>
      <c r="GF16" s="810"/>
      <c r="GG16" s="810"/>
      <c r="GH16" s="810"/>
      <c r="GI16" s="810"/>
      <c r="GJ16" s="810"/>
      <c r="GK16" s="810"/>
      <c r="GL16" s="810"/>
      <c r="GM16" s="810"/>
      <c r="GN16" s="810"/>
      <c r="GO16" s="810"/>
      <c r="GP16" s="810"/>
      <c r="GQ16" s="810"/>
      <c r="GR16" s="810"/>
      <c r="GS16" s="810"/>
      <c r="GT16" s="810"/>
      <c r="GU16" s="810"/>
      <c r="GV16" s="810"/>
      <c r="GW16" s="810"/>
      <c r="GX16" s="810"/>
      <c r="GY16" s="810"/>
      <c r="GZ16" s="810"/>
      <c r="HA16" s="810"/>
      <c r="HB16" s="810"/>
      <c r="HC16" s="810"/>
      <c r="HD16" s="810"/>
      <c r="HE16" s="810"/>
      <c r="HF16" s="810"/>
      <c r="HG16" s="810"/>
      <c r="HH16" s="810"/>
      <c r="HI16" s="810"/>
      <c r="HJ16" s="810"/>
      <c r="HK16" s="810"/>
      <c r="HL16" s="810"/>
      <c r="HM16" s="810"/>
      <c r="HN16" s="810"/>
      <c r="HO16" s="810"/>
      <c r="HP16" s="810"/>
      <c r="HQ16" s="810"/>
      <c r="HR16" s="810"/>
      <c r="HS16" s="810"/>
      <c r="HT16" s="810"/>
      <c r="HU16" s="810"/>
      <c r="HV16" s="810"/>
      <c r="HW16" s="810"/>
      <c r="HX16" s="810"/>
      <c r="HY16" s="810"/>
      <c r="HZ16" s="810"/>
      <c r="IA16" s="810"/>
      <c r="IB16" s="810"/>
      <c r="IC16" s="810"/>
      <c r="ID16" s="810"/>
      <c r="IE16" s="810"/>
      <c r="IF16" s="810"/>
      <c r="IG16" s="810"/>
      <c r="IH16" s="810"/>
      <c r="II16" s="810"/>
      <c r="IJ16" s="810"/>
      <c r="IK16" s="810"/>
      <c r="IL16" s="810"/>
      <c r="IM16" s="810"/>
      <c r="IN16" s="810"/>
      <c r="IO16" s="810"/>
      <c r="IP16" s="810"/>
      <c r="IQ16" s="810"/>
      <c r="IR16" s="810"/>
      <c r="IS16" s="810"/>
      <c r="IT16" s="810"/>
      <c r="IU16" s="810"/>
    </row>
    <row r="17" spans="1:255" s="811" customFormat="1" ht="15" customHeight="1" x14ac:dyDescent="0.25">
      <c r="A17" s="817">
        <v>43957</v>
      </c>
      <c r="B17" s="820" t="s">
        <v>4003</v>
      </c>
      <c r="C17" s="821">
        <f>SUM('[4]ROLL OVER ITF'!$M$65:$M$69)</f>
        <v>743459715</v>
      </c>
      <c r="D17" s="798">
        <f t="shared" si="2"/>
        <v>43962</v>
      </c>
      <c r="E17" s="820">
        <f t="shared" si="0"/>
        <v>0</v>
      </c>
      <c r="F17" s="818">
        <v>743459715</v>
      </c>
      <c r="G17" s="819">
        <v>43962</v>
      </c>
      <c r="H17" s="814"/>
      <c r="I17" s="814"/>
      <c r="J17" s="814"/>
      <c r="K17" s="814"/>
      <c r="L17" s="814"/>
      <c r="M17" s="813">
        <f t="shared" si="3"/>
        <v>12184478.662500001</v>
      </c>
      <c r="N17" s="814"/>
      <c r="O17" s="814"/>
      <c r="P17" s="818">
        <v>1166612</v>
      </c>
      <c r="Q17" s="819">
        <v>43962</v>
      </c>
      <c r="R17" s="814"/>
      <c r="S17" s="804"/>
      <c r="T17" s="806"/>
      <c r="U17" s="807"/>
      <c r="V17" s="807"/>
      <c r="W17" s="808"/>
      <c r="X17" s="816"/>
      <c r="Y17" s="810"/>
      <c r="Z17" s="810"/>
      <c r="AA17" s="810"/>
      <c r="AB17" s="810"/>
      <c r="AC17" s="810"/>
      <c r="AD17" s="810"/>
      <c r="AE17" s="810"/>
      <c r="AF17" s="810"/>
      <c r="AG17" s="810"/>
      <c r="AH17" s="810"/>
      <c r="AI17" s="810"/>
      <c r="AJ17" s="810"/>
      <c r="AK17" s="810"/>
      <c r="AL17" s="810"/>
      <c r="AM17" s="810"/>
      <c r="AN17" s="810"/>
      <c r="AO17" s="810"/>
      <c r="AP17" s="810"/>
      <c r="AQ17" s="810"/>
      <c r="AR17" s="810"/>
      <c r="AS17" s="810"/>
      <c r="AT17" s="810"/>
      <c r="AU17" s="810"/>
      <c r="AV17" s="810"/>
      <c r="AW17" s="810"/>
      <c r="AX17" s="810"/>
      <c r="AY17" s="810"/>
      <c r="AZ17" s="810"/>
      <c r="BA17" s="810"/>
      <c r="BB17" s="810"/>
      <c r="BC17" s="810"/>
      <c r="BD17" s="810"/>
      <c r="BE17" s="810"/>
      <c r="BF17" s="810"/>
      <c r="BG17" s="810"/>
      <c r="BH17" s="810"/>
      <c r="BI17" s="810"/>
      <c r="BJ17" s="810"/>
      <c r="BK17" s="810"/>
      <c r="BL17" s="810"/>
      <c r="BM17" s="810"/>
      <c r="BN17" s="810"/>
      <c r="BO17" s="810"/>
      <c r="BP17" s="810"/>
      <c r="BQ17" s="810"/>
      <c r="BR17" s="810"/>
      <c r="BS17" s="810"/>
      <c r="BT17" s="810"/>
      <c r="BU17" s="810"/>
      <c r="BV17" s="810"/>
      <c r="BW17" s="810"/>
      <c r="BX17" s="810"/>
      <c r="BY17" s="810"/>
      <c r="BZ17" s="810"/>
      <c r="CA17" s="810"/>
      <c r="CB17" s="810"/>
      <c r="CC17" s="810"/>
      <c r="CD17" s="810"/>
      <c r="CE17" s="810"/>
      <c r="CF17" s="810"/>
      <c r="CG17" s="810"/>
      <c r="CH17" s="810"/>
      <c r="CI17" s="810"/>
      <c r="CJ17" s="810"/>
      <c r="CK17" s="810"/>
      <c r="CL17" s="810"/>
      <c r="CM17" s="810"/>
      <c r="CN17" s="810"/>
      <c r="CO17" s="810"/>
      <c r="CP17" s="810"/>
      <c r="CQ17" s="810"/>
      <c r="CR17" s="810"/>
      <c r="CS17" s="810"/>
      <c r="CT17" s="810"/>
      <c r="CU17" s="810"/>
      <c r="CV17" s="810"/>
      <c r="CW17" s="810"/>
      <c r="CX17" s="810"/>
      <c r="CY17" s="810"/>
      <c r="CZ17" s="810"/>
      <c r="DA17" s="810"/>
      <c r="DB17" s="810"/>
      <c r="DC17" s="810"/>
      <c r="DD17" s="810"/>
      <c r="DE17" s="810"/>
      <c r="DF17" s="810"/>
      <c r="DG17" s="810"/>
      <c r="DH17" s="810"/>
      <c r="DI17" s="810"/>
      <c r="DJ17" s="810"/>
      <c r="DK17" s="810"/>
      <c r="DL17" s="810"/>
      <c r="DM17" s="810"/>
      <c r="DN17" s="810"/>
      <c r="DO17" s="810"/>
      <c r="DP17" s="810"/>
      <c r="DQ17" s="810"/>
      <c r="DR17" s="810"/>
      <c r="DS17" s="810"/>
      <c r="DT17" s="810"/>
      <c r="DU17" s="810"/>
      <c r="DV17" s="810"/>
      <c r="DW17" s="810"/>
      <c r="DX17" s="810"/>
      <c r="DY17" s="810"/>
      <c r="DZ17" s="810"/>
      <c r="EA17" s="810"/>
      <c r="EB17" s="810"/>
      <c r="EC17" s="810"/>
      <c r="ED17" s="810"/>
      <c r="EE17" s="810"/>
      <c r="EF17" s="810"/>
      <c r="EG17" s="810"/>
      <c r="EH17" s="810"/>
      <c r="EI17" s="810"/>
      <c r="EJ17" s="810"/>
      <c r="EK17" s="810"/>
      <c r="EL17" s="810"/>
      <c r="EM17" s="810"/>
      <c r="EN17" s="810"/>
      <c r="EO17" s="810"/>
      <c r="EP17" s="810"/>
      <c r="EQ17" s="810"/>
      <c r="ER17" s="810"/>
      <c r="ES17" s="810"/>
      <c r="ET17" s="810"/>
      <c r="EU17" s="810"/>
      <c r="EV17" s="810"/>
      <c r="EW17" s="810"/>
      <c r="EX17" s="810"/>
      <c r="EY17" s="810"/>
      <c r="EZ17" s="810"/>
      <c r="FA17" s="810"/>
      <c r="FB17" s="810"/>
      <c r="FC17" s="810"/>
      <c r="FD17" s="810"/>
      <c r="FE17" s="810"/>
      <c r="FF17" s="810"/>
      <c r="FG17" s="810"/>
      <c r="FH17" s="810"/>
      <c r="FI17" s="810"/>
      <c r="FJ17" s="810"/>
      <c r="FK17" s="810"/>
      <c r="FL17" s="810"/>
      <c r="FM17" s="810"/>
      <c r="FN17" s="810"/>
      <c r="FO17" s="810"/>
      <c r="FP17" s="810"/>
      <c r="FQ17" s="810"/>
      <c r="FR17" s="810"/>
      <c r="FS17" s="810"/>
      <c r="FT17" s="810"/>
      <c r="FU17" s="810"/>
      <c r="FV17" s="810"/>
      <c r="FW17" s="810"/>
      <c r="FX17" s="810"/>
      <c r="FY17" s="810"/>
      <c r="FZ17" s="810"/>
      <c r="GA17" s="810"/>
      <c r="GB17" s="810"/>
      <c r="GC17" s="810"/>
      <c r="GD17" s="810"/>
      <c r="GE17" s="810"/>
      <c r="GF17" s="810"/>
      <c r="GG17" s="810"/>
      <c r="GH17" s="810"/>
      <c r="GI17" s="810"/>
      <c r="GJ17" s="810"/>
      <c r="GK17" s="810"/>
      <c r="GL17" s="810"/>
      <c r="GM17" s="810"/>
      <c r="GN17" s="810"/>
      <c r="GO17" s="810"/>
      <c r="GP17" s="810"/>
      <c r="GQ17" s="810"/>
      <c r="GR17" s="810"/>
      <c r="GS17" s="810"/>
      <c r="GT17" s="810"/>
      <c r="GU17" s="810"/>
      <c r="GV17" s="810"/>
      <c r="GW17" s="810"/>
      <c r="GX17" s="810"/>
      <c r="GY17" s="810"/>
      <c r="GZ17" s="810"/>
      <c r="HA17" s="810"/>
      <c r="HB17" s="810"/>
      <c r="HC17" s="810"/>
      <c r="HD17" s="810"/>
      <c r="HE17" s="810"/>
      <c r="HF17" s="810"/>
      <c r="HG17" s="810"/>
      <c r="HH17" s="810"/>
      <c r="HI17" s="810"/>
      <c r="HJ17" s="810"/>
      <c r="HK17" s="810"/>
      <c r="HL17" s="810"/>
      <c r="HM17" s="810"/>
      <c r="HN17" s="810"/>
      <c r="HO17" s="810"/>
      <c r="HP17" s="810"/>
      <c r="HQ17" s="810"/>
      <c r="HR17" s="810"/>
      <c r="HS17" s="810"/>
      <c r="HT17" s="810"/>
      <c r="HU17" s="810"/>
      <c r="HV17" s="810"/>
      <c r="HW17" s="810"/>
      <c r="HX17" s="810"/>
      <c r="HY17" s="810"/>
      <c r="HZ17" s="810"/>
      <c r="IA17" s="810"/>
      <c r="IB17" s="810"/>
      <c r="IC17" s="810"/>
      <c r="ID17" s="810"/>
      <c r="IE17" s="810"/>
      <c r="IF17" s="810"/>
      <c r="IG17" s="810"/>
      <c r="IH17" s="810"/>
      <c r="II17" s="810"/>
      <c r="IJ17" s="810"/>
      <c r="IK17" s="810"/>
      <c r="IL17" s="810"/>
      <c r="IM17" s="810"/>
      <c r="IN17" s="810"/>
      <c r="IO17" s="810"/>
      <c r="IP17" s="810"/>
      <c r="IQ17" s="810"/>
      <c r="IR17" s="810"/>
      <c r="IS17" s="810"/>
      <c r="IT17" s="810"/>
      <c r="IU17" s="810"/>
    </row>
    <row r="18" spans="1:255" s="811" customFormat="1" ht="15" customHeight="1" x14ac:dyDescent="0.25">
      <c r="A18" s="817">
        <v>43959</v>
      </c>
      <c r="B18" s="820" t="s">
        <v>4003</v>
      </c>
      <c r="C18" s="821">
        <f>SUM('[4]ROLL OVER ITF'!$M$70:$M$73)</f>
        <v>542504717</v>
      </c>
      <c r="D18" s="798">
        <f t="shared" si="2"/>
        <v>43964</v>
      </c>
      <c r="E18" s="820">
        <f t="shared" si="0"/>
        <v>0</v>
      </c>
      <c r="F18" s="818">
        <v>542504717</v>
      </c>
      <c r="G18" s="819">
        <v>43964</v>
      </c>
      <c r="H18" s="814"/>
      <c r="I18" s="814"/>
      <c r="J18" s="814"/>
      <c r="K18" s="814"/>
      <c r="L18" s="814"/>
      <c r="M18" s="813">
        <f t="shared" si="3"/>
        <v>8891049.5286111124</v>
      </c>
      <c r="N18" s="814"/>
      <c r="O18" s="814"/>
      <c r="P18" s="818">
        <v>851280</v>
      </c>
      <c r="Q18" s="822">
        <v>43964</v>
      </c>
      <c r="R18" s="814"/>
      <c r="S18" s="804"/>
      <c r="T18" s="806"/>
      <c r="U18" s="807"/>
      <c r="V18" s="807"/>
      <c r="W18" s="808"/>
      <c r="X18" s="809"/>
      <c r="Y18" s="810"/>
      <c r="Z18" s="810"/>
      <c r="AA18" s="810"/>
      <c r="AB18" s="810"/>
      <c r="AC18" s="810"/>
      <c r="AD18" s="810"/>
      <c r="AE18" s="810"/>
      <c r="AF18" s="810"/>
      <c r="AG18" s="810"/>
      <c r="AH18" s="810"/>
      <c r="AI18" s="810"/>
      <c r="AJ18" s="810"/>
      <c r="AK18" s="810"/>
      <c r="AL18" s="810"/>
      <c r="AM18" s="810"/>
      <c r="AN18" s="810"/>
      <c r="AO18" s="810"/>
      <c r="AP18" s="810"/>
      <c r="AQ18" s="810"/>
      <c r="AR18" s="810"/>
      <c r="AS18" s="810"/>
      <c r="AT18" s="810"/>
      <c r="AU18" s="810"/>
      <c r="AV18" s="810"/>
      <c r="AW18" s="810"/>
      <c r="AX18" s="810"/>
      <c r="AY18" s="810"/>
      <c r="AZ18" s="810"/>
      <c r="BA18" s="810"/>
      <c r="BB18" s="810"/>
      <c r="BC18" s="810"/>
      <c r="BD18" s="810"/>
      <c r="BE18" s="810"/>
      <c r="BF18" s="810"/>
      <c r="BG18" s="810"/>
      <c r="BH18" s="810"/>
      <c r="BI18" s="810"/>
      <c r="BJ18" s="810"/>
      <c r="BK18" s="810"/>
      <c r="BL18" s="810"/>
      <c r="BM18" s="810"/>
      <c r="BN18" s="810"/>
      <c r="BO18" s="810"/>
      <c r="BP18" s="810"/>
      <c r="BQ18" s="810"/>
      <c r="BR18" s="810"/>
      <c r="BS18" s="810"/>
      <c r="BT18" s="810"/>
      <c r="BU18" s="810"/>
      <c r="BV18" s="810"/>
      <c r="BW18" s="810"/>
      <c r="BX18" s="810"/>
      <c r="BY18" s="810"/>
      <c r="BZ18" s="810"/>
      <c r="CA18" s="810"/>
      <c r="CB18" s="810"/>
      <c r="CC18" s="810"/>
      <c r="CD18" s="810"/>
      <c r="CE18" s="810"/>
      <c r="CF18" s="810"/>
      <c r="CG18" s="810"/>
      <c r="CH18" s="810"/>
      <c r="CI18" s="810"/>
      <c r="CJ18" s="810"/>
      <c r="CK18" s="810"/>
      <c r="CL18" s="810"/>
      <c r="CM18" s="810"/>
      <c r="CN18" s="810"/>
      <c r="CO18" s="810"/>
      <c r="CP18" s="810"/>
      <c r="CQ18" s="810"/>
      <c r="CR18" s="810"/>
      <c r="CS18" s="810"/>
      <c r="CT18" s="810"/>
      <c r="CU18" s="810"/>
      <c r="CV18" s="810"/>
      <c r="CW18" s="810"/>
      <c r="CX18" s="810"/>
      <c r="CY18" s="810"/>
      <c r="CZ18" s="810"/>
      <c r="DA18" s="810"/>
      <c r="DB18" s="810"/>
      <c r="DC18" s="810"/>
      <c r="DD18" s="810"/>
      <c r="DE18" s="810"/>
      <c r="DF18" s="810"/>
      <c r="DG18" s="810"/>
      <c r="DH18" s="810"/>
      <c r="DI18" s="810"/>
      <c r="DJ18" s="810"/>
      <c r="DK18" s="810"/>
      <c r="DL18" s="810"/>
      <c r="DM18" s="810"/>
      <c r="DN18" s="810"/>
      <c r="DO18" s="810"/>
      <c r="DP18" s="810"/>
      <c r="DQ18" s="810"/>
      <c r="DR18" s="810"/>
      <c r="DS18" s="810"/>
      <c r="DT18" s="810"/>
      <c r="DU18" s="810"/>
      <c r="DV18" s="810"/>
      <c r="DW18" s="810"/>
      <c r="DX18" s="810"/>
      <c r="DY18" s="810"/>
      <c r="DZ18" s="810"/>
      <c r="EA18" s="810"/>
      <c r="EB18" s="810"/>
      <c r="EC18" s="810"/>
      <c r="ED18" s="810"/>
      <c r="EE18" s="810"/>
      <c r="EF18" s="810"/>
      <c r="EG18" s="810"/>
      <c r="EH18" s="810"/>
      <c r="EI18" s="810"/>
      <c r="EJ18" s="810"/>
      <c r="EK18" s="810"/>
      <c r="EL18" s="810"/>
      <c r="EM18" s="810"/>
      <c r="EN18" s="810"/>
      <c r="EO18" s="810"/>
      <c r="EP18" s="810"/>
      <c r="EQ18" s="810"/>
      <c r="ER18" s="810"/>
      <c r="ES18" s="810"/>
      <c r="ET18" s="810"/>
      <c r="EU18" s="810"/>
      <c r="EV18" s="810"/>
      <c r="EW18" s="810"/>
      <c r="EX18" s="810"/>
      <c r="EY18" s="810"/>
      <c r="EZ18" s="810"/>
      <c r="FA18" s="810"/>
      <c r="FB18" s="810"/>
      <c r="FC18" s="810"/>
      <c r="FD18" s="810"/>
      <c r="FE18" s="810"/>
      <c r="FF18" s="810"/>
      <c r="FG18" s="810"/>
      <c r="FH18" s="810"/>
      <c r="FI18" s="810"/>
      <c r="FJ18" s="810"/>
      <c r="FK18" s="810"/>
      <c r="FL18" s="810"/>
      <c r="FM18" s="810"/>
      <c r="FN18" s="810"/>
      <c r="FO18" s="810"/>
      <c r="FP18" s="810"/>
      <c r="FQ18" s="810"/>
      <c r="FR18" s="810"/>
      <c r="FS18" s="810"/>
      <c r="FT18" s="810"/>
      <c r="FU18" s="810"/>
      <c r="FV18" s="810"/>
      <c r="FW18" s="810"/>
      <c r="FX18" s="810"/>
      <c r="FY18" s="810"/>
      <c r="FZ18" s="810"/>
      <c r="GA18" s="810"/>
      <c r="GB18" s="810"/>
      <c r="GC18" s="810"/>
      <c r="GD18" s="810"/>
      <c r="GE18" s="810"/>
      <c r="GF18" s="810"/>
      <c r="GG18" s="810"/>
      <c r="GH18" s="810"/>
      <c r="GI18" s="810"/>
      <c r="GJ18" s="810"/>
      <c r="GK18" s="810"/>
      <c r="GL18" s="810"/>
      <c r="GM18" s="810"/>
      <c r="GN18" s="810"/>
      <c r="GO18" s="810"/>
      <c r="GP18" s="810"/>
      <c r="GQ18" s="810"/>
      <c r="GR18" s="810"/>
      <c r="GS18" s="810"/>
      <c r="GT18" s="810"/>
      <c r="GU18" s="810"/>
      <c r="GV18" s="810"/>
      <c r="GW18" s="810"/>
      <c r="GX18" s="810"/>
      <c r="GY18" s="810"/>
      <c r="GZ18" s="810"/>
      <c r="HA18" s="810"/>
      <c r="HB18" s="810"/>
      <c r="HC18" s="810"/>
      <c r="HD18" s="810"/>
      <c r="HE18" s="810"/>
      <c r="HF18" s="810"/>
      <c r="HG18" s="810"/>
      <c r="HH18" s="810"/>
      <c r="HI18" s="810"/>
      <c r="HJ18" s="810"/>
      <c r="HK18" s="810"/>
      <c r="HL18" s="810"/>
      <c r="HM18" s="810"/>
      <c r="HN18" s="810"/>
      <c r="HO18" s="810"/>
      <c r="HP18" s="810"/>
      <c r="HQ18" s="810"/>
      <c r="HR18" s="810"/>
      <c r="HS18" s="810"/>
      <c r="HT18" s="810"/>
      <c r="HU18" s="810"/>
      <c r="HV18" s="810"/>
      <c r="HW18" s="810"/>
      <c r="HX18" s="810"/>
      <c r="HY18" s="810"/>
      <c r="HZ18" s="810"/>
      <c r="IA18" s="810"/>
      <c r="IB18" s="810"/>
      <c r="IC18" s="810"/>
      <c r="ID18" s="810"/>
      <c r="IE18" s="810"/>
      <c r="IF18" s="810"/>
      <c r="IG18" s="810"/>
      <c r="IH18" s="810"/>
      <c r="II18" s="810"/>
      <c r="IJ18" s="810"/>
      <c r="IK18" s="810"/>
      <c r="IL18" s="810"/>
      <c r="IM18" s="810"/>
      <c r="IN18" s="810"/>
      <c r="IO18" s="810"/>
      <c r="IP18" s="810"/>
      <c r="IQ18" s="810"/>
      <c r="IR18" s="810"/>
      <c r="IS18" s="810"/>
      <c r="IT18" s="810"/>
      <c r="IU18" s="810"/>
    </row>
    <row r="19" spans="1:255" s="811" customFormat="1" ht="15" customHeight="1" x14ac:dyDescent="0.25">
      <c r="A19" s="817">
        <v>43962</v>
      </c>
      <c r="B19" s="820" t="s">
        <v>4003</v>
      </c>
      <c r="C19" s="821">
        <f>SUM('[4]ROLL OVER ITF'!$M$74:$M$76)</f>
        <v>343667204</v>
      </c>
      <c r="D19" s="798">
        <f t="shared" si="2"/>
        <v>43967</v>
      </c>
      <c r="E19" s="820">
        <f t="shared" si="0"/>
        <v>-2</v>
      </c>
      <c r="F19" s="818">
        <v>343667204</v>
      </c>
      <c r="G19" s="819">
        <v>43969</v>
      </c>
      <c r="H19" s="814"/>
      <c r="I19" s="814"/>
      <c r="J19" s="814"/>
      <c r="K19" s="814"/>
      <c r="L19" s="814"/>
      <c r="M19" s="813">
        <f t="shared" si="3"/>
        <v>5632323.6211111117</v>
      </c>
      <c r="N19" s="814"/>
      <c r="O19" s="814"/>
      <c r="P19" s="818">
        <v>693349</v>
      </c>
      <c r="Q19" s="822">
        <v>43969</v>
      </c>
      <c r="R19" s="814"/>
      <c r="S19" s="804"/>
      <c r="T19" s="806"/>
      <c r="U19" s="807"/>
      <c r="V19" s="807"/>
      <c r="W19" s="808"/>
      <c r="X19" s="809"/>
      <c r="Y19" s="810"/>
      <c r="Z19" s="810"/>
      <c r="AA19" s="810"/>
      <c r="AB19" s="810"/>
      <c r="AC19" s="810"/>
      <c r="AD19" s="810"/>
      <c r="AE19" s="810"/>
      <c r="AF19" s="810"/>
      <c r="AG19" s="810"/>
      <c r="AH19" s="810"/>
      <c r="AI19" s="810"/>
      <c r="AJ19" s="810"/>
      <c r="AK19" s="810"/>
      <c r="AL19" s="810"/>
      <c r="AM19" s="810"/>
      <c r="AN19" s="810"/>
      <c r="AO19" s="810"/>
      <c r="AP19" s="810"/>
      <c r="AQ19" s="810"/>
      <c r="AR19" s="810"/>
      <c r="AS19" s="810"/>
      <c r="AT19" s="810"/>
      <c r="AU19" s="810"/>
      <c r="AV19" s="810"/>
      <c r="AW19" s="810"/>
      <c r="AX19" s="810"/>
      <c r="AY19" s="810"/>
      <c r="AZ19" s="810"/>
      <c r="BA19" s="810"/>
      <c r="BB19" s="810"/>
      <c r="BC19" s="810"/>
      <c r="BD19" s="810"/>
      <c r="BE19" s="810"/>
      <c r="BF19" s="810"/>
      <c r="BG19" s="810"/>
      <c r="BH19" s="810"/>
      <c r="BI19" s="810"/>
      <c r="BJ19" s="810"/>
      <c r="BK19" s="810"/>
      <c r="BL19" s="810"/>
      <c r="BM19" s="810"/>
      <c r="BN19" s="810"/>
      <c r="BO19" s="810"/>
      <c r="BP19" s="810"/>
      <c r="BQ19" s="810"/>
      <c r="BR19" s="810"/>
      <c r="BS19" s="810"/>
      <c r="BT19" s="810"/>
      <c r="BU19" s="810"/>
      <c r="BV19" s="810"/>
      <c r="BW19" s="810"/>
      <c r="BX19" s="810"/>
      <c r="BY19" s="810"/>
      <c r="BZ19" s="810"/>
      <c r="CA19" s="810"/>
      <c r="CB19" s="810"/>
      <c r="CC19" s="810"/>
      <c r="CD19" s="810"/>
      <c r="CE19" s="810"/>
      <c r="CF19" s="810"/>
      <c r="CG19" s="810"/>
      <c r="CH19" s="810"/>
      <c r="CI19" s="810"/>
      <c r="CJ19" s="810"/>
      <c r="CK19" s="810"/>
      <c r="CL19" s="810"/>
      <c r="CM19" s="810"/>
      <c r="CN19" s="810"/>
      <c r="CO19" s="810"/>
      <c r="CP19" s="810"/>
      <c r="CQ19" s="810"/>
      <c r="CR19" s="810"/>
      <c r="CS19" s="810"/>
      <c r="CT19" s="810"/>
      <c r="CU19" s="810"/>
      <c r="CV19" s="810"/>
      <c r="CW19" s="810"/>
      <c r="CX19" s="810"/>
      <c r="CY19" s="810"/>
      <c r="CZ19" s="810"/>
      <c r="DA19" s="810"/>
      <c r="DB19" s="810"/>
      <c r="DC19" s="810"/>
      <c r="DD19" s="810"/>
      <c r="DE19" s="810"/>
      <c r="DF19" s="810"/>
      <c r="DG19" s="810"/>
      <c r="DH19" s="810"/>
      <c r="DI19" s="810"/>
      <c r="DJ19" s="810"/>
      <c r="DK19" s="810"/>
      <c r="DL19" s="810"/>
      <c r="DM19" s="810"/>
      <c r="DN19" s="810"/>
      <c r="DO19" s="810"/>
      <c r="DP19" s="810"/>
      <c r="DQ19" s="810"/>
      <c r="DR19" s="810"/>
      <c r="DS19" s="810"/>
      <c r="DT19" s="810"/>
      <c r="DU19" s="810"/>
      <c r="DV19" s="810"/>
      <c r="DW19" s="810"/>
      <c r="DX19" s="810"/>
      <c r="DY19" s="810"/>
      <c r="DZ19" s="810"/>
      <c r="EA19" s="810"/>
      <c r="EB19" s="810"/>
      <c r="EC19" s="810"/>
      <c r="ED19" s="810"/>
      <c r="EE19" s="810"/>
      <c r="EF19" s="810"/>
      <c r="EG19" s="810"/>
      <c r="EH19" s="810"/>
      <c r="EI19" s="810"/>
      <c r="EJ19" s="810"/>
      <c r="EK19" s="810"/>
      <c r="EL19" s="810"/>
      <c r="EM19" s="810"/>
      <c r="EN19" s="810"/>
      <c r="EO19" s="810"/>
      <c r="EP19" s="810"/>
      <c r="EQ19" s="810"/>
      <c r="ER19" s="810"/>
      <c r="ES19" s="810"/>
      <c r="ET19" s="810"/>
      <c r="EU19" s="810"/>
      <c r="EV19" s="810"/>
      <c r="EW19" s="810"/>
      <c r="EX19" s="810"/>
      <c r="EY19" s="810"/>
      <c r="EZ19" s="810"/>
      <c r="FA19" s="810"/>
      <c r="FB19" s="810"/>
      <c r="FC19" s="810"/>
      <c r="FD19" s="810"/>
      <c r="FE19" s="810"/>
      <c r="FF19" s="810"/>
      <c r="FG19" s="810"/>
      <c r="FH19" s="810"/>
      <c r="FI19" s="810"/>
      <c r="FJ19" s="810"/>
      <c r="FK19" s="810"/>
      <c r="FL19" s="810"/>
      <c r="FM19" s="810"/>
      <c r="FN19" s="810"/>
      <c r="FO19" s="810"/>
      <c r="FP19" s="810"/>
      <c r="FQ19" s="810"/>
      <c r="FR19" s="810"/>
      <c r="FS19" s="810"/>
      <c r="FT19" s="810"/>
      <c r="FU19" s="810"/>
      <c r="FV19" s="810"/>
      <c r="FW19" s="810"/>
      <c r="FX19" s="810"/>
      <c r="FY19" s="810"/>
      <c r="FZ19" s="810"/>
      <c r="GA19" s="810"/>
      <c r="GB19" s="810"/>
      <c r="GC19" s="810"/>
      <c r="GD19" s="810"/>
      <c r="GE19" s="810"/>
      <c r="GF19" s="810"/>
      <c r="GG19" s="810"/>
      <c r="GH19" s="810"/>
      <c r="GI19" s="810"/>
      <c r="GJ19" s="810"/>
      <c r="GK19" s="810"/>
      <c r="GL19" s="810"/>
      <c r="GM19" s="810"/>
      <c r="GN19" s="810"/>
      <c r="GO19" s="810"/>
      <c r="GP19" s="810"/>
      <c r="GQ19" s="810"/>
      <c r="GR19" s="810"/>
      <c r="GS19" s="810"/>
      <c r="GT19" s="810"/>
      <c r="GU19" s="810"/>
      <c r="GV19" s="810"/>
      <c r="GW19" s="810"/>
      <c r="GX19" s="810"/>
      <c r="GY19" s="810"/>
      <c r="GZ19" s="810"/>
      <c r="HA19" s="810"/>
      <c r="HB19" s="810"/>
      <c r="HC19" s="810"/>
      <c r="HD19" s="810"/>
      <c r="HE19" s="810"/>
      <c r="HF19" s="810"/>
      <c r="HG19" s="810"/>
      <c r="HH19" s="810"/>
      <c r="HI19" s="810"/>
      <c r="HJ19" s="810"/>
      <c r="HK19" s="810"/>
      <c r="HL19" s="810"/>
      <c r="HM19" s="810"/>
      <c r="HN19" s="810"/>
      <c r="HO19" s="810"/>
      <c r="HP19" s="810"/>
      <c r="HQ19" s="810"/>
      <c r="HR19" s="810"/>
      <c r="HS19" s="810"/>
      <c r="HT19" s="810"/>
      <c r="HU19" s="810"/>
      <c r="HV19" s="810"/>
      <c r="HW19" s="810"/>
      <c r="HX19" s="810"/>
      <c r="HY19" s="810"/>
      <c r="HZ19" s="810"/>
      <c r="IA19" s="810"/>
      <c r="IB19" s="810"/>
      <c r="IC19" s="810"/>
      <c r="ID19" s="810"/>
      <c r="IE19" s="810"/>
      <c r="IF19" s="810"/>
      <c r="IG19" s="810"/>
      <c r="IH19" s="810"/>
      <c r="II19" s="810"/>
      <c r="IJ19" s="810"/>
      <c r="IK19" s="810"/>
      <c r="IL19" s="810"/>
      <c r="IM19" s="810"/>
      <c r="IN19" s="810"/>
      <c r="IO19" s="810"/>
      <c r="IP19" s="810"/>
      <c r="IQ19" s="810"/>
      <c r="IR19" s="810"/>
      <c r="IS19" s="810"/>
      <c r="IT19" s="810"/>
      <c r="IU19" s="810"/>
    </row>
    <row r="20" spans="1:255" ht="15" customHeight="1" x14ac:dyDescent="0.25">
      <c r="A20" s="790">
        <v>43980</v>
      </c>
      <c r="B20" s="791" t="s">
        <v>4973</v>
      </c>
      <c r="C20" s="792">
        <v>1729534891</v>
      </c>
      <c r="D20" s="763">
        <f>A20+$J$4</f>
        <v>43995</v>
      </c>
      <c r="E20" s="766">
        <f t="shared" si="0"/>
        <v>-2</v>
      </c>
      <c r="F20" s="768">
        <v>1729534891</v>
      </c>
      <c r="G20" s="763">
        <v>43997</v>
      </c>
      <c r="H20" s="768"/>
      <c r="I20" s="771"/>
      <c r="J20" s="768"/>
      <c r="K20" s="774"/>
      <c r="L20" s="776">
        <f t="shared" ref="L20:L40" si="4">C20-F20-H20-J20</f>
        <v>0</v>
      </c>
      <c r="M20" s="781">
        <f t="shared" si="3"/>
        <v>28345155.158055559</v>
      </c>
      <c r="N20" s="737"/>
      <c r="O20" s="783"/>
      <c r="P20" s="737">
        <v>7366377</v>
      </c>
      <c r="Q20" s="785">
        <v>43997</v>
      </c>
      <c r="R20" s="737"/>
      <c r="S20" s="779"/>
      <c r="T20" s="513"/>
      <c r="U20" s="514"/>
      <c r="V20" s="515"/>
      <c r="W20" s="516"/>
      <c r="X20" s="467"/>
    </row>
    <row r="21" spans="1:255" s="793" customFormat="1" x14ac:dyDescent="0.25">
      <c r="A21" s="693">
        <v>43980</v>
      </c>
      <c r="B21" s="694" t="s">
        <v>4973</v>
      </c>
      <c r="C21" s="695">
        <v>1488152563</v>
      </c>
      <c r="D21" s="763">
        <f t="shared" ref="D21:D40" si="5">A21+$J$4</f>
        <v>43995</v>
      </c>
      <c r="E21" s="652">
        <f t="shared" si="0"/>
        <v>1</v>
      </c>
      <c r="F21" s="632">
        <v>1488152563</v>
      </c>
      <c r="G21" s="631">
        <v>43994</v>
      </c>
      <c r="H21" s="632"/>
      <c r="I21" s="633"/>
      <c r="J21" s="632"/>
      <c r="K21" s="634"/>
      <c r="L21" s="778">
        <f t="shared" si="4"/>
        <v>0</v>
      </c>
      <c r="M21" s="781">
        <f t="shared" si="3"/>
        <v>24389167.004722223</v>
      </c>
      <c r="N21" s="635"/>
      <c r="O21" s="636"/>
      <c r="P21" s="635">
        <v>5330893</v>
      </c>
      <c r="Q21" s="662">
        <v>43994</v>
      </c>
      <c r="R21" s="635"/>
      <c r="S21" s="361"/>
    </row>
    <row r="22" spans="1:255" s="794" customFormat="1" x14ac:dyDescent="0.25">
      <c r="A22" s="713">
        <v>43987</v>
      </c>
      <c r="B22" s="714" t="s">
        <v>4973</v>
      </c>
      <c r="C22" s="663">
        <v>527771304</v>
      </c>
      <c r="D22" s="763">
        <f t="shared" si="5"/>
        <v>44002</v>
      </c>
      <c r="E22" s="652">
        <f t="shared" si="0"/>
        <v>-2</v>
      </c>
      <c r="F22" s="653">
        <v>527771304</v>
      </c>
      <c r="G22" s="651">
        <v>44004</v>
      </c>
      <c r="H22" s="653"/>
      <c r="I22" s="654"/>
      <c r="J22" s="653"/>
      <c r="K22" s="655"/>
      <c r="L22" s="778">
        <f t="shared" si="4"/>
        <v>0</v>
      </c>
      <c r="M22" s="781">
        <f t="shared" si="3"/>
        <v>8649585.2599999998</v>
      </c>
      <c r="N22" s="656"/>
      <c r="O22" s="657"/>
      <c r="P22" s="656">
        <v>2247866</v>
      </c>
      <c r="Q22" s="787">
        <v>44004</v>
      </c>
      <c r="R22" s="656"/>
      <c r="S22" s="635"/>
    </row>
    <row r="23" spans="1:255" s="660" customFormat="1" ht="15" customHeight="1" x14ac:dyDescent="0.25">
      <c r="A23" s="757">
        <v>43990</v>
      </c>
      <c r="B23" s="758" t="s">
        <v>4973</v>
      </c>
      <c r="C23" s="761">
        <v>655202563</v>
      </c>
      <c r="D23" s="763">
        <f t="shared" si="5"/>
        <v>44005</v>
      </c>
      <c r="E23" s="766">
        <f t="shared" si="0"/>
        <v>0</v>
      </c>
      <c r="F23" s="769">
        <v>655202563</v>
      </c>
      <c r="G23" s="764">
        <v>44005</v>
      </c>
      <c r="H23" s="769"/>
      <c r="I23" s="772"/>
      <c r="J23" s="769"/>
      <c r="K23" s="775"/>
      <c r="L23" s="776">
        <f t="shared" si="4"/>
        <v>0</v>
      </c>
      <c r="M23" s="781">
        <f t="shared" si="3"/>
        <v>10738042.004722223</v>
      </c>
      <c r="N23" s="781"/>
      <c r="O23" s="784"/>
      <c r="P23" s="781">
        <v>2496868</v>
      </c>
      <c r="Q23" s="788">
        <v>44005</v>
      </c>
      <c r="R23" s="781"/>
      <c r="S23" s="737"/>
      <c r="T23" s="781"/>
      <c r="U23" s="784"/>
      <c r="V23" s="784"/>
      <c r="W23" s="789"/>
      <c r="X23" s="658"/>
      <c r="Y23" s="659"/>
      <c r="Z23" s="659"/>
      <c r="AA23" s="659"/>
      <c r="AB23" s="659"/>
      <c r="AC23" s="659"/>
      <c r="AD23" s="659"/>
      <c r="AE23" s="659"/>
      <c r="AF23" s="659"/>
      <c r="AG23" s="659"/>
      <c r="AH23" s="659"/>
      <c r="AI23" s="659"/>
      <c r="AJ23" s="659"/>
      <c r="AK23" s="659"/>
      <c r="AL23" s="659"/>
      <c r="AM23" s="659"/>
      <c r="AN23" s="659"/>
      <c r="AO23" s="659"/>
      <c r="AP23" s="659"/>
      <c r="AQ23" s="659"/>
      <c r="AR23" s="659"/>
      <c r="AS23" s="659"/>
      <c r="AT23" s="659"/>
      <c r="AU23" s="659"/>
      <c r="AV23" s="659"/>
      <c r="AW23" s="659"/>
      <c r="AX23" s="659"/>
      <c r="AY23" s="659"/>
      <c r="AZ23" s="659"/>
      <c r="BA23" s="659"/>
      <c r="BB23" s="659"/>
      <c r="BC23" s="659"/>
      <c r="BD23" s="659"/>
      <c r="BE23" s="659"/>
      <c r="BF23" s="659"/>
      <c r="BG23" s="659"/>
      <c r="BH23" s="659"/>
      <c r="BI23" s="659"/>
      <c r="BJ23" s="659"/>
      <c r="BK23" s="659"/>
      <c r="BL23" s="659"/>
      <c r="BM23" s="659"/>
      <c r="BN23" s="659"/>
      <c r="BO23" s="659"/>
      <c r="BP23" s="659"/>
      <c r="BQ23" s="659"/>
      <c r="BR23" s="659"/>
      <c r="BS23" s="659"/>
      <c r="BT23" s="659"/>
      <c r="BU23" s="659"/>
      <c r="BV23" s="659"/>
      <c r="BW23" s="659"/>
      <c r="BX23" s="659"/>
      <c r="BY23" s="659"/>
      <c r="BZ23" s="659"/>
      <c r="CA23" s="659"/>
      <c r="CB23" s="659"/>
      <c r="CC23" s="659"/>
      <c r="CD23" s="659"/>
      <c r="CE23" s="659"/>
      <c r="CF23" s="659"/>
      <c r="CG23" s="659"/>
      <c r="CH23" s="659"/>
      <c r="CI23" s="659"/>
      <c r="CJ23" s="659"/>
      <c r="CK23" s="659"/>
      <c r="CL23" s="659"/>
      <c r="CM23" s="659"/>
      <c r="CN23" s="659"/>
      <c r="CO23" s="659"/>
      <c r="CP23" s="659"/>
      <c r="CQ23" s="659"/>
      <c r="CR23" s="659"/>
      <c r="CS23" s="659"/>
      <c r="CT23" s="659"/>
      <c r="CU23" s="659"/>
      <c r="CV23" s="659"/>
      <c r="CW23" s="659"/>
      <c r="CX23" s="659"/>
      <c r="CY23" s="659"/>
      <c r="CZ23" s="659"/>
      <c r="DA23" s="659"/>
      <c r="DB23" s="659"/>
      <c r="DC23" s="659"/>
      <c r="DD23" s="659"/>
      <c r="DE23" s="659"/>
      <c r="DF23" s="659"/>
      <c r="DG23" s="659"/>
      <c r="DH23" s="659"/>
      <c r="DI23" s="659"/>
      <c r="DJ23" s="659"/>
      <c r="DK23" s="659"/>
      <c r="DL23" s="659"/>
      <c r="DM23" s="659"/>
      <c r="DN23" s="659"/>
      <c r="DO23" s="659"/>
      <c r="DP23" s="659"/>
      <c r="DQ23" s="659"/>
      <c r="DR23" s="659"/>
      <c r="DS23" s="659"/>
      <c r="DT23" s="659"/>
      <c r="DU23" s="659"/>
      <c r="DV23" s="659"/>
      <c r="DW23" s="659"/>
      <c r="DX23" s="659"/>
      <c r="DY23" s="659"/>
      <c r="DZ23" s="659"/>
      <c r="EA23" s="659"/>
      <c r="EB23" s="659"/>
      <c r="EC23" s="659"/>
      <c r="ED23" s="659"/>
      <c r="EE23" s="659"/>
      <c r="EF23" s="659"/>
      <c r="EG23" s="659"/>
      <c r="EH23" s="659"/>
      <c r="EI23" s="659"/>
      <c r="EJ23" s="659"/>
      <c r="EK23" s="659"/>
      <c r="EL23" s="659"/>
      <c r="EM23" s="659"/>
      <c r="EN23" s="659"/>
      <c r="EO23" s="659"/>
      <c r="EP23" s="659"/>
      <c r="EQ23" s="659"/>
      <c r="ER23" s="659"/>
      <c r="ES23" s="659"/>
      <c r="ET23" s="659"/>
      <c r="EU23" s="659"/>
      <c r="EV23" s="659"/>
      <c r="EW23" s="659"/>
      <c r="EX23" s="659"/>
      <c r="EY23" s="659"/>
      <c r="EZ23" s="659"/>
      <c r="FA23" s="659"/>
      <c r="FB23" s="659"/>
      <c r="FC23" s="659"/>
      <c r="FD23" s="659"/>
      <c r="FE23" s="659"/>
      <c r="FF23" s="659"/>
      <c r="FG23" s="659"/>
      <c r="FH23" s="659"/>
      <c r="FI23" s="659"/>
      <c r="FJ23" s="659"/>
      <c r="FK23" s="659"/>
      <c r="FL23" s="659"/>
      <c r="FM23" s="659"/>
      <c r="FN23" s="659"/>
      <c r="FO23" s="659"/>
      <c r="FP23" s="659"/>
      <c r="FQ23" s="659"/>
      <c r="FR23" s="659"/>
      <c r="FS23" s="659"/>
      <c r="FT23" s="659"/>
      <c r="FU23" s="659"/>
      <c r="FV23" s="659"/>
      <c r="FW23" s="659"/>
      <c r="FX23" s="659"/>
      <c r="FY23" s="659"/>
      <c r="FZ23" s="659"/>
      <c r="GA23" s="659"/>
      <c r="GB23" s="659"/>
      <c r="GC23" s="659"/>
      <c r="GD23" s="659"/>
      <c r="GE23" s="659"/>
      <c r="GF23" s="659"/>
      <c r="GG23" s="659"/>
      <c r="GH23" s="659"/>
      <c r="GI23" s="659"/>
      <c r="GJ23" s="659"/>
      <c r="GK23" s="659"/>
      <c r="GL23" s="659"/>
      <c r="GM23" s="659"/>
      <c r="GN23" s="659"/>
      <c r="GO23" s="659"/>
      <c r="GP23" s="659"/>
      <c r="GQ23" s="659"/>
      <c r="GR23" s="659"/>
      <c r="GS23" s="659"/>
      <c r="GT23" s="659"/>
      <c r="GU23" s="659"/>
      <c r="GV23" s="659"/>
      <c r="GW23" s="659"/>
      <c r="GX23" s="659"/>
      <c r="GY23" s="659"/>
      <c r="GZ23" s="659"/>
      <c r="HA23" s="659"/>
      <c r="HB23" s="659"/>
      <c r="HC23" s="659"/>
      <c r="HD23" s="659"/>
      <c r="HE23" s="659"/>
      <c r="HF23" s="659"/>
      <c r="HG23" s="659"/>
      <c r="HH23" s="659"/>
      <c r="HI23" s="659"/>
      <c r="HJ23" s="659"/>
      <c r="HK23" s="659"/>
      <c r="HL23" s="659"/>
      <c r="HM23" s="659"/>
      <c r="HN23" s="659"/>
      <c r="HO23" s="659"/>
      <c r="HP23" s="659"/>
      <c r="HQ23" s="659"/>
      <c r="HR23" s="659"/>
      <c r="HS23" s="659"/>
      <c r="HT23" s="659"/>
      <c r="HU23" s="659"/>
      <c r="HV23" s="659"/>
      <c r="HW23" s="659"/>
      <c r="HX23" s="659"/>
      <c r="HY23" s="659"/>
      <c r="HZ23" s="659"/>
      <c r="IA23" s="659"/>
      <c r="IB23" s="659"/>
      <c r="IC23" s="659"/>
      <c r="ID23" s="659"/>
      <c r="IE23" s="659"/>
      <c r="IF23" s="659"/>
      <c r="IG23" s="659"/>
      <c r="IH23" s="659"/>
      <c r="II23" s="659"/>
      <c r="IJ23" s="659"/>
      <c r="IK23" s="659"/>
      <c r="IL23" s="659"/>
      <c r="IM23" s="659"/>
      <c r="IN23" s="659"/>
      <c r="IO23" s="659"/>
      <c r="IP23" s="659"/>
      <c r="IQ23" s="659"/>
      <c r="IR23" s="659"/>
      <c r="IS23" s="659"/>
      <c r="IT23" s="659"/>
      <c r="IU23" s="659"/>
    </row>
    <row r="24" spans="1:255" s="660" customFormat="1" ht="15" customHeight="1" x14ac:dyDescent="0.25">
      <c r="A24" s="757">
        <v>43994</v>
      </c>
      <c r="B24" s="758" t="s">
        <v>4973</v>
      </c>
      <c r="C24" s="761">
        <v>877728147</v>
      </c>
      <c r="D24" s="763">
        <f t="shared" si="5"/>
        <v>44009</v>
      </c>
      <c r="E24" s="766">
        <f t="shared" si="0"/>
        <v>1</v>
      </c>
      <c r="F24" s="769">
        <v>877728147</v>
      </c>
      <c r="G24" s="764">
        <v>44008</v>
      </c>
      <c r="H24" s="769"/>
      <c r="I24" s="772"/>
      <c r="J24" s="769"/>
      <c r="K24" s="775"/>
      <c r="L24" s="776">
        <f t="shared" si="4"/>
        <v>0</v>
      </c>
      <c r="M24" s="781">
        <f t="shared" si="3"/>
        <v>14384989.075833334</v>
      </c>
      <c r="N24" s="781"/>
      <c r="O24" s="784"/>
      <c r="P24" s="781">
        <v>3144217</v>
      </c>
      <c r="Q24" s="788">
        <v>44008</v>
      </c>
      <c r="R24" s="781"/>
      <c r="S24" s="737"/>
      <c r="T24" s="781"/>
      <c r="U24" s="784"/>
      <c r="V24" s="784"/>
      <c r="W24" s="789"/>
      <c r="X24" s="658"/>
      <c r="Y24" s="659"/>
      <c r="Z24" s="659"/>
      <c r="AA24" s="659"/>
      <c r="AB24" s="659"/>
      <c r="AC24" s="659"/>
      <c r="AD24" s="659"/>
      <c r="AE24" s="659"/>
      <c r="AF24" s="659"/>
      <c r="AG24" s="659"/>
      <c r="AH24" s="659"/>
      <c r="AI24" s="659"/>
      <c r="AJ24" s="659"/>
      <c r="AK24" s="659"/>
      <c r="AL24" s="659"/>
      <c r="AM24" s="659"/>
      <c r="AN24" s="659"/>
      <c r="AO24" s="659"/>
      <c r="AP24" s="659"/>
      <c r="AQ24" s="659"/>
      <c r="AR24" s="659"/>
      <c r="AS24" s="659"/>
      <c r="AT24" s="659"/>
      <c r="AU24" s="659"/>
      <c r="AV24" s="659"/>
      <c r="AW24" s="659"/>
      <c r="AX24" s="659"/>
      <c r="AY24" s="659"/>
      <c r="AZ24" s="659"/>
      <c r="BA24" s="659"/>
      <c r="BB24" s="659"/>
      <c r="BC24" s="659"/>
      <c r="BD24" s="659"/>
      <c r="BE24" s="659"/>
      <c r="BF24" s="659"/>
      <c r="BG24" s="659"/>
      <c r="BH24" s="659"/>
      <c r="BI24" s="659"/>
      <c r="BJ24" s="659"/>
      <c r="BK24" s="659"/>
      <c r="BL24" s="659"/>
      <c r="BM24" s="659"/>
      <c r="BN24" s="659"/>
      <c r="BO24" s="659"/>
      <c r="BP24" s="659"/>
      <c r="BQ24" s="659"/>
      <c r="BR24" s="659"/>
      <c r="BS24" s="659"/>
      <c r="BT24" s="659"/>
      <c r="BU24" s="659"/>
      <c r="BV24" s="659"/>
      <c r="BW24" s="659"/>
      <c r="BX24" s="659"/>
      <c r="BY24" s="659"/>
      <c r="BZ24" s="659"/>
      <c r="CA24" s="659"/>
      <c r="CB24" s="659"/>
      <c r="CC24" s="659"/>
      <c r="CD24" s="659"/>
      <c r="CE24" s="659"/>
      <c r="CF24" s="659"/>
      <c r="CG24" s="659"/>
      <c r="CH24" s="659"/>
      <c r="CI24" s="659"/>
      <c r="CJ24" s="659"/>
      <c r="CK24" s="659"/>
      <c r="CL24" s="659"/>
      <c r="CM24" s="659"/>
      <c r="CN24" s="659"/>
      <c r="CO24" s="659"/>
      <c r="CP24" s="659"/>
      <c r="CQ24" s="659"/>
      <c r="CR24" s="659"/>
      <c r="CS24" s="659"/>
      <c r="CT24" s="659"/>
      <c r="CU24" s="659"/>
      <c r="CV24" s="659"/>
      <c r="CW24" s="659"/>
      <c r="CX24" s="659"/>
      <c r="CY24" s="659"/>
      <c r="CZ24" s="659"/>
      <c r="DA24" s="659"/>
      <c r="DB24" s="659"/>
      <c r="DC24" s="659"/>
      <c r="DD24" s="659"/>
      <c r="DE24" s="659"/>
      <c r="DF24" s="659"/>
      <c r="DG24" s="659"/>
      <c r="DH24" s="659"/>
      <c r="DI24" s="659"/>
      <c r="DJ24" s="659"/>
      <c r="DK24" s="659"/>
      <c r="DL24" s="659"/>
      <c r="DM24" s="659"/>
      <c r="DN24" s="659"/>
      <c r="DO24" s="659"/>
      <c r="DP24" s="659"/>
      <c r="DQ24" s="659"/>
      <c r="DR24" s="659"/>
      <c r="DS24" s="659"/>
      <c r="DT24" s="659"/>
      <c r="DU24" s="659"/>
      <c r="DV24" s="659"/>
      <c r="DW24" s="659"/>
      <c r="DX24" s="659"/>
      <c r="DY24" s="659"/>
      <c r="DZ24" s="659"/>
      <c r="EA24" s="659"/>
      <c r="EB24" s="659"/>
      <c r="EC24" s="659"/>
      <c r="ED24" s="659"/>
      <c r="EE24" s="659"/>
      <c r="EF24" s="659"/>
      <c r="EG24" s="659"/>
      <c r="EH24" s="659"/>
      <c r="EI24" s="659"/>
      <c r="EJ24" s="659"/>
      <c r="EK24" s="659"/>
      <c r="EL24" s="659"/>
      <c r="EM24" s="659"/>
      <c r="EN24" s="659"/>
      <c r="EO24" s="659"/>
      <c r="EP24" s="659"/>
      <c r="EQ24" s="659"/>
      <c r="ER24" s="659"/>
      <c r="ES24" s="659"/>
      <c r="ET24" s="659"/>
      <c r="EU24" s="659"/>
      <c r="EV24" s="659"/>
      <c r="EW24" s="659"/>
      <c r="EX24" s="659"/>
      <c r="EY24" s="659"/>
      <c r="EZ24" s="659"/>
      <c r="FA24" s="659"/>
      <c r="FB24" s="659"/>
      <c r="FC24" s="659"/>
      <c r="FD24" s="659"/>
      <c r="FE24" s="659"/>
      <c r="FF24" s="659"/>
      <c r="FG24" s="659"/>
      <c r="FH24" s="659"/>
      <c r="FI24" s="659"/>
      <c r="FJ24" s="659"/>
      <c r="FK24" s="659"/>
      <c r="FL24" s="659"/>
      <c r="FM24" s="659"/>
      <c r="FN24" s="659"/>
      <c r="FO24" s="659"/>
      <c r="FP24" s="659"/>
      <c r="FQ24" s="659"/>
      <c r="FR24" s="659"/>
      <c r="FS24" s="659"/>
      <c r="FT24" s="659"/>
      <c r="FU24" s="659"/>
      <c r="FV24" s="659"/>
      <c r="FW24" s="659"/>
      <c r="FX24" s="659"/>
      <c r="FY24" s="659"/>
      <c r="FZ24" s="659"/>
      <c r="GA24" s="659"/>
      <c r="GB24" s="659"/>
      <c r="GC24" s="659"/>
      <c r="GD24" s="659"/>
      <c r="GE24" s="659"/>
      <c r="GF24" s="659"/>
      <c r="GG24" s="659"/>
      <c r="GH24" s="659"/>
      <c r="GI24" s="659"/>
      <c r="GJ24" s="659"/>
      <c r="GK24" s="659"/>
      <c r="GL24" s="659"/>
      <c r="GM24" s="659"/>
      <c r="GN24" s="659"/>
      <c r="GO24" s="659"/>
      <c r="GP24" s="659"/>
      <c r="GQ24" s="659"/>
      <c r="GR24" s="659"/>
      <c r="GS24" s="659"/>
      <c r="GT24" s="659"/>
      <c r="GU24" s="659"/>
      <c r="GV24" s="659"/>
      <c r="GW24" s="659"/>
      <c r="GX24" s="659"/>
      <c r="GY24" s="659"/>
      <c r="GZ24" s="659"/>
      <c r="HA24" s="659"/>
      <c r="HB24" s="659"/>
      <c r="HC24" s="659"/>
      <c r="HD24" s="659"/>
      <c r="HE24" s="659"/>
      <c r="HF24" s="659"/>
      <c r="HG24" s="659"/>
      <c r="HH24" s="659"/>
      <c r="HI24" s="659"/>
      <c r="HJ24" s="659"/>
      <c r="HK24" s="659"/>
      <c r="HL24" s="659"/>
      <c r="HM24" s="659"/>
      <c r="HN24" s="659"/>
      <c r="HO24" s="659"/>
      <c r="HP24" s="659"/>
      <c r="HQ24" s="659"/>
      <c r="HR24" s="659"/>
      <c r="HS24" s="659"/>
      <c r="HT24" s="659"/>
      <c r="HU24" s="659"/>
      <c r="HV24" s="659"/>
      <c r="HW24" s="659"/>
      <c r="HX24" s="659"/>
      <c r="HY24" s="659"/>
      <c r="HZ24" s="659"/>
      <c r="IA24" s="659"/>
      <c r="IB24" s="659"/>
      <c r="IC24" s="659"/>
      <c r="ID24" s="659"/>
      <c r="IE24" s="659"/>
      <c r="IF24" s="659"/>
      <c r="IG24" s="659"/>
      <c r="IH24" s="659"/>
      <c r="II24" s="659"/>
      <c r="IJ24" s="659"/>
      <c r="IK24" s="659"/>
      <c r="IL24" s="659"/>
      <c r="IM24" s="659"/>
      <c r="IN24" s="659"/>
      <c r="IO24" s="659"/>
      <c r="IP24" s="659"/>
      <c r="IQ24" s="659"/>
      <c r="IR24" s="659"/>
      <c r="IS24" s="659"/>
      <c r="IT24" s="659"/>
      <c r="IU24" s="659"/>
    </row>
    <row r="25" spans="1:255" ht="15" customHeight="1" x14ac:dyDescent="0.25">
      <c r="A25" s="713">
        <v>43997</v>
      </c>
      <c r="B25" s="714" t="s">
        <v>4973</v>
      </c>
      <c r="C25" s="663">
        <v>491821560</v>
      </c>
      <c r="D25" s="763">
        <f t="shared" si="5"/>
        <v>44012</v>
      </c>
      <c r="E25" s="652">
        <f t="shared" si="0"/>
        <v>0</v>
      </c>
      <c r="F25" s="653">
        <v>491821560</v>
      </c>
      <c r="G25" s="651">
        <v>44012</v>
      </c>
      <c r="H25" s="653"/>
      <c r="I25" s="654"/>
      <c r="J25" s="653"/>
      <c r="K25" s="655"/>
      <c r="L25" s="679">
        <f t="shared" si="4"/>
        <v>0</v>
      </c>
      <c r="M25" s="781">
        <f t="shared" si="3"/>
        <v>8060408.9000000004</v>
      </c>
      <c r="N25" s="656"/>
      <c r="O25" s="657"/>
      <c r="P25" s="656">
        <v>1874250</v>
      </c>
      <c r="Q25" s="697">
        <v>44012</v>
      </c>
      <c r="R25" s="656"/>
      <c r="S25" s="707"/>
      <c r="T25" s="518"/>
      <c r="U25" s="519"/>
      <c r="V25" s="520"/>
      <c r="W25" s="521"/>
      <c r="X25" s="467"/>
    </row>
    <row r="26" spans="1:255" ht="15" customHeight="1" x14ac:dyDescent="0.25">
      <c r="A26" s="757">
        <v>43999</v>
      </c>
      <c r="B26" s="758" t="s">
        <v>4973</v>
      </c>
      <c r="C26" s="761">
        <v>821252787</v>
      </c>
      <c r="D26" s="763">
        <f t="shared" si="5"/>
        <v>44014</v>
      </c>
      <c r="E26" s="766">
        <f t="shared" si="0"/>
        <v>1</v>
      </c>
      <c r="F26" s="769">
        <v>821252787</v>
      </c>
      <c r="G26" s="764">
        <v>44013</v>
      </c>
      <c r="H26" s="769"/>
      <c r="I26" s="772"/>
      <c r="J26" s="769"/>
      <c r="K26" s="775"/>
      <c r="L26" s="777">
        <f t="shared" si="4"/>
        <v>0</v>
      </c>
      <c r="M26" s="781">
        <f t="shared" si="3"/>
        <v>13459420.675833333</v>
      </c>
      <c r="N26" s="781"/>
      <c r="O26" s="784"/>
      <c r="P26" s="781">
        <v>2941910</v>
      </c>
      <c r="Q26" s="786">
        <v>44013</v>
      </c>
      <c r="R26" s="781"/>
      <c r="S26" s="715"/>
      <c r="T26" s="513"/>
      <c r="U26" s="514"/>
      <c r="V26" s="515"/>
      <c r="W26" s="516"/>
      <c r="X26" s="467"/>
    </row>
    <row r="27" spans="1:255" ht="15" customHeight="1" x14ac:dyDescent="0.25">
      <c r="A27" s="693">
        <v>44001</v>
      </c>
      <c r="B27" s="694" t="s">
        <v>4973</v>
      </c>
      <c r="C27" s="695">
        <v>774157904</v>
      </c>
      <c r="D27" s="763">
        <f t="shared" si="5"/>
        <v>44016</v>
      </c>
      <c r="E27" s="766">
        <f t="shared" si="0"/>
        <v>3</v>
      </c>
      <c r="F27" s="632">
        <v>774157904</v>
      </c>
      <c r="G27" s="651">
        <v>44013</v>
      </c>
      <c r="H27" s="632"/>
      <c r="I27" s="633"/>
      <c r="J27" s="632"/>
      <c r="K27" s="634"/>
      <c r="L27" s="696">
        <f t="shared" si="4"/>
        <v>0</v>
      </c>
      <c r="M27" s="781">
        <f t="shared" si="3"/>
        <v>12687587.871111112</v>
      </c>
      <c r="N27" s="635"/>
      <c r="O27" s="636"/>
      <c r="P27" s="635">
        <v>2426555</v>
      </c>
      <c r="Q27" s="680">
        <v>44013</v>
      </c>
      <c r="R27" s="635"/>
      <c r="S27" s="635"/>
      <c r="T27" s="518"/>
      <c r="U27" s="519"/>
      <c r="V27" s="520"/>
      <c r="W27" s="521"/>
      <c r="X27" s="467"/>
    </row>
    <row r="28" spans="1:255" ht="15" customHeight="1" x14ac:dyDescent="0.25">
      <c r="A28" s="693">
        <v>44008</v>
      </c>
      <c r="B28" s="694" t="s">
        <v>4973</v>
      </c>
      <c r="C28" s="695">
        <v>1142481630</v>
      </c>
      <c r="D28" s="763">
        <f t="shared" si="5"/>
        <v>44023</v>
      </c>
      <c r="E28" s="766">
        <f t="shared" si="0"/>
        <v>2</v>
      </c>
      <c r="F28" s="632">
        <v>1142481630</v>
      </c>
      <c r="G28" s="631">
        <v>44021</v>
      </c>
      <c r="H28" s="632"/>
      <c r="I28" s="633"/>
      <c r="J28" s="632"/>
      <c r="K28" s="634"/>
      <c r="L28" s="696">
        <f t="shared" si="4"/>
        <v>0</v>
      </c>
      <c r="M28" s="781">
        <f t="shared" si="3"/>
        <v>18724004.491666667</v>
      </c>
      <c r="N28" s="635"/>
      <c r="O28" s="636"/>
      <c r="P28" s="635">
        <v>4550885</v>
      </c>
      <c r="Q28" s="680">
        <v>44021</v>
      </c>
      <c r="R28" s="635"/>
      <c r="S28" s="707"/>
      <c r="T28" s="518"/>
      <c r="U28" s="519"/>
      <c r="V28" s="520"/>
      <c r="W28" s="521"/>
      <c r="X28" s="467"/>
    </row>
    <row r="29" spans="1:255" ht="15" customHeight="1" x14ac:dyDescent="0.25">
      <c r="A29" s="693">
        <v>44011</v>
      </c>
      <c r="B29" s="694" t="s">
        <v>4973</v>
      </c>
      <c r="C29" s="695">
        <v>620224440</v>
      </c>
      <c r="D29" s="763">
        <f t="shared" si="5"/>
        <v>44026</v>
      </c>
      <c r="E29" s="766">
        <f t="shared" si="0"/>
        <v>1</v>
      </c>
      <c r="F29" s="632">
        <v>620224440</v>
      </c>
      <c r="G29" s="631">
        <v>44025</v>
      </c>
      <c r="H29" s="632"/>
      <c r="I29" s="633"/>
      <c r="J29" s="632"/>
      <c r="K29" s="634"/>
      <c r="L29" s="696">
        <f t="shared" si="4"/>
        <v>0</v>
      </c>
      <c r="M29" s="781">
        <f t="shared" si="3"/>
        <v>10164789.433333334</v>
      </c>
      <c r="N29" s="635"/>
      <c r="O29" s="636"/>
      <c r="P29" s="635">
        <v>2632508</v>
      </c>
      <c r="Q29" s="680">
        <v>44025</v>
      </c>
      <c r="R29" s="635"/>
      <c r="S29" s="635"/>
      <c r="T29" s="518"/>
      <c r="U29" s="519"/>
      <c r="V29" s="520"/>
      <c r="W29" s="521"/>
      <c r="X29" s="467"/>
    </row>
    <row r="30" spans="1:255" ht="15" customHeight="1" x14ac:dyDescent="0.25">
      <c r="A30" s="693">
        <v>44013</v>
      </c>
      <c r="B30" s="694" t="s">
        <v>4973</v>
      </c>
      <c r="C30" s="695">
        <v>494632812</v>
      </c>
      <c r="D30" s="763">
        <f t="shared" si="5"/>
        <v>44028</v>
      </c>
      <c r="E30" s="652">
        <f t="shared" si="0"/>
        <v>-4</v>
      </c>
      <c r="F30" s="632">
        <v>494632812</v>
      </c>
      <c r="G30" s="631">
        <v>44032</v>
      </c>
      <c r="H30" s="632"/>
      <c r="I30" s="633"/>
      <c r="J30" s="632"/>
      <c r="K30" s="634"/>
      <c r="L30" s="696">
        <f t="shared" si="4"/>
        <v>0</v>
      </c>
      <c r="M30" s="737">
        <f t="shared" ref="M30:M40" si="6">(E$4/360)*C30*10%</f>
        <v>8106482.1966666672</v>
      </c>
      <c r="N30" s="635"/>
      <c r="O30" s="636"/>
      <c r="P30" s="635">
        <v>2755517</v>
      </c>
      <c r="Q30" s="680">
        <v>44032</v>
      </c>
      <c r="R30" s="635"/>
      <c r="S30" s="707"/>
      <c r="T30" s="518"/>
      <c r="U30" s="519"/>
      <c r="V30" s="520"/>
      <c r="W30" s="521"/>
      <c r="X30" s="467"/>
    </row>
    <row r="31" spans="1:255" s="706" customFormat="1" ht="15" customHeight="1" x14ac:dyDescent="0.25">
      <c r="A31" s="693">
        <v>44015</v>
      </c>
      <c r="B31" s="694" t="s">
        <v>4973</v>
      </c>
      <c r="C31" s="695">
        <v>498598054</v>
      </c>
      <c r="D31" s="763">
        <f t="shared" si="5"/>
        <v>44030</v>
      </c>
      <c r="E31" s="652">
        <f t="shared" si="0"/>
        <v>-2</v>
      </c>
      <c r="F31" s="632">
        <v>498598054</v>
      </c>
      <c r="G31" s="631">
        <v>44032</v>
      </c>
      <c r="H31" s="632"/>
      <c r="I31" s="633"/>
      <c r="J31" s="632"/>
      <c r="K31" s="634"/>
      <c r="L31" s="696">
        <f t="shared" si="4"/>
        <v>0</v>
      </c>
      <c r="M31" s="635">
        <f t="shared" si="6"/>
        <v>8171468.1072222218</v>
      </c>
      <c r="N31" s="635"/>
      <c r="O31" s="636"/>
      <c r="P31" s="635">
        <v>2513073</v>
      </c>
      <c r="Q31" s="680">
        <v>44032</v>
      </c>
      <c r="R31" s="635"/>
      <c r="S31" s="707"/>
      <c r="T31" s="701"/>
      <c r="U31" s="702"/>
      <c r="V31" s="702"/>
      <c r="W31" s="703"/>
      <c r="X31" s="704"/>
      <c r="Y31" s="705"/>
      <c r="Z31" s="705"/>
      <c r="AA31" s="705"/>
      <c r="AB31" s="705"/>
      <c r="AC31" s="705"/>
      <c r="AD31" s="705"/>
      <c r="AE31" s="705"/>
      <c r="AF31" s="705"/>
      <c r="AG31" s="705"/>
      <c r="AH31" s="705"/>
      <c r="AI31" s="705"/>
      <c r="AJ31" s="705"/>
      <c r="AK31" s="705"/>
      <c r="AL31" s="705"/>
      <c r="AM31" s="705"/>
      <c r="AN31" s="705"/>
      <c r="AO31" s="705"/>
      <c r="AP31" s="705"/>
      <c r="AQ31" s="705"/>
      <c r="AR31" s="705"/>
      <c r="AS31" s="705"/>
      <c r="AT31" s="705"/>
      <c r="AU31" s="705"/>
      <c r="AV31" s="705"/>
      <c r="AW31" s="705"/>
      <c r="AX31" s="705"/>
      <c r="AY31" s="705"/>
      <c r="AZ31" s="705"/>
      <c r="BA31" s="705"/>
      <c r="BB31" s="705"/>
      <c r="BC31" s="705"/>
      <c r="BD31" s="705"/>
      <c r="BE31" s="705"/>
      <c r="BF31" s="705"/>
      <c r="BG31" s="705"/>
      <c r="BH31" s="705"/>
      <c r="BI31" s="705"/>
      <c r="BJ31" s="705"/>
      <c r="BK31" s="705"/>
      <c r="BL31" s="705"/>
      <c r="BM31" s="705"/>
      <c r="BN31" s="705"/>
      <c r="BO31" s="705"/>
      <c r="BP31" s="705"/>
      <c r="BQ31" s="705"/>
      <c r="BR31" s="705"/>
      <c r="BS31" s="705"/>
      <c r="BT31" s="705"/>
      <c r="BU31" s="705"/>
      <c r="BV31" s="705"/>
      <c r="BW31" s="705"/>
      <c r="BX31" s="705"/>
      <c r="BY31" s="705"/>
      <c r="BZ31" s="705"/>
      <c r="CA31" s="705"/>
      <c r="CB31" s="705"/>
      <c r="CC31" s="705"/>
      <c r="CD31" s="705"/>
      <c r="CE31" s="705"/>
      <c r="CF31" s="705"/>
      <c r="CG31" s="705"/>
      <c r="CH31" s="705"/>
      <c r="CI31" s="705"/>
      <c r="CJ31" s="705"/>
      <c r="CK31" s="705"/>
      <c r="CL31" s="705"/>
      <c r="CM31" s="705"/>
      <c r="CN31" s="705"/>
      <c r="CO31" s="705"/>
      <c r="CP31" s="705"/>
      <c r="CQ31" s="705"/>
      <c r="CR31" s="705"/>
      <c r="CS31" s="705"/>
      <c r="CT31" s="705"/>
      <c r="CU31" s="705"/>
      <c r="CV31" s="705"/>
      <c r="CW31" s="705"/>
      <c r="CX31" s="705"/>
      <c r="CY31" s="705"/>
      <c r="CZ31" s="705"/>
      <c r="DA31" s="705"/>
      <c r="DB31" s="705"/>
      <c r="DC31" s="705"/>
      <c r="DD31" s="705"/>
      <c r="DE31" s="705"/>
      <c r="DF31" s="705"/>
      <c r="DG31" s="705"/>
      <c r="DH31" s="705"/>
      <c r="DI31" s="705"/>
      <c r="DJ31" s="705"/>
      <c r="DK31" s="705"/>
      <c r="DL31" s="705"/>
      <c r="DM31" s="705"/>
      <c r="DN31" s="705"/>
      <c r="DO31" s="705"/>
      <c r="DP31" s="705"/>
      <c r="DQ31" s="705"/>
      <c r="DR31" s="705"/>
      <c r="DS31" s="705"/>
      <c r="DT31" s="705"/>
      <c r="DU31" s="705"/>
      <c r="DV31" s="705"/>
      <c r="DW31" s="705"/>
      <c r="DX31" s="705"/>
      <c r="DY31" s="705"/>
      <c r="DZ31" s="705"/>
      <c r="EA31" s="705"/>
      <c r="EB31" s="705"/>
      <c r="EC31" s="705"/>
      <c r="ED31" s="705"/>
      <c r="EE31" s="705"/>
      <c r="EF31" s="705"/>
      <c r="EG31" s="705"/>
      <c r="EH31" s="705"/>
      <c r="EI31" s="705"/>
      <c r="EJ31" s="705"/>
      <c r="EK31" s="705"/>
      <c r="EL31" s="705"/>
      <c r="EM31" s="705"/>
      <c r="EN31" s="705"/>
      <c r="EO31" s="705"/>
      <c r="EP31" s="705"/>
      <c r="EQ31" s="705"/>
      <c r="ER31" s="705"/>
      <c r="ES31" s="705"/>
      <c r="ET31" s="705"/>
      <c r="EU31" s="705"/>
      <c r="EV31" s="705"/>
      <c r="EW31" s="705"/>
      <c r="EX31" s="705"/>
      <c r="EY31" s="705"/>
      <c r="EZ31" s="705"/>
      <c r="FA31" s="705"/>
      <c r="FB31" s="705"/>
      <c r="FC31" s="705"/>
      <c r="FD31" s="705"/>
      <c r="FE31" s="705"/>
      <c r="FF31" s="705"/>
      <c r="FG31" s="705"/>
      <c r="FH31" s="705"/>
      <c r="FI31" s="705"/>
      <c r="FJ31" s="705"/>
      <c r="FK31" s="705"/>
      <c r="FL31" s="705"/>
      <c r="FM31" s="705"/>
      <c r="FN31" s="705"/>
      <c r="FO31" s="705"/>
      <c r="FP31" s="705"/>
      <c r="FQ31" s="705"/>
      <c r="FR31" s="705"/>
      <c r="FS31" s="705"/>
      <c r="FT31" s="705"/>
      <c r="FU31" s="705"/>
      <c r="FV31" s="705"/>
      <c r="FW31" s="705"/>
      <c r="FX31" s="705"/>
      <c r="FY31" s="705"/>
      <c r="FZ31" s="705"/>
      <c r="GA31" s="705"/>
      <c r="GB31" s="705"/>
      <c r="GC31" s="705"/>
      <c r="GD31" s="705"/>
      <c r="GE31" s="705"/>
      <c r="GF31" s="705"/>
      <c r="GG31" s="705"/>
      <c r="GH31" s="705"/>
      <c r="GI31" s="705"/>
      <c r="GJ31" s="705"/>
      <c r="GK31" s="705"/>
      <c r="GL31" s="705"/>
      <c r="GM31" s="705"/>
      <c r="GN31" s="705"/>
      <c r="GO31" s="705"/>
      <c r="GP31" s="705"/>
      <c r="GQ31" s="705"/>
      <c r="GR31" s="705"/>
      <c r="GS31" s="705"/>
      <c r="GT31" s="705"/>
      <c r="GU31" s="705"/>
      <c r="GV31" s="705"/>
      <c r="GW31" s="705"/>
      <c r="GX31" s="705"/>
      <c r="GY31" s="705"/>
      <c r="GZ31" s="705"/>
      <c r="HA31" s="705"/>
      <c r="HB31" s="705"/>
      <c r="HC31" s="705"/>
      <c r="HD31" s="705"/>
      <c r="HE31" s="705"/>
      <c r="HF31" s="705"/>
      <c r="HG31" s="705"/>
      <c r="HH31" s="705"/>
      <c r="HI31" s="705"/>
      <c r="HJ31" s="705"/>
      <c r="HK31" s="705"/>
      <c r="HL31" s="705"/>
      <c r="HM31" s="705"/>
      <c r="HN31" s="705"/>
      <c r="HO31" s="705"/>
      <c r="HP31" s="705"/>
      <c r="HQ31" s="705"/>
      <c r="HR31" s="705"/>
      <c r="HS31" s="705"/>
      <c r="HT31" s="705"/>
      <c r="HU31" s="705"/>
      <c r="HV31" s="705"/>
      <c r="HW31" s="705"/>
      <c r="HX31" s="705"/>
      <c r="HY31" s="705"/>
      <c r="HZ31" s="705"/>
      <c r="IA31" s="705"/>
      <c r="IB31" s="705"/>
      <c r="IC31" s="705"/>
      <c r="ID31" s="705"/>
      <c r="IE31" s="705"/>
      <c r="IF31" s="705"/>
      <c r="IG31" s="705"/>
      <c r="IH31" s="705"/>
      <c r="II31" s="705"/>
      <c r="IJ31" s="705"/>
      <c r="IK31" s="705"/>
      <c r="IL31" s="705"/>
      <c r="IM31" s="705"/>
      <c r="IN31" s="705"/>
      <c r="IO31" s="705"/>
      <c r="IP31" s="705"/>
      <c r="IQ31" s="705"/>
      <c r="IR31" s="705"/>
      <c r="IS31" s="705"/>
      <c r="IT31" s="705"/>
      <c r="IU31" s="705"/>
    </row>
    <row r="32" spans="1:255" s="3" customFormat="1" ht="15" customHeight="1" x14ac:dyDescent="0.25">
      <c r="A32" s="713">
        <v>44018</v>
      </c>
      <c r="B32" s="723" t="s">
        <v>4973</v>
      </c>
      <c r="C32" s="663">
        <v>391850226</v>
      </c>
      <c r="D32" s="763">
        <f t="shared" si="5"/>
        <v>44033</v>
      </c>
      <c r="E32" s="652">
        <f t="shared" si="0"/>
        <v>-1</v>
      </c>
      <c r="F32" s="632">
        <v>391850226</v>
      </c>
      <c r="G32" s="631">
        <v>44034</v>
      </c>
      <c r="H32" s="632"/>
      <c r="I32" s="633"/>
      <c r="J32" s="632"/>
      <c r="K32" s="634"/>
      <c r="L32" s="696">
        <f t="shared" si="4"/>
        <v>0</v>
      </c>
      <c r="M32" s="737">
        <f t="shared" si="6"/>
        <v>6421989.8150000004</v>
      </c>
      <c r="N32" s="635"/>
      <c r="O32" s="636"/>
      <c r="P32" s="635">
        <v>1871085</v>
      </c>
      <c r="Q32" s="680">
        <v>44034</v>
      </c>
      <c r="R32" s="635"/>
      <c r="S32" s="635"/>
      <c r="T32" s="359"/>
      <c r="U32" s="360"/>
      <c r="V32" s="644"/>
      <c r="W32" s="645"/>
      <c r="X32" s="646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</row>
    <row r="33" spans="1:255" s="750" customFormat="1" ht="15" customHeight="1" x14ac:dyDescent="0.25">
      <c r="A33" s="713">
        <v>44020</v>
      </c>
      <c r="B33" s="723" t="s">
        <v>4973</v>
      </c>
      <c r="C33" s="663">
        <v>563783721</v>
      </c>
      <c r="D33" s="763">
        <f t="shared" si="5"/>
        <v>44035</v>
      </c>
      <c r="E33" s="652">
        <f t="shared" si="0"/>
        <v>1</v>
      </c>
      <c r="F33" s="632">
        <v>563783721</v>
      </c>
      <c r="G33" s="631">
        <v>44034</v>
      </c>
      <c r="H33" s="632"/>
      <c r="I33" s="633"/>
      <c r="J33" s="632"/>
      <c r="K33" s="634"/>
      <c r="L33" s="696">
        <f t="shared" si="4"/>
        <v>0</v>
      </c>
      <c r="M33" s="737">
        <f t="shared" si="6"/>
        <v>9239788.7608333342</v>
      </c>
      <c r="N33" s="635"/>
      <c r="O33" s="636"/>
      <c r="P33" s="635">
        <v>2392949</v>
      </c>
      <c r="Q33" s="680">
        <v>44034</v>
      </c>
      <c r="R33" s="635"/>
      <c r="S33" s="635"/>
      <c r="T33" s="745"/>
      <c r="U33" s="746"/>
      <c r="V33" s="746"/>
      <c r="W33" s="747"/>
      <c r="X33" s="748"/>
      <c r="Y33" s="749"/>
      <c r="Z33" s="749"/>
      <c r="AA33" s="749"/>
      <c r="AB33" s="749"/>
      <c r="AC33" s="749"/>
      <c r="AD33" s="749"/>
      <c r="AE33" s="749"/>
      <c r="AF33" s="749"/>
      <c r="AG33" s="749"/>
      <c r="AH33" s="749"/>
      <c r="AI33" s="749"/>
      <c r="AJ33" s="749"/>
      <c r="AK33" s="749"/>
      <c r="AL33" s="749"/>
      <c r="AM33" s="749"/>
      <c r="AN33" s="749"/>
      <c r="AO33" s="749"/>
      <c r="AP33" s="749"/>
      <c r="AQ33" s="749"/>
      <c r="AR33" s="749"/>
      <c r="AS33" s="749"/>
      <c r="AT33" s="749"/>
      <c r="AU33" s="749"/>
      <c r="AV33" s="749"/>
      <c r="AW33" s="749"/>
      <c r="AX33" s="749"/>
      <c r="AY33" s="749"/>
      <c r="AZ33" s="749"/>
      <c r="BA33" s="749"/>
      <c r="BB33" s="749"/>
      <c r="BC33" s="749"/>
      <c r="BD33" s="749"/>
      <c r="BE33" s="749"/>
      <c r="BF33" s="749"/>
      <c r="BG33" s="749"/>
      <c r="BH33" s="749"/>
      <c r="BI33" s="749"/>
      <c r="BJ33" s="749"/>
      <c r="BK33" s="749"/>
      <c r="BL33" s="749"/>
      <c r="BM33" s="749"/>
      <c r="BN33" s="749"/>
      <c r="BO33" s="749"/>
      <c r="BP33" s="749"/>
      <c r="BQ33" s="749"/>
      <c r="BR33" s="749"/>
      <c r="BS33" s="749"/>
      <c r="BT33" s="749"/>
      <c r="BU33" s="749"/>
      <c r="BV33" s="749"/>
      <c r="BW33" s="749"/>
      <c r="BX33" s="749"/>
      <c r="BY33" s="749"/>
      <c r="BZ33" s="749"/>
      <c r="CA33" s="749"/>
      <c r="CB33" s="749"/>
      <c r="CC33" s="749"/>
      <c r="CD33" s="749"/>
      <c r="CE33" s="749"/>
      <c r="CF33" s="749"/>
      <c r="CG33" s="749"/>
      <c r="CH33" s="749"/>
      <c r="CI33" s="749"/>
      <c r="CJ33" s="749"/>
      <c r="CK33" s="749"/>
      <c r="CL33" s="749"/>
      <c r="CM33" s="749"/>
      <c r="CN33" s="749"/>
      <c r="CO33" s="749"/>
      <c r="CP33" s="749"/>
      <c r="CQ33" s="749"/>
      <c r="CR33" s="749"/>
      <c r="CS33" s="749"/>
      <c r="CT33" s="749"/>
      <c r="CU33" s="749"/>
      <c r="CV33" s="749"/>
      <c r="CW33" s="749"/>
      <c r="CX33" s="749"/>
      <c r="CY33" s="749"/>
      <c r="CZ33" s="749"/>
      <c r="DA33" s="749"/>
      <c r="DB33" s="749"/>
      <c r="DC33" s="749"/>
      <c r="DD33" s="749"/>
      <c r="DE33" s="749"/>
      <c r="DF33" s="749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749"/>
      <c r="EZ33" s="749"/>
      <c r="FA33" s="749"/>
      <c r="FB33" s="749"/>
      <c r="FC33" s="749"/>
      <c r="FD33" s="749"/>
      <c r="FE33" s="749"/>
      <c r="FF33" s="749"/>
      <c r="FG33" s="749"/>
      <c r="FH33" s="749"/>
      <c r="FI33" s="749"/>
      <c r="FJ33" s="749"/>
      <c r="FK33" s="749"/>
      <c r="FL33" s="749"/>
      <c r="FM33" s="749"/>
      <c r="FN33" s="749"/>
      <c r="FO33" s="749"/>
      <c r="FP33" s="749"/>
      <c r="FQ33" s="749"/>
      <c r="FR33" s="749"/>
      <c r="FS33" s="749"/>
      <c r="FT33" s="749"/>
      <c r="FU33" s="749"/>
      <c r="FV33" s="749"/>
      <c r="FW33" s="749"/>
      <c r="FX33" s="749"/>
      <c r="FY33" s="749"/>
      <c r="FZ33" s="749"/>
      <c r="GA33" s="749"/>
      <c r="GB33" s="749"/>
      <c r="GC33" s="749"/>
      <c r="GD33" s="749"/>
      <c r="GE33" s="749"/>
      <c r="GF33" s="749"/>
      <c r="GG33" s="749"/>
      <c r="GH33" s="749"/>
      <c r="GI33" s="749"/>
      <c r="GJ33" s="749"/>
      <c r="GK33" s="749"/>
      <c r="GL33" s="749"/>
      <c r="GM33" s="749"/>
      <c r="GN33" s="749"/>
      <c r="GO33" s="749"/>
      <c r="GP33" s="749"/>
      <c r="GQ33" s="749"/>
      <c r="GR33" s="749"/>
      <c r="GS33" s="749"/>
      <c r="GT33" s="749"/>
      <c r="GU33" s="749"/>
      <c r="GV33" s="749"/>
      <c r="GW33" s="749"/>
      <c r="GX33" s="749"/>
      <c r="GY33" s="749"/>
      <c r="GZ33" s="749"/>
      <c r="HA33" s="749"/>
      <c r="HB33" s="749"/>
      <c r="HC33" s="749"/>
      <c r="HD33" s="749"/>
      <c r="HE33" s="749"/>
      <c r="HF33" s="749"/>
      <c r="HG33" s="749"/>
      <c r="HH33" s="749"/>
      <c r="HI33" s="749"/>
      <c r="HJ33" s="749"/>
      <c r="HK33" s="749"/>
      <c r="HL33" s="749"/>
      <c r="HM33" s="749"/>
      <c r="HN33" s="749"/>
      <c r="HO33" s="749"/>
      <c r="HP33" s="749"/>
      <c r="HQ33" s="749"/>
      <c r="HR33" s="749"/>
      <c r="HS33" s="749"/>
      <c r="HT33" s="749"/>
      <c r="HU33" s="749"/>
      <c r="HV33" s="749"/>
      <c r="HW33" s="749"/>
      <c r="HX33" s="749"/>
      <c r="HY33" s="749"/>
      <c r="HZ33" s="749"/>
      <c r="IA33" s="749"/>
      <c r="IB33" s="749"/>
      <c r="IC33" s="749"/>
      <c r="ID33" s="749"/>
      <c r="IE33" s="749"/>
      <c r="IF33" s="749"/>
      <c r="IG33" s="749"/>
      <c r="IH33" s="749"/>
      <c r="II33" s="749"/>
      <c r="IJ33" s="749"/>
      <c r="IK33" s="749"/>
      <c r="IL33" s="749"/>
      <c r="IM33" s="749"/>
      <c r="IN33" s="749"/>
      <c r="IO33" s="749"/>
      <c r="IP33" s="749"/>
      <c r="IQ33" s="749"/>
      <c r="IR33" s="749"/>
      <c r="IS33" s="749"/>
      <c r="IT33" s="749"/>
      <c r="IU33" s="749"/>
    </row>
    <row r="34" spans="1:255" s="744" customFormat="1" ht="15" customHeight="1" x14ac:dyDescent="0.25">
      <c r="A34" s="713">
        <v>44022</v>
      </c>
      <c r="B34" s="723" t="s">
        <v>4973</v>
      </c>
      <c r="C34" s="663">
        <v>1134378045</v>
      </c>
      <c r="D34" s="763">
        <f t="shared" si="5"/>
        <v>44037</v>
      </c>
      <c r="E34" s="652">
        <f t="shared" si="0"/>
        <v>1</v>
      </c>
      <c r="F34" s="632">
        <v>1134378045</v>
      </c>
      <c r="G34" s="631">
        <v>44036</v>
      </c>
      <c r="H34" s="632"/>
      <c r="I34" s="633"/>
      <c r="J34" s="632"/>
      <c r="K34" s="634"/>
      <c r="L34" s="696">
        <f t="shared" si="4"/>
        <v>0</v>
      </c>
      <c r="M34" s="635">
        <f t="shared" si="6"/>
        <v>18591195.737500001</v>
      </c>
      <c r="N34" s="635"/>
      <c r="O34" s="636"/>
      <c r="P34" s="635">
        <v>4688763</v>
      </c>
      <c r="Q34" s="680">
        <v>44036</v>
      </c>
      <c r="R34" s="635"/>
      <c r="S34" s="707"/>
      <c r="T34" s="739"/>
      <c r="U34" s="740"/>
      <c r="V34" s="740"/>
      <c r="W34" s="741"/>
      <c r="X34" s="742"/>
      <c r="Y34" s="743"/>
      <c r="Z34" s="743"/>
      <c r="AA34" s="743"/>
      <c r="AB34" s="743"/>
      <c r="AC34" s="743"/>
      <c r="AD34" s="743"/>
      <c r="AE34" s="743"/>
      <c r="AF34" s="743"/>
      <c r="AG34" s="743"/>
      <c r="AH34" s="743"/>
      <c r="AI34" s="743"/>
      <c r="AJ34" s="743"/>
      <c r="AK34" s="743"/>
      <c r="AL34" s="743"/>
      <c r="AM34" s="743"/>
      <c r="AN34" s="743"/>
      <c r="AO34" s="743"/>
      <c r="AP34" s="743"/>
      <c r="AQ34" s="743"/>
      <c r="AR34" s="743"/>
      <c r="AS34" s="743"/>
      <c r="AT34" s="743"/>
      <c r="AU34" s="743"/>
      <c r="AV34" s="743"/>
      <c r="AW34" s="743"/>
      <c r="AX34" s="743"/>
      <c r="AY34" s="743"/>
      <c r="AZ34" s="743"/>
      <c r="BA34" s="743"/>
      <c r="BB34" s="743"/>
      <c r="BC34" s="743"/>
      <c r="BD34" s="743"/>
      <c r="BE34" s="743"/>
      <c r="BF34" s="743"/>
      <c r="BG34" s="743"/>
      <c r="BH34" s="743"/>
      <c r="BI34" s="743"/>
      <c r="BJ34" s="743"/>
      <c r="BK34" s="743"/>
      <c r="BL34" s="743"/>
      <c r="BM34" s="743"/>
      <c r="BN34" s="743"/>
      <c r="BO34" s="743"/>
      <c r="BP34" s="743"/>
      <c r="BQ34" s="743"/>
      <c r="BR34" s="743"/>
      <c r="BS34" s="743"/>
      <c r="BT34" s="743"/>
      <c r="BU34" s="743"/>
      <c r="BV34" s="743"/>
      <c r="BW34" s="743"/>
      <c r="BX34" s="743"/>
      <c r="BY34" s="743"/>
      <c r="BZ34" s="743"/>
      <c r="CA34" s="743"/>
      <c r="CB34" s="743"/>
      <c r="CC34" s="743"/>
      <c r="CD34" s="743"/>
      <c r="CE34" s="743"/>
      <c r="CF34" s="743"/>
      <c r="CG34" s="743"/>
      <c r="CH34" s="743"/>
      <c r="CI34" s="743"/>
      <c r="CJ34" s="743"/>
      <c r="CK34" s="743"/>
      <c r="CL34" s="743"/>
      <c r="CM34" s="743"/>
      <c r="CN34" s="743"/>
      <c r="CO34" s="743"/>
      <c r="CP34" s="743"/>
      <c r="CQ34" s="743"/>
      <c r="CR34" s="743"/>
      <c r="CS34" s="743"/>
      <c r="CT34" s="743"/>
      <c r="CU34" s="743"/>
      <c r="CV34" s="743"/>
      <c r="CW34" s="743"/>
      <c r="CX34" s="743"/>
      <c r="CY34" s="743"/>
      <c r="CZ34" s="743"/>
      <c r="DA34" s="743"/>
      <c r="DB34" s="743"/>
      <c r="DC34" s="743"/>
      <c r="DD34" s="743"/>
      <c r="DE34" s="743"/>
      <c r="DF34" s="743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743"/>
      <c r="FI34" s="743"/>
      <c r="FJ34" s="743"/>
      <c r="FK34" s="743"/>
      <c r="FL34" s="743"/>
      <c r="FM34" s="743"/>
      <c r="FN34" s="743"/>
      <c r="FO34" s="743"/>
      <c r="FP34" s="743"/>
      <c r="FQ34" s="743"/>
      <c r="FR34" s="743"/>
      <c r="FS34" s="743"/>
      <c r="FT34" s="743"/>
      <c r="FU34" s="743"/>
      <c r="FV34" s="743"/>
      <c r="FW34" s="743"/>
      <c r="FX34" s="743"/>
      <c r="FY34" s="743"/>
      <c r="FZ34" s="743"/>
      <c r="GA34" s="743"/>
      <c r="GB34" s="743"/>
      <c r="GC34" s="743"/>
      <c r="GD34" s="743"/>
      <c r="GE34" s="743"/>
      <c r="GF34" s="743"/>
      <c r="GG34" s="743"/>
      <c r="GH34" s="743"/>
      <c r="GI34" s="743"/>
      <c r="GJ34" s="743"/>
      <c r="GK34" s="743"/>
      <c r="GL34" s="743"/>
      <c r="GM34" s="743"/>
      <c r="GN34" s="743"/>
      <c r="GO34" s="743"/>
      <c r="GP34" s="743"/>
      <c r="GQ34" s="743"/>
      <c r="GR34" s="743"/>
      <c r="GS34" s="743"/>
      <c r="GT34" s="743"/>
      <c r="GU34" s="743"/>
      <c r="GV34" s="743"/>
      <c r="GW34" s="743"/>
      <c r="GX34" s="743"/>
      <c r="GY34" s="743"/>
      <c r="GZ34" s="743"/>
      <c r="HA34" s="743"/>
      <c r="HB34" s="743"/>
      <c r="HC34" s="743"/>
      <c r="HD34" s="743"/>
      <c r="HE34" s="743"/>
      <c r="HF34" s="743"/>
      <c r="HG34" s="743"/>
      <c r="HH34" s="743"/>
      <c r="HI34" s="743"/>
      <c r="HJ34" s="743"/>
      <c r="HK34" s="743"/>
      <c r="HL34" s="743"/>
      <c r="HM34" s="743"/>
      <c r="HN34" s="743"/>
      <c r="HO34" s="743"/>
      <c r="HP34" s="743"/>
      <c r="HQ34" s="743"/>
      <c r="HR34" s="743"/>
      <c r="HS34" s="743"/>
      <c r="HT34" s="743"/>
      <c r="HU34" s="743"/>
      <c r="HV34" s="743"/>
      <c r="HW34" s="743"/>
      <c r="HX34" s="743"/>
      <c r="HY34" s="743"/>
      <c r="HZ34" s="743"/>
      <c r="IA34" s="743"/>
      <c r="IB34" s="743"/>
      <c r="IC34" s="743"/>
      <c r="ID34" s="743"/>
      <c r="IE34" s="743"/>
      <c r="IF34" s="743"/>
      <c r="IG34" s="743"/>
      <c r="IH34" s="743"/>
      <c r="II34" s="743"/>
      <c r="IJ34" s="743"/>
      <c r="IK34" s="743"/>
      <c r="IL34" s="743"/>
      <c r="IM34" s="743"/>
      <c r="IN34" s="743"/>
      <c r="IO34" s="743"/>
      <c r="IP34" s="743"/>
      <c r="IQ34" s="743"/>
      <c r="IR34" s="743"/>
      <c r="IS34" s="743"/>
      <c r="IT34" s="743"/>
      <c r="IU34" s="743"/>
    </row>
    <row r="35" spans="1:255" s="660" customFormat="1" ht="15" customHeight="1" x14ac:dyDescent="0.25">
      <c r="A35" s="756">
        <v>44025</v>
      </c>
      <c r="B35" s="759" t="s">
        <v>4973</v>
      </c>
      <c r="C35" s="760">
        <v>907288517</v>
      </c>
      <c r="D35" s="763">
        <f t="shared" si="5"/>
        <v>44040</v>
      </c>
      <c r="E35" s="765">
        <f t="shared" si="0"/>
        <v>0</v>
      </c>
      <c r="F35" s="767">
        <v>907288517</v>
      </c>
      <c r="G35" s="762">
        <v>44040</v>
      </c>
      <c r="H35" s="767"/>
      <c r="I35" s="770"/>
      <c r="J35" s="767"/>
      <c r="K35" s="773"/>
      <c r="L35" s="696">
        <f t="shared" si="4"/>
        <v>0</v>
      </c>
      <c r="M35" s="780">
        <f t="shared" si="6"/>
        <v>14869450.695277778</v>
      </c>
      <c r="N35" s="780"/>
      <c r="O35" s="782"/>
      <c r="P35" s="780">
        <v>3984509</v>
      </c>
      <c r="Q35" s="680">
        <v>44040</v>
      </c>
      <c r="R35" s="780"/>
      <c r="S35" s="738"/>
      <c r="T35" s="698"/>
      <c r="U35" s="699"/>
      <c r="V35" s="699"/>
      <c r="W35" s="700"/>
      <c r="X35" s="658"/>
      <c r="Y35" s="659"/>
      <c r="Z35" s="659"/>
      <c r="AA35" s="659"/>
      <c r="AB35" s="659"/>
      <c r="AC35" s="659"/>
      <c r="AD35" s="659"/>
      <c r="AE35" s="659"/>
      <c r="AF35" s="659"/>
      <c r="AG35" s="659"/>
      <c r="AH35" s="659"/>
      <c r="AI35" s="659"/>
      <c r="AJ35" s="659"/>
      <c r="AK35" s="659"/>
      <c r="AL35" s="659"/>
      <c r="AM35" s="659"/>
      <c r="AN35" s="659"/>
      <c r="AO35" s="659"/>
      <c r="AP35" s="659"/>
      <c r="AQ35" s="659"/>
      <c r="AR35" s="659"/>
      <c r="AS35" s="659"/>
      <c r="AT35" s="659"/>
      <c r="AU35" s="659"/>
      <c r="AV35" s="659"/>
      <c r="AW35" s="659"/>
      <c r="AX35" s="659"/>
      <c r="AY35" s="659"/>
      <c r="AZ35" s="659"/>
      <c r="BA35" s="659"/>
      <c r="BB35" s="659"/>
      <c r="BC35" s="659"/>
      <c r="BD35" s="659"/>
      <c r="BE35" s="659"/>
      <c r="BF35" s="659"/>
      <c r="BG35" s="659"/>
      <c r="BH35" s="659"/>
      <c r="BI35" s="659"/>
      <c r="BJ35" s="659"/>
      <c r="BK35" s="659"/>
      <c r="BL35" s="659"/>
      <c r="BM35" s="659"/>
      <c r="BN35" s="659"/>
      <c r="BO35" s="659"/>
      <c r="BP35" s="659"/>
      <c r="BQ35" s="659"/>
      <c r="BR35" s="659"/>
      <c r="BS35" s="659"/>
      <c r="BT35" s="659"/>
      <c r="BU35" s="659"/>
      <c r="BV35" s="659"/>
      <c r="BW35" s="659"/>
      <c r="BX35" s="659"/>
      <c r="BY35" s="659"/>
      <c r="BZ35" s="659"/>
      <c r="CA35" s="659"/>
      <c r="CB35" s="659"/>
      <c r="CC35" s="659"/>
      <c r="CD35" s="659"/>
      <c r="CE35" s="659"/>
      <c r="CF35" s="659"/>
      <c r="CG35" s="659"/>
      <c r="CH35" s="659"/>
      <c r="CI35" s="659"/>
      <c r="CJ35" s="659"/>
      <c r="CK35" s="659"/>
      <c r="CL35" s="659"/>
      <c r="CM35" s="659"/>
      <c r="CN35" s="659"/>
      <c r="CO35" s="659"/>
      <c r="CP35" s="659"/>
      <c r="CQ35" s="659"/>
      <c r="CR35" s="659"/>
      <c r="CS35" s="659"/>
      <c r="CT35" s="659"/>
      <c r="CU35" s="659"/>
      <c r="CV35" s="659"/>
      <c r="CW35" s="659"/>
      <c r="CX35" s="659"/>
      <c r="CY35" s="659"/>
      <c r="CZ35" s="659"/>
      <c r="DA35" s="659"/>
      <c r="DB35" s="659"/>
      <c r="DC35" s="659"/>
      <c r="DD35" s="659"/>
      <c r="DE35" s="659"/>
      <c r="DF35" s="659"/>
      <c r="DG35" s="659"/>
      <c r="DH35" s="659"/>
      <c r="DI35" s="659"/>
      <c r="DJ35" s="659"/>
      <c r="DK35" s="659"/>
      <c r="DL35" s="659"/>
      <c r="DM35" s="659"/>
      <c r="DN35" s="659"/>
      <c r="DO35" s="659"/>
      <c r="DP35" s="659"/>
      <c r="DQ35" s="659"/>
      <c r="DR35" s="659"/>
      <c r="DS35" s="659"/>
      <c r="DT35" s="659"/>
      <c r="DU35" s="659"/>
      <c r="DV35" s="659"/>
      <c r="DW35" s="659"/>
      <c r="DX35" s="659"/>
      <c r="DY35" s="659"/>
      <c r="DZ35" s="659"/>
      <c r="EA35" s="659"/>
      <c r="EB35" s="659"/>
      <c r="EC35" s="659"/>
      <c r="ED35" s="659"/>
      <c r="EE35" s="659"/>
      <c r="EF35" s="659"/>
      <c r="EG35" s="659"/>
      <c r="EH35" s="659"/>
      <c r="EI35" s="659"/>
      <c r="EJ35" s="659"/>
      <c r="EK35" s="659"/>
      <c r="EL35" s="659"/>
      <c r="EM35" s="659"/>
      <c r="EN35" s="659"/>
      <c r="EO35" s="659"/>
      <c r="EP35" s="659"/>
      <c r="EQ35" s="659"/>
      <c r="ER35" s="659"/>
      <c r="ES35" s="659"/>
      <c r="ET35" s="659"/>
      <c r="EU35" s="659"/>
      <c r="EV35" s="659"/>
      <c r="EW35" s="659"/>
      <c r="EX35" s="659"/>
      <c r="EY35" s="659"/>
      <c r="EZ35" s="659"/>
      <c r="FA35" s="659"/>
      <c r="FB35" s="659"/>
      <c r="FC35" s="659"/>
      <c r="FD35" s="659"/>
      <c r="FE35" s="659"/>
      <c r="FF35" s="659"/>
      <c r="FG35" s="659"/>
      <c r="FH35" s="659"/>
      <c r="FI35" s="659"/>
      <c r="FJ35" s="659"/>
      <c r="FK35" s="659"/>
      <c r="FL35" s="659"/>
      <c r="FM35" s="659"/>
      <c r="FN35" s="659"/>
      <c r="FO35" s="659"/>
      <c r="FP35" s="659"/>
      <c r="FQ35" s="659"/>
      <c r="FR35" s="659"/>
      <c r="FS35" s="659"/>
      <c r="FT35" s="659"/>
      <c r="FU35" s="659"/>
      <c r="FV35" s="659"/>
      <c r="FW35" s="659"/>
      <c r="FX35" s="659"/>
      <c r="FY35" s="659"/>
      <c r="FZ35" s="659"/>
      <c r="GA35" s="659"/>
      <c r="GB35" s="659"/>
      <c r="GC35" s="659"/>
      <c r="GD35" s="659"/>
      <c r="GE35" s="659"/>
      <c r="GF35" s="659"/>
      <c r="GG35" s="659"/>
      <c r="GH35" s="659"/>
      <c r="GI35" s="659"/>
      <c r="GJ35" s="659"/>
      <c r="GK35" s="659"/>
      <c r="GL35" s="659"/>
      <c r="GM35" s="659"/>
      <c r="GN35" s="659"/>
      <c r="GO35" s="659"/>
      <c r="GP35" s="659"/>
      <c r="GQ35" s="659"/>
      <c r="GR35" s="659"/>
      <c r="GS35" s="659"/>
      <c r="GT35" s="659"/>
      <c r="GU35" s="659"/>
      <c r="GV35" s="659"/>
      <c r="GW35" s="659"/>
      <c r="GX35" s="659"/>
      <c r="GY35" s="659"/>
      <c r="GZ35" s="659"/>
      <c r="HA35" s="659"/>
      <c r="HB35" s="659"/>
      <c r="HC35" s="659"/>
      <c r="HD35" s="659"/>
      <c r="HE35" s="659"/>
      <c r="HF35" s="659"/>
      <c r="HG35" s="659"/>
      <c r="HH35" s="659"/>
      <c r="HI35" s="659"/>
      <c r="HJ35" s="659"/>
      <c r="HK35" s="659"/>
      <c r="HL35" s="659"/>
      <c r="HM35" s="659"/>
      <c r="HN35" s="659"/>
      <c r="HO35" s="659"/>
      <c r="HP35" s="659"/>
      <c r="HQ35" s="659"/>
      <c r="HR35" s="659"/>
      <c r="HS35" s="659"/>
      <c r="HT35" s="659"/>
      <c r="HU35" s="659"/>
      <c r="HV35" s="659"/>
      <c r="HW35" s="659"/>
      <c r="HX35" s="659"/>
      <c r="HY35" s="659"/>
      <c r="HZ35" s="659"/>
      <c r="IA35" s="659"/>
      <c r="IB35" s="659"/>
      <c r="IC35" s="659"/>
      <c r="ID35" s="659"/>
      <c r="IE35" s="659"/>
      <c r="IF35" s="659"/>
      <c r="IG35" s="659"/>
      <c r="IH35" s="659"/>
      <c r="II35" s="659"/>
      <c r="IJ35" s="659"/>
      <c r="IK35" s="659"/>
      <c r="IL35" s="659"/>
      <c r="IM35" s="659"/>
      <c r="IN35" s="659"/>
      <c r="IO35" s="659"/>
      <c r="IP35" s="659"/>
      <c r="IQ35" s="659"/>
      <c r="IR35" s="659"/>
      <c r="IS35" s="659"/>
      <c r="IT35" s="659"/>
      <c r="IU35" s="659"/>
    </row>
    <row r="36" spans="1:255" s="712" customFormat="1" ht="15" customHeight="1" x14ac:dyDescent="0.25">
      <c r="A36" s="713">
        <v>44029</v>
      </c>
      <c r="B36" s="723" t="s">
        <v>4973</v>
      </c>
      <c r="C36" s="663">
        <v>1128800420</v>
      </c>
      <c r="D36" s="763">
        <f t="shared" si="5"/>
        <v>44044</v>
      </c>
      <c r="E36" s="652">
        <f t="shared" si="0"/>
        <v>3</v>
      </c>
      <c r="F36" s="632">
        <v>1128800420</v>
      </c>
      <c r="G36" s="762">
        <v>44041</v>
      </c>
      <c r="H36" s="632"/>
      <c r="I36" s="633"/>
      <c r="J36" s="632"/>
      <c r="K36" s="634"/>
      <c r="L36" s="696">
        <f t="shared" si="4"/>
        <v>0</v>
      </c>
      <c r="M36" s="737">
        <f t="shared" si="6"/>
        <v>18499784.661111113</v>
      </c>
      <c r="N36" s="635"/>
      <c r="O36" s="636"/>
      <c r="P36" s="635">
        <v>4082495</v>
      </c>
      <c r="Q36" s="680">
        <v>44041</v>
      </c>
      <c r="R36" s="635"/>
      <c r="S36" s="707"/>
      <c r="T36" s="707"/>
      <c r="U36" s="708"/>
      <c r="V36" s="708"/>
      <c r="W36" s="709"/>
      <c r="X36" s="710"/>
      <c r="Y36" s="711"/>
      <c r="Z36" s="711"/>
      <c r="AA36" s="711"/>
      <c r="AB36" s="711"/>
      <c r="AC36" s="711"/>
      <c r="AD36" s="711"/>
      <c r="AE36" s="711"/>
      <c r="AF36" s="711"/>
      <c r="AG36" s="711"/>
      <c r="AH36" s="711"/>
      <c r="AI36" s="711"/>
      <c r="AJ36" s="711"/>
      <c r="AK36" s="711"/>
      <c r="AL36" s="711"/>
      <c r="AM36" s="711"/>
      <c r="AN36" s="711"/>
      <c r="AO36" s="711"/>
      <c r="AP36" s="711"/>
      <c r="AQ36" s="711"/>
      <c r="AR36" s="711"/>
      <c r="AS36" s="711"/>
      <c r="AT36" s="711"/>
      <c r="AU36" s="711"/>
      <c r="AV36" s="711"/>
      <c r="AW36" s="711"/>
      <c r="AX36" s="711"/>
      <c r="AY36" s="711"/>
      <c r="AZ36" s="711"/>
      <c r="BA36" s="711"/>
      <c r="BB36" s="711"/>
      <c r="BC36" s="711"/>
      <c r="BD36" s="711"/>
      <c r="BE36" s="711"/>
      <c r="BF36" s="711"/>
      <c r="BG36" s="711"/>
      <c r="BH36" s="711"/>
      <c r="BI36" s="711"/>
      <c r="BJ36" s="711"/>
      <c r="BK36" s="711"/>
      <c r="BL36" s="711"/>
      <c r="BM36" s="711"/>
      <c r="BN36" s="711"/>
      <c r="BO36" s="711"/>
      <c r="BP36" s="711"/>
      <c r="BQ36" s="711"/>
      <c r="BR36" s="711"/>
      <c r="BS36" s="711"/>
      <c r="BT36" s="711"/>
      <c r="BU36" s="711"/>
      <c r="BV36" s="711"/>
      <c r="BW36" s="711"/>
      <c r="BX36" s="711"/>
      <c r="BY36" s="711"/>
      <c r="BZ36" s="711"/>
      <c r="CA36" s="711"/>
      <c r="CB36" s="711"/>
      <c r="CC36" s="711"/>
      <c r="CD36" s="711"/>
      <c r="CE36" s="711"/>
      <c r="CF36" s="711"/>
      <c r="CG36" s="711"/>
      <c r="CH36" s="711"/>
      <c r="CI36" s="711"/>
      <c r="CJ36" s="711"/>
      <c r="CK36" s="711"/>
      <c r="CL36" s="711"/>
      <c r="CM36" s="711"/>
      <c r="CN36" s="711"/>
      <c r="CO36" s="711"/>
      <c r="CP36" s="711"/>
      <c r="CQ36" s="711"/>
      <c r="CR36" s="711"/>
      <c r="CS36" s="711"/>
      <c r="CT36" s="711"/>
      <c r="CU36" s="711"/>
      <c r="CV36" s="711"/>
      <c r="CW36" s="711"/>
      <c r="CX36" s="711"/>
      <c r="CY36" s="711"/>
      <c r="CZ36" s="711"/>
      <c r="DA36" s="711"/>
      <c r="DB36" s="711"/>
      <c r="DC36" s="711"/>
      <c r="DD36" s="711"/>
      <c r="DE36" s="711"/>
      <c r="DF36" s="711"/>
      <c r="DG36" s="711"/>
      <c r="DH36" s="711"/>
      <c r="DI36" s="711"/>
      <c r="DJ36" s="711"/>
      <c r="DK36" s="711"/>
      <c r="DL36" s="711"/>
      <c r="DM36" s="711"/>
      <c r="DN36" s="711"/>
      <c r="DO36" s="711"/>
      <c r="DP36" s="711"/>
      <c r="DQ36" s="711"/>
      <c r="DR36" s="711"/>
      <c r="DS36" s="711"/>
      <c r="DT36" s="711"/>
      <c r="DU36" s="711"/>
      <c r="DV36" s="711"/>
      <c r="DW36" s="711"/>
      <c r="DX36" s="711"/>
      <c r="DY36" s="711"/>
      <c r="DZ36" s="711"/>
      <c r="EA36" s="711"/>
      <c r="EB36" s="711"/>
      <c r="EC36" s="711"/>
      <c r="ED36" s="711"/>
      <c r="EE36" s="711"/>
      <c r="EF36" s="711"/>
      <c r="EG36" s="711"/>
      <c r="EH36" s="711"/>
      <c r="EI36" s="711"/>
      <c r="EJ36" s="711"/>
      <c r="EK36" s="711"/>
      <c r="EL36" s="711"/>
      <c r="EM36" s="711"/>
      <c r="EN36" s="711"/>
      <c r="EO36" s="711"/>
      <c r="EP36" s="711"/>
      <c r="EQ36" s="711"/>
      <c r="ER36" s="711"/>
      <c r="ES36" s="711"/>
      <c r="ET36" s="711"/>
      <c r="EU36" s="711"/>
      <c r="EV36" s="711"/>
      <c r="EW36" s="711"/>
      <c r="EX36" s="711"/>
      <c r="EY36" s="711"/>
      <c r="EZ36" s="711"/>
      <c r="FA36" s="711"/>
      <c r="FB36" s="711"/>
      <c r="FC36" s="711"/>
      <c r="FD36" s="711"/>
      <c r="FE36" s="711"/>
      <c r="FF36" s="711"/>
      <c r="FG36" s="711"/>
      <c r="FH36" s="711"/>
      <c r="FI36" s="711"/>
      <c r="FJ36" s="711"/>
      <c r="FK36" s="711"/>
      <c r="FL36" s="711"/>
      <c r="FM36" s="711"/>
      <c r="FN36" s="711"/>
      <c r="FO36" s="711"/>
      <c r="FP36" s="711"/>
      <c r="FQ36" s="711"/>
      <c r="FR36" s="711"/>
      <c r="FS36" s="711"/>
      <c r="FT36" s="711"/>
      <c r="FU36" s="711"/>
      <c r="FV36" s="711"/>
      <c r="FW36" s="711"/>
      <c r="FX36" s="711"/>
      <c r="FY36" s="711"/>
      <c r="FZ36" s="711"/>
      <c r="GA36" s="711"/>
      <c r="GB36" s="711"/>
      <c r="GC36" s="711"/>
      <c r="GD36" s="711"/>
      <c r="GE36" s="711"/>
      <c r="GF36" s="711"/>
      <c r="GG36" s="711"/>
      <c r="GH36" s="711"/>
      <c r="GI36" s="711"/>
      <c r="GJ36" s="711"/>
      <c r="GK36" s="711"/>
      <c r="GL36" s="711"/>
      <c r="GM36" s="711"/>
      <c r="GN36" s="711"/>
      <c r="GO36" s="711"/>
      <c r="GP36" s="711"/>
      <c r="GQ36" s="711"/>
      <c r="GR36" s="711"/>
      <c r="GS36" s="711"/>
      <c r="GT36" s="711"/>
      <c r="GU36" s="711"/>
      <c r="GV36" s="711"/>
      <c r="GW36" s="711"/>
      <c r="GX36" s="711"/>
      <c r="GY36" s="711"/>
      <c r="GZ36" s="711"/>
      <c r="HA36" s="711"/>
      <c r="HB36" s="711"/>
      <c r="HC36" s="711"/>
      <c r="HD36" s="711"/>
      <c r="HE36" s="711"/>
      <c r="HF36" s="711"/>
      <c r="HG36" s="711"/>
      <c r="HH36" s="711"/>
      <c r="HI36" s="711"/>
      <c r="HJ36" s="711"/>
      <c r="HK36" s="711"/>
      <c r="HL36" s="711"/>
      <c r="HM36" s="711"/>
      <c r="HN36" s="711"/>
      <c r="HO36" s="711"/>
      <c r="HP36" s="711"/>
      <c r="HQ36" s="711"/>
      <c r="HR36" s="711"/>
      <c r="HS36" s="711"/>
      <c r="HT36" s="711"/>
      <c r="HU36" s="711"/>
      <c r="HV36" s="711"/>
      <c r="HW36" s="711"/>
      <c r="HX36" s="711"/>
      <c r="HY36" s="711"/>
      <c r="HZ36" s="711"/>
      <c r="IA36" s="711"/>
      <c r="IB36" s="711"/>
      <c r="IC36" s="711"/>
      <c r="ID36" s="711"/>
      <c r="IE36" s="711"/>
      <c r="IF36" s="711"/>
      <c r="IG36" s="711"/>
      <c r="IH36" s="711"/>
      <c r="II36" s="711"/>
      <c r="IJ36" s="711"/>
      <c r="IK36" s="711"/>
      <c r="IL36" s="711"/>
      <c r="IM36" s="711"/>
      <c r="IN36" s="711"/>
      <c r="IO36" s="711"/>
      <c r="IP36" s="711"/>
      <c r="IQ36" s="711"/>
      <c r="IR36" s="711"/>
      <c r="IS36" s="711"/>
      <c r="IT36" s="711"/>
      <c r="IU36" s="711"/>
    </row>
    <row r="37" spans="1:255" s="640" customFormat="1" ht="15" customHeight="1" x14ac:dyDescent="0.25">
      <c r="A37" s="693">
        <v>44032</v>
      </c>
      <c r="B37" s="694" t="s">
        <v>4973</v>
      </c>
      <c r="C37" s="695">
        <v>1476695100</v>
      </c>
      <c r="D37" s="763">
        <f t="shared" si="5"/>
        <v>44047</v>
      </c>
      <c r="E37" s="652">
        <f t="shared" si="0"/>
        <v>5</v>
      </c>
      <c r="F37" s="632">
        <v>1476695100</v>
      </c>
      <c r="G37" s="762">
        <v>44042</v>
      </c>
      <c r="H37" s="632"/>
      <c r="I37" s="633"/>
      <c r="J37" s="632"/>
      <c r="K37" s="634"/>
      <c r="L37" s="679">
        <f t="shared" si="4"/>
        <v>0</v>
      </c>
      <c r="M37" s="635">
        <f t="shared" si="6"/>
        <v>24201391.916666668</v>
      </c>
      <c r="N37" s="635"/>
      <c r="O37" s="636"/>
      <c r="P37" s="635">
        <v>4959234</v>
      </c>
      <c r="Q37" s="680">
        <v>44042</v>
      </c>
      <c r="R37" s="635"/>
      <c r="S37" s="635"/>
      <c r="T37" s="635"/>
      <c r="U37" s="636"/>
      <c r="V37" s="636"/>
      <c r="W37" s="637"/>
      <c r="X37" s="638"/>
      <c r="Y37" s="639"/>
      <c r="Z37" s="639"/>
      <c r="AA37" s="639"/>
      <c r="AB37" s="639"/>
      <c r="AC37" s="639"/>
      <c r="AD37" s="639"/>
      <c r="AE37" s="639"/>
      <c r="AF37" s="639"/>
      <c r="AG37" s="639"/>
      <c r="AH37" s="639"/>
      <c r="AI37" s="639"/>
      <c r="AJ37" s="639"/>
      <c r="AK37" s="639"/>
      <c r="AL37" s="639"/>
      <c r="AM37" s="639"/>
      <c r="AN37" s="639"/>
      <c r="AO37" s="639"/>
      <c r="AP37" s="639"/>
      <c r="AQ37" s="639"/>
      <c r="AR37" s="639"/>
      <c r="AS37" s="639"/>
      <c r="AT37" s="639"/>
      <c r="AU37" s="639"/>
      <c r="AV37" s="639"/>
      <c r="AW37" s="639"/>
      <c r="AX37" s="639"/>
      <c r="AY37" s="639"/>
      <c r="AZ37" s="639"/>
      <c r="BA37" s="639"/>
      <c r="BB37" s="639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639"/>
      <c r="CH37" s="639"/>
      <c r="CI37" s="639"/>
      <c r="CJ37" s="639"/>
      <c r="CK37" s="639"/>
      <c r="CL37" s="639"/>
      <c r="CM37" s="639"/>
      <c r="CN37" s="63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639"/>
      <c r="DS37" s="639"/>
      <c r="DT37" s="639"/>
      <c r="DU37" s="639"/>
      <c r="DV37" s="639"/>
      <c r="DW37" s="639"/>
      <c r="DX37" s="639"/>
      <c r="DY37" s="639"/>
      <c r="DZ37" s="639"/>
      <c r="EA37" s="639"/>
      <c r="EB37" s="639"/>
      <c r="EC37" s="639"/>
      <c r="ED37" s="639"/>
      <c r="EE37" s="639"/>
      <c r="EF37" s="639"/>
      <c r="EG37" s="639"/>
      <c r="EH37" s="639"/>
      <c r="EI37" s="639"/>
      <c r="EJ37" s="639"/>
      <c r="EK37" s="639"/>
      <c r="EL37" s="639"/>
      <c r="EM37" s="639"/>
      <c r="EN37" s="639"/>
      <c r="EO37" s="639"/>
      <c r="EP37" s="639"/>
      <c r="EQ37" s="639"/>
      <c r="ER37" s="639"/>
      <c r="ES37" s="639"/>
      <c r="ET37" s="639"/>
      <c r="EU37" s="639"/>
      <c r="EV37" s="639"/>
      <c r="EW37" s="639"/>
      <c r="EX37" s="639"/>
      <c r="EY37" s="639"/>
      <c r="EZ37" s="639"/>
      <c r="FA37" s="639"/>
      <c r="FB37" s="639"/>
      <c r="FC37" s="639"/>
      <c r="FD37" s="639"/>
      <c r="FE37" s="639"/>
      <c r="FF37" s="639"/>
      <c r="FG37" s="639"/>
      <c r="FH37" s="639"/>
      <c r="FI37" s="639"/>
      <c r="FJ37" s="639"/>
      <c r="FK37" s="639"/>
      <c r="FL37" s="639"/>
      <c r="FM37" s="639"/>
      <c r="FN37" s="639"/>
      <c r="FO37" s="639"/>
      <c r="FP37" s="639"/>
      <c r="FQ37" s="639"/>
      <c r="FR37" s="639"/>
      <c r="FS37" s="639"/>
      <c r="FT37" s="639"/>
      <c r="FU37" s="639"/>
      <c r="FV37" s="639"/>
      <c r="FW37" s="639"/>
      <c r="FX37" s="639"/>
      <c r="FY37" s="639"/>
      <c r="FZ37" s="639"/>
      <c r="GA37" s="639"/>
      <c r="GB37" s="639"/>
      <c r="GC37" s="639"/>
      <c r="GD37" s="639"/>
      <c r="GE37" s="639"/>
      <c r="GF37" s="639"/>
      <c r="GG37" s="639"/>
      <c r="GH37" s="639"/>
      <c r="GI37" s="639"/>
      <c r="GJ37" s="639"/>
      <c r="GK37" s="639"/>
      <c r="GL37" s="639"/>
      <c r="GM37" s="639"/>
      <c r="GN37" s="639"/>
      <c r="GO37" s="639"/>
      <c r="GP37" s="639"/>
      <c r="GQ37" s="639"/>
      <c r="GR37" s="639"/>
      <c r="GS37" s="639"/>
      <c r="GT37" s="639"/>
      <c r="GU37" s="639"/>
      <c r="GV37" s="639"/>
      <c r="GW37" s="639"/>
      <c r="GX37" s="639"/>
      <c r="GY37" s="639"/>
      <c r="GZ37" s="639"/>
      <c r="HA37" s="639"/>
      <c r="HB37" s="639"/>
      <c r="HC37" s="639"/>
      <c r="HD37" s="639"/>
      <c r="HE37" s="639"/>
      <c r="HF37" s="639"/>
      <c r="HG37" s="639"/>
      <c r="HH37" s="639"/>
      <c r="HI37" s="639"/>
      <c r="HJ37" s="639"/>
      <c r="HK37" s="639"/>
      <c r="HL37" s="639"/>
      <c r="HM37" s="639"/>
      <c r="HN37" s="639"/>
      <c r="HO37" s="639"/>
      <c r="HP37" s="639"/>
      <c r="HQ37" s="639"/>
      <c r="HR37" s="639"/>
      <c r="HS37" s="639"/>
      <c r="HT37" s="639"/>
      <c r="HU37" s="639"/>
      <c r="HV37" s="639"/>
      <c r="HW37" s="639"/>
      <c r="HX37" s="639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</row>
    <row r="38" spans="1:255" s="712" customFormat="1" ht="15" customHeight="1" x14ac:dyDescent="0.25">
      <c r="A38" s="693">
        <v>44036</v>
      </c>
      <c r="B38" s="694" t="s">
        <v>5932</v>
      </c>
      <c r="C38" s="695">
        <v>1340666250</v>
      </c>
      <c r="D38" s="763">
        <f t="shared" si="5"/>
        <v>44051</v>
      </c>
      <c r="E38" s="652">
        <f t="shared" si="0"/>
        <v>44051</v>
      </c>
      <c r="F38" s="632"/>
      <c r="G38" s="762"/>
      <c r="H38" s="632"/>
      <c r="I38" s="633"/>
      <c r="J38" s="632"/>
      <c r="K38" s="634"/>
      <c r="L38" s="696">
        <f t="shared" si="4"/>
        <v>1340666250</v>
      </c>
      <c r="M38" s="737">
        <f t="shared" si="6"/>
        <v>21972030.208333336</v>
      </c>
      <c r="N38" s="635"/>
      <c r="O38" s="636"/>
      <c r="P38" s="635"/>
      <c r="Q38" s="680"/>
      <c r="R38" s="635"/>
      <c r="S38" s="707"/>
      <c r="T38" s="707"/>
      <c r="U38" s="708"/>
      <c r="V38" s="708"/>
      <c r="W38" s="709"/>
      <c r="X38" s="710"/>
      <c r="Y38" s="711"/>
      <c r="Z38" s="711"/>
      <c r="AA38" s="711"/>
      <c r="AB38" s="711"/>
      <c r="AC38" s="711"/>
      <c r="AD38" s="711"/>
      <c r="AE38" s="711"/>
      <c r="AF38" s="711"/>
      <c r="AG38" s="711"/>
      <c r="AH38" s="711"/>
      <c r="AI38" s="711"/>
      <c r="AJ38" s="711"/>
      <c r="AK38" s="711"/>
      <c r="AL38" s="711"/>
      <c r="AM38" s="711"/>
      <c r="AN38" s="711"/>
      <c r="AO38" s="711"/>
      <c r="AP38" s="711"/>
      <c r="AQ38" s="711"/>
      <c r="AR38" s="711"/>
      <c r="AS38" s="711"/>
      <c r="AT38" s="711"/>
      <c r="AU38" s="711"/>
      <c r="AV38" s="711"/>
      <c r="AW38" s="711"/>
      <c r="AX38" s="711"/>
      <c r="AY38" s="711"/>
      <c r="AZ38" s="711"/>
      <c r="BA38" s="711"/>
      <c r="BB38" s="711"/>
      <c r="BC38" s="711"/>
      <c r="BD38" s="711"/>
      <c r="BE38" s="711"/>
      <c r="BF38" s="711"/>
      <c r="BG38" s="711"/>
      <c r="BH38" s="711"/>
      <c r="BI38" s="711"/>
      <c r="BJ38" s="711"/>
      <c r="BK38" s="711"/>
      <c r="BL38" s="711"/>
      <c r="BM38" s="711"/>
      <c r="BN38" s="711"/>
      <c r="BO38" s="711"/>
      <c r="BP38" s="711"/>
      <c r="BQ38" s="711"/>
      <c r="BR38" s="711"/>
      <c r="BS38" s="711"/>
      <c r="BT38" s="711"/>
      <c r="BU38" s="711"/>
      <c r="BV38" s="711"/>
      <c r="BW38" s="711"/>
      <c r="BX38" s="711"/>
      <c r="BY38" s="711"/>
      <c r="BZ38" s="711"/>
      <c r="CA38" s="711"/>
      <c r="CB38" s="711"/>
      <c r="CC38" s="711"/>
      <c r="CD38" s="711"/>
      <c r="CE38" s="711"/>
      <c r="CF38" s="711"/>
      <c r="CG38" s="711"/>
      <c r="CH38" s="711"/>
      <c r="CI38" s="711"/>
      <c r="CJ38" s="711"/>
      <c r="CK38" s="711"/>
      <c r="CL38" s="711"/>
      <c r="CM38" s="711"/>
      <c r="CN38" s="711"/>
      <c r="CO38" s="711"/>
      <c r="CP38" s="711"/>
      <c r="CQ38" s="711"/>
      <c r="CR38" s="711"/>
      <c r="CS38" s="711"/>
      <c r="CT38" s="711"/>
      <c r="CU38" s="711"/>
      <c r="CV38" s="711"/>
      <c r="CW38" s="711"/>
      <c r="CX38" s="711"/>
      <c r="CY38" s="711"/>
      <c r="CZ38" s="711"/>
      <c r="DA38" s="711"/>
      <c r="DB38" s="711"/>
      <c r="DC38" s="711"/>
      <c r="DD38" s="711"/>
      <c r="DE38" s="711"/>
      <c r="DF38" s="711"/>
      <c r="DG38" s="711"/>
      <c r="DH38" s="711"/>
      <c r="DI38" s="711"/>
      <c r="DJ38" s="711"/>
      <c r="DK38" s="711"/>
      <c r="DL38" s="711"/>
      <c r="DM38" s="711"/>
      <c r="DN38" s="711"/>
      <c r="DO38" s="711"/>
      <c r="DP38" s="711"/>
      <c r="DQ38" s="711"/>
      <c r="DR38" s="711"/>
      <c r="DS38" s="711"/>
      <c r="DT38" s="711"/>
      <c r="DU38" s="711"/>
      <c r="DV38" s="711"/>
      <c r="DW38" s="711"/>
      <c r="DX38" s="711"/>
      <c r="DY38" s="711"/>
      <c r="DZ38" s="711"/>
      <c r="EA38" s="711"/>
      <c r="EB38" s="711"/>
      <c r="EC38" s="711"/>
      <c r="ED38" s="711"/>
      <c r="EE38" s="711"/>
      <c r="EF38" s="711"/>
      <c r="EG38" s="711"/>
      <c r="EH38" s="711"/>
      <c r="EI38" s="711"/>
      <c r="EJ38" s="711"/>
      <c r="EK38" s="711"/>
      <c r="EL38" s="711"/>
      <c r="EM38" s="711"/>
      <c r="EN38" s="711"/>
      <c r="EO38" s="711"/>
      <c r="EP38" s="711"/>
      <c r="EQ38" s="711"/>
      <c r="ER38" s="711"/>
      <c r="ES38" s="711"/>
      <c r="ET38" s="711"/>
      <c r="EU38" s="711"/>
      <c r="EV38" s="711"/>
      <c r="EW38" s="711"/>
      <c r="EX38" s="711"/>
      <c r="EY38" s="711"/>
      <c r="EZ38" s="711"/>
      <c r="FA38" s="711"/>
      <c r="FB38" s="711"/>
      <c r="FC38" s="711"/>
      <c r="FD38" s="711"/>
      <c r="FE38" s="711"/>
      <c r="FF38" s="711"/>
      <c r="FG38" s="711"/>
      <c r="FH38" s="711"/>
      <c r="FI38" s="711"/>
      <c r="FJ38" s="711"/>
      <c r="FK38" s="711"/>
      <c r="FL38" s="711"/>
      <c r="FM38" s="711"/>
      <c r="FN38" s="711"/>
      <c r="FO38" s="711"/>
      <c r="FP38" s="711"/>
      <c r="FQ38" s="711"/>
      <c r="FR38" s="711"/>
      <c r="FS38" s="711"/>
      <c r="FT38" s="711"/>
      <c r="FU38" s="711"/>
      <c r="FV38" s="711"/>
      <c r="FW38" s="711"/>
      <c r="FX38" s="711"/>
      <c r="FY38" s="711"/>
      <c r="FZ38" s="711"/>
      <c r="GA38" s="711"/>
      <c r="GB38" s="711"/>
      <c r="GC38" s="711"/>
      <c r="GD38" s="711"/>
      <c r="GE38" s="711"/>
      <c r="GF38" s="711"/>
      <c r="GG38" s="711"/>
      <c r="GH38" s="711"/>
      <c r="GI38" s="711"/>
      <c r="GJ38" s="711"/>
      <c r="GK38" s="711"/>
      <c r="GL38" s="711"/>
      <c r="GM38" s="711"/>
      <c r="GN38" s="711"/>
      <c r="GO38" s="711"/>
      <c r="GP38" s="711"/>
      <c r="GQ38" s="711"/>
      <c r="GR38" s="711"/>
      <c r="GS38" s="711"/>
      <c r="GT38" s="711"/>
      <c r="GU38" s="711"/>
      <c r="GV38" s="711"/>
      <c r="GW38" s="711"/>
      <c r="GX38" s="711"/>
      <c r="GY38" s="711"/>
      <c r="GZ38" s="711"/>
      <c r="HA38" s="711"/>
      <c r="HB38" s="711"/>
      <c r="HC38" s="711"/>
      <c r="HD38" s="711"/>
      <c r="HE38" s="711"/>
      <c r="HF38" s="711"/>
      <c r="HG38" s="711"/>
      <c r="HH38" s="711"/>
      <c r="HI38" s="711"/>
      <c r="HJ38" s="711"/>
      <c r="HK38" s="711"/>
      <c r="HL38" s="711"/>
      <c r="HM38" s="711"/>
      <c r="HN38" s="711"/>
      <c r="HO38" s="711"/>
      <c r="HP38" s="711"/>
      <c r="HQ38" s="711"/>
      <c r="HR38" s="711"/>
      <c r="HS38" s="711"/>
      <c r="HT38" s="711"/>
      <c r="HU38" s="711"/>
      <c r="HV38" s="711"/>
      <c r="HW38" s="711"/>
      <c r="HX38" s="711"/>
      <c r="HY38" s="711"/>
      <c r="HZ38" s="711"/>
      <c r="IA38" s="711"/>
      <c r="IB38" s="711"/>
      <c r="IC38" s="711"/>
      <c r="ID38" s="711"/>
      <c r="IE38" s="711"/>
      <c r="IF38" s="711"/>
      <c r="IG38" s="711"/>
      <c r="IH38" s="711"/>
      <c r="II38" s="711"/>
      <c r="IJ38" s="711"/>
      <c r="IK38" s="711"/>
      <c r="IL38" s="711"/>
      <c r="IM38" s="711"/>
      <c r="IN38" s="711"/>
      <c r="IO38" s="711"/>
      <c r="IP38" s="711"/>
      <c r="IQ38" s="711"/>
      <c r="IR38" s="711"/>
      <c r="IS38" s="711"/>
      <c r="IT38" s="711"/>
      <c r="IU38" s="711"/>
    </row>
    <row r="39" spans="1:255" s="687" customFormat="1" ht="15" customHeight="1" x14ac:dyDescent="0.25">
      <c r="A39" s="693">
        <v>44039</v>
      </c>
      <c r="B39" s="694" t="s">
        <v>5932</v>
      </c>
      <c r="C39" s="695">
        <v>1625777380</v>
      </c>
      <c r="D39" s="763">
        <f t="shared" si="5"/>
        <v>44054</v>
      </c>
      <c r="E39" s="652">
        <f t="shared" si="0"/>
        <v>44054</v>
      </c>
      <c r="F39" s="632"/>
      <c r="G39" s="631"/>
      <c r="H39" s="632"/>
      <c r="I39" s="633"/>
      <c r="J39" s="632"/>
      <c r="K39" s="634"/>
      <c r="L39" s="679">
        <f t="shared" si="4"/>
        <v>1625777380</v>
      </c>
      <c r="M39" s="635">
        <f t="shared" si="6"/>
        <v>26644684.838888891</v>
      </c>
      <c r="N39" s="635"/>
      <c r="O39" s="636"/>
      <c r="P39" s="635"/>
      <c r="Q39" s="680"/>
      <c r="R39" s="635"/>
      <c r="S39" s="635"/>
      <c r="T39" s="682"/>
      <c r="U39" s="683"/>
      <c r="V39" s="683"/>
      <c r="W39" s="684"/>
      <c r="X39" s="685"/>
      <c r="Y39" s="686"/>
      <c r="Z39" s="686"/>
      <c r="AA39" s="686"/>
      <c r="AB39" s="686"/>
      <c r="AC39" s="686"/>
      <c r="AD39" s="686"/>
      <c r="AE39" s="686"/>
      <c r="AF39" s="686"/>
      <c r="AG39" s="686"/>
      <c r="AH39" s="686"/>
      <c r="AI39" s="686"/>
      <c r="AJ39" s="686"/>
      <c r="AK39" s="686"/>
      <c r="AL39" s="686"/>
      <c r="AM39" s="686"/>
      <c r="AN39" s="686"/>
      <c r="AO39" s="686"/>
      <c r="AP39" s="686"/>
      <c r="AQ39" s="686"/>
      <c r="AR39" s="686"/>
      <c r="AS39" s="686"/>
      <c r="AT39" s="686"/>
      <c r="AU39" s="686"/>
      <c r="AV39" s="686"/>
      <c r="AW39" s="686"/>
      <c r="AX39" s="686"/>
      <c r="AY39" s="686"/>
      <c r="AZ39" s="686"/>
      <c r="BA39" s="686"/>
      <c r="BB39" s="686"/>
      <c r="BC39" s="686"/>
      <c r="BD39" s="686"/>
      <c r="BE39" s="686"/>
      <c r="BF39" s="686"/>
      <c r="BG39" s="686"/>
      <c r="BH39" s="686"/>
      <c r="BI39" s="686"/>
      <c r="BJ39" s="686"/>
      <c r="BK39" s="686"/>
      <c r="BL39" s="686"/>
      <c r="BM39" s="686"/>
      <c r="BN39" s="686"/>
      <c r="BO39" s="686"/>
      <c r="BP39" s="686"/>
      <c r="BQ39" s="686"/>
      <c r="BR39" s="686"/>
      <c r="BS39" s="686"/>
      <c r="BT39" s="686"/>
      <c r="BU39" s="686"/>
      <c r="BV39" s="686"/>
      <c r="BW39" s="686"/>
      <c r="BX39" s="686"/>
      <c r="BY39" s="686"/>
      <c r="BZ39" s="686"/>
      <c r="CA39" s="686"/>
      <c r="CB39" s="686"/>
      <c r="CC39" s="686"/>
      <c r="CD39" s="686"/>
      <c r="CE39" s="686"/>
      <c r="CF39" s="686"/>
      <c r="CG39" s="686"/>
      <c r="CH39" s="686"/>
      <c r="CI39" s="686"/>
      <c r="CJ39" s="686"/>
      <c r="CK39" s="686"/>
      <c r="CL39" s="686"/>
      <c r="CM39" s="686"/>
      <c r="CN39" s="686"/>
      <c r="CO39" s="686"/>
      <c r="CP39" s="686"/>
      <c r="CQ39" s="686"/>
      <c r="CR39" s="686"/>
      <c r="CS39" s="686"/>
      <c r="CT39" s="686"/>
      <c r="CU39" s="686"/>
      <c r="CV39" s="686"/>
      <c r="CW39" s="686"/>
      <c r="CX39" s="686"/>
      <c r="CY39" s="686"/>
      <c r="CZ39" s="686"/>
      <c r="DA39" s="686"/>
      <c r="DB39" s="686"/>
      <c r="DC39" s="686"/>
      <c r="DD39" s="686"/>
      <c r="DE39" s="686"/>
      <c r="DF39" s="686"/>
      <c r="DG39" s="686"/>
      <c r="DH39" s="686"/>
      <c r="DI39" s="686"/>
      <c r="DJ39" s="686"/>
      <c r="DK39" s="686"/>
      <c r="DL39" s="686"/>
      <c r="DM39" s="686"/>
      <c r="DN39" s="686"/>
      <c r="DO39" s="686"/>
      <c r="DP39" s="686"/>
      <c r="DQ39" s="686"/>
      <c r="DR39" s="686"/>
      <c r="DS39" s="686"/>
      <c r="DT39" s="686"/>
      <c r="DU39" s="686"/>
      <c r="DV39" s="686"/>
      <c r="DW39" s="686"/>
      <c r="DX39" s="686"/>
      <c r="DY39" s="686"/>
      <c r="DZ39" s="686"/>
      <c r="EA39" s="686"/>
      <c r="EB39" s="686"/>
      <c r="EC39" s="686"/>
      <c r="ED39" s="686"/>
      <c r="EE39" s="686"/>
      <c r="EF39" s="686"/>
      <c r="EG39" s="686"/>
      <c r="EH39" s="686"/>
      <c r="EI39" s="686"/>
      <c r="EJ39" s="686"/>
      <c r="EK39" s="686"/>
      <c r="EL39" s="686"/>
      <c r="EM39" s="686"/>
      <c r="EN39" s="686"/>
      <c r="EO39" s="686"/>
      <c r="EP39" s="686"/>
      <c r="EQ39" s="686"/>
      <c r="ER39" s="686"/>
      <c r="ES39" s="686"/>
      <c r="ET39" s="686"/>
      <c r="EU39" s="686"/>
      <c r="EV39" s="686"/>
      <c r="EW39" s="686"/>
      <c r="EX39" s="686"/>
      <c r="EY39" s="686"/>
      <c r="EZ39" s="686"/>
      <c r="FA39" s="686"/>
      <c r="FB39" s="686"/>
      <c r="FC39" s="686"/>
      <c r="FD39" s="686"/>
      <c r="FE39" s="686"/>
      <c r="FF39" s="686"/>
      <c r="FG39" s="686"/>
      <c r="FH39" s="686"/>
      <c r="FI39" s="686"/>
      <c r="FJ39" s="686"/>
      <c r="FK39" s="686"/>
      <c r="FL39" s="686"/>
      <c r="FM39" s="686"/>
      <c r="FN39" s="686"/>
      <c r="FO39" s="686"/>
      <c r="FP39" s="686"/>
      <c r="FQ39" s="686"/>
      <c r="FR39" s="686"/>
      <c r="FS39" s="686"/>
      <c r="FT39" s="686"/>
      <c r="FU39" s="686"/>
      <c r="FV39" s="686"/>
      <c r="FW39" s="686"/>
      <c r="FX39" s="686"/>
      <c r="FY39" s="686"/>
      <c r="FZ39" s="686"/>
      <c r="GA39" s="686"/>
      <c r="GB39" s="686"/>
      <c r="GC39" s="686"/>
      <c r="GD39" s="686"/>
      <c r="GE39" s="686"/>
      <c r="GF39" s="686"/>
      <c r="GG39" s="686"/>
      <c r="GH39" s="686"/>
      <c r="GI39" s="686"/>
      <c r="GJ39" s="686"/>
      <c r="GK39" s="686"/>
      <c r="GL39" s="686"/>
      <c r="GM39" s="686"/>
      <c r="GN39" s="686"/>
      <c r="GO39" s="686"/>
      <c r="GP39" s="686"/>
      <c r="GQ39" s="686"/>
      <c r="GR39" s="686"/>
      <c r="GS39" s="686"/>
      <c r="GT39" s="686"/>
      <c r="GU39" s="686"/>
      <c r="GV39" s="686"/>
      <c r="GW39" s="686"/>
      <c r="GX39" s="686"/>
      <c r="GY39" s="686"/>
      <c r="GZ39" s="686"/>
      <c r="HA39" s="686"/>
      <c r="HB39" s="686"/>
      <c r="HC39" s="686"/>
      <c r="HD39" s="686"/>
      <c r="HE39" s="686"/>
      <c r="HF39" s="686"/>
      <c r="HG39" s="686"/>
      <c r="HH39" s="686"/>
      <c r="HI39" s="686"/>
      <c r="HJ39" s="686"/>
      <c r="HK39" s="686"/>
      <c r="HL39" s="686"/>
      <c r="HM39" s="686"/>
      <c r="HN39" s="686"/>
      <c r="HO39" s="686"/>
      <c r="HP39" s="686"/>
      <c r="HQ39" s="686"/>
      <c r="HR39" s="686"/>
      <c r="HS39" s="686"/>
      <c r="HT39" s="686"/>
      <c r="HU39" s="686"/>
      <c r="HV39" s="686"/>
      <c r="HW39" s="686"/>
      <c r="HX39" s="686"/>
      <c r="HY39" s="686"/>
      <c r="HZ39" s="686"/>
      <c r="IA39" s="686"/>
      <c r="IB39" s="686"/>
      <c r="IC39" s="686"/>
      <c r="ID39" s="686"/>
      <c r="IE39" s="686"/>
      <c r="IF39" s="686"/>
      <c r="IG39" s="686"/>
      <c r="IH39" s="686"/>
      <c r="II39" s="686"/>
      <c r="IJ39" s="686"/>
      <c r="IK39" s="686"/>
      <c r="IL39" s="686"/>
      <c r="IM39" s="686"/>
      <c r="IN39" s="686"/>
      <c r="IO39" s="686"/>
      <c r="IP39" s="686"/>
      <c r="IQ39" s="686"/>
      <c r="IR39" s="686"/>
      <c r="IS39" s="686"/>
      <c r="IT39" s="686"/>
      <c r="IU39" s="686"/>
    </row>
    <row r="40" spans="1:255" s="824" customFormat="1" ht="15" customHeight="1" x14ac:dyDescent="0.25">
      <c r="A40" s="838">
        <v>44046</v>
      </c>
      <c r="B40" s="723" t="s">
        <v>4973</v>
      </c>
      <c r="C40" s="663">
        <v>1812378197</v>
      </c>
      <c r="D40" s="763">
        <f t="shared" si="5"/>
        <v>44061</v>
      </c>
      <c r="E40" s="839">
        <f t="shared" si="0"/>
        <v>44061</v>
      </c>
      <c r="F40" s="830"/>
      <c r="G40" s="829"/>
      <c r="H40" s="830"/>
      <c r="I40" s="831"/>
      <c r="J40" s="830"/>
      <c r="K40" s="832"/>
      <c r="L40" s="833">
        <f t="shared" si="4"/>
        <v>1812378197</v>
      </c>
      <c r="M40" s="825">
        <f t="shared" si="6"/>
        <v>29702864.895277783</v>
      </c>
      <c r="N40" s="825"/>
      <c r="O40" s="826"/>
      <c r="P40" s="825"/>
      <c r="Q40" s="834"/>
      <c r="R40" s="825"/>
      <c r="S40" s="825"/>
      <c r="T40" s="825"/>
      <c r="U40" s="826"/>
      <c r="V40" s="826"/>
      <c r="W40" s="827"/>
      <c r="X40" s="828"/>
      <c r="Y40" s="823"/>
      <c r="Z40" s="823"/>
      <c r="AA40" s="823"/>
      <c r="AB40" s="823"/>
      <c r="AC40" s="823"/>
      <c r="AD40" s="823"/>
      <c r="AE40" s="823"/>
      <c r="AF40" s="823"/>
      <c r="AG40" s="823"/>
      <c r="AH40" s="823"/>
      <c r="AI40" s="823"/>
      <c r="AJ40" s="823"/>
      <c r="AK40" s="823"/>
      <c r="AL40" s="823"/>
      <c r="AM40" s="823"/>
      <c r="AN40" s="823"/>
      <c r="AO40" s="823"/>
      <c r="AP40" s="823"/>
      <c r="AQ40" s="823"/>
      <c r="AR40" s="823"/>
      <c r="AS40" s="823"/>
      <c r="AT40" s="823"/>
      <c r="AU40" s="823"/>
      <c r="AV40" s="823"/>
      <c r="AW40" s="823"/>
      <c r="AX40" s="823"/>
      <c r="AY40" s="823"/>
      <c r="AZ40" s="823"/>
      <c r="BA40" s="823"/>
      <c r="BB40" s="823"/>
      <c r="BC40" s="823"/>
      <c r="BD40" s="823"/>
      <c r="BE40" s="823"/>
      <c r="BF40" s="823"/>
      <c r="BG40" s="823"/>
      <c r="BH40" s="823"/>
      <c r="BI40" s="823"/>
      <c r="BJ40" s="823"/>
      <c r="BK40" s="823"/>
      <c r="BL40" s="823"/>
      <c r="BM40" s="823"/>
      <c r="BN40" s="823"/>
      <c r="BO40" s="823"/>
      <c r="BP40" s="823"/>
      <c r="BQ40" s="823"/>
      <c r="BR40" s="823"/>
      <c r="BS40" s="823"/>
      <c r="BT40" s="823"/>
      <c r="BU40" s="823"/>
      <c r="BV40" s="823"/>
      <c r="BW40" s="823"/>
      <c r="BX40" s="823"/>
      <c r="BY40" s="823"/>
      <c r="BZ40" s="823"/>
      <c r="CA40" s="823"/>
      <c r="CB40" s="823"/>
      <c r="CC40" s="823"/>
      <c r="CD40" s="823"/>
      <c r="CE40" s="823"/>
      <c r="CF40" s="823"/>
      <c r="CG40" s="823"/>
      <c r="CH40" s="823"/>
      <c r="CI40" s="823"/>
      <c r="CJ40" s="823"/>
      <c r="CK40" s="823"/>
      <c r="CL40" s="823"/>
      <c r="CM40" s="823"/>
      <c r="CN40" s="823"/>
      <c r="CO40" s="823"/>
      <c r="CP40" s="823"/>
      <c r="CQ40" s="823"/>
      <c r="CR40" s="823"/>
      <c r="CS40" s="823"/>
      <c r="CT40" s="823"/>
      <c r="CU40" s="823"/>
      <c r="CV40" s="823"/>
      <c r="CW40" s="823"/>
      <c r="CX40" s="823"/>
      <c r="CY40" s="823"/>
      <c r="CZ40" s="823"/>
      <c r="DA40" s="823"/>
      <c r="DB40" s="823"/>
      <c r="DC40" s="823"/>
      <c r="DD40" s="823"/>
      <c r="DE40" s="823"/>
      <c r="DF40" s="823"/>
      <c r="DG40" s="823"/>
      <c r="DH40" s="823"/>
      <c r="DI40" s="823"/>
      <c r="DJ40" s="823"/>
      <c r="DK40" s="823"/>
      <c r="DL40" s="823"/>
      <c r="DM40" s="823"/>
      <c r="DN40" s="823"/>
      <c r="DO40" s="823"/>
      <c r="DP40" s="823"/>
      <c r="DQ40" s="823"/>
      <c r="DR40" s="823"/>
      <c r="DS40" s="823"/>
      <c r="DT40" s="823"/>
      <c r="DU40" s="823"/>
      <c r="DV40" s="823"/>
      <c r="DW40" s="823"/>
      <c r="DX40" s="823"/>
      <c r="DY40" s="823"/>
      <c r="DZ40" s="823"/>
      <c r="EA40" s="823"/>
      <c r="EB40" s="823"/>
      <c r="EC40" s="823"/>
      <c r="ED40" s="823"/>
      <c r="EE40" s="823"/>
      <c r="EF40" s="823"/>
      <c r="EG40" s="823"/>
      <c r="EH40" s="823"/>
      <c r="EI40" s="823"/>
      <c r="EJ40" s="823"/>
      <c r="EK40" s="823"/>
      <c r="EL40" s="823"/>
      <c r="EM40" s="823"/>
      <c r="EN40" s="823"/>
      <c r="EO40" s="823"/>
      <c r="EP40" s="823"/>
      <c r="EQ40" s="823"/>
      <c r="ER40" s="823"/>
      <c r="ES40" s="823"/>
      <c r="ET40" s="823"/>
      <c r="EU40" s="823"/>
      <c r="EV40" s="823"/>
      <c r="EW40" s="823"/>
      <c r="EX40" s="823"/>
      <c r="EY40" s="823"/>
      <c r="EZ40" s="823"/>
      <c r="FA40" s="823"/>
      <c r="FB40" s="823"/>
      <c r="FC40" s="823"/>
      <c r="FD40" s="823"/>
      <c r="FE40" s="823"/>
      <c r="FF40" s="823"/>
      <c r="FG40" s="823"/>
      <c r="FH40" s="823"/>
      <c r="FI40" s="823"/>
      <c r="FJ40" s="823"/>
      <c r="FK40" s="823"/>
      <c r="FL40" s="823"/>
      <c r="FM40" s="823"/>
      <c r="FN40" s="823"/>
      <c r="FO40" s="823"/>
      <c r="FP40" s="823"/>
      <c r="FQ40" s="823"/>
      <c r="FR40" s="823"/>
      <c r="FS40" s="823"/>
      <c r="FT40" s="823"/>
      <c r="FU40" s="823"/>
      <c r="FV40" s="823"/>
      <c r="FW40" s="823"/>
      <c r="FX40" s="823"/>
      <c r="FY40" s="823"/>
      <c r="FZ40" s="823"/>
      <c r="GA40" s="823"/>
      <c r="GB40" s="823"/>
      <c r="GC40" s="823"/>
      <c r="GD40" s="823"/>
      <c r="GE40" s="823"/>
      <c r="GF40" s="823"/>
      <c r="GG40" s="823"/>
      <c r="GH40" s="823"/>
      <c r="GI40" s="823"/>
      <c r="GJ40" s="823"/>
      <c r="GK40" s="823"/>
      <c r="GL40" s="823"/>
      <c r="GM40" s="823"/>
      <c r="GN40" s="823"/>
      <c r="GO40" s="823"/>
      <c r="GP40" s="823"/>
      <c r="GQ40" s="823"/>
      <c r="GR40" s="823"/>
      <c r="GS40" s="823"/>
      <c r="GT40" s="823"/>
      <c r="GU40" s="823"/>
      <c r="GV40" s="823"/>
      <c r="GW40" s="823"/>
      <c r="GX40" s="823"/>
      <c r="GY40" s="823"/>
      <c r="GZ40" s="823"/>
      <c r="HA40" s="823"/>
      <c r="HB40" s="823"/>
      <c r="HC40" s="823"/>
      <c r="HD40" s="823"/>
      <c r="HE40" s="823"/>
      <c r="HF40" s="823"/>
      <c r="HG40" s="823"/>
      <c r="HH40" s="823"/>
      <c r="HI40" s="823"/>
      <c r="HJ40" s="823"/>
      <c r="HK40" s="823"/>
      <c r="HL40" s="823"/>
      <c r="HM40" s="823"/>
      <c r="HN40" s="823"/>
      <c r="HO40" s="823"/>
      <c r="HP40" s="823"/>
      <c r="HQ40" s="823"/>
      <c r="HR40" s="823"/>
      <c r="HS40" s="823"/>
      <c r="HT40" s="823"/>
      <c r="HU40" s="823"/>
      <c r="HV40" s="823"/>
      <c r="HW40" s="823"/>
      <c r="HX40" s="823"/>
      <c r="HY40" s="823"/>
      <c r="HZ40" s="823"/>
      <c r="IA40" s="823"/>
      <c r="IB40" s="823"/>
      <c r="IC40" s="823"/>
      <c r="ID40" s="823"/>
      <c r="IE40" s="823"/>
      <c r="IF40" s="823"/>
      <c r="IG40" s="823"/>
      <c r="IH40" s="823"/>
      <c r="II40" s="823"/>
      <c r="IJ40" s="823"/>
      <c r="IK40" s="823"/>
      <c r="IL40" s="823"/>
      <c r="IM40" s="823"/>
      <c r="IN40" s="823"/>
      <c r="IO40" s="823"/>
      <c r="IP40" s="823"/>
      <c r="IQ40" s="823"/>
      <c r="IR40" s="823"/>
      <c r="IS40" s="823"/>
      <c r="IT40" s="823"/>
      <c r="IU40" s="823"/>
    </row>
    <row r="41" spans="1:255" s="3" customFormat="1" ht="15" customHeight="1" x14ac:dyDescent="0.25">
      <c r="A41" s="641"/>
      <c r="B41" s="642"/>
      <c r="C41" s="643"/>
      <c r="D41" s="354"/>
      <c r="E41" s="517"/>
      <c r="F41" s="355"/>
      <c r="G41" s="354"/>
      <c r="H41" s="355"/>
      <c r="I41" s="356"/>
      <c r="J41" s="355"/>
      <c r="K41" s="357"/>
      <c r="L41" s="358"/>
      <c r="M41" s="359"/>
      <c r="N41" s="359"/>
      <c r="O41" s="360"/>
      <c r="P41" s="359"/>
      <c r="Q41" s="647"/>
      <c r="R41" s="359"/>
      <c r="S41" s="361"/>
      <c r="T41" s="359"/>
      <c r="U41" s="360"/>
      <c r="V41" s="644"/>
      <c r="W41" s="645"/>
      <c r="X41" s="24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</row>
    <row r="42" spans="1:255" ht="15" customHeight="1" x14ac:dyDescent="0.25">
      <c r="A42" s="502"/>
      <c r="B42" s="503"/>
      <c r="C42" s="504"/>
      <c r="D42" s="464"/>
      <c r="E42" s="465"/>
      <c r="F42" s="505"/>
      <c r="G42" s="464"/>
      <c r="H42" s="505"/>
      <c r="I42" s="506"/>
      <c r="J42" s="505"/>
      <c r="K42" s="507"/>
      <c r="L42" s="508"/>
      <c r="M42" s="466"/>
      <c r="N42" s="466"/>
      <c r="O42" s="510"/>
      <c r="P42" s="466"/>
      <c r="Q42" s="466"/>
      <c r="R42" s="466"/>
      <c r="S42" s="509"/>
      <c r="T42" s="466"/>
      <c r="U42" s="510"/>
      <c r="V42" s="511"/>
      <c r="W42" s="512"/>
      <c r="X42" s="501"/>
    </row>
    <row r="43" spans="1:255" x14ac:dyDescent="0.25">
      <c r="A43" s="1572" t="s">
        <v>24</v>
      </c>
      <c r="B43" s="1573"/>
      <c r="C43" s="751"/>
      <c r="D43" s="496" t="e">
        <f>SUM(#REF!)</f>
        <v>#REF!</v>
      </c>
      <c r="E43" s="522"/>
      <c r="F43" s="496"/>
      <c r="G43" s="496"/>
      <c r="H43" s="496"/>
      <c r="I43" s="497" t="e">
        <f>SUM(#REF!)</f>
        <v>#REF!</v>
      </c>
      <c r="J43" s="496"/>
      <c r="K43" s="523"/>
      <c r="L43" s="496"/>
      <c r="M43" s="496"/>
      <c r="N43" s="496"/>
      <c r="O43" s="497"/>
      <c r="P43" s="496"/>
      <c r="Q43" s="496"/>
      <c r="R43" s="496"/>
      <c r="S43" s="499">
        <f>M43-R43</f>
        <v>0</v>
      </c>
      <c r="T43" s="496"/>
      <c r="U43" s="1546"/>
      <c r="V43" s="1546"/>
      <c r="W43" s="1546"/>
      <c r="X43" s="501" t="e">
        <f>(W43/360)*D186*#REF!</f>
        <v>#REF!</v>
      </c>
    </row>
    <row r="44" spans="1:255" x14ac:dyDescent="0.25">
      <c r="X44" s="498" t="e">
        <f>(W44/360)*D187*#REF!</f>
        <v>#REF!</v>
      </c>
    </row>
    <row r="45" spans="1:255" x14ac:dyDescent="0.25">
      <c r="D45" s="526"/>
      <c r="E45" s="527"/>
      <c r="F45" s="526"/>
      <c r="G45" s="526"/>
      <c r="H45" s="526"/>
      <c r="J45" s="526"/>
      <c r="L45" s="526"/>
      <c r="M45" s="526"/>
      <c r="N45" s="526"/>
      <c r="O45" s="526"/>
      <c r="P45" s="526"/>
      <c r="Q45" s="526"/>
      <c r="R45" s="526"/>
      <c r="S45" s="526"/>
      <c r="T45" s="526"/>
      <c r="X45" s="498" t="e">
        <f>(W45/360)*D188*#REF!</f>
        <v>#REF!</v>
      </c>
    </row>
    <row r="46" spans="1:255" x14ac:dyDescent="0.25">
      <c r="A46" s="1547" t="s">
        <v>121</v>
      </c>
      <c r="B46" s="1548"/>
      <c r="C46" s="1547"/>
      <c r="D46" s="1547"/>
      <c r="E46" s="527"/>
      <c r="F46" s="526" t="e">
        <f>SUM(#REF!)</f>
        <v>#REF!</v>
      </c>
      <c r="G46" s="526"/>
      <c r="H46" s="526"/>
      <c r="J46" s="526"/>
      <c r="L46" s="526"/>
      <c r="M46" s="526"/>
      <c r="N46" s="526"/>
      <c r="O46" s="526"/>
      <c r="P46" s="526"/>
      <c r="Q46" s="526"/>
      <c r="R46" s="526"/>
      <c r="S46" s="526"/>
      <c r="T46" s="526"/>
      <c r="X46" s="528"/>
    </row>
    <row r="47" spans="1:255" x14ac:dyDescent="0.25">
      <c r="A47" s="1547" t="s">
        <v>122</v>
      </c>
      <c r="B47" s="1548"/>
      <c r="C47" s="1547"/>
      <c r="D47" s="1547"/>
      <c r="F47" s="526" t="e">
        <f>SUM(#REF!)</f>
        <v>#REF!</v>
      </c>
      <c r="X47" s="528"/>
    </row>
    <row r="48" spans="1:255" x14ac:dyDescent="0.25">
      <c r="A48" s="470" t="s">
        <v>123</v>
      </c>
      <c r="F48" s="526" t="e">
        <f>I43+'[5]OCBC APRIL 18'!H152+'[5]OUB APRIL 18'!H71</f>
        <v>#REF!</v>
      </c>
      <c r="X48" s="528"/>
    </row>
    <row r="49" spans="3:24" x14ac:dyDescent="0.25">
      <c r="X49" s="528"/>
    </row>
    <row r="50" spans="3:24" x14ac:dyDescent="0.25">
      <c r="C50" s="665" t="e">
        <f>SUM(#REF!,C29:C29,C30:C30,#REF!,C31:C33)</f>
        <v>#REF!</v>
      </c>
      <c r="X50" s="528"/>
    </row>
    <row r="51" spans="3:24" x14ac:dyDescent="0.25">
      <c r="C51" s="665" t="e">
        <f>SUM(#REF!,C29:C29,C30:C31,C30:C30,#REF!,C31:C33)</f>
        <v>#REF!</v>
      </c>
      <c r="W51" s="526"/>
      <c r="X51" s="528"/>
    </row>
    <row r="52" spans="3:24" x14ac:dyDescent="0.25">
      <c r="X52" s="528"/>
    </row>
    <row r="53" spans="3:24" x14ac:dyDescent="0.25">
      <c r="X53" s="528"/>
    </row>
    <row r="54" spans="3:24" x14ac:dyDescent="0.25">
      <c r="X54" s="528"/>
    </row>
    <row r="55" spans="3:24" x14ac:dyDescent="0.25">
      <c r="X55" s="528"/>
    </row>
    <row r="56" spans="3:24" x14ac:dyDescent="0.25">
      <c r="X56" s="528"/>
    </row>
    <row r="57" spans="3:24" x14ac:dyDescent="0.25">
      <c r="X57" s="528"/>
    </row>
    <row r="58" spans="3:24" x14ac:dyDescent="0.25">
      <c r="X58" s="528"/>
    </row>
    <row r="59" spans="3:24" x14ac:dyDescent="0.25">
      <c r="X59" s="528"/>
    </row>
    <row r="60" spans="3:24" x14ac:dyDescent="0.25">
      <c r="X60" s="528"/>
    </row>
    <row r="61" spans="3:24" x14ac:dyDescent="0.25">
      <c r="X61" s="528"/>
    </row>
    <row r="62" spans="3:24" x14ac:dyDescent="0.25">
      <c r="X62" s="528"/>
    </row>
  </sheetData>
  <sortState ref="A8:S79">
    <sortCondition ref="B8:B79"/>
  </sortState>
  <mergeCells count="13">
    <mergeCell ref="A47:D47"/>
    <mergeCell ref="R5:R7"/>
    <mergeCell ref="S5:S7"/>
    <mergeCell ref="N6:Q6"/>
    <mergeCell ref="A43:B43"/>
    <mergeCell ref="U43:W43"/>
    <mergeCell ref="A46:D46"/>
    <mergeCell ref="A5:C5"/>
    <mergeCell ref="D5:D6"/>
    <mergeCell ref="E5:K5"/>
    <mergeCell ref="L5:L6"/>
    <mergeCell ref="M5:M6"/>
    <mergeCell ref="N5:Q5"/>
  </mergeCells>
  <pageMargins left="0.7" right="0.7" top="0.75" bottom="0.75" header="0.3" footer="0.3"/>
  <pageSetup paperSize="9" scale="48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11</vt:i4>
      </vt:variant>
    </vt:vector>
  </HeadingPairs>
  <TitlesOfParts>
    <vt:vector size="34" baseType="lpstr">
      <vt:lpstr>CF STAT</vt:lpstr>
      <vt:lpstr>RECEIPT</vt:lpstr>
      <vt:lpstr>BANK STAT</vt:lpstr>
      <vt:lpstr>ATTACH</vt:lpstr>
      <vt:lpstr>LIST CEK</vt:lpstr>
      <vt:lpstr>PROJECT</vt:lpstr>
      <vt:lpstr>BCA</vt:lpstr>
      <vt:lpstr>HSBC ITF</vt:lpstr>
      <vt:lpstr>HSBC 15 HR</vt:lpstr>
      <vt:lpstr>HSBC</vt:lpstr>
      <vt:lpstr>OCBC</vt:lpstr>
      <vt:lpstr>UOB</vt:lpstr>
      <vt:lpstr>CONTROL PAYMENT 2022</vt:lpstr>
      <vt:lpstr>CONTROL PAYMENT 2021</vt:lpstr>
      <vt:lpstr>REKAP DISCOST</vt:lpstr>
      <vt:lpstr>INSENTIF DROPP</vt:lpstr>
      <vt:lpstr>CONTROL PICKUP</vt:lpstr>
      <vt:lpstr>REKAP RENTOKIL</vt:lpstr>
      <vt:lpstr>REKAP PAJAK </vt:lpstr>
      <vt:lpstr>REKAP BG </vt:lpstr>
      <vt:lpstr>CONTROL PAYMENT 2020</vt:lpstr>
      <vt:lpstr>REKAP LEASING</vt:lpstr>
      <vt:lpstr>RAKAP ASURANSI</vt:lpstr>
      <vt:lpstr>BCA!Print_Area</vt:lpstr>
      <vt:lpstr>'CONTROL PAYMENT 2020'!Print_Area</vt:lpstr>
      <vt:lpstr>'CONTROL PICKUP'!Print_Area</vt:lpstr>
      <vt:lpstr>HSBC!Print_Area</vt:lpstr>
      <vt:lpstr>'HSBC 15 HR'!Print_Area</vt:lpstr>
      <vt:lpstr>'HSBC ITF'!Print_Area</vt:lpstr>
      <vt:lpstr>OCBC!Print_Area</vt:lpstr>
      <vt:lpstr>PROJECT!Print_Area</vt:lpstr>
      <vt:lpstr>'REKAP DISCOST'!Print_Area</vt:lpstr>
      <vt:lpstr>UOB!Print_Area</vt:lpstr>
      <vt:lpstr>PROJECT!Print_Titles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KOJACK</dc:creator>
  <cp:lastModifiedBy>300-20K</cp:lastModifiedBy>
  <cp:lastPrinted>2022-10-15T03:23:31Z</cp:lastPrinted>
  <dcterms:created xsi:type="dcterms:W3CDTF">2015-07-07T02:35:00Z</dcterms:created>
  <dcterms:modified xsi:type="dcterms:W3CDTF">2022-10-18T02:08:39Z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1033-10.2.0.7646</vt:lpwstr>
  </property>
</Properties>
</file>